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pivotTables/pivotTable1.xml" ContentType="application/vnd.openxmlformats-officedocument.spreadsheetml.pivotTable+xml"/>
  <Override PartName="/xl/tables/table5.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pivotTables/pivotTable2.xml" ContentType="application/vnd.openxmlformats-officedocument.spreadsheetml.pivotTable+xml"/>
  <Override PartName="/xl/tables/table6.xml" ContentType="application/vnd.openxmlformats-officedocument.spreadsheetml.table+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mc:AlternateContent xmlns:mc="http://schemas.openxmlformats.org/markup-compatibility/2006">
    <mc:Choice Requires="x15">
      <x15ac:absPath xmlns:x15ac="http://schemas.microsoft.com/office/spreadsheetml/2010/11/ac" url="https://awiplan10.sharepoint.com/sites/Projets_Awiplan/F184/Interne/Assistance/documents_ressource/tableurs_ADEME/fichiers_finaux/"/>
    </mc:Choice>
  </mc:AlternateContent>
  <xr:revisionPtr revIDLastSave="108" documentId="8_{D4E6EE41-D475-45D5-925D-467F5D935D5C}" xr6:coauthVersionLast="47" xr6:coauthVersionMax="47" xr10:uidLastSave="{EF1FE1EC-FF82-40B2-AAF8-F762F3CDBF94}"/>
  <bookViews>
    <workbookView xWindow="-108" yWindow="-108" windowWidth="23256" windowHeight="12576" tabRatio="788" firstSheet="2" activeTab="2" xr2:uid="{00000000-000D-0000-FFFF-FFFF00000000}"/>
  </bookViews>
  <sheets>
    <sheet name="Nomenclature" sheetId="182" state="hidden" r:id="rId1"/>
    <sheet name="MàJ" sheetId="217" state="hidden" r:id="rId2"/>
    <sheet name="Présentation générale" sheetId="185" r:id="rId3"/>
    <sheet name="Notice" sheetId="212" r:id="rId4"/>
    <sheet name="1 - Cadre matrice" sheetId="180" r:id="rId5"/>
    <sheet name="2 - Matrice finale" sheetId="138" r:id="rId6"/>
    <sheet name="TVA conventionnelle" sheetId="125" state="hidden" r:id="rId7"/>
    <sheet name="Analyse" sheetId="216" r:id="rId8"/>
    <sheet name="3 - Charges et produits" sheetId="120" r:id="rId9"/>
    <sheet name="4 - Codes matrice" sheetId="5" r:id="rId10"/>
    <sheet name="Matrice_Clés_multilignes" sheetId="160" state="hidden" r:id="rId11"/>
    <sheet name="TVA_Clés_lignes" sheetId="179" state="hidden" r:id="rId12"/>
    <sheet name="4 - Clé multilignes1" sheetId="205" r:id="rId13"/>
    <sheet name="4 - Clé multilignes2" sheetId="206" state="hidden" r:id="rId14"/>
    <sheet name="4 - Clé multilignes3" sheetId="207" state="hidden" r:id="rId15"/>
    <sheet name="4 - Clé multilignes4" sheetId="208" state="hidden" r:id="rId16"/>
    <sheet name="4 - Clé multilignes5" sheetId="215" state="hidden" r:id="rId17"/>
    <sheet name="4 - Clé multilignes6" sheetId="214" state="hidden" r:id="rId18"/>
    <sheet name="4 - Clé multilignes7" sheetId="213" state="hidden" r:id="rId19"/>
    <sheet name="4 - Clé SALAIRES" sheetId="144" r:id="rId20"/>
    <sheet name="4bis - Clé Soutiens" sheetId="183" r:id="rId21"/>
    <sheet name="5 - Charges à caractère général" sheetId="204" r:id="rId22"/>
    <sheet name="6 - Amortissements et reprises" sheetId="115" r:id="rId23"/>
    <sheet name="7 - Contrôle CA" sheetId="127" r:id="rId24"/>
  </sheets>
  <definedNames>
    <definedName name="_xlnm._FilterDatabase" localSheetId="8" hidden="1">'3 - Charges et produits'!$A$3:$Z$28</definedName>
    <definedName name="_xlnm._FilterDatabase" localSheetId="9" hidden="1">'4 - Codes matrice'!$A$3:$C$3</definedName>
    <definedName name="_xlnm._FilterDatabase" localSheetId="22" hidden="1">'6 - Amortissements et reprises'!$A$5:$Z$30</definedName>
    <definedName name="_xlnm._FilterDatabase" localSheetId="7" hidden="1">Analyse!$A$138:$D$153</definedName>
    <definedName name="Amort">Nomenclature!$E$4</definedName>
    <definedName name="Amort_extrac">Nomenclature!$E$3</definedName>
    <definedName name="Annee">'2 - Matrice finale'!$D$1</definedName>
    <definedName name="Att_charge">Nomenclature!$E$5</definedName>
    <definedName name="Att_produit">Nomenclature!$E$6</definedName>
    <definedName name="CODE">'4 - Codes matrice'!$A$4:$A$99</definedName>
    <definedName name="CODE_1">'4 - Codes matrice'!$A$4</definedName>
    <definedName name="Colonnes">Tbl_Colonnes[Colonnes]</definedName>
    <definedName name="Depenses">Nomenclature!$G$2:$G$7</definedName>
    <definedName name="duree_amort">'6 - Amortissements et reprises'!$F$3</definedName>
    <definedName name="Incorp">Nomenclature!$E$1</definedName>
    <definedName name="Interet">Nomenclature!$E$10</definedName>
    <definedName name="Lignes">Tbl_Charges[Charges]</definedName>
    <definedName name="Lignes_sinoe">'2 - Matrice finale'!$A$5:$A$54</definedName>
    <definedName name="Non_incorp">Nomenclature!$E$2</definedName>
    <definedName name="pop">'2 - Matrice finale'!$AA$57</definedName>
    <definedName name="Recettes">Nomenclature!$I$2:$I$6</definedName>
    <definedName name="Repart_lignes">'2 - Matrice finale'!$A$54</definedName>
    <definedName name="Reprise">Nomenclature!$E$8</definedName>
    <definedName name="Reprise_extrac">Nomenclature!$E$7</definedName>
    <definedName name="Supplétif">Nomenclature!$E$9</definedName>
    <definedName name="Total">'4 - Clé SALAIRES'!$BA$77</definedName>
    <definedName name="Total_charges">'2 - Matrice finale'!$AA$23</definedName>
    <definedName name="Total_contributions">'2 - Matrice finale'!$AA$42</definedName>
    <definedName name="Total_produits">'2 - Matrice finale'!$AA$34</definedName>
    <definedName name="_xlnm.Print_Area" localSheetId="3">Notice!$A$3:$C$68</definedName>
  </definedNames>
  <calcPr calcId="191028" calcMode="manual"/>
  <pivotCaches>
    <pivotCache cacheId="11" r:id="rId25"/>
    <pivotCache cacheId="12" r:id="rId2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55" i="216" l="1"/>
  <c r="I355" i="216"/>
  <c r="H355" i="216"/>
  <c r="B355" i="216"/>
  <c r="A355" i="216"/>
  <c r="K354" i="216"/>
  <c r="I354" i="216"/>
  <c r="H354" i="216"/>
  <c r="A354" i="216"/>
  <c r="K353" i="216"/>
  <c r="I353" i="216"/>
  <c r="H353" i="216"/>
  <c r="A353" i="216"/>
  <c r="K352" i="216"/>
  <c r="I352" i="216"/>
  <c r="H352" i="216"/>
  <c r="B352" i="216"/>
  <c r="A352" i="216"/>
  <c r="K351" i="216"/>
  <c r="I351" i="216"/>
  <c r="H351" i="216"/>
  <c r="B351" i="216"/>
  <c r="A351" i="216"/>
  <c r="B350" i="216"/>
  <c r="A350" i="216"/>
  <c r="K347" i="216"/>
  <c r="I347" i="216"/>
  <c r="H347" i="216"/>
  <c r="B347" i="216"/>
  <c r="A347" i="216"/>
  <c r="K346" i="216"/>
  <c r="I346" i="216"/>
  <c r="H346" i="216"/>
  <c r="B346" i="216"/>
  <c r="B354" i="216" s="1"/>
  <c r="A346" i="216"/>
  <c r="K345" i="216"/>
  <c r="I345" i="216"/>
  <c r="H345" i="216"/>
  <c r="B345" i="216"/>
  <c r="B353" i="216" s="1"/>
  <c r="A345" i="216"/>
  <c r="K344" i="216"/>
  <c r="I344" i="216"/>
  <c r="H344" i="216"/>
  <c r="B344" i="216"/>
  <c r="A344" i="216"/>
  <c r="K343" i="216"/>
  <c r="I343" i="216"/>
  <c r="H343" i="216"/>
  <c r="B343" i="216"/>
  <c r="A343" i="216"/>
  <c r="B342" i="216"/>
  <c r="A342" i="216"/>
  <c r="K339" i="216"/>
  <c r="I339" i="216"/>
  <c r="A339" i="216"/>
  <c r="K338" i="216"/>
  <c r="I338" i="216"/>
  <c r="A338" i="216"/>
  <c r="K337" i="216"/>
  <c r="I337" i="216"/>
  <c r="A337" i="216"/>
  <c r="K336" i="216"/>
  <c r="I336" i="216"/>
  <c r="A336" i="216"/>
  <c r="K335" i="216"/>
  <c r="I335" i="216"/>
  <c r="A335" i="216"/>
  <c r="A334" i="216"/>
  <c r="AF46" i="5"/>
  <c r="W4" i="120"/>
  <c r="Y4" i="120" s="1"/>
  <c r="W5" i="120"/>
  <c r="AA64" i="138"/>
  <c r="AA65" i="138"/>
  <c r="AA66" i="138"/>
  <c r="AA67" i="138"/>
  <c r="AA68" i="138"/>
  <c r="AA69" i="138"/>
  <c r="AA63" i="138"/>
  <c r="B110" i="216"/>
  <c r="B244" i="216" l="1"/>
  <c r="J253" i="216"/>
  <c r="E252" i="216"/>
  <c r="J249" i="216"/>
  <c r="F244" i="216"/>
  <c r="A244" i="216"/>
  <c r="A252" i="216" s="1"/>
  <c r="I242" i="216"/>
  <c r="H242" i="216"/>
  <c r="G242" i="216"/>
  <c r="F242" i="216"/>
  <c r="E242" i="216"/>
  <c r="D242" i="216"/>
  <c r="C242" i="216"/>
  <c r="B242" i="216"/>
  <c r="A242" i="216"/>
  <c r="I241" i="216"/>
  <c r="F241" i="216"/>
  <c r="E241" i="216"/>
  <c r="D241" i="216"/>
  <c r="C241" i="216"/>
  <c r="B241" i="216"/>
  <c r="F233" i="216"/>
  <c r="F235" i="216" s="1"/>
  <c r="F229" i="216"/>
  <c r="F231" i="216" s="1"/>
  <c r="F225" i="216"/>
  <c r="F227" i="216" s="1"/>
  <c r="A225" i="216"/>
  <c r="A229" i="216" s="1"/>
  <c r="I223" i="216"/>
  <c r="H223" i="216"/>
  <c r="G223" i="216"/>
  <c r="F223" i="216"/>
  <c r="E223" i="216"/>
  <c r="D223" i="216"/>
  <c r="C223" i="216"/>
  <c r="B223" i="216"/>
  <c r="A223" i="216"/>
  <c r="D196" i="216"/>
  <c r="D197" i="216" s="1"/>
  <c r="C196" i="216"/>
  <c r="C198" i="216" s="1"/>
  <c r="B196" i="216"/>
  <c r="B197" i="216" s="1"/>
  <c r="A196" i="216"/>
  <c r="D192" i="216"/>
  <c r="D193" i="216" s="1"/>
  <c r="C192" i="216"/>
  <c r="C193" i="216" s="1"/>
  <c r="B192" i="216"/>
  <c r="B193" i="216" s="1"/>
  <c r="A192" i="216"/>
  <c r="D188" i="216"/>
  <c r="D189" i="216" s="1"/>
  <c r="C188" i="216"/>
  <c r="C190" i="216" s="1"/>
  <c r="B188" i="216"/>
  <c r="B189" i="216" s="1"/>
  <c r="A188" i="216"/>
  <c r="A186" i="216"/>
  <c r="I185" i="216"/>
  <c r="F185" i="216"/>
  <c r="E185" i="216"/>
  <c r="D185" i="216"/>
  <c r="C185" i="216"/>
  <c r="B185" i="216"/>
  <c r="K166" i="216"/>
  <c r="A166" i="216"/>
  <c r="B155" i="216"/>
  <c r="C151" i="216" s="1"/>
  <c r="B153" i="216"/>
  <c r="D152" i="216"/>
  <c r="D151" i="216"/>
  <c r="D150" i="216"/>
  <c r="D149" i="216"/>
  <c r="D148" i="216"/>
  <c r="D147" i="216"/>
  <c r="D146" i="216"/>
  <c r="D145" i="216"/>
  <c r="D144" i="216"/>
  <c r="D143" i="216"/>
  <c r="D142" i="216"/>
  <c r="D141" i="216"/>
  <c r="D140" i="216"/>
  <c r="D139" i="216"/>
  <c r="B120" i="216"/>
  <c r="B122" i="216" s="1"/>
  <c r="B123" i="216" s="1"/>
  <c r="B112" i="216"/>
  <c r="C109" i="216"/>
  <c r="C108" i="216"/>
  <c r="C107" i="216"/>
  <c r="C106" i="216"/>
  <c r="C105" i="216"/>
  <c r="C104" i="216"/>
  <c r="B100" i="216"/>
  <c r="C99" i="216"/>
  <c r="C98" i="216"/>
  <c r="C97" i="216"/>
  <c r="C96" i="216"/>
  <c r="C95" i="216"/>
  <c r="C94" i="216"/>
  <c r="C93" i="216"/>
  <c r="C92" i="216"/>
  <c r="B81" i="216"/>
  <c r="B80" i="216"/>
  <c r="A80" i="216"/>
  <c r="B79" i="216"/>
  <c r="C78" i="216"/>
  <c r="C77" i="216"/>
  <c r="A77" i="216"/>
  <c r="H51" i="216"/>
  <c r="H53" i="216" s="1"/>
  <c r="D51" i="216"/>
  <c r="D53" i="216" s="1"/>
  <c r="H47" i="216"/>
  <c r="H49" i="216" s="1"/>
  <c r="D47" i="216"/>
  <c r="D49" i="216" s="1"/>
  <c r="I43" i="216"/>
  <c r="I45" i="216" s="1"/>
  <c r="E43" i="216"/>
  <c r="E45" i="216" s="1"/>
  <c r="A43" i="216"/>
  <c r="A51" i="216" s="1"/>
  <c r="K41" i="216"/>
  <c r="A41" i="216"/>
  <c r="B233" i="216" l="1"/>
  <c r="B235" i="216" s="1"/>
  <c r="B225" i="216"/>
  <c r="B227" i="216" s="1"/>
  <c r="B248" i="216"/>
  <c r="I252" i="216"/>
  <c r="I254" i="216" s="1"/>
  <c r="G51" i="216"/>
  <c r="G53" i="216" s="1"/>
  <c r="I233" i="216"/>
  <c r="I235" i="216" s="1"/>
  <c r="H252" i="216"/>
  <c r="H253" i="216" s="1"/>
  <c r="F248" i="216"/>
  <c r="F250" i="216" s="1"/>
  <c r="C100" i="216"/>
  <c r="B229" i="216"/>
  <c r="B231" i="216" s="1"/>
  <c r="B43" i="216"/>
  <c r="B45" i="216" s="1"/>
  <c r="F43" i="216"/>
  <c r="F45" i="216" s="1"/>
  <c r="A47" i="216"/>
  <c r="E47" i="216"/>
  <c r="E48" i="216" s="1"/>
  <c r="I47" i="216"/>
  <c r="I49" i="216" s="1"/>
  <c r="E51" i="216"/>
  <c r="E53" i="216" s="1"/>
  <c r="I51" i="216"/>
  <c r="I53" i="216" s="1"/>
  <c r="C140" i="216"/>
  <c r="C142" i="216"/>
  <c r="C144" i="216"/>
  <c r="C146" i="216"/>
  <c r="C148" i="216"/>
  <c r="C150" i="216"/>
  <c r="C152" i="216"/>
  <c r="C225" i="216"/>
  <c r="C227" i="216" s="1"/>
  <c r="G225" i="216"/>
  <c r="G227" i="216" s="1"/>
  <c r="C229" i="216"/>
  <c r="C231" i="216" s="1"/>
  <c r="G229" i="216"/>
  <c r="G231" i="216" s="1"/>
  <c r="C233" i="216"/>
  <c r="C235" i="216" s="1"/>
  <c r="G233" i="216"/>
  <c r="G235" i="216" s="1"/>
  <c r="H254" i="216"/>
  <c r="C244" i="216"/>
  <c r="C245" i="216" s="1"/>
  <c r="G244" i="216"/>
  <c r="G246" i="216" s="1"/>
  <c r="C248" i="216"/>
  <c r="G248" i="216"/>
  <c r="G249" i="216" s="1"/>
  <c r="B252" i="216"/>
  <c r="F252" i="216"/>
  <c r="F254" i="216" s="1"/>
  <c r="C249" i="216"/>
  <c r="C43" i="216"/>
  <c r="C45" i="216" s="1"/>
  <c r="G43" i="216"/>
  <c r="G45" i="216" s="1"/>
  <c r="B47" i="216"/>
  <c r="B49" i="216" s="1"/>
  <c r="F47" i="216"/>
  <c r="F49" i="216" s="1"/>
  <c r="B51" i="216"/>
  <c r="B53" i="216" s="1"/>
  <c r="F51" i="216"/>
  <c r="F53" i="216" s="1"/>
  <c r="D225" i="216"/>
  <c r="D227" i="216" s="1"/>
  <c r="H225" i="216"/>
  <c r="H227" i="216" s="1"/>
  <c r="D229" i="216"/>
  <c r="D231" i="216" s="1"/>
  <c r="H229" i="216"/>
  <c r="H231" i="216" s="1"/>
  <c r="D233" i="216"/>
  <c r="D235" i="216" s="1"/>
  <c r="H233" i="216"/>
  <c r="H235" i="216" s="1"/>
  <c r="E253" i="216"/>
  <c r="I253" i="216"/>
  <c r="D244" i="216"/>
  <c r="H244" i="216"/>
  <c r="D248" i="216"/>
  <c r="D249" i="216" s="1"/>
  <c r="H248" i="216"/>
  <c r="H250" i="216" s="1"/>
  <c r="C252" i="216"/>
  <c r="G252" i="216"/>
  <c r="D43" i="216"/>
  <c r="D44" i="216" s="1"/>
  <c r="H43" i="216"/>
  <c r="H45" i="216" s="1"/>
  <c r="C47" i="216"/>
  <c r="C48" i="216" s="1"/>
  <c r="G47" i="216"/>
  <c r="G49" i="216" s="1"/>
  <c r="C51" i="216"/>
  <c r="C53" i="216" s="1"/>
  <c r="C110" i="216"/>
  <c r="C139" i="216"/>
  <c r="C153" i="216" s="1"/>
  <c r="C141" i="216"/>
  <c r="C143" i="216"/>
  <c r="C145" i="216"/>
  <c r="C147" i="216"/>
  <c r="C149" i="216"/>
  <c r="E225" i="216"/>
  <c r="E227" i="216" s="1"/>
  <c r="I225" i="216"/>
  <c r="I227" i="216" s="1"/>
  <c r="E229" i="216"/>
  <c r="E231" i="216" s="1"/>
  <c r="I229" i="216"/>
  <c r="I231" i="216" s="1"/>
  <c r="E233" i="216"/>
  <c r="E235" i="216" s="1"/>
  <c r="B250" i="216"/>
  <c r="E244" i="216"/>
  <c r="E245" i="216" s="1"/>
  <c r="I244" i="216"/>
  <c r="I246" i="216" s="1"/>
  <c r="E248" i="216"/>
  <c r="E249" i="216" s="1"/>
  <c r="I248" i="216"/>
  <c r="I250" i="216" s="1"/>
  <c r="D252" i="216"/>
  <c r="D254" i="216" s="1"/>
  <c r="E49" i="216"/>
  <c r="D52" i="216"/>
  <c r="H52" i="216"/>
  <c r="C189" i="216"/>
  <c r="D190" i="216"/>
  <c r="B194" i="216"/>
  <c r="C197" i="216"/>
  <c r="D198" i="216"/>
  <c r="C226" i="216"/>
  <c r="B230" i="216"/>
  <c r="F230" i="216"/>
  <c r="A233" i="216"/>
  <c r="I234" i="216"/>
  <c r="E246" i="216"/>
  <c r="C250" i="216"/>
  <c r="G250" i="216"/>
  <c r="B253" i="216"/>
  <c r="E254" i="216"/>
  <c r="B44" i="216"/>
  <c r="B48" i="216"/>
  <c r="F48" i="216"/>
  <c r="C194" i="216"/>
  <c r="C230" i="216"/>
  <c r="G230" i="216"/>
  <c r="B234" i="216"/>
  <c r="F234" i="216"/>
  <c r="B245" i="216"/>
  <c r="F245" i="216"/>
  <c r="B246" i="216"/>
  <c r="F246" i="216"/>
  <c r="A248" i="216"/>
  <c r="I249" i="216"/>
  <c r="C253" i="216"/>
  <c r="G253" i="216"/>
  <c r="B254" i="216"/>
  <c r="C49" i="216"/>
  <c r="B52" i="216"/>
  <c r="F52" i="216"/>
  <c r="B190" i="216"/>
  <c r="D194" i="216"/>
  <c r="B198" i="216"/>
  <c r="E226" i="216"/>
  <c r="B249" i="216"/>
  <c r="F249" i="216"/>
  <c r="C254" i="216"/>
  <c r="G254" i="216"/>
  <c r="E44" i="216"/>
  <c r="I44" i="216"/>
  <c r="D48" i="216"/>
  <c r="H48" i="216"/>
  <c r="B226" i="216"/>
  <c r="F226" i="216"/>
  <c r="E230" i="216"/>
  <c r="I230" i="216"/>
  <c r="H234" i="216"/>
  <c r="D245" i="216"/>
  <c r="H245" i="216"/>
  <c r="D246" i="216"/>
  <c r="H246" i="216"/>
  <c r="C246" i="216" l="1"/>
  <c r="I48" i="216"/>
  <c r="D45" i="216"/>
  <c r="D250" i="216"/>
  <c r="D226" i="216"/>
  <c r="D234" i="216"/>
  <c r="I245" i="216"/>
  <c r="E250" i="216"/>
  <c r="G52" i="216"/>
  <c r="C234" i="216"/>
  <c r="I52" i="216"/>
  <c r="C44" i="216"/>
  <c r="C52" i="216"/>
  <c r="D253" i="216"/>
  <c r="D230" i="216"/>
  <c r="G48" i="216"/>
  <c r="H226" i="216"/>
  <c r="E52" i="216"/>
  <c r="F44" i="216"/>
  <c r="F253" i="216"/>
  <c r="H249" i="216"/>
  <c r="H230" i="216"/>
  <c r="H44" i="216"/>
  <c r="G44" i="216"/>
  <c r="G245" i="216"/>
  <c r="G234" i="216"/>
  <c r="I226" i="216"/>
  <c r="E234" i="216"/>
  <c r="G226" i="216"/>
  <c r="Z7" i="120"/>
  <c r="Z8" i="120"/>
  <c r="Z9" i="120"/>
  <c r="Z10" i="120"/>
  <c r="Z11" i="120"/>
  <c r="Z12" i="120"/>
  <c r="Z13" i="120"/>
  <c r="Z14" i="120"/>
  <c r="Z15" i="120"/>
  <c r="Z16" i="120"/>
  <c r="Z17" i="120"/>
  <c r="Z18" i="120"/>
  <c r="Z19" i="120"/>
  <c r="Z20" i="120"/>
  <c r="Z21" i="120"/>
  <c r="Z22" i="120"/>
  <c r="Z23" i="120"/>
  <c r="Z24" i="120"/>
  <c r="Z25" i="120"/>
  <c r="Z26" i="120"/>
  <c r="Z27" i="120"/>
  <c r="Z28" i="120"/>
  <c r="AC7" i="120" l="1"/>
  <c r="AC8" i="120"/>
  <c r="AC9" i="120"/>
  <c r="AC10" i="120"/>
  <c r="AC11" i="120"/>
  <c r="AC12" i="120"/>
  <c r="AC13" i="120"/>
  <c r="AC14" i="120"/>
  <c r="AC15" i="120"/>
  <c r="AC16" i="120"/>
  <c r="AC17" i="120"/>
  <c r="AC18" i="120"/>
  <c r="AC19" i="120"/>
  <c r="AC20" i="120"/>
  <c r="AC21" i="120"/>
  <c r="AC22" i="120"/>
  <c r="AC23" i="120"/>
  <c r="AC24" i="120"/>
  <c r="AC25" i="120"/>
  <c r="AC26" i="120"/>
  <c r="AC27" i="120"/>
  <c r="AC28" i="120"/>
  <c r="AA22" i="183" l="1"/>
  <c r="Z22" i="183"/>
  <c r="Y22" i="183"/>
  <c r="X22" i="183"/>
  <c r="W22" i="183"/>
  <c r="V22" i="183"/>
  <c r="U22" i="183"/>
  <c r="T22" i="183"/>
  <c r="S22" i="183"/>
  <c r="R22" i="183"/>
  <c r="Q22" i="183"/>
  <c r="P22" i="183"/>
  <c r="O22" i="183"/>
  <c r="N22" i="183"/>
  <c r="M22" i="183"/>
  <c r="L22" i="183"/>
  <c r="K22" i="183"/>
  <c r="J22" i="183"/>
  <c r="I22" i="183"/>
  <c r="H22" i="183"/>
  <c r="G22" i="183"/>
  <c r="F22" i="183"/>
  <c r="E22" i="183"/>
  <c r="D22" i="183"/>
  <c r="B22" i="183"/>
  <c r="C22" i="183" l="1"/>
  <c r="AB22" i="183" s="1"/>
  <c r="R7" i="115"/>
  <c r="R8" i="115"/>
  <c r="R9" i="115"/>
  <c r="R10" i="115"/>
  <c r="R11" i="115"/>
  <c r="R12" i="115"/>
  <c r="R13" i="115"/>
  <c r="R14" i="115"/>
  <c r="R15" i="115"/>
  <c r="R16" i="115"/>
  <c r="R17" i="115"/>
  <c r="R18" i="115"/>
  <c r="R19" i="115"/>
  <c r="R20" i="115"/>
  <c r="R21" i="115"/>
  <c r="R22" i="115"/>
  <c r="R23" i="115"/>
  <c r="R24" i="115"/>
  <c r="R25" i="115"/>
  <c r="R26" i="115"/>
  <c r="R27" i="115"/>
  <c r="R28" i="115"/>
  <c r="R29" i="115"/>
  <c r="R30" i="115"/>
  <c r="AA1" i="138" l="1"/>
  <c r="C28" i="183"/>
  <c r="C13" i="183"/>
  <c r="AA28" i="183"/>
  <c r="Z28" i="183"/>
  <c r="Y28" i="183"/>
  <c r="X28" i="183"/>
  <c r="W28" i="183"/>
  <c r="V28" i="183"/>
  <c r="U28" i="183"/>
  <c r="T28" i="183"/>
  <c r="S28" i="183"/>
  <c r="R28" i="183"/>
  <c r="Q28" i="183"/>
  <c r="P28" i="183"/>
  <c r="O28" i="183"/>
  <c r="N28" i="183"/>
  <c r="M28" i="183"/>
  <c r="L28" i="183"/>
  <c r="K28" i="183"/>
  <c r="J28" i="183"/>
  <c r="I28" i="183"/>
  <c r="H28" i="183"/>
  <c r="G28" i="183"/>
  <c r="F28" i="183"/>
  <c r="E28" i="183"/>
  <c r="D28" i="183"/>
  <c r="B28" i="183"/>
  <c r="B13" i="183"/>
  <c r="B36" i="183" l="1"/>
  <c r="AB28" i="183"/>
  <c r="AB42" i="183"/>
  <c r="D42" i="183"/>
  <c r="E42" i="183"/>
  <c r="F42" i="183"/>
  <c r="G42" i="183"/>
  <c r="H42" i="183"/>
  <c r="I42" i="183"/>
  <c r="J42" i="183"/>
  <c r="K42" i="183"/>
  <c r="L42" i="183"/>
  <c r="M42" i="183"/>
  <c r="N42" i="183"/>
  <c r="O42" i="183"/>
  <c r="P42" i="183"/>
  <c r="Q42" i="183"/>
  <c r="R42" i="183"/>
  <c r="S42" i="183"/>
  <c r="T42" i="183"/>
  <c r="U42" i="183"/>
  <c r="V42" i="183"/>
  <c r="W42" i="183"/>
  <c r="X42" i="183"/>
  <c r="Y42" i="183"/>
  <c r="Z42" i="183"/>
  <c r="AA42" i="183"/>
  <c r="C42" i="183"/>
  <c r="W16" i="120" l="1"/>
  <c r="W17" i="120"/>
  <c r="W18" i="120"/>
  <c r="W19" i="120"/>
  <c r="W20" i="120"/>
  <c r="W21" i="120"/>
  <c r="W22" i="120"/>
  <c r="W23" i="120"/>
  <c r="W24" i="120"/>
  <c r="W25" i="120"/>
  <c r="W26" i="120"/>
  <c r="W27" i="120"/>
  <c r="W28" i="120"/>
  <c r="Y16" i="120"/>
  <c r="Y17" i="120"/>
  <c r="Y18" i="120"/>
  <c r="Y19" i="120"/>
  <c r="Y20" i="120"/>
  <c r="Y21" i="120"/>
  <c r="Y22" i="120"/>
  <c r="Y23" i="120"/>
  <c r="Y24" i="120"/>
  <c r="Y25" i="120"/>
  <c r="Y26" i="120"/>
  <c r="Y27" i="120"/>
  <c r="Y28" i="120"/>
  <c r="AD23" i="120"/>
  <c r="AD25" i="120"/>
  <c r="AD16" i="120"/>
  <c r="AE16" i="120"/>
  <c r="AE17" i="120"/>
  <c r="AE18" i="120"/>
  <c r="AE19" i="120"/>
  <c r="AE20" i="120"/>
  <c r="AE21" i="120"/>
  <c r="AE22" i="120"/>
  <c r="AE23" i="120"/>
  <c r="AE24" i="120"/>
  <c r="AE25" i="120"/>
  <c r="AE26" i="120"/>
  <c r="AE27" i="120"/>
  <c r="AE28" i="120"/>
  <c r="AD19" i="120" l="1"/>
  <c r="AD24" i="120"/>
  <c r="AD20" i="120"/>
  <c r="AD21" i="120"/>
  <c r="AD28" i="120"/>
  <c r="AD17" i="120"/>
  <c r="AD27" i="120"/>
  <c r="AD26" i="120"/>
  <c r="AD22" i="120"/>
  <c r="AD18" i="120"/>
  <c r="AZ68" i="215" l="1"/>
  <c r="AY68" i="215"/>
  <c r="AX68" i="215"/>
  <c r="AW68" i="215"/>
  <c r="AV68" i="215"/>
  <c r="AU68" i="215"/>
  <c r="AT68" i="215"/>
  <c r="AS68" i="215"/>
  <c r="AR68" i="215"/>
  <c r="AQ68" i="215"/>
  <c r="AP68" i="215"/>
  <c r="AO68" i="215"/>
  <c r="AN68" i="215"/>
  <c r="AM68" i="215"/>
  <c r="AL68" i="215"/>
  <c r="AK68" i="215"/>
  <c r="AJ68" i="215"/>
  <c r="AI68" i="215"/>
  <c r="AH68" i="215"/>
  <c r="AG68" i="215"/>
  <c r="AF68" i="215"/>
  <c r="AE68" i="215"/>
  <c r="AD68" i="215"/>
  <c r="AC68" i="215"/>
  <c r="AB68" i="215"/>
  <c r="AZ64" i="215"/>
  <c r="AY64" i="215"/>
  <c r="AX64" i="215"/>
  <c r="AW64" i="215"/>
  <c r="AV64" i="215"/>
  <c r="AU64" i="215"/>
  <c r="AT64" i="215"/>
  <c r="AS64" i="215"/>
  <c r="AR64" i="215"/>
  <c r="AQ64" i="215"/>
  <c r="AP64" i="215"/>
  <c r="AO64" i="215"/>
  <c r="AN64" i="215"/>
  <c r="AM64" i="215"/>
  <c r="AL64" i="215"/>
  <c r="AK64" i="215"/>
  <c r="AJ64" i="215"/>
  <c r="AI64" i="215"/>
  <c r="AH64" i="215"/>
  <c r="AG64" i="215"/>
  <c r="AF64" i="215"/>
  <c r="AE64" i="215"/>
  <c r="AD64" i="215"/>
  <c r="AC64" i="215"/>
  <c r="AB64" i="215"/>
  <c r="AZ63" i="215"/>
  <c r="AY63" i="215"/>
  <c r="AX63" i="215"/>
  <c r="AW63" i="215"/>
  <c r="AV63" i="215"/>
  <c r="AU63" i="215"/>
  <c r="AT63" i="215"/>
  <c r="AS63" i="215"/>
  <c r="AR63" i="215"/>
  <c r="AQ63" i="215"/>
  <c r="AP63" i="215"/>
  <c r="AO63" i="215"/>
  <c r="AN63" i="215"/>
  <c r="AM63" i="215"/>
  <c r="AL63" i="215"/>
  <c r="AK63" i="215"/>
  <c r="AJ63" i="215"/>
  <c r="AI63" i="215"/>
  <c r="AH63" i="215"/>
  <c r="AG63" i="215"/>
  <c r="AF63" i="215"/>
  <c r="AE63" i="215"/>
  <c r="AD63" i="215"/>
  <c r="AC63" i="215"/>
  <c r="AB63" i="215"/>
  <c r="AZ62" i="215"/>
  <c r="AY62" i="215"/>
  <c r="AX62" i="215"/>
  <c r="AW62" i="215"/>
  <c r="AV62" i="215"/>
  <c r="AU62" i="215"/>
  <c r="AT62" i="215"/>
  <c r="AS62" i="215"/>
  <c r="AR62" i="215"/>
  <c r="AQ62" i="215"/>
  <c r="AP62" i="215"/>
  <c r="AO62" i="215"/>
  <c r="AN62" i="215"/>
  <c r="AM62" i="215"/>
  <c r="AL62" i="215"/>
  <c r="AK62" i="215"/>
  <c r="AJ62" i="215"/>
  <c r="AI62" i="215"/>
  <c r="AH62" i="215"/>
  <c r="AG62" i="215"/>
  <c r="AF62" i="215"/>
  <c r="AE62" i="215"/>
  <c r="AD62" i="215"/>
  <c r="AC62" i="215"/>
  <c r="AB62" i="215"/>
  <c r="AZ61" i="215"/>
  <c r="AY61" i="215"/>
  <c r="AX61" i="215"/>
  <c r="AW61" i="215"/>
  <c r="AV61" i="215"/>
  <c r="AU61" i="215"/>
  <c r="AT61" i="215"/>
  <c r="AS61" i="215"/>
  <c r="AR61" i="215"/>
  <c r="AQ61" i="215"/>
  <c r="AP61" i="215"/>
  <c r="AO61" i="215"/>
  <c r="AN61" i="215"/>
  <c r="AM61" i="215"/>
  <c r="AL61" i="215"/>
  <c r="AK61" i="215"/>
  <c r="AJ61" i="215"/>
  <c r="AI61" i="215"/>
  <c r="AH61" i="215"/>
  <c r="AG61" i="215"/>
  <c r="AF61" i="215"/>
  <c r="AE61" i="215"/>
  <c r="AD61" i="215"/>
  <c r="AC61" i="215"/>
  <c r="AB61" i="215"/>
  <c r="AZ60" i="215"/>
  <c r="AY60" i="215"/>
  <c r="AX60" i="215"/>
  <c r="AW60" i="215"/>
  <c r="AV60" i="215"/>
  <c r="AU60" i="215"/>
  <c r="AT60" i="215"/>
  <c r="AS60" i="215"/>
  <c r="AR60" i="215"/>
  <c r="AQ60" i="215"/>
  <c r="AP60" i="215"/>
  <c r="AO60" i="215"/>
  <c r="AN60" i="215"/>
  <c r="AM60" i="215"/>
  <c r="AL60" i="215"/>
  <c r="AK60" i="215"/>
  <c r="AJ60" i="215"/>
  <c r="AI60" i="215"/>
  <c r="AH60" i="215"/>
  <c r="AG60" i="215"/>
  <c r="AF60" i="215"/>
  <c r="AE60" i="215"/>
  <c r="AD60" i="215"/>
  <c r="AC60" i="215"/>
  <c r="AB60" i="215"/>
  <c r="AZ59" i="215"/>
  <c r="AY59" i="215"/>
  <c r="AX59" i="215"/>
  <c r="AW59" i="215"/>
  <c r="AV59" i="215"/>
  <c r="AU59" i="215"/>
  <c r="AT59" i="215"/>
  <c r="AS59" i="215"/>
  <c r="AR59" i="215"/>
  <c r="AQ59" i="215"/>
  <c r="AP59" i="215"/>
  <c r="AO59" i="215"/>
  <c r="AN59" i="215"/>
  <c r="AM59" i="215"/>
  <c r="AL59" i="215"/>
  <c r="AK59" i="215"/>
  <c r="AJ59" i="215"/>
  <c r="AI59" i="215"/>
  <c r="AH59" i="215"/>
  <c r="AG59" i="215"/>
  <c r="AF59" i="215"/>
  <c r="AE59" i="215"/>
  <c r="AD59" i="215"/>
  <c r="AC59" i="215"/>
  <c r="AB59" i="215"/>
  <c r="AZ58" i="215"/>
  <c r="AY58" i="215"/>
  <c r="AX58" i="215"/>
  <c r="AW58" i="215"/>
  <c r="AV58" i="215"/>
  <c r="AU58" i="215"/>
  <c r="AT58" i="215"/>
  <c r="AS58" i="215"/>
  <c r="AR58" i="215"/>
  <c r="AQ58" i="215"/>
  <c r="AP58" i="215"/>
  <c r="AO58" i="215"/>
  <c r="AN58" i="215"/>
  <c r="AM58" i="215"/>
  <c r="AL58" i="215"/>
  <c r="AK58" i="215"/>
  <c r="AJ58" i="215"/>
  <c r="AI58" i="215"/>
  <c r="AH58" i="215"/>
  <c r="AG58" i="215"/>
  <c r="AF58" i="215"/>
  <c r="AE58" i="215"/>
  <c r="AD58" i="215"/>
  <c r="AC58" i="215"/>
  <c r="AB58" i="215"/>
  <c r="AZ53" i="215"/>
  <c r="AY53" i="215"/>
  <c r="AX53" i="215"/>
  <c r="AW53" i="215"/>
  <c r="AV53" i="215"/>
  <c r="AU53" i="215"/>
  <c r="AT53" i="215"/>
  <c r="AS53" i="215"/>
  <c r="AR53" i="215"/>
  <c r="AQ53" i="215"/>
  <c r="AP53" i="215"/>
  <c r="AO53" i="215"/>
  <c r="AN53" i="215"/>
  <c r="AM53" i="215"/>
  <c r="AL53" i="215"/>
  <c r="AK53" i="215"/>
  <c r="AJ53" i="215"/>
  <c r="AI53" i="215"/>
  <c r="AH53" i="215"/>
  <c r="AG53" i="215"/>
  <c r="AF53" i="215"/>
  <c r="AE53" i="215"/>
  <c r="AD53" i="215"/>
  <c r="AC53" i="215"/>
  <c r="AB53" i="215"/>
  <c r="BA52" i="215"/>
  <c r="A52" i="215"/>
  <c r="BA51" i="215"/>
  <c r="A51" i="215"/>
  <c r="BA50" i="215"/>
  <c r="A50" i="215"/>
  <c r="BA49" i="215"/>
  <c r="A49" i="215"/>
  <c r="BA48" i="215"/>
  <c r="A48" i="215"/>
  <c r="BA47" i="215"/>
  <c r="A47" i="215"/>
  <c r="BA46" i="215"/>
  <c r="A46" i="215"/>
  <c r="BA45" i="215"/>
  <c r="A45" i="215"/>
  <c r="BA44" i="215"/>
  <c r="A44" i="215"/>
  <c r="BA41" i="215"/>
  <c r="A41" i="215"/>
  <c r="BA40" i="215"/>
  <c r="A40" i="215"/>
  <c r="BA39" i="215"/>
  <c r="A39" i="215"/>
  <c r="BA38" i="215"/>
  <c r="A38" i="215"/>
  <c r="BA37" i="215"/>
  <c r="A37" i="215"/>
  <c r="BA36" i="215"/>
  <c r="A36" i="215"/>
  <c r="BA35" i="215"/>
  <c r="A35" i="215"/>
  <c r="BA33" i="215"/>
  <c r="A33" i="215"/>
  <c r="BA32" i="215"/>
  <c r="A32" i="215"/>
  <c r="BA31" i="215"/>
  <c r="A31" i="215"/>
  <c r="BA30" i="215"/>
  <c r="A30" i="215"/>
  <c r="BA29" i="215"/>
  <c r="A29" i="215"/>
  <c r="BA28" i="215"/>
  <c r="A28" i="215"/>
  <c r="BA27" i="215"/>
  <c r="A27" i="215"/>
  <c r="BA26" i="215"/>
  <c r="A26" i="215"/>
  <c r="BA25" i="215"/>
  <c r="A25" i="215"/>
  <c r="BA24" i="215"/>
  <c r="A24" i="215"/>
  <c r="BA22" i="215"/>
  <c r="A22" i="215"/>
  <c r="BA21" i="215"/>
  <c r="A21" i="215"/>
  <c r="BA20" i="215"/>
  <c r="A20" i="215"/>
  <c r="BA19" i="215"/>
  <c r="A19" i="215"/>
  <c r="BA18" i="215"/>
  <c r="A18" i="215"/>
  <c r="BA17" i="215"/>
  <c r="A17" i="215"/>
  <c r="BA16" i="215"/>
  <c r="A16" i="215"/>
  <c r="BA15" i="215"/>
  <c r="A15" i="215"/>
  <c r="BA14" i="215"/>
  <c r="A14" i="215"/>
  <c r="BA13" i="215"/>
  <c r="A13" i="215"/>
  <c r="BA12" i="215"/>
  <c r="A12" i="215"/>
  <c r="BA11" i="215"/>
  <c r="A11" i="215"/>
  <c r="BA10" i="215"/>
  <c r="A10" i="215"/>
  <c r="BA9" i="215"/>
  <c r="A9" i="215"/>
  <c r="BA8" i="215"/>
  <c r="A8" i="215"/>
  <c r="BA7" i="215"/>
  <c r="A7" i="215"/>
  <c r="BA6" i="215"/>
  <c r="A6" i="215"/>
  <c r="BA5" i="215"/>
  <c r="A5" i="215"/>
  <c r="DB4" i="215"/>
  <c r="DA4" i="215"/>
  <c r="CZ4" i="215"/>
  <c r="CY4" i="215"/>
  <c r="CX4" i="215"/>
  <c r="CW4" i="215"/>
  <c r="CV4" i="215"/>
  <c r="CU4" i="215"/>
  <c r="CT4" i="215"/>
  <c r="CS4" i="215"/>
  <c r="CR4" i="215"/>
  <c r="CQ4" i="215"/>
  <c r="CP4" i="215"/>
  <c r="CO4" i="215"/>
  <c r="CN4" i="215"/>
  <c r="CM4" i="215"/>
  <c r="CL4" i="215"/>
  <c r="CK4" i="215"/>
  <c r="CJ4" i="215"/>
  <c r="CI4" i="215"/>
  <c r="CH4" i="215"/>
  <c r="CG4" i="215"/>
  <c r="CF4" i="215"/>
  <c r="CE4" i="215"/>
  <c r="CD4" i="215"/>
  <c r="Z4" i="215"/>
  <c r="AZ4" i="215" s="1"/>
  <c r="CA4" i="215" s="1"/>
  <c r="Y4" i="215"/>
  <c r="AY4" i="215" s="1"/>
  <c r="BZ4" i="215" s="1"/>
  <c r="X4" i="215"/>
  <c r="AX4" i="215" s="1"/>
  <c r="BY4" i="215" s="1"/>
  <c r="W4" i="215"/>
  <c r="AW4" i="215" s="1"/>
  <c r="BX4" i="215" s="1"/>
  <c r="V4" i="215"/>
  <c r="AV4" i="215" s="1"/>
  <c r="BW4" i="215" s="1"/>
  <c r="U4" i="215"/>
  <c r="AU4" i="215" s="1"/>
  <c r="BV4" i="215" s="1"/>
  <c r="T4" i="215"/>
  <c r="AT4" i="215" s="1"/>
  <c r="BU4" i="215" s="1"/>
  <c r="S4" i="215"/>
  <c r="AS4" i="215" s="1"/>
  <c r="BT4" i="215" s="1"/>
  <c r="R4" i="215"/>
  <c r="AR4" i="215" s="1"/>
  <c r="BS4" i="215" s="1"/>
  <c r="Q4" i="215"/>
  <c r="AQ4" i="215" s="1"/>
  <c r="BR4" i="215" s="1"/>
  <c r="P4" i="215"/>
  <c r="AP4" i="215" s="1"/>
  <c r="BQ4" i="215" s="1"/>
  <c r="O4" i="215"/>
  <c r="AO4" i="215" s="1"/>
  <c r="BP4" i="215" s="1"/>
  <c r="N4" i="215"/>
  <c r="AN4" i="215" s="1"/>
  <c r="BO4" i="215" s="1"/>
  <c r="M4" i="215"/>
  <c r="AM4" i="215" s="1"/>
  <c r="BN4" i="215" s="1"/>
  <c r="L4" i="215"/>
  <c r="AL4" i="215" s="1"/>
  <c r="BM4" i="215" s="1"/>
  <c r="K4" i="215"/>
  <c r="AK4" i="215" s="1"/>
  <c r="BL4" i="215" s="1"/>
  <c r="J4" i="215"/>
  <c r="AJ4" i="215" s="1"/>
  <c r="BK4" i="215" s="1"/>
  <c r="I4" i="215"/>
  <c r="AI4" i="215" s="1"/>
  <c r="BJ4" i="215" s="1"/>
  <c r="H4" i="215"/>
  <c r="AH4" i="215" s="1"/>
  <c r="BI4" i="215" s="1"/>
  <c r="G4" i="215"/>
  <c r="AG4" i="215" s="1"/>
  <c r="BH4" i="215" s="1"/>
  <c r="F4" i="215"/>
  <c r="AF4" i="215" s="1"/>
  <c r="BG4" i="215" s="1"/>
  <c r="E4" i="215"/>
  <c r="AE4" i="215" s="1"/>
  <c r="BF4" i="215" s="1"/>
  <c r="D4" i="215"/>
  <c r="AD4" i="215" s="1"/>
  <c r="BE4" i="215" s="1"/>
  <c r="C4" i="215"/>
  <c r="AC4" i="215" s="1"/>
  <c r="BD4" i="215" s="1"/>
  <c r="B4" i="215"/>
  <c r="AB4" i="215" s="1"/>
  <c r="BC4" i="215" s="1"/>
  <c r="AZ68" i="214"/>
  <c r="AY68" i="214"/>
  <c r="AX68" i="214"/>
  <c r="AW68" i="214"/>
  <c r="AV68" i="214"/>
  <c r="AU68" i="214"/>
  <c r="AT68" i="214"/>
  <c r="AS68" i="214"/>
  <c r="AR68" i="214"/>
  <c r="AQ68" i="214"/>
  <c r="AP68" i="214"/>
  <c r="AO68" i="214"/>
  <c r="AN68" i="214"/>
  <c r="AM68" i="214"/>
  <c r="AL68" i="214"/>
  <c r="AK68" i="214"/>
  <c r="AJ68" i="214"/>
  <c r="AI68" i="214"/>
  <c r="AH68" i="214"/>
  <c r="AG68" i="214"/>
  <c r="AF68" i="214"/>
  <c r="AE68" i="214"/>
  <c r="AD68" i="214"/>
  <c r="AC68" i="214"/>
  <c r="AB68" i="214"/>
  <c r="AZ64" i="214"/>
  <c r="AY64" i="214"/>
  <c r="AX64" i="214"/>
  <c r="AW64" i="214"/>
  <c r="AV64" i="214"/>
  <c r="AU64" i="214"/>
  <c r="AT64" i="214"/>
  <c r="AS64" i="214"/>
  <c r="AR64" i="214"/>
  <c r="AQ64" i="214"/>
  <c r="AP64" i="214"/>
  <c r="AO64" i="214"/>
  <c r="AN64" i="214"/>
  <c r="AM64" i="214"/>
  <c r="AL64" i="214"/>
  <c r="AK64" i="214"/>
  <c r="AJ64" i="214"/>
  <c r="AI64" i="214"/>
  <c r="AH64" i="214"/>
  <c r="AG64" i="214"/>
  <c r="AF64" i="214"/>
  <c r="AE64" i="214"/>
  <c r="AD64" i="214"/>
  <c r="AC64" i="214"/>
  <c r="AB64" i="214"/>
  <c r="AZ63" i="214"/>
  <c r="AY63" i="214"/>
  <c r="AX63" i="214"/>
  <c r="AW63" i="214"/>
  <c r="AV63" i="214"/>
  <c r="AU63" i="214"/>
  <c r="AT63" i="214"/>
  <c r="AS63" i="214"/>
  <c r="AR63" i="214"/>
  <c r="AQ63" i="214"/>
  <c r="AP63" i="214"/>
  <c r="AO63" i="214"/>
  <c r="AN63" i="214"/>
  <c r="AM63" i="214"/>
  <c r="AL63" i="214"/>
  <c r="AK63" i="214"/>
  <c r="AJ63" i="214"/>
  <c r="AI63" i="214"/>
  <c r="AH63" i="214"/>
  <c r="AG63" i="214"/>
  <c r="AF63" i="214"/>
  <c r="AE63" i="214"/>
  <c r="AD63" i="214"/>
  <c r="AC63" i="214"/>
  <c r="AB63" i="214"/>
  <c r="AZ62" i="214"/>
  <c r="AY62" i="214"/>
  <c r="AX62" i="214"/>
  <c r="AW62" i="214"/>
  <c r="AV62" i="214"/>
  <c r="AU62" i="214"/>
  <c r="AT62" i="214"/>
  <c r="AS62" i="214"/>
  <c r="AR62" i="214"/>
  <c r="AQ62" i="214"/>
  <c r="AP62" i="214"/>
  <c r="AO62" i="214"/>
  <c r="AN62" i="214"/>
  <c r="AM62" i="214"/>
  <c r="AL62" i="214"/>
  <c r="AK62" i="214"/>
  <c r="AJ62" i="214"/>
  <c r="AI62" i="214"/>
  <c r="AH62" i="214"/>
  <c r="AG62" i="214"/>
  <c r="AF62" i="214"/>
  <c r="AE62" i="214"/>
  <c r="AD62" i="214"/>
  <c r="AC62" i="214"/>
  <c r="AB62" i="214"/>
  <c r="AZ61" i="214"/>
  <c r="AY61" i="214"/>
  <c r="AX61" i="214"/>
  <c r="AW61" i="214"/>
  <c r="AV61" i="214"/>
  <c r="AU61" i="214"/>
  <c r="AT61" i="214"/>
  <c r="AS61" i="214"/>
  <c r="AR61" i="214"/>
  <c r="AQ61" i="214"/>
  <c r="AP61" i="214"/>
  <c r="AO61" i="214"/>
  <c r="AN61" i="214"/>
  <c r="AM61" i="214"/>
  <c r="AL61" i="214"/>
  <c r="AK61" i="214"/>
  <c r="AJ61" i="214"/>
  <c r="AI61" i="214"/>
  <c r="AH61" i="214"/>
  <c r="AG61" i="214"/>
  <c r="AF61" i="214"/>
  <c r="AE61" i="214"/>
  <c r="AD61" i="214"/>
  <c r="AC61" i="214"/>
  <c r="AB61" i="214"/>
  <c r="AZ60" i="214"/>
  <c r="AY60" i="214"/>
  <c r="AX60" i="214"/>
  <c r="AW60" i="214"/>
  <c r="AV60" i="214"/>
  <c r="AU60" i="214"/>
  <c r="AT60" i="214"/>
  <c r="AS60" i="214"/>
  <c r="AR60" i="214"/>
  <c r="AQ60" i="214"/>
  <c r="AP60" i="214"/>
  <c r="AO60" i="214"/>
  <c r="AN60" i="214"/>
  <c r="AM60" i="214"/>
  <c r="AL60" i="214"/>
  <c r="AK60" i="214"/>
  <c r="AJ60" i="214"/>
  <c r="AI60" i="214"/>
  <c r="AH60" i="214"/>
  <c r="AG60" i="214"/>
  <c r="AF60" i="214"/>
  <c r="AE60" i="214"/>
  <c r="AD60" i="214"/>
  <c r="AC60" i="214"/>
  <c r="AB60" i="214"/>
  <c r="AZ59" i="214"/>
  <c r="AY59" i="214"/>
  <c r="AX59" i="214"/>
  <c r="AW59" i="214"/>
  <c r="AV59" i="214"/>
  <c r="AU59" i="214"/>
  <c r="AT59" i="214"/>
  <c r="AS59" i="214"/>
  <c r="AR59" i="214"/>
  <c r="AQ59" i="214"/>
  <c r="AP59" i="214"/>
  <c r="AO59" i="214"/>
  <c r="AN59" i="214"/>
  <c r="AM59" i="214"/>
  <c r="AL59" i="214"/>
  <c r="AK59" i="214"/>
  <c r="AJ59" i="214"/>
  <c r="AI59" i="214"/>
  <c r="AH59" i="214"/>
  <c r="AG59" i="214"/>
  <c r="AF59" i="214"/>
  <c r="AE59" i="214"/>
  <c r="AD59" i="214"/>
  <c r="AC59" i="214"/>
  <c r="AB59" i="214"/>
  <c r="AZ58" i="214"/>
  <c r="AY58" i="214"/>
  <c r="AX58" i="214"/>
  <c r="AW58" i="214"/>
  <c r="AV58" i="214"/>
  <c r="AU58" i="214"/>
  <c r="AT58" i="214"/>
  <c r="AS58" i="214"/>
  <c r="AR58" i="214"/>
  <c r="AQ58" i="214"/>
  <c r="AP58" i="214"/>
  <c r="AO58" i="214"/>
  <c r="AN58" i="214"/>
  <c r="AM58" i="214"/>
  <c r="AL58" i="214"/>
  <c r="AK58" i="214"/>
  <c r="AJ58" i="214"/>
  <c r="AI58" i="214"/>
  <c r="AH58" i="214"/>
  <c r="AG58" i="214"/>
  <c r="AF58" i="214"/>
  <c r="AE58" i="214"/>
  <c r="AD58" i="214"/>
  <c r="AC58" i="214"/>
  <c r="AB58" i="214"/>
  <c r="AZ53" i="214"/>
  <c r="AY53" i="214"/>
  <c r="AX53" i="214"/>
  <c r="AW53" i="214"/>
  <c r="AV53" i="214"/>
  <c r="AU53" i="214"/>
  <c r="AT53" i="214"/>
  <c r="AS53" i="214"/>
  <c r="AR53" i="214"/>
  <c r="AQ53" i="214"/>
  <c r="AP53" i="214"/>
  <c r="AO53" i="214"/>
  <c r="AN53" i="214"/>
  <c r="AM53" i="214"/>
  <c r="AL53" i="214"/>
  <c r="AK53" i="214"/>
  <c r="AJ53" i="214"/>
  <c r="AI53" i="214"/>
  <c r="AH53" i="214"/>
  <c r="AG53" i="214"/>
  <c r="AF53" i="214"/>
  <c r="AE53" i="214"/>
  <c r="AD53" i="214"/>
  <c r="AC53" i="214"/>
  <c r="AB53" i="214"/>
  <c r="BA52" i="214"/>
  <c r="A52" i="214"/>
  <c r="BA51" i="214"/>
  <c r="A51" i="214"/>
  <c r="BA50" i="214"/>
  <c r="A50" i="214"/>
  <c r="BA49" i="214"/>
  <c r="A49" i="214"/>
  <c r="BA48" i="214"/>
  <c r="A48" i="214"/>
  <c r="BA47" i="214"/>
  <c r="A47" i="214"/>
  <c r="BA46" i="214"/>
  <c r="A46" i="214"/>
  <c r="BA45" i="214"/>
  <c r="A45" i="214"/>
  <c r="BA44" i="214"/>
  <c r="A44" i="214"/>
  <c r="BA41" i="214"/>
  <c r="A41" i="214"/>
  <c r="BA40" i="214"/>
  <c r="A40" i="214"/>
  <c r="BA39" i="214"/>
  <c r="A39" i="214"/>
  <c r="BA38" i="214"/>
  <c r="A38" i="214"/>
  <c r="BA37" i="214"/>
  <c r="A37" i="214"/>
  <c r="BA36" i="214"/>
  <c r="A36" i="214"/>
  <c r="BA35" i="214"/>
  <c r="A35" i="214"/>
  <c r="BA33" i="214"/>
  <c r="A33" i="214"/>
  <c r="BA32" i="214"/>
  <c r="A32" i="214"/>
  <c r="BA31" i="214"/>
  <c r="A31" i="214"/>
  <c r="BA30" i="214"/>
  <c r="A30" i="214"/>
  <c r="BA29" i="214"/>
  <c r="A29" i="214"/>
  <c r="BA28" i="214"/>
  <c r="A28" i="214"/>
  <c r="BA27" i="214"/>
  <c r="A27" i="214"/>
  <c r="BA26" i="214"/>
  <c r="A26" i="214"/>
  <c r="BA25" i="214"/>
  <c r="A25" i="214"/>
  <c r="BA24" i="214"/>
  <c r="A24" i="214"/>
  <c r="BA22" i="214"/>
  <c r="A22" i="214"/>
  <c r="BA21" i="214"/>
  <c r="A21" i="214"/>
  <c r="BA20" i="214"/>
  <c r="A20" i="214"/>
  <c r="BA19" i="214"/>
  <c r="A19" i="214"/>
  <c r="BA18" i="214"/>
  <c r="A18" i="214"/>
  <c r="BA17" i="214"/>
  <c r="A17" i="214"/>
  <c r="BA16" i="214"/>
  <c r="A16" i="214"/>
  <c r="BA15" i="214"/>
  <c r="A15" i="214"/>
  <c r="BA14" i="214"/>
  <c r="A14" i="214"/>
  <c r="BA13" i="214"/>
  <c r="A13" i="214"/>
  <c r="BA12" i="214"/>
  <c r="A12" i="214"/>
  <c r="BA11" i="214"/>
  <c r="A11" i="214"/>
  <c r="BA10" i="214"/>
  <c r="A10" i="214"/>
  <c r="BA9" i="214"/>
  <c r="A9" i="214"/>
  <c r="BA8" i="214"/>
  <c r="A8" i="214"/>
  <c r="BA7" i="214"/>
  <c r="A7" i="214"/>
  <c r="BA6" i="214"/>
  <c r="A6" i="214"/>
  <c r="BA5" i="214"/>
  <c r="A5" i="214"/>
  <c r="DB4" i="214"/>
  <c r="DA4" i="214"/>
  <c r="CZ4" i="214"/>
  <c r="CY4" i="214"/>
  <c r="CX4" i="214"/>
  <c r="CW4" i="214"/>
  <c r="CV4" i="214"/>
  <c r="CU4" i="214"/>
  <c r="CT4" i="214"/>
  <c r="CS4" i="214"/>
  <c r="CR4" i="214"/>
  <c r="CQ4" i="214"/>
  <c r="CP4" i="214"/>
  <c r="CO4" i="214"/>
  <c r="CN4" i="214"/>
  <c r="CM4" i="214"/>
  <c r="CL4" i="214"/>
  <c r="CK4" i="214"/>
  <c r="CJ4" i="214"/>
  <c r="CI4" i="214"/>
  <c r="CH4" i="214"/>
  <c r="CG4" i="214"/>
  <c r="CF4" i="214"/>
  <c r="CE4" i="214"/>
  <c r="CD4" i="214"/>
  <c r="Z4" i="214"/>
  <c r="AZ4" i="214" s="1"/>
  <c r="CA4" i="214" s="1"/>
  <c r="Y4" i="214"/>
  <c r="AY4" i="214" s="1"/>
  <c r="BZ4" i="214" s="1"/>
  <c r="X4" i="214"/>
  <c r="AX4" i="214" s="1"/>
  <c r="BY4" i="214" s="1"/>
  <c r="W4" i="214"/>
  <c r="AW4" i="214" s="1"/>
  <c r="BX4" i="214" s="1"/>
  <c r="V4" i="214"/>
  <c r="AV4" i="214" s="1"/>
  <c r="BW4" i="214" s="1"/>
  <c r="U4" i="214"/>
  <c r="AU4" i="214" s="1"/>
  <c r="BV4" i="214" s="1"/>
  <c r="T4" i="214"/>
  <c r="AT4" i="214" s="1"/>
  <c r="BU4" i="214" s="1"/>
  <c r="S4" i="214"/>
  <c r="AS4" i="214" s="1"/>
  <c r="BT4" i="214" s="1"/>
  <c r="R4" i="214"/>
  <c r="AR4" i="214" s="1"/>
  <c r="BS4" i="214" s="1"/>
  <c r="Q4" i="214"/>
  <c r="AQ4" i="214" s="1"/>
  <c r="BR4" i="214" s="1"/>
  <c r="P4" i="214"/>
  <c r="AP4" i="214" s="1"/>
  <c r="BQ4" i="214" s="1"/>
  <c r="O4" i="214"/>
  <c r="AO4" i="214" s="1"/>
  <c r="BP4" i="214" s="1"/>
  <c r="N4" i="214"/>
  <c r="AN4" i="214" s="1"/>
  <c r="BO4" i="214" s="1"/>
  <c r="M4" i="214"/>
  <c r="AM4" i="214" s="1"/>
  <c r="BN4" i="214" s="1"/>
  <c r="L4" i="214"/>
  <c r="AL4" i="214" s="1"/>
  <c r="BM4" i="214" s="1"/>
  <c r="K4" i="214"/>
  <c r="AK4" i="214" s="1"/>
  <c r="BL4" i="214" s="1"/>
  <c r="J4" i="214"/>
  <c r="AJ4" i="214" s="1"/>
  <c r="BK4" i="214" s="1"/>
  <c r="I4" i="214"/>
  <c r="AI4" i="214" s="1"/>
  <c r="BJ4" i="214" s="1"/>
  <c r="H4" i="214"/>
  <c r="AH4" i="214" s="1"/>
  <c r="BI4" i="214" s="1"/>
  <c r="G4" i="214"/>
  <c r="AG4" i="214" s="1"/>
  <c r="BH4" i="214" s="1"/>
  <c r="F4" i="214"/>
  <c r="AF4" i="214" s="1"/>
  <c r="BG4" i="214" s="1"/>
  <c r="E4" i="214"/>
  <c r="AE4" i="214" s="1"/>
  <c r="BF4" i="214" s="1"/>
  <c r="D4" i="214"/>
  <c r="AD4" i="214" s="1"/>
  <c r="BE4" i="214" s="1"/>
  <c r="C4" i="214"/>
  <c r="AC4" i="214" s="1"/>
  <c r="BD4" i="214" s="1"/>
  <c r="B4" i="214"/>
  <c r="AB4" i="214" s="1"/>
  <c r="BC4" i="214" s="1"/>
  <c r="AZ68" i="213"/>
  <c r="AY68" i="213"/>
  <c r="AX68" i="213"/>
  <c r="AW68" i="213"/>
  <c r="AV68" i="213"/>
  <c r="AU68" i="213"/>
  <c r="AT68" i="213"/>
  <c r="AS68" i="213"/>
  <c r="AR68" i="213"/>
  <c r="AQ68" i="213"/>
  <c r="AP68" i="213"/>
  <c r="AO68" i="213"/>
  <c r="AN68" i="213"/>
  <c r="AM68" i="213"/>
  <c r="AL68" i="213"/>
  <c r="AK68" i="213"/>
  <c r="AJ68" i="213"/>
  <c r="AI68" i="213"/>
  <c r="AH68" i="213"/>
  <c r="AG68" i="213"/>
  <c r="AF68" i="213"/>
  <c r="AE68" i="213"/>
  <c r="AD68" i="213"/>
  <c r="AC68" i="213"/>
  <c r="AB68" i="213"/>
  <c r="AZ64" i="213"/>
  <c r="AY64" i="213"/>
  <c r="AX64" i="213"/>
  <c r="AW64" i="213"/>
  <c r="AV64" i="213"/>
  <c r="AU64" i="213"/>
  <c r="AT64" i="213"/>
  <c r="AS64" i="213"/>
  <c r="AR64" i="213"/>
  <c r="AQ64" i="213"/>
  <c r="AP64" i="213"/>
  <c r="AO64" i="213"/>
  <c r="AN64" i="213"/>
  <c r="AM64" i="213"/>
  <c r="AL64" i="213"/>
  <c r="AK64" i="213"/>
  <c r="AJ64" i="213"/>
  <c r="AI64" i="213"/>
  <c r="AH64" i="213"/>
  <c r="AG64" i="213"/>
  <c r="AF64" i="213"/>
  <c r="AE64" i="213"/>
  <c r="AD64" i="213"/>
  <c r="AC64" i="213"/>
  <c r="AB64" i="213"/>
  <c r="AZ63" i="213"/>
  <c r="AY63" i="213"/>
  <c r="AX63" i="213"/>
  <c r="AW63" i="213"/>
  <c r="AV63" i="213"/>
  <c r="AU63" i="213"/>
  <c r="AT63" i="213"/>
  <c r="AS63" i="213"/>
  <c r="AR63" i="213"/>
  <c r="AQ63" i="213"/>
  <c r="AP63" i="213"/>
  <c r="AO63" i="213"/>
  <c r="AN63" i="213"/>
  <c r="AM63" i="213"/>
  <c r="AL63" i="213"/>
  <c r="AK63" i="213"/>
  <c r="AJ63" i="213"/>
  <c r="AI63" i="213"/>
  <c r="AH63" i="213"/>
  <c r="AG63" i="213"/>
  <c r="AF63" i="213"/>
  <c r="AE63" i="213"/>
  <c r="AD63" i="213"/>
  <c r="AC63" i="213"/>
  <c r="AB63" i="213"/>
  <c r="AZ62" i="213"/>
  <c r="AY62" i="213"/>
  <c r="AX62" i="213"/>
  <c r="AW62" i="213"/>
  <c r="AV62" i="213"/>
  <c r="AU62" i="213"/>
  <c r="AT62" i="213"/>
  <c r="AS62" i="213"/>
  <c r="AR62" i="213"/>
  <c r="AQ62" i="213"/>
  <c r="AP62" i="213"/>
  <c r="AO62" i="213"/>
  <c r="AN62" i="213"/>
  <c r="AM62" i="213"/>
  <c r="AL62" i="213"/>
  <c r="AK62" i="213"/>
  <c r="AJ62" i="213"/>
  <c r="AI62" i="213"/>
  <c r="AH62" i="213"/>
  <c r="AG62" i="213"/>
  <c r="AF62" i="213"/>
  <c r="AE62" i="213"/>
  <c r="AD62" i="213"/>
  <c r="AC62" i="213"/>
  <c r="AB62" i="213"/>
  <c r="AZ61" i="213"/>
  <c r="AY61" i="213"/>
  <c r="AX61" i="213"/>
  <c r="AW61" i="213"/>
  <c r="AV61" i="213"/>
  <c r="AU61" i="213"/>
  <c r="AT61" i="213"/>
  <c r="AS61" i="213"/>
  <c r="AR61" i="213"/>
  <c r="AQ61" i="213"/>
  <c r="AP61" i="213"/>
  <c r="AO61" i="213"/>
  <c r="AN61" i="213"/>
  <c r="AM61" i="213"/>
  <c r="AL61" i="213"/>
  <c r="AK61" i="213"/>
  <c r="AJ61" i="213"/>
  <c r="AI61" i="213"/>
  <c r="AH61" i="213"/>
  <c r="AG61" i="213"/>
  <c r="AF61" i="213"/>
  <c r="AE61" i="213"/>
  <c r="AD61" i="213"/>
  <c r="AC61" i="213"/>
  <c r="AB61" i="213"/>
  <c r="AZ60" i="213"/>
  <c r="AY60" i="213"/>
  <c r="AX60" i="213"/>
  <c r="AW60" i="213"/>
  <c r="AV60" i="213"/>
  <c r="AU60" i="213"/>
  <c r="AT60" i="213"/>
  <c r="AS60" i="213"/>
  <c r="AR60" i="213"/>
  <c r="AQ60" i="213"/>
  <c r="AP60" i="213"/>
  <c r="AO60" i="213"/>
  <c r="AN60" i="213"/>
  <c r="AM60" i="213"/>
  <c r="AL60" i="213"/>
  <c r="AK60" i="213"/>
  <c r="AJ60" i="213"/>
  <c r="AI60" i="213"/>
  <c r="AH60" i="213"/>
  <c r="AG60" i="213"/>
  <c r="AF60" i="213"/>
  <c r="AE60" i="213"/>
  <c r="AD60" i="213"/>
  <c r="AC60" i="213"/>
  <c r="AB60" i="213"/>
  <c r="AZ59" i="213"/>
  <c r="AY59" i="213"/>
  <c r="AX59" i="213"/>
  <c r="AW59" i="213"/>
  <c r="AV59" i="213"/>
  <c r="AU59" i="213"/>
  <c r="AT59" i="213"/>
  <c r="AS59" i="213"/>
  <c r="AR59" i="213"/>
  <c r="AQ59" i="213"/>
  <c r="AP59" i="213"/>
  <c r="AO59" i="213"/>
  <c r="AN59" i="213"/>
  <c r="AM59" i="213"/>
  <c r="AL59" i="213"/>
  <c r="AK59" i="213"/>
  <c r="AJ59" i="213"/>
  <c r="AI59" i="213"/>
  <c r="AH59" i="213"/>
  <c r="AG59" i="213"/>
  <c r="AF59" i="213"/>
  <c r="AE59" i="213"/>
  <c r="AD59" i="213"/>
  <c r="AC59" i="213"/>
  <c r="AB59" i="213"/>
  <c r="AZ58" i="213"/>
  <c r="AY58" i="213"/>
  <c r="AX58" i="213"/>
  <c r="AW58" i="213"/>
  <c r="AV58" i="213"/>
  <c r="AU58" i="213"/>
  <c r="AT58" i="213"/>
  <c r="AS58" i="213"/>
  <c r="AR58" i="213"/>
  <c r="AQ58" i="213"/>
  <c r="AP58" i="213"/>
  <c r="AO58" i="213"/>
  <c r="AN58" i="213"/>
  <c r="AM58" i="213"/>
  <c r="AL58" i="213"/>
  <c r="AK58" i="213"/>
  <c r="AJ58" i="213"/>
  <c r="AI58" i="213"/>
  <c r="AH58" i="213"/>
  <c r="AG58" i="213"/>
  <c r="AF58" i="213"/>
  <c r="AE58" i="213"/>
  <c r="AD58" i="213"/>
  <c r="AC58" i="213"/>
  <c r="AB58" i="213"/>
  <c r="AZ53" i="213"/>
  <c r="AY53" i="213"/>
  <c r="AX53" i="213"/>
  <c r="AW53" i="213"/>
  <c r="AV53" i="213"/>
  <c r="AU53" i="213"/>
  <c r="AT53" i="213"/>
  <c r="AS53" i="213"/>
  <c r="AR53" i="213"/>
  <c r="AQ53" i="213"/>
  <c r="AP53" i="213"/>
  <c r="AO53" i="213"/>
  <c r="AN53" i="213"/>
  <c r="AM53" i="213"/>
  <c r="AL53" i="213"/>
  <c r="AK53" i="213"/>
  <c r="AJ53" i="213"/>
  <c r="AI53" i="213"/>
  <c r="AH53" i="213"/>
  <c r="AG53" i="213"/>
  <c r="AF53" i="213"/>
  <c r="AE53" i="213"/>
  <c r="AD53" i="213"/>
  <c r="AC53" i="213"/>
  <c r="AB53" i="213"/>
  <c r="BA52" i="213"/>
  <c r="A52" i="213"/>
  <c r="BA51" i="213"/>
  <c r="A51" i="213"/>
  <c r="BA50" i="213"/>
  <c r="A50" i="213"/>
  <c r="BA49" i="213"/>
  <c r="A49" i="213"/>
  <c r="BA48" i="213"/>
  <c r="A48" i="213"/>
  <c r="BA47" i="213"/>
  <c r="A47" i="213"/>
  <c r="BA46" i="213"/>
  <c r="A46" i="213"/>
  <c r="BA45" i="213"/>
  <c r="A45" i="213"/>
  <c r="BA44" i="213"/>
  <c r="A44" i="213"/>
  <c r="BA41" i="213"/>
  <c r="A41" i="213"/>
  <c r="BA40" i="213"/>
  <c r="A40" i="213"/>
  <c r="BA39" i="213"/>
  <c r="A39" i="213"/>
  <c r="BA38" i="213"/>
  <c r="A38" i="213"/>
  <c r="BA37" i="213"/>
  <c r="A37" i="213"/>
  <c r="BA36" i="213"/>
  <c r="A36" i="213"/>
  <c r="BA35" i="213"/>
  <c r="A35" i="213"/>
  <c r="BA33" i="213"/>
  <c r="A33" i="213"/>
  <c r="BA32" i="213"/>
  <c r="A32" i="213"/>
  <c r="BA31" i="213"/>
  <c r="A31" i="213"/>
  <c r="BA30" i="213"/>
  <c r="A30" i="213"/>
  <c r="BA29" i="213"/>
  <c r="A29" i="213"/>
  <c r="BA28" i="213"/>
  <c r="A28" i="213"/>
  <c r="BA27" i="213"/>
  <c r="A27" i="213"/>
  <c r="BA26" i="213"/>
  <c r="A26" i="213"/>
  <c r="BA25" i="213"/>
  <c r="A25" i="213"/>
  <c r="BA24" i="213"/>
  <c r="A24" i="213"/>
  <c r="BA22" i="213"/>
  <c r="A22" i="213"/>
  <c r="BA21" i="213"/>
  <c r="A21" i="213"/>
  <c r="BA20" i="213"/>
  <c r="A20" i="213"/>
  <c r="BA19" i="213"/>
  <c r="A19" i="213"/>
  <c r="BA18" i="213"/>
  <c r="A18" i="213"/>
  <c r="BA17" i="213"/>
  <c r="A17" i="213"/>
  <c r="BA16" i="213"/>
  <c r="A16" i="213"/>
  <c r="BA15" i="213"/>
  <c r="A15" i="213"/>
  <c r="BA14" i="213"/>
  <c r="A14" i="213"/>
  <c r="BA13" i="213"/>
  <c r="A13" i="213"/>
  <c r="BA12" i="213"/>
  <c r="A12" i="213"/>
  <c r="BA11" i="213"/>
  <c r="A11" i="213"/>
  <c r="BA10" i="213"/>
  <c r="A10" i="213"/>
  <c r="BA9" i="213"/>
  <c r="A9" i="213"/>
  <c r="BA8" i="213"/>
  <c r="A8" i="213"/>
  <c r="BA7" i="213"/>
  <c r="A7" i="213"/>
  <c r="BA6" i="213"/>
  <c r="A6" i="213"/>
  <c r="BA5" i="213"/>
  <c r="A5" i="213"/>
  <c r="DB4" i="213"/>
  <c r="DA4" i="213"/>
  <c r="CZ4" i="213"/>
  <c r="CY4" i="213"/>
  <c r="CX4" i="213"/>
  <c r="CW4" i="213"/>
  <c r="CV4" i="213"/>
  <c r="CU4" i="213"/>
  <c r="CT4" i="213"/>
  <c r="CS4" i="213"/>
  <c r="CR4" i="213"/>
  <c r="CQ4" i="213"/>
  <c r="CP4" i="213"/>
  <c r="CO4" i="213"/>
  <c r="CN4" i="213"/>
  <c r="CM4" i="213"/>
  <c r="CL4" i="213"/>
  <c r="CK4" i="213"/>
  <c r="CJ4" i="213"/>
  <c r="CI4" i="213"/>
  <c r="CH4" i="213"/>
  <c r="CG4" i="213"/>
  <c r="CF4" i="213"/>
  <c r="CE4" i="213"/>
  <c r="CD4" i="213"/>
  <c r="Z4" i="213"/>
  <c r="AZ4" i="213" s="1"/>
  <c r="CA4" i="213" s="1"/>
  <c r="Y4" i="213"/>
  <c r="AY4" i="213" s="1"/>
  <c r="BZ4" i="213" s="1"/>
  <c r="X4" i="213"/>
  <c r="AX4" i="213" s="1"/>
  <c r="BY4" i="213" s="1"/>
  <c r="W4" i="213"/>
  <c r="AW4" i="213" s="1"/>
  <c r="BX4" i="213" s="1"/>
  <c r="V4" i="213"/>
  <c r="AV4" i="213" s="1"/>
  <c r="BW4" i="213" s="1"/>
  <c r="U4" i="213"/>
  <c r="AU4" i="213" s="1"/>
  <c r="BV4" i="213" s="1"/>
  <c r="T4" i="213"/>
  <c r="AT4" i="213" s="1"/>
  <c r="BU4" i="213" s="1"/>
  <c r="S4" i="213"/>
  <c r="AS4" i="213" s="1"/>
  <c r="BT4" i="213" s="1"/>
  <c r="R4" i="213"/>
  <c r="AR4" i="213" s="1"/>
  <c r="BS4" i="213" s="1"/>
  <c r="Q4" i="213"/>
  <c r="AQ4" i="213" s="1"/>
  <c r="BR4" i="213" s="1"/>
  <c r="P4" i="213"/>
  <c r="AP4" i="213" s="1"/>
  <c r="BQ4" i="213" s="1"/>
  <c r="O4" i="213"/>
  <c r="AO4" i="213" s="1"/>
  <c r="BP4" i="213" s="1"/>
  <c r="N4" i="213"/>
  <c r="AN4" i="213" s="1"/>
  <c r="BO4" i="213" s="1"/>
  <c r="M4" i="213"/>
  <c r="AM4" i="213" s="1"/>
  <c r="BN4" i="213" s="1"/>
  <c r="L4" i="213"/>
  <c r="AL4" i="213" s="1"/>
  <c r="BM4" i="213" s="1"/>
  <c r="K4" i="213"/>
  <c r="AK4" i="213" s="1"/>
  <c r="BL4" i="213" s="1"/>
  <c r="J4" i="213"/>
  <c r="AJ4" i="213" s="1"/>
  <c r="BK4" i="213" s="1"/>
  <c r="I4" i="213"/>
  <c r="AI4" i="213" s="1"/>
  <c r="BJ4" i="213" s="1"/>
  <c r="H4" i="213"/>
  <c r="AH4" i="213" s="1"/>
  <c r="BI4" i="213" s="1"/>
  <c r="G4" i="213"/>
  <c r="AG4" i="213" s="1"/>
  <c r="BH4" i="213" s="1"/>
  <c r="F4" i="213"/>
  <c r="AF4" i="213" s="1"/>
  <c r="BG4" i="213" s="1"/>
  <c r="E4" i="213"/>
  <c r="AE4" i="213" s="1"/>
  <c r="BF4" i="213" s="1"/>
  <c r="D4" i="213"/>
  <c r="AD4" i="213" s="1"/>
  <c r="BE4" i="213" s="1"/>
  <c r="C4" i="213"/>
  <c r="AC4" i="213" s="1"/>
  <c r="BD4" i="213" s="1"/>
  <c r="B4" i="213"/>
  <c r="AB4" i="213" s="1"/>
  <c r="BC4" i="213" s="1"/>
  <c r="O28" i="115"/>
  <c r="P28" i="115" s="1"/>
  <c r="O29" i="115"/>
  <c r="P29" i="115" s="1"/>
  <c r="O30" i="115"/>
  <c r="P30" i="115" s="1"/>
  <c r="Q28" i="115"/>
  <c r="U28" i="115" s="1"/>
  <c r="W28" i="115" s="1"/>
  <c r="X28" i="115" s="1"/>
  <c r="Q29" i="115"/>
  <c r="U29" i="115" s="1"/>
  <c r="W29" i="115" s="1"/>
  <c r="X29" i="115" s="1"/>
  <c r="Q30" i="115"/>
  <c r="U30" i="115" s="1"/>
  <c r="V30" i="115" s="1"/>
  <c r="S28" i="115"/>
  <c r="S29" i="115"/>
  <c r="S30" i="115"/>
  <c r="T28" i="115"/>
  <c r="T29" i="115"/>
  <c r="T30" i="115"/>
  <c r="AC28" i="115"/>
  <c r="AD28" i="115" s="1"/>
  <c r="AC29" i="115"/>
  <c r="AD29" i="115" s="1"/>
  <c r="AC30" i="115"/>
  <c r="AD30" i="115" s="1"/>
  <c r="O23" i="115"/>
  <c r="P23" i="115" s="1"/>
  <c r="O24" i="115"/>
  <c r="P24" i="115" s="1"/>
  <c r="O25" i="115"/>
  <c r="P25" i="115" s="1"/>
  <c r="O26" i="115"/>
  <c r="P26" i="115" s="1"/>
  <c r="O27" i="115"/>
  <c r="P27" i="115" s="1"/>
  <c r="Q23" i="115"/>
  <c r="U23" i="115" s="1"/>
  <c r="V23" i="115" s="1"/>
  <c r="Q24" i="115"/>
  <c r="U24" i="115" s="1"/>
  <c r="V24" i="115" s="1"/>
  <c r="Q25" i="115"/>
  <c r="U25" i="115" s="1"/>
  <c r="V25" i="115" s="1"/>
  <c r="Q26" i="115"/>
  <c r="U26" i="115" s="1"/>
  <c r="V26" i="115" s="1"/>
  <c r="Q27" i="115"/>
  <c r="U27" i="115" s="1"/>
  <c r="V27" i="115" s="1"/>
  <c r="S23" i="115"/>
  <c r="S24" i="115"/>
  <c r="S25" i="115"/>
  <c r="S26" i="115"/>
  <c r="S27" i="115"/>
  <c r="T23" i="115"/>
  <c r="T24" i="115"/>
  <c r="T25" i="115"/>
  <c r="T26" i="115"/>
  <c r="T27" i="115"/>
  <c r="AC23" i="115"/>
  <c r="AD23" i="115" s="1"/>
  <c r="AC24" i="115"/>
  <c r="AD24" i="115" s="1"/>
  <c r="AC25" i="115"/>
  <c r="AD25" i="115" s="1"/>
  <c r="AC26" i="115"/>
  <c r="AD26" i="115" s="1"/>
  <c r="AC27" i="115"/>
  <c r="AD27" i="115" s="1"/>
  <c r="BA61" i="215" l="1"/>
  <c r="BA59" i="215"/>
  <c r="BA60" i="215"/>
  <c r="BA63" i="215"/>
  <c r="BA61" i="214"/>
  <c r="BA59" i="213"/>
  <c r="BA63" i="213"/>
  <c r="BA59" i="214"/>
  <c r="BA60" i="214"/>
  <c r="BA63" i="214"/>
  <c r="BA53" i="215"/>
  <c r="BA58" i="215"/>
  <c r="BA64" i="215"/>
  <c r="BA62" i="215"/>
  <c r="BA53" i="214"/>
  <c r="BA61" i="213"/>
  <c r="BA60" i="213"/>
  <c r="BA62" i="213"/>
  <c r="BA58" i="214"/>
  <c r="BA64" i="214"/>
  <c r="BA62" i="214"/>
  <c r="BA53" i="213"/>
  <c r="BA58" i="213"/>
  <c r="BA64" i="213"/>
  <c r="W26" i="115"/>
  <c r="X26" i="115" s="1"/>
  <c r="W30" i="115"/>
  <c r="X30" i="115" s="1"/>
  <c r="W23" i="115"/>
  <c r="X23" i="115" s="1"/>
  <c r="W25" i="115"/>
  <c r="X25" i="115" s="1"/>
  <c r="V29" i="115"/>
  <c r="AE26" i="115"/>
  <c r="V28" i="115"/>
  <c r="W27" i="115"/>
  <c r="X27" i="115" s="1"/>
  <c r="AE30" i="115"/>
  <c r="AE25" i="115"/>
  <c r="AE24" i="115"/>
  <c r="AE27" i="115"/>
  <c r="AE23" i="115"/>
  <c r="W24" i="115"/>
  <c r="X24" i="115" s="1"/>
  <c r="BA77" i="144"/>
  <c r="BZ52" i="215" l="1"/>
  <c r="BV52" i="215"/>
  <c r="BR52" i="215"/>
  <c r="BN52" i="215"/>
  <c r="BJ52" i="215"/>
  <c r="BF52" i="215"/>
  <c r="BY52" i="215"/>
  <c r="BU52" i="215"/>
  <c r="BQ52" i="215"/>
  <c r="BM52" i="215"/>
  <c r="BI52" i="215"/>
  <c r="BE52" i="215"/>
  <c r="CA51" i="215"/>
  <c r="BW51" i="215"/>
  <c r="BS51" i="215"/>
  <c r="BO51" i="215"/>
  <c r="BK51" i="215"/>
  <c r="BG51" i="215"/>
  <c r="BC51" i="215"/>
  <c r="BY50" i="215"/>
  <c r="BU50" i="215"/>
  <c r="BQ50" i="215"/>
  <c r="BM50" i="215"/>
  <c r="BI50" i="215"/>
  <c r="BE50" i="215"/>
  <c r="BX52" i="215"/>
  <c r="BT52" i="215"/>
  <c r="BP52" i="215"/>
  <c r="BL52" i="215"/>
  <c r="BH52" i="215"/>
  <c r="BD52" i="215"/>
  <c r="BZ51" i="215"/>
  <c r="BV51" i="215"/>
  <c r="BR51" i="215"/>
  <c r="BN51" i="215"/>
  <c r="BJ51" i="215"/>
  <c r="BF51" i="215"/>
  <c r="BX50" i="215"/>
  <c r="BT50" i="215"/>
  <c r="BP50" i="215"/>
  <c r="BL50" i="215"/>
  <c r="BH50" i="215"/>
  <c r="BD50" i="215"/>
  <c r="BO52" i="215"/>
  <c r="BX51" i="215"/>
  <c r="BP51" i="215"/>
  <c r="BH51" i="215"/>
  <c r="BW50" i="215"/>
  <c r="BO50" i="215"/>
  <c r="BG50" i="215"/>
  <c r="BZ49" i="215"/>
  <c r="BV49" i="215"/>
  <c r="BR49" i="215"/>
  <c r="BN49" i="215"/>
  <c r="BJ49" i="215"/>
  <c r="BF49" i="215"/>
  <c r="BX48" i="215"/>
  <c r="BT48" i="215"/>
  <c r="BP48" i="215"/>
  <c r="BL48" i="215"/>
  <c r="BH48" i="215"/>
  <c r="BD48" i="215"/>
  <c r="BZ47" i="215"/>
  <c r="BV47" i="215"/>
  <c r="BR47" i="215"/>
  <c r="BN47" i="215"/>
  <c r="BJ47" i="215"/>
  <c r="BF47" i="215"/>
  <c r="CA52" i="215"/>
  <c r="BK52" i="215"/>
  <c r="BU51" i="215"/>
  <c r="BM51" i="215"/>
  <c r="BE51" i="215"/>
  <c r="BV50" i="215"/>
  <c r="BN50" i="215"/>
  <c r="BF50" i="215"/>
  <c r="BY49" i="215"/>
  <c r="BU49" i="215"/>
  <c r="BQ49" i="215"/>
  <c r="BM49" i="215"/>
  <c r="BI49" i="215"/>
  <c r="BE49" i="215"/>
  <c r="CA48" i="215"/>
  <c r="BW48" i="215"/>
  <c r="BS48" i="215"/>
  <c r="BO48" i="215"/>
  <c r="BK48" i="215"/>
  <c r="BG48" i="215"/>
  <c r="BC48" i="215"/>
  <c r="BY47" i="215"/>
  <c r="BU47" i="215"/>
  <c r="BQ47" i="215"/>
  <c r="BM47" i="215"/>
  <c r="BI47" i="215"/>
  <c r="BE47" i="215"/>
  <c r="BS52" i="215"/>
  <c r="BQ51" i="215"/>
  <c r="BS50" i="215"/>
  <c r="BC50" i="215"/>
  <c r="BT49" i="215"/>
  <c r="BL49" i="215"/>
  <c r="BD49" i="215"/>
  <c r="BU48" i="215"/>
  <c r="BM48" i="215"/>
  <c r="BE48" i="215"/>
  <c r="BT47" i="215"/>
  <c r="BL47" i="215"/>
  <c r="BD47" i="215"/>
  <c r="BY46" i="215"/>
  <c r="BU46" i="215"/>
  <c r="BQ46" i="215"/>
  <c r="BM46" i="215"/>
  <c r="BI46" i="215"/>
  <c r="BE46" i="215"/>
  <c r="CA45" i="215"/>
  <c r="BW45" i="215"/>
  <c r="BS45" i="215"/>
  <c r="BO45" i="215"/>
  <c r="BK45" i="215"/>
  <c r="BG45" i="215"/>
  <c r="BC45" i="215"/>
  <c r="BY44" i="215"/>
  <c r="BU44" i="215"/>
  <c r="BQ44" i="215"/>
  <c r="BM44" i="215"/>
  <c r="BI44" i="215"/>
  <c r="BE44" i="215"/>
  <c r="CA41" i="215"/>
  <c r="BW41" i="215"/>
  <c r="BS41" i="215"/>
  <c r="BO41" i="215"/>
  <c r="BK41" i="215"/>
  <c r="BG41" i="215"/>
  <c r="BC41" i="215"/>
  <c r="BY40" i="215"/>
  <c r="BU40" i="215"/>
  <c r="BQ40" i="215"/>
  <c r="BM40" i="215"/>
  <c r="BI40" i="215"/>
  <c r="BE40" i="215"/>
  <c r="CA39" i="215"/>
  <c r="BW39" i="215"/>
  <c r="BS39" i="215"/>
  <c r="BO39" i="215"/>
  <c r="BK39" i="215"/>
  <c r="BG39" i="215"/>
  <c r="BC39" i="215"/>
  <c r="BY38" i="215"/>
  <c r="BU38" i="215"/>
  <c r="BG52" i="215"/>
  <c r="BL51" i="215"/>
  <c r="BR50" i="215"/>
  <c r="CA49" i="215"/>
  <c r="BS49" i="215"/>
  <c r="BK49" i="215"/>
  <c r="BC49" i="215"/>
  <c r="BZ48" i="215"/>
  <c r="BR48" i="215"/>
  <c r="BJ48" i="215"/>
  <c r="CA47" i="215"/>
  <c r="BS47" i="215"/>
  <c r="BK47" i="215"/>
  <c r="BC47" i="215"/>
  <c r="BX46" i="215"/>
  <c r="BT46" i="215"/>
  <c r="BP46" i="215"/>
  <c r="BL46" i="215"/>
  <c r="BH46" i="215"/>
  <c r="BD46" i="215"/>
  <c r="BZ45" i="215"/>
  <c r="BV45" i="215"/>
  <c r="BR45" i="215"/>
  <c r="BN45" i="215"/>
  <c r="BJ45" i="215"/>
  <c r="BF45" i="215"/>
  <c r="BX44" i="215"/>
  <c r="BT44" i="215"/>
  <c r="BP44" i="215"/>
  <c r="BL44" i="215"/>
  <c r="BH44" i="215"/>
  <c r="BD44" i="215"/>
  <c r="BZ41" i="215"/>
  <c r="BV41" i="215"/>
  <c r="BR41" i="215"/>
  <c r="BN41" i="215"/>
  <c r="BJ41" i="215"/>
  <c r="BF41" i="215"/>
  <c r="BX40" i="215"/>
  <c r="BT40" i="215"/>
  <c r="BP40" i="215"/>
  <c r="BL40" i="215"/>
  <c r="BH40" i="215"/>
  <c r="BD40" i="215"/>
  <c r="BC52" i="215"/>
  <c r="BY51" i="215"/>
  <c r="BZ50" i="215"/>
  <c r="BW49" i="215"/>
  <c r="BG49" i="215"/>
  <c r="BV48" i="215"/>
  <c r="BF48" i="215"/>
  <c r="BX47" i="215"/>
  <c r="BH47" i="215"/>
  <c r="BZ46" i="215"/>
  <c r="BR46" i="215"/>
  <c r="BJ46" i="215"/>
  <c r="BY45" i="215"/>
  <c r="BQ45" i="215"/>
  <c r="BI45" i="215"/>
  <c r="BZ44" i="215"/>
  <c r="BR44" i="215"/>
  <c r="BJ44" i="215"/>
  <c r="BY41" i="215"/>
  <c r="BQ41" i="215"/>
  <c r="BI41" i="215"/>
  <c r="BZ40" i="215"/>
  <c r="BR40" i="215"/>
  <c r="BJ40" i="215"/>
  <c r="BX39" i="215"/>
  <c r="BR39" i="215"/>
  <c r="BM39" i="215"/>
  <c r="BH39" i="215"/>
  <c r="CA38" i="215"/>
  <c r="BV38" i="215"/>
  <c r="BQ38" i="215"/>
  <c r="BM38" i="215"/>
  <c r="BI38" i="215"/>
  <c r="BE38" i="215"/>
  <c r="CA37" i="215"/>
  <c r="BW37" i="215"/>
  <c r="BS37" i="215"/>
  <c r="BO37" i="215"/>
  <c r="BK37" i="215"/>
  <c r="BG37" i="215"/>
  <c r="BC37" i="215"/>
  <c r="BY36" i="215"/>
  <c r="BU36" i="215"/>
  <c r="BQ36" i="215"/>
  <c r="BM36" i="215"/>
  <c r="BI36" i="215"/>
  <c r="BE36" i="215"/>
  <c r="CA35" i="215"/>
  <c r="BW35" i="215"/>
  <c r="BS35" i="215"/>
  <c r="BO35" i="215"/>
  <c r="BK35" i="215"/>
  <c r="BG35" i="215"/>
  <c r="BC35" i="215"/>
  <c r="BT51" i="215"/>
  <c r="BK50" i="215"/>
  <c r="BP49" i="215"/>
  <c r="BQ48" i="215"/>
  <c r="BW47" i="215"/>
  <c r="BG47" i="215"/>
  <c r="BW46" i="215"/>
  <c r="BO46" i="215"/>
  <c r="BG46" i="215"/>
  <c r="BX45" i="215"/>
  <c r="BP45" i="215"/>
  <c r="BH45" i="215"/>
  <c r="BW44" i="215"/>
  <c r="BO44" i="215"/>
  <c r="BG44" i="215"/>
  <c r="BX41" i="215"/>
  <c r="BP41" i="215"/>
  <c r="BH41" i="215"/>
  <c r="BW40" i="215"/>
  <c r="BO40" i="215"/>
  <c r="BG40" i="215"/>
  <c r="BV39" i="215"/>
  <c r="BQ39" i="215"/>
  <c r="BL39" i="215"/>
  <c r="BF39" i="215"/>
  <c r="BZ38" i="215"/>
  <c r="BT38" i="215"/>
  <c r="BP38" i="215"/>
  <c r="BL38" i="215"/>
  <c r="BH38" i="215"/>
  <c r="BD38" i="215"/>
  <c r="BZ37" i="215"/>
  <c r="BV37" i="215"/>
  <c r="BR37" i="215"/>
  <c r="BN37" i="215"/>
  <c r="BJ37" i="215"/>
  <c r="BF37" i="215"/>
  <c r="BX36" i="215"/>
  <c r="BT36" i="215"/>
  <c r="BP36" i="215"/>
  <c r="BL36" i="215"/>
  <c r="BH36" i="215"/>
  <c r="BD36" i="215"/>
  <c r="BZ35" i="215"/>
  <c r="BV35" i="215"/>
  <c r="BR35" i="215"/>
  <c r="BN35" i="215"/>
  <c r="BJ35" i="215"/>
  <c r="BF35" i="215"/>
  <c r="BX33" i="215"/>
  <c r="BT33" i="215"/>
  <c r="BP33" i="215"/>
  <c r="BL33" i="215"/>
  <c r="BH33" i="215"/>
  <c r="BD33" i="215"/>
  <c r="CA50" i="215"/>
  <c r="BV46" i="215"/>
  <c r="BF46" i="215"/>
  <c r="BM45" i="215"/>
  <c r="BS44" i="215"/>
  <c r="BC44" i="215"/>
  <c r="BL41" i="215"/>
  <c r="BN40" i="215"/>
  <c r="BU39" i="215"/>
  <c r="BJ39" i="215"/>
  <c r="BS38" i="215"/>
  <c r="BK38" i="215"/>
  <c r="BC38" i="215"/>
  <c r="BT37" i="215"/>
  <c r="BL37" i="215"/>
  <c r="BD37" i="215"/>
  <c r="CA36" i="215"/>
  <c r="BS36" i="215"/>
  <c r="BK36" i="215"/>
  <c r="BC36" i="215"/>
  <c r="BT35" i="215"/>
  <c r="BL35" i="215"/>
  <c r="BD35" i="215"/>
  <c r="BZ33" i="215"/>
  <c r="BU33" i="215"/>
  <c r="BO33" i="215"/>
  <c r="BJ33" i="215"/>
  <c r="BE33" i="215"/>
  <c r="CA32" i="215"/>
  <c r="BW32" i="215"/>
  <c r="BS32" i="215"/>
  <c r="BO32" i="215"/>
  <c r="BK32" i="215"/>
  <c r="BG32" i="215"/>
  <c r="BC32" i="215"/>
  <c r="BY31" i="215"/>
  <c r="BU31" i="215"/>
  <c r="BQ31" i="215"/>
  <c r="BM31" i="215"/>
  <c r="BI31" i="215"/>
  <c r="BE31" i="215"/>
  <c r="CA30" i="215"/>
  <c r="BW30" i="215"/>
  <c r="BS30" i="215"/>
  <c r="BO30" i="215"/>
  <c r="BK30" i="215"/>
  <c r="BG30" i="215"/>
  <c r="BC30" i="215"/>
  <c r="BY29" i="215"/>
  <c r="BU29" i="215"/>
  <c r="BQ29" i="215"/>
  <c r="BM29" i="215"/>
  <c r="BI29" i="215"/>
  <c r="BE29" i="215"/>
  <c r="CA28" i="215"/>
  <c r="BW28" i="215"/>
  <c r="BS28" i="215"/>
  <c r="BO28" i="215"/>
  <c r="BK28" i="215"/>
  <c r="BG28" i="215"/>
  <c r="BC28" i="215"/>
  <c r="BY27" i="215"/>
  <c r="BU27" i="215"/>
  <c r="BQ27" i="215"/>
  <c r="BM27" i="215"/>
  <c r="BI27" i="215"/>
  <c r="BE27" i="215"/>
  <c r="CA26" i="215"/>
  <c r="BW26" i="215"/>
  <c r="BS26" i="215"/>
  <c r="BO26" i="215"/>
  <c r="BK26" i="215"/>
  <c r="BG26" i="215"/>
  <c r="BC26" i="215"/>
  <c r="BY25" i="215"/>
  <c r="BU25" i="215"/>
  <c r="BQ25" i="215"/>
  <c r="BM25" i="215"/>
  <c r="BI25" i="215"/>
  <c r="BE25" i="215"/>
  <c r="CA24" i="215"/>
  <c r="BW24" i="215"/>
  <c r="BS24" i="215"/>
  <c r="BO24" i="215"/>
  <c r="BK24" i="215"/>
  <c r="BG24" i="215"/>
  <c r="BC24" i="215"/>
  <c r="BY22" i="215"/>
  <c r="BU22" i="215"/>
  <c r="BQ22" i="215"/>
  <c r="BM22" i="215"/>
  <c r="BI22" i="215"/>
  <c r="BE22" i="215"/>
  <c r="CA21" i="215"/>
  <c r="BW21" i="215"/>
  <c r="BS21" i="215"/>
  <c r="BO21" i="215"/>
  <c r="BK21" i="215"/>
  <c r="BG21" i="215"/>
  <c r="BC21" i="215"/>
  <c r="BY20" i="215"/>
  <c r="BU20" i="215"/>
  <c r="BQ20" i="215"/>
  <c r="BM20" i="215"/>
  <c r="BI20" i="215"/>
  <c r="BE20" i="215"/>
  <c r="CA19" i="215"/>
  <c r="BW19" i="215"/>
  <c r="BS19" i="215"/>
  <c r="BO19" i="215"/>
  <c r="BK19" i="215"/>
  <c r="BI51" i="215"/>
  <c r="BX49" i="215"/>
  <c r="BI48" i="215"/>
  <c r="BK46" i="215"/>
  <c r="BL45" i="215"/>
  <c r="BN44" i="215"/>
  <c r="BU41" i="215"/>
  <c r="BD41" i="215"/>
  <c r="BV40" i="215"/>
  <c r="BC40" i="215"/>
  <c r="BY39" i="215"/>
  <c r="BI39" i="215"/>
  <c r="BX38" i="215"/>
  <c r="BN38" i="215"/>
  <c r="BQ37" i="215"/>
  <c r="BH37" i="215"/>
  <c r="BW36" i="215"/>
  <c r="BN36" i="215"/>
  <c r="BQ35" i="215"/>
  <c r="BH35" i="215"/>
  <c r="BY33" i="215"/>
  <c r="BR33" i="215"/>
  <c r="BK33" i="215"/>
  <c r="BC33" i="215"/>
  <c r="BY32" i="215"/>
  <c r="BT32" i="215"/>
  <c r="BN32" i="215"/>
  <c r="BI32" i="215"/>
  <c r="BD32" i="215"/>
  <c r="BW31" i="215"/>
  <c r="BR31" i="215"/>
  <c r="BL31" i="215"/>
  <c r="BG31" i="215"/>
  <c r="BZ30" i="215"/>
  <c r="BU30" i="215"/>
  <c r="BP30" i="215"/>
  <c r="BJ30" i="215"/>
  <c r="BE30" i="215"/>
  <c r="BX29" i="215"/>
  <c r="BS29" i="215"/>
  <c r="BN29" i="215"/>
  <c r="BH29" i="215"/>
  <c r="BC29" i="215"/>
  <c r="BV28" i="215"/>
  <c r="BQ28" i="215"/>
  <c r="BL28" i="215"/>
  <c r="BF28" i="215"/>
  <c r="BZ27" i="215"/>
  <c r="BT27" i="215"/>
  <c r="BO27" i="215"/>
  <c r="BJ27" i="215"/>
  <c r="BD27" i="215"/>
  <c r="BX26" i="215"/>
  <c r="BR26" i="215"/>
  <c r="BM26" i="215"/>
  <c r="BH26" i="215"/>
  <c r="CA25" i="215"/>
  <c r="BV25" i="215"/>
  <c r="BP25" i="215"/>
  <c r="BK25" i="215"/>
  <c r="BF25" i="215"/>
  <c r="BY24" i="215"/>
  <c r="BT24" i="215"/>
  <c r="BN24" i="215"/>
  <c r="BI24" i="215"/>
  <c r="BD24" i="215"/>
  <c r="BW22" i="215"/>
  <c r="BR22" i="215"/>
  <c r="BL22" i="215"/>
  <c r="BG22" i="215"/>
  <c r="BZ21" i="215"/>
  <c r="BU21" i="215"/>
  <c r="BP21" i="215"/>
  <c r="BJ21" i="215"/>
  <c r="BE21" i="215"/>
  <c r="BX20" i="215"/>
  <c r="BS20" i="215"/>
  <c r="BN20" i="215"/>
  <c r="BH20" i="215"/>
  <c r="BC20" i="215"/>
  <c r="BV19" i="215"/>
  <c r="BQ19" i="215"/>
  <c r="BL19" i="215"/>
  <c r="BG19" i="215"/>
  <c r="BC19" i="215"/>
  <c r="BY18" i="215"/>
  <c r="BU18" i="215"/>
  <c r="BQ18" i="215"/>
  <c r="BM18" i="215"/>
  <c r="BI18" i="215"/>
  <c r="BE18" i="215"/>
  <c r="CA17" i="215"/>
  <c r="BW17" i="215"/>
  <c r="BS17" i="215"/>
  <c r="BO17" i="215"/>
  <c r="BK17" i="215"/>
  <c r="BG17" i="215"/>
  <c r="BC17" i="215"/>
  <c r="BY16" i="215"/>
  <c r="BU16" i="215"/>
  <c r="BQ16" i="215"/>
  <c r="BM16" i="215"/>
  <c r="BI16" i="215"/>
  <c r="BE16" i="215"/>
  <c r="CA15" i="215"/>
  <c r="BW15" i="215"/>
  <c r="BS15" i="215"/>
  <c r="BO15" i="215"/>
  <c r="BK15" i="215"/>
  <c r="BG15" i="215"/>
  <c r="BC15" i="215"/>
  <c r="BJ50" i="215"/>
  <c r="BY48" i="215"/>
  <c r="BP47" i="215"/>
  <c r="BC46" i="215"/>
  <c r="BE45" i="215"/>
  <c r="BK44" i="215"/>
  <c r="BT41" i="215"/>
  <c r="BS40" i="215"/>
  <c r="BP39" i="215"/>
  <c r="BO38" i="215"/>
  <c r="BY37" i="215"/>
  <c r="BM37" i="215"/>
  <c r="BV36" i="215"/>
  <c r="BG36" i="215"/>
  <c r="BU35" i="215"/>
  <c r="BE35" i="215"/>
  <c r="CA33" i="215"/>
  <c r="BQ33" i="215"/>
  <c r="BG33" i="215"/>
  <c r="BX32" i="215"/>
  <c r="BQ32" i="215"/>
  <c r="BJ32" i="215"/>
  <c r="BX31" i="215"/>
  <c r="BP31" i="215"/>
  <c r="BJ31" i="215"/>
  <c r="BC31" i="215"/>
  <c r="BY30" i="215"/>
  <c r="BR30" i="215"/>
  <c r="BL30" i="215"/>
  <c r="BD30" i="215"/>
  <c r="BZ29" i="215"/>
  <c r="BR29" i="215"/>
  <c r="BK29" i="215"/>
  <c r="BD29" i="215"/>
  <c r="BZ28" i="215"/>
  <c r="BT28" i="215"/>
  <c r="BM28" i="215"/>
  <c r="BE28" i="215"/>
  <c r="CA27" i="215"/>
  <c r="BS27" i="215"/>
  <c r="BL27" i="215"/>
  <c r="BF27" i="215"/>
  <c r="BZ26" i="215"/>
  <c r="BT26" i="215"/>
  <c r="BL26" i="215"/>
  <c r="BE26" i="215"/>
  <c r="BW25" i="215"/>
  <c r="BO25" i="215"/>
  <c r="BH25" i="215"/>
  <c r="BV24" i="215"/>
  <c r="BP24" i="215"/>
  <c r="BH24" i="215"/>
  <c r="BV22" i="215"/>
  <c r="BO22" i="215"/>
  <c r="BH22" i="215"/>
  <c r="BX21" i="215"/>
  <c r="BQ21" i="215"/>
  <c r="BI21" i="215"/>
  <c r="BW20" i="215"/>
  <c r="BP20" i="215"/>
  <c r="BJ20" i="215"/>
  <c r="BY19" i="215"/>
  <c r="BR19" i="215"/>
  <c r="BJ19" i="215"/>
  <c r="BE19" i="215"/>
  <c r="BX18" i="215"/>
  <c r="BS18" i="215"/>
  <c r="BN18" i="215"/>
  <c r="BH18" i="215"/>
  <c r="BC18" i="215"/>
  <c r="BV17" i="215"/>
  <c r="BQ17" i="215"/>
  <c r="BL17" i="215"/>
  <c r="BF17" i="215"/>
  <c r="BZ16" i="215"/>
  <c r="BT16" i="215"/>
  <c r="BO16" i="215"/>
  <c r="BJ16" i="215"/>
  <c r="BD16" i="215"/>
  <c r="BX15" i="215"/>
  <c r="BR15" i="215"/>
  <c r="BM15" i="215"/>
  <c r="BH15" i="215"/>
  <c r="BX14" i="215"/>
  <c r="BT14" i="215"/>
  <c r="BP14" i="215"/>
  <c r="BL14" i="215"/>
  <c r="BH14" i="215"/>
  <c r="BD14" i="215"/>
  <c r="BZ13" i="215"/>
  <c r="BV13" i="215"/>
  <c r="BR13" i="215"/>
  <c r="BN13" i="215"/>
  <c r="BJ13" i="215"/>
  <c r="BF13" i="215"/>
  <c r="BX12" i="215"/>
  <c r="BT12" i="215"/>
  <c r="BP12" i="215"/>
  <c r="BL12" i="215"/>
  <c r="BH12" i="215"/>
  <c r="BD12" i="215"/>
  <c r="BZ11" i="215"/>
  <c r="BV11" i="215"/>
  <c r="BR11" i="215"/>
  <c r="BN11" i="215"/>
  <c r="BJ11" i="215"/>
  <c r="BF11" i="215"/>
  <c r="BX10" i="215"/>
  <c r="BT10" i="215"/>
  <c r="BP10" i="215"/>
  <c r="BL10" i="215"/>
  <c r="BH10" i="215"/>
  <c r="BD10" i="215"/>
  <c r="BZ9" i="215"/>
  <c r="BV9" i="215"/>
  <c r="BR9" i="215"/>
  <c r="BN9" i="215"/>
  <c r="BJ9" i="215"/>
  <c r="BF9" i="215"/>
  <c r="BX8" i="215"/>
  <c r="BT8" i="215"/>
  <c r="BP8" i="215"/>
  <c r="BL8" i="215"/>
  <c r="BH8" i="215"/>
  <c r="BD8" i="215"/>
  <c r="BZ7" i="215"/>
  <c r="BV7" i="215"/>
  <c r="BR7" i="215"/>
  <c r="BN7" i="215"/>
  <c r="BJ7" i="215"/>
  <c r="BF7" i="215"/>
  <c r="BX6" i="215"/>
  <c r="BT6" i="215"/>
  <c r="BP6" i="215"/>
  <c r="BL6" i="215"/>
  <c r="BH6" i="215"/>
  <c r="BD6" i="215"/>
  <c r="BZ5" i="215"/>
  <c r="BV5" i="215"/>
  <c r="BR5" i="215"/>
  <c r="BN5" i="215"/>
  <c r="BJ5" i="215"/>
  <c r="BF5" i="215"/>
  <c r="BO49" i="215"/>
  <c r="BN48" i="215"/>
  <c r="BO47" i="215"/>
  <c r="CA46" i="215"/>
  <c r="BD45" i="215"/>
  <c r="BF44" i="215"/>
  <c r="BM41" i="215"/>
  <c r="BK40" i="215"/>
  <c r="BN39" i="215"/>
  <c r="BJ38" i="215"/>
  <c r="BX37" i="215"/>
  <c r="BI37" i="215"/>
  <c r="BR36" i="215"/>
  <c r="BF36" i="215"/>
  <c r="BP35" i="215"/>
  <c r="BW33" i="215"/>
  <c r="BN33" i="215"/>
  <c r="BF33" i="215"/>
  <c r="BV32" i="215"/>
  <c r="BP32" i="215"/>
  <c r="BH32" i="215"/>
  <c r="BV31" i="215"/>
  <c r="BO31" i="215"/>
  <c r="BH31" i="215"/>
  <c r="BX30" i="215"/>
  <c r="BQ30" i="215"/>
  <c r="BI30" i="215"/>
  <c r="BW29" i="215"/>
  <c r="BP29" i="215"/>
  <c r="BJ29" i="215"/>
  <c r="BY28" i="215"/>
  <c r="BR28" i="215"/>
  <c r="BJ28" i="215"/>
  <c r="BD28" i="215"/>
  <c r="BX27" i="215"/>
  <c r="BR27" i="215"/>
  <c r="BK27" i="215"/>
  <c r="BC27" i="215"/>
  <c r="BY26" i="215"/>
  <c r="BQ26" i="215"/>
  <c r="BJ26" i="215"/>
  <c r="BD26" i="215"/>
  <c r="BT25" i="215"/>
  <c r="BN25" i="215"/>
  <c r="BG25" i="215"/>
  <c r="BU24" i="215"/>
  <c r="BM24" i="215"/>
  <c r="BF24" i="215"/>
  <c r="CA22" i="215"/>
  <c r="BT22" i="215"/>
  <c r="BN22" i="215"/>
  <c r="BF22" i="215"/>
  <c r="BV21" i="215"/>
  <c r="BN21" i="215"/>
  <c r="BH21" i="215"/>
  <c r="BV20" i="215"/>
  <c r="BO20" i="215"/>
  <c r="BG20" i="215"/>
  <c r="BX19" i="215"/>
  <c r="BP19" i="215"/>
  <c r="BI19" i="215"/>
  <c r="BD19" i="215"/>
  <c r="BW18" i="215"/>
  <c r="BR18" i="215"/>
  <c r="BL18" i="215"/>
  <c r="BG18" i="215"/>
  <c r="BZ17" i="215"/>
  <c r="BU17" i="215"/>
  <c r="BP17" i="215"/>
  <c r="BJ17" i="215"/>
  <c r="BE17" i="215"/>
  <c r="BX16" i="215"/>
  <c r="BS16" i="215"/>
  <c r="BN16" i="215"/>
  <c r="BH16" i="215"/>
  <c r="BC16" i="215"/>
  <c r="BV15" i="215"/>
  <c r="BQ15" i="215"/>
  <c r="BL15" i="215"/>
  <c r="BF15" i="215"/>
  <c r="CA14" i="215"/>
  <c r="BW14" i="215"/>
  <c r="BS14" i="215"/>
  <c r="BO14" i="215"/>
  <c r="BK14" i="215"/>
  <c r="BG14" i="215"/>
  <c r="BC14" i="215"/>
  <c r="BY13" i="215"/>
  <c r="BU13" i="215"/>
  <c r="BQ13" i="215"/>
  <c r="BM13" i="215"/>
  <c r="BI13" i="215"/>
  <c r="BE13" i="215"/>
  <c r="CA12" i="215"/>
  <c r="BW12" i="215"/>
  <c r="BS12" i="215"/>
  <c r="BO12" i="215"/>
  <c r="BK12" i="215"/>
  <c r="BG12" i="215"/>
  <c r="BC12" i="215"/>
  <c r="BY11" i="215"/>
  <c r="BU11" i="215"/>
  <c r="BQ11" i="215"/>
  <c r="BM11" i="215"/>
  <c r="BI11" i="215"/>
  <c r="BE11" i="215"/>
  <c r="CA10" i="215"/>
  <c r="BW10" i="215"/>
  <c r="BS10" i="215"/>
  <c r="BO10" i="215"/>
  <c r="BK10" i="215"/>
  <c r="BG10" i="215"/>
  <c r="BC10" i="215"/>
  <c r="BY9" i="215"/>
  <c r="BU9" i="215"/>
  <c r="BQ9" i="215"/>
  <c r="BM9" i="215"/>
  <c r="BI9" i="215"/>
  <c r="BE9" i="215"/>
  <c r="CA8" i="215"/>
  <c r="BW8" i="215"/>
  <c r="BS8" i="215"/>
  <c r="BO8" i="215"/>
  <c r="BK8" i="215"/>
  <c r="BG8" i="215"/>
  <c r="BC8" i="215"/>
  <c r="BY7" i="215"/>
  <c r="BU7" i="215"/>
  <c r="BQ7" i="215"/>
  <c r="BM7" i="215"/>
  <c r="BI7" i="215"/>
  <c r="BE7" i="215"/>
  <c r="CA6" i="215"/>
  <c r="BW6" i="215"/>
  <c r="BS6" i="215"/>
  <c r="BO6" i="215"/>
  <c r="BK6" i="215"/>
  <c r="BG6" i="215"/>
  <c r="BC6" i="215"/>
  <c r="BY5" i="215"/>
  <c r="BU5" i="215"/>
  <c r="BQ5" i="215"/>
  <c r="BM5" i="215"/>
  <c r="BI5" i="215"/>
  <c r="BE5" i="215"/>
  <c r="BW52" i="215"/>
  <c r="BH49" i="215"/>
  <c r="BS46" i="215"/>
  <c r="BU45" i="215"/>
  <c r="CA44" i="215"/>
  <c r="BE41" i="215"/>
  <c r="BF40" i="215"/>
  <c r="BZ39" i="215"/>
  <c r="BE39" i="215"/>
  <c r="BW38" i="215"/>
  <c r="BG38" i="215"/>
  <c r="BU37" i="215"/>
  <c r="BE37" i="215"/>
  <c r="BO36" i="215"/>
  <c r="BY35" i="215"/>
  <c r="BM35" i="215"/>
  <c r="BV33" i="215"/>
  <c r="BM33" i="215"/>
  <c r="BU32" i="215"/>
  <c r="BM32" i="215"/>
  <c r="BF32" i="215"/>
  <c r="CA31" i="215"/>
  <c r="BT31" i="215"/>
  <c r="BN31" i="215"/>
  <c r="BF31" i="215"/>
  <c r="BV30" i="215"/>
  <c r="BN30" i="215"/>
  <c r="BH30" i="215"/>
  <c r="BT39" i="215"/>
  <c r="BJ36" i="215"/>
  <c r="BI35" i="215"/>
  <c r="BR32" i="215"/>
  <c r="BS31" i="215"/>
  <c r="BV29" i="215"/>
  <c r="BG29" i="215"/>
  <c r="BX28" i="215"/>
  <c r="BI28" i="215"/>
  <c r="BV27" i="215"/>
  <c r="BG27" i="215"/>
  <c r="BP26" i="215"/>
  <c r="BZ25" i="215"/>
  <c r="BL25" i="215"/>
  <c r="BX24" i="215"/>
  <c r="BJ24" i="215"/>
  <c r="BP22" i="215"/>
  <c r="BC22" i="215"/>
  <c r="BM21" i="215"/>
  <c r="BZ20" i="215"/>
  <c r="BK20" i="215"/>
  <c r="BU19" i="215"/>
  <c r="BH19" i="215"/>
  <c r="BV18" i="215"/>
  <c r="BK18" i="215"/>
  <c r="BT17" i="215"/>
  <c r="BI17" i="215"/>
  <c r="BW16" i="215"/>
  <c r="BL16" i="215"/>
  <c r="BT15" i="215"/>
  <c r="BI15" i="215"/>
  <c r="BY14" i="215"/>
  <c r="BQ14" i="215"/>
  <c r="BI14" i="215"/>
  <c r="BX13" i="215"/>
  <c r="BP13" i="215"/>
  <c r="BH13" i="215"/>
  <c r="BY12" i="215"/>
  <c r="BQ12" i="215"/>
  <c r="BI12" i="215"/>
  <c r="BX11" i="215"/>
  <c r="BP11" i="215"/>
  <c r="BH11" i="215"/>
  <c r="BY10" i="215"/>
  <c r="BQ10" i="215"/>
  <c r="BI10" i="215"/>
  <c r="BX9" i="215"/>
  <c r="BP9" i="215"/>
  <c r="BH9" i="215"/>
  <c r="BY8" i="215"/>
  <c r="BQ8" i="215"/>
  <c r="BI8" i="215"/>
  <c r="BX7" i="215"/>
  <c r="BP7" i="215"/>
  <c r="BH7" i="215"/>
  <c r="BY6" i="215"/>
  <c r="BQ6" i="215"/>
  <c r="BI6" i="215"/>
  <c r="BX5" i="215"/>
  <c r="BP5" i="215"/>
  <c r="BH5" i="215"/>
  <c r="BN46" i="215"/>
  <c r="BD39" i="215"/>
  <c r="BS33" i="215"/>
  <c r="BL32" i="215"/>
  <c r="BK31" i="215"/>
  <c r="BT30" i="215"/>
  <c r="BT29" i="215"/>
  <c r="BF29" i="215"/>
  <c r="BU28" i="215"/>
  <c r="BH28" i="215"/>
  <c r="BP27" i="215"/>
  <c r="BN26" i="215"/>
  <c r="BX25" i="215"/>
  <c r="BJ25" i="215"/>
  <c r="BR24" i="215"/>
  <c r="BE24" i="215"/>
  <c r="BZ22" i="215"/>
  <c r="BK22" i="215"/>
  <c r="BY21" i="215"/>
  <c r="BL21" i="215"/>
  <c r="BT20" i="215"/>
  <c r="BF20" i="215"/>
  <c r="BT19" i="215"/>
  <c r="BF19" i="215"/>
  <c r="BT18" i="215"/>
  <c r="BJ18" i="215"/>
  <c r="BR17" i="215"/>
  <c r="BH17" i="215"/>
  <c r="BV16" i="215"/>
  <c r="BK16" i="215"/>
  <c r="BZ15" i="215"/>
  <c r="BP15" i="215"/>
  <c r="BE15" i="215"/>
  <c r="BV14" i="215"/>
  <c r="BN14" i="215"/>
  <c r="BF14" i="215"/>
  <c r="BW13" i="215"/>
  <c r="BO13" i="215"/>
  <c r="BG13" i="215"/>
  <c r="BV12" i="215"/>
  <c r="BN12" i="215"/>
  <c r="BF12" i="215"/>
  <c r="BW11" i="215"/>
  <c r="BO11" i="215"/>
  <c r="BG11" i="215"/>
  <c r="BV10" i="215"/>
  <c r="BN10" i="215"/>
  <c r="BF10" i="215"/>
  <c r="BW9" i="215"/>
  <c r="BO9" i="215"/>
  <c r="BG9" i="215"/>
  <c r="BV8" i="215"/>
  <c r="BN8" i="215"/>
  <c r="BF8" i="215"/>
  <c r="BW7" i="215"/>
  <c r="BO7" i="215"/>
  <c r="BG7" i="215"/>
  <c r="BV6" i="215"/>
  <c r="BN6" i="215"/>
  <c r="BF6" i="215"/>
  <c r="BW5" i="215"/>
  <c r="BO5" i="215"/>
  <c r="BG5" i="215"/>
  <c r="BT45" i="215"/>
  <c r="BR38" i="215"/>
  <c r="BP37" i="215"/>
  <c r="BI33" i="215"/>
  <c r="BE32" i="215"/>
  <c r="BD31" i="215"/>
  <c r="BM30" i="215"/>
  <c r="BO29" i="215"/>
  <c r="BP28" i="215"/>
  <c r="BN27" i="215"/>
  <c r="BV26" i="215"/>
  <c r="BI26" i="215"/>
  <c r="BS25" i="215"/>
  <c r="BD25" i="215"/>
  <c r="BQ24" i="215"/>
  <c r="BX22" i="215"/>
  <c r="BJ22" i="215"/>
  <c r="BT21" i="215"/>
  <c r="BF21" i="215"/>
  <c r="BR20" i="215"/>
  <c r="BD20" i="215"/>
  <c r="BN19" i="215"/>
  <c r="CA18" i="215"/>
  <c r="BP18" i="215"/>
  <c r="BF18" i="215"/>
  <c r="BY17" i="215"/>
  <c r="BN17" i="215"/>
  <c r="BD17" i="215"/>
  <c r="BR16" i="215"/>
  <c r="BG16" i="215"/>
  <c r="BY15" i="215"/>
  <c r="BN15" i="215"/>
  <c r="BD15" i="215"/>
  <c r="BU14" i="215"/>
  <c r="BM14" i="215"/>
  <c r="BE14" i="215"/>
  <c r="BT13" i="215"/>
  <c r="BL13" i="215"/>
  <c r="BD13" i="215"/>
  <c r="BU12" i="215"/>
  <c r="BM12" i="215"/>
  <c r="BE12" i="215"/>
  <c r="BT11" i="215"/>
  <c r="BL11" i="215"/>
  <c r="BD11" i="215"/>
  <c r="BU10" i="215"/>
  <c r="BM10" i="215"/>
  <c r="BE10" i="215"/>
  <c r="BT9" i="215"/>
  <c r="BL9" i="215"/>
  <c r="BD9" i="215"/>
  <c r="BU8" i="215"/>
  <c r="BF38" i="215"/>
  <c r="BZ32" i="215"/>
  <c r="BF30" i="215"/>
  <c r="BW27" i="215"/>
  <c r="BU26" i="215"/>
  <c r="BR25" i="215"/>
  <c r="BM19" i="215"/>
  <c r="BZ18" i="215"/>
  <c r="BJ15" i="215"/>
  <c r="BZ14" i="215"/>
  <c r="BS13" i="215"/>
  <c r="BR12" i="215"/>
  <c r="BK11" i="215"/>
  <c r="BJ10" i="215"/>
  <c r="BC9" i="215"/>
  <c r="BJ8" i="215"/>
  <c r="BL7" i="215"/>
  <c r="BU6" i="215"/>
  <c r="BE6" i="215"/>
  <c r="CA5" i="215"/>
  <c r="BK5" i="215"/>
  <c r="BD22" i="215"/>
  <c r="BS11" i="215"/>
  <c r="BR10" i="215"/>
  <c r="BK9" i="215"/>
  <c r="BM8" i="215"/>
  <c r="CA40" i="215"/>
  <c r="BZ36" i="215"/>
  <c r="BX35" i="215"/>
  <c r="CA29" i="215"/>
  <c r="BN28" i="215"/>
  <c r="BH27" i="215"/>
  <c r="BF26" i="215"/>
  <c r="BC25" i="215"/>
  <c r="CA20" i="215"/>
  <c r="BO18" i="215"/>
  <c r="BX17" i="215"/>
  <c r="CA16" i="215"/>
  <c r="BR14" i="215"/>
  <c r="BK13" i="215"/>
  <c r="BJ12" i="215"/>
  <c r="BC11" i="215"/>
  <c r="CA9" i="215"/>
  <c r="BZ8" i="215"/>
  <c r="BE8" i="215"/>
  <c r="CA7" i="215"/>
  <c r="BK7" i="215"/>
  <c r="BR6" i="215"/>
  <c r="BT5" i="215"/>
  <c r="BD5" i="215"/>
  <c r="BD51" i="215"/>
  <c r="BV44" i="215"/>
  <c r="BZ31" i="215"/>
  <c r="BL24" i="215"/>
  <c r="BZ19" i="215"/>
  <c r="BU15" i="215"/>
  <c r="CA13" i="215"/>
  <c r="BS7" i="215"/>
  <c r="BZ6" i="215"/>
  <c r="BJ6" i="215"/>
  <c r="BL29" i="215"/>
  <c r="BZ24" i="215"/>
  <c r="BS22" i="215"/>
  <c r="BR21" i="215"/>
  <c r="BL20" i="215"/>
  <c r="BD18" i="215"/>
  <c r="BM17" i="215"/>
  <c r="BP16" i="215"/>
  <c r="BJ14" i="215"/>
  <c r="BC13" i="215"/>
  <c r="CA11" i="215"/>
  <c r="BZ10" i="215"/>
  <c r="BS9" i="215"/>
  <c r="BR8" i="215"/>
  <c r="BT7" i="215"/>
  <c r="BD7" i="215"/>
  <c r="BM6" i="215"/>
  <c r="BS5" i="215"/>
  <c r="BC5" i="215"/>
  <c r="BD21" i="215"/>
  <c r="BF16" i="215"/>
  <c r="BZ12" i="215"/>
  <c r="BC7" i="215"/>
  <c r="BL5" i="215"/>
  <c r="BZ52" i="214"/>
  <c r="BV52" i="214"/>
  <c r="BR52" i="214"/>
  <c r="BN52" i="214"/>
  <c r="BJ52" i="214"/>
  <c r="BF52" i="214"/>
  <c r="BX51" i="214"/>
  <c r="BT51" i="214"/>
  <c r="BP51" i="214"/>
  <c r="BL51" i="214"/>
  <c r="BH51" i="214"/>
  <c r="BD51" i="214"/>
  <c r="BZ50" i="214"/>
  <c r="BV50" i="214"/>
  <c r="BR50" i="214"/>
  <c r="BN50" i="214"/>
  <c r="BJ50" i="214"/>
  <c r="BF50" i="214"/>
  <c r="BY52" i="214"/>
  <c r="BU52" i="214"/>
  <c r="BQ52" i="214"/>
  <c r="BM52" i="214"/>
  <c r="BI52" i="214"/>
  <c r="BE52" i="214"/>
  <c r="BX52" i="214"/>
  <c r="BT52" i="214"/>
  <c r="BP52" i="214"/>
  <c r="BL52" i="214"/>
  <c r="BH52" i="214"/>
  <c r="BD52" i="214"/>
  <c r="BZ51" i="214"/>
  <c r="BV51" i="214"/>
  <c r="BR51" i="214"/>
  <c r="BN51" i="214"/>
  <c r="BJ51" i="214"/>
  <c r="BF51" i="214"/>
  <c r="BX50" i="214"/>
  <c r="BT50" i="214"/>
  <c r="BP50" i="214"/>
  <c r="BL50" i="214"/>
  <c r="BH50" i="214"/>
  <c r="BD50" i="214"/>
  <c r="BZ49" i="214"/>
  <c r="BV49" i="214"/>
  <c r="BR49" i="214"/>
  <c r="BN49" i="214"/>
  <c r="BO52" i="214"/>
  <c r="CA51" i="214"/>
  <c r="BS51" i="214"/>
  <c r="BK51" i="214"/>
  <c r="BC51" i="214"/>
  <c r="BU50" i="214"/>
  <c r="BM50" i="214"/>
  <c r="BE50" i="214"/>
  <c r="BY49" i="214"/>
  <c r="BT49" i="214"/>
  <c r="BO49" i="214"/>
  <c r="BJ49" i="214"/>
  <c r="BF49" i="214"/>
  <c r="BX48" i="214"/>
  <c r="BT48" i="214"/>
  <c r="BP48" i="214"/>
  <c r="BL48" i="214"/>
  <c r="BH48" i="214"/>
  <c r="BD48" i="214"/>
  <c r="BZ47" i="214"/>
  <c r="BV47" i="214"/>
  <c r="BR47" i="214"/>
  <c r="CA52" i="214"/>
  <c r="BK52" i="214"/>
  <c r="BY51" i="214"/>
  <c r="BQ51" i="214"/>
  <c r="BI51" i="214"/>
  <c r="CA50" i="214"/>
  <c r="BS50" i="214"/>
  <c r="BK50" i="214"/>
  <c r="BC50" i="214"/>
  <c r="BX49" i="214"/>
  <c r="BS49" i="214"/>
  <c r="BM49" i="214"/>
  <c r="BI49" i="214"/>
  <c r="BE49" i="214"/>
  <c r="CA48" i="214"/>
  <c r="BW48" i="214"/>
  <c r="BS48" i="214"/>
  <c r="BO48" i="214"/>
  <c r="BK48" i="214"/>
  <c r="BG48" i="214"/>
  <c r="BC48" i="214"/>
  <c r="BY47" i="214"/>
  <c r="BU47" i="214"/>
  <c r="BQ47" i="214"/>
  <c r="BM47" i="214"/>
  <c r="BI47" i="214"/>
  <c r="BE47" i="214"/>
  <c r="BS52" i="214"/>
  <c r="BO51" i="214"/>
  <c r="BW50" i="214"/>
  <c r="BG50" i="214"/>
  <c r="BQ49" i="214"/>
  <c r="BH49" i="214"/>
  <c r="BY48" i="214"/>
  <c r="BQ48" i="214"/>
  <c r="BI48" i="214"/>
  <c r="BX47" i="214"/>
  <c r="BP47" i="214"/>
  <c r="BK47" i="214"/>
  <c r="BF47" i="214"/>
  <c r="BY46" i="214"/>
  <c r="BU46" i="214"/>
  <c r="BQ46" i="214"/>
  <c r="BM46" i="214"/>
  <c r="BI46" i="214"/>
  <c r="BE46" i="214"/>
  <c r="CA45" i="214"/>
  <c r="BW45" i="214"/>
  <c r="BS45" i="214"/>
  <c r="BO45" i="214"/>
  <c r="BK45" i="214"/>
  <c r="BG45" i="214"/>
  <c r="BC45" i="214"/>
  <c r="BG52" i="214"/>
  <c r="BM51" i="214"/>
  <c r="BQ50" i="214"/>
  <c r="CA49" i="214"/>
  <c r="BP49" i="214"/>
  <c r="BG49" i="214"/>
  <c r="BV48" i="214"/>
  <c r="BN48" i="214"/>
  <c r="BF48" i="214"/>
  <c r="BW47" i="214"/>
  <c r="BO47" i="214"/>
  <c r="BJ47" i="214"/>
  <c r="BD47" i="214"/>
  <c r="BX46" i="214"/>
  <c r="BT46" i="214"/>
  <c r="BP46" i="214"/>
  <c r="BL46" i="214"/>
  <c r="BH46" i="214"/>
  <c r="BD46" i="214"/>
  <c r="BW51" i="214"/>
  <c r="BL49" i="214"/>
  <c r="BU48" i="214"/>
  <c r="BE48" i="214"/>
  <c r="CA47" i="214"/>
  <c r="BL47" i="214"/>
  <c r="BZ46" i="214"/>
  <c r="BR46" i="214"/>
  <c r="BJ46" i="214"/>
  <c r="BX45" i="214"/>
  <c r="BR45" i="214"/>
  <c r="BM45" i="214"/>
  <c r="BH45" i="214"/>
  <c r="CA44" i="214"/>
  <c r="BW44" i="214"/>
  <c r="BS44" i="214"/>
  <c r="BO44" i="214"/>
  <c r="BK44" i="214"/>
  <c r="BG44" i="214"/>
  <c r="BC44" i="214"/>
  <c r="BY41" i="214"/>
  <c r="BU41" i="214"/>
  <c r="BQ41" i="214"/>
  <c r="BM41" i="214"/>
  <c r="BI41" i="214"/>
  <c r="BE41" i="214"/>
  <c r="CA40" i="214"/>
  <c r="BW40" i="214"/>
  <c r="BS40" i="214"/>
  <c r="BO40" i="214"/>
  <c r="BK40" i="214"/>
  <c r="BG40" i="214"/>
  <c r="BC40" i="214"/>
  <c r="BY39" i="214"/>
  <c r="BU39" i="214"/>
  <c r="BQ39" i="214"/>
  <c r="BM39" i="214"/>
  <c r="BI39" i="214"/>
  <c r="BE39" i="214"/>
  <c r="CA38" i="214"/>
  <c r="BW38" i="214"/>
  <c r="BS38" i="214"/>
  <c r="BO38" i="214"/>
  <c r="BK38" i="214"/>
  <c r="BG38" i="214"/>
  <c r="BC38" i="214"/>
  <c r="BY37" i="214"/>
  <c r="BU37" i="214"/>
  <c r="BQ37" i="214"/>
  <c r="BM37" i="214"/>
  <c r="BI37" i="214"/>
  <c r="BE37" i="214"/>
  <c r="CA36" i="214"/>
  <c r="BW36" i="214"/>
  <c r="BS36" i="214"/>
  <c r="BO36" i="214"/>
  <c r="BK36" i="214"/>
  <c r="BC52" i="214"/>
  <c r="BO50" i="214"/>
  <c r="BK49" i="214"/>
  <c r="BR48" i="214"/>
  <c r="BT47" i="214"/>
  <c r="BG47" i="214"/>
  <c r="CA46" i="214"/>
  <c r="BO46" i="214"/>
  <c r="BF46" i="214"/>
  <c r="BY45" i="214"/>
  <c r="BQ45" i="214"/>
  <c r="BJ45" i="214"/>
  <c r="BD45" i="214"/>
  <c r="BZ44" i="214"/>
  <c r="BU44" i="214"/>
  <c r="BP44" i="214"/>
  <c r="BJ44" i="214"/>
  <c r="BE44" i="214"/>
  <c r="BX41" i="214"/>
  <c r="BS41" i="214"/>
  <c r="BN41" i="214"/>
  <c r="BH41" i="214"/>
  <c r="BC41" i="214"/>
  <c r="BV40" i="214"/>
  <c r="BQ40" i="214"/>
  <c r="BL40" i="214"/>
  <c r="BF40" i="214"/>
  <c r="BZ39" i="214"/>
  <c r="BT39" i="214"/>
  <c r="BO39" i="214"/>
  <c r="BJ39" i="214"/>
  <c r="BD39" i="214"/>
  <c r="BX38" i="214"/>
  <c r="BR38" i="214"/>
  <c r="BM38" i="214"/>
  <c r="BH38" i="214"/>
  <c r="CA37" i="214"/>
  <c r="BV37" i="214"/>
  <c r="BP37" i="214"/>
  <c r="BK37" i="214"/>
  <c r="BF37" i="214"/>
  <c r="BY36" i="214"/>
  <c r="BT36" i="214"/>
  <c r="BN36" i="214"/>
  <c r="BI36" i="214"/>
  <c r="BE36" i="214"/>
  <c r="CA35" i="214"/>
  <c r="BW35" i="214"/>
  <c r="BS35" i="214"/>
  <c r="BO35" i="214"/>
  <c r="BK35" i="214"/>
  <c r="BG35" i="214"/>
  <c r="BC35" i="214"/>
  <c r="BY33" i="214"/>
  <c r="BU33" i="214"/>
  <c r="BQ33" i="214"/>
  <c r="BM33" i="214"/>
  <c r="BI33" i="214"/>
  <c r="BE33" i="214"/>
  <c r="CA32" i="214"/>
  <c r="BW32" i="214"/>
  <c r="BS32" i="214"/>
  <c r="BO32" i="214"/>
  <c r="BK32" i="214"/>
  <c r="BG32" i="214"/>
  <c r="BC32" i="214"/>
  <c r="BY31" i="214"/>
  <c r="BU31" i="214"/>
  <c r="BQ31" i="214"/>
  <c r="BM31" i="214"/>
  <c r="BI31" i="214"/>
  <c r="BE31" i="214"/>
  <c r="CA30" i="214"/>
  <c r="BW30" i="214"/>
  <c r="BS30" i="214"/>
  <c r="BO30" i="214"/>
  <c r="BK30" i="214"/>
  <c r="BG30" i="214"/>
  <c r="BC30" i="214"/>
  <c r="BY29" i="214"/>
  <c r="BU29" i="214"/>
  <c r="BQ29" i="214"/>
  <c r="BM29" i="214"/>
  <c r="BI29" i="214"/>
  <c r="BE29" i="214"/>
  <c r="BU51" i="214"/>
  <c r="BI50" i="214"/>
  <c r="BD49" i="214"/>
  <c r="BM48" i="214"/>
  <c r="BS47" i="214"/>
  <c r="BC47" i="214"/>
  <c r="BW46" i="214"/>
  <c r="BN46" i="214"/>
  <c r="BC46" i="214"/>
  <c r="BV45" i="214"/>
  <c r="BP45" i="214"/>
  <c r="BI45" i="214"/>
  <c r="BY44" i="214"/>
  <c r="BT44" i="214"/>
  <c r="BN44" i="214"/>
  <c r="BI44" i="214"/>
  <c r="BD44" i="214"/>
  <c r="BW41" i="214"/>
  <c r="BR41" i="214"/>
  <c r="BL41" i="214"/>
  <c r="BG41" i="214"/>
  <c r="BZ40" i="214"/>
  <c r="BU40" i="214"/>
  <c r="BP40" i="214"/>
  <c r="BJ40" i="214"/>
  <c r="BE40" i="214"/>
  <c r="BX39" i="214"/>
  <c r="BS39" i="214"/>
  <c r="BN39" i="214"/>
  <c r="BH39" i="214"/>
  <c r="BC39" i="214"/>
  <c r="BV38" i="214"/>
  <c r="BQ38" i="214"/>
  <c r="BL38" i="214"/>
  <c r="BF38" i="214"/>
  <c r="BZ37" i="214"/>
  <c r="BT37" i="214"/>
  <c r="BO37" i="214"/>
  <c r="BJ37" i="214"/>
  <c r="BD37" i="214"/>
  <c r="BX36" i="214"/>
  <c r="BR36" i="214"/>
  <c r="BM36" i="214"/>
  <c r="BH36" i="214"/>
  <c r="BD36" i="214"/>
  <c r="BZ35" i="214"/>
  <c r="BV35" i="214"/>
  <c r="BR35" i="214"/>
  <c r="BN35" i="214"/>
  <c r="BJ35" i="214"/>
  <c r="BF35" i="214"/>
  <c r="BX33" i="214"/>
  <c r="BT33" i="214"/>
  <c r="BP33" i="214"/>
  <c r="BL33" i="214"/>
  <c r="BH33" i="214"/>
  <c r="BD33" i="214"/>
  <c r="BY50" i="214"/>
  <c r="BJ48" i="214"/>
  <c r="BG46" i="214"/>
  <c r="BZ45" i="214"/>
  <c r="BL45" i="214"/>
  <c r="BV44" i="214"/>
  <c r="BL44" i="214"/>
  <c r="BZ41" i="214"/>
  <c r="BO41" i="214"/>
  <c r="BD41" i="214"/>
  <c r="BX40" i="214"/>
  <c r="BM40" i="214"/>
  <c r="CA39" i="214"/>
  <c r="BP39" i="214"/>
  <c r="BF39" i="214"/>
  <c r="BU38" i="214"/>
  <c r="BJ38" i="214"/>
  <c r="BS37" i="214"/>
  <c r="BH37" i="214"/>
  <c r="BV36" i="214"/>
  <c r="BL36" i="214"/>
  <c r="BC36" i="214"/>
  <c r="BT35" i="214"/>
  <c r="BL35" i="214"/>
  <c r="BD35" i="214"/>
  <c r="CA33" i="214"/>
  <c r="BS33" i="214"/>
  <c r="BK33" i="214"/>
  <c r="BC33" i="214"/>
  <c r="BY32" i="214"/>
  <c r="BT32" i="214"/>
  <c r="BN32" i="214"/>
  <c r="BI32" i="214"/>
  <c r="BD32" i="214"/>
  <c r="BW31" i="214"/>
  <c r="BR31" i="214"/>
  <c r="BL31" i="214"/>
  <c r="BG31" i="214"/>
  <c r="BZ30" i="214"/>
  <c r="BU30" i="214"/>
  <c r="BP30" i="214"/>
  <c r="BJ30" i="214"/>
  <c r="BE30" i="214"/>
  <c r="BX29" i="214"/>
  <c r="BS29" i="214"/>
  <c r="BN29" i="214"/>
  <c r="BH29" i="214"/>
  <c r="BC29" i="214"/>
  <c r="BZ28" i="214"/>
  <c r="BV28" i="214"/>
  <c r="BR28" i="214"/>
  <c r="BN28" i="214"/>
  <c r="BJ28" i="214"/>
  <c r="BF28" i="214"/>
  <c r="BX27" i="214"/>
  <c r="BT27" i="214"/>
  <c r="BP27" i="214"/>
  <c r="BL27" i="214"/>
  <c r="BH27" i="214"/>
  <c r="BD27" i="214"/>
  <c r="BZ26" i="214"/>
  <c r="BV26" i="214"/>
  <c r="BR26" i="214"/>
  <c r="BN26" i="214"/>
  <c r="BJ26" i="214"/>
  <c r="BF26" i="214"/>
  <c r="BX25" i="214"/>
  <c r="BT25" i="214"/>
  <c r="BP25" i="214"/>
  <c r="BL25" i="214"/>
  <c r="BH25" i="214"/>
  <c r="BD25" i="214"/>
  <c r="BZ24" i="214"/>
  <c r="BV24" i="214"/>
  <c r="BR24" i="214"/>
  <c r="BN24" i="214"/>
  <c r="BJ24" i="214"/>
  <c r="BF24" i="214"/>
  <c r="BX22" i="214"/>
  <c r="BT22" i="214"/>
  <c r="BP22" i="214"/>
  <c r="BL22" i="214"/>
  <c r="BH22" i="214"/>
  <c r="BD22" i="214"/>
  <c r="BZ21" i="214"/>
  <c r="BV21" i="214"/>
  <c r="BR21" i="214"/>
  <c r="BN21" i="214"/>
  <c r="BJ21" i="214"/>
  <c r="BF21" i="214"/>
  <c r="BX20" i="214"/>
  <c r="BT20" i="214"/>
  <c r="BP20" i="214"/>
  <c r="BL20" i="214"/>
  <c r="BH20" i="214"/>
  <c r="BD20" i="214"/>
  <c r="BZ19" i="214"/>
  <c r="BV19" i="214"/>
  <c r="BR19" i="214"/>
  <c r="BN19" i="214"/>
  <c r="BJ19" i="214"/>
  <c r="BF19" i="214"/>
  <c r="BX18" i="214"/>
  <c r="BT18" i="214"/>
  <c r="BP18" i="214"/>
  <c r="BL18" i="214"/>
  <c r="BH18" i="214"/>
  <c r="BD18" i="214"/>
  <c r="BZ17" i="214"/>
  <c r="BV17" i="214"/>
  <c r="BR17" i="214"/>
  <c r="BN17" i="214"/>
  <c r="BJ17" i="214"/>
  <c r="BW52" i="214"/>
  <c r="BG51" i="214"/>
  <c r="BW49" i="214"/>
  <c r="BN47" i="214"/>
  <c r="BV46" i="214"/>
  <c r="BU45" i="214"/>
  <c r="BF45" i="214"/>
  <c r="BR44" i="214"/>
  <c r="BH44" i="214"/>
  <c r="BV41" i="214"/>
  <c r="BK41" i="214"/>
  <c r="BU49" i="214"/>
  <c r="BK46" i="214"/>
  <c r="BN45" i="214"/>
  <c r="BF44" i="214"/>
  <c r="CA41" i="214"/>
  <c r="BF41" i="214"/>
  <c r="BR40" i="214"/>
  <c r="BD40" i="214"/>
  <c r="BL39" i="214"/>
  <c r="BY38" i="214"/>
  <c r="BI38" i="214"/>
  <c r="BX37" i="214"/>
  <c r="BL37" i="214"/>
  <c r="BU36" i="214"/>
  <c r="BG36" i="214"/>
  <c r="BX35" i="214"/>
  <c r="BM35" i="214"/>
  <c r="BR33" i="214"/>
  <c r="BG33" i="214"/>
  <c r="BX32" i="214"/>
  <c r="BQ32" i="214"/>
  <c r="BJ32" i="214"/>
  <c r="BX31" i="214"/>
  <c r="BP31" i="214"/>
  <c r="BJ31" i="214"/>
  <c r="BC31" i="214"/>
  <c r="BY30" i="214"/>
  <c r="BR30" i="214"/>
  <c r="BL30" i="214"/>
  <c r="BD30" i="214"/>
  <c r="BZ29" i="214"/>
  <c r="BR29" i="214"/>
  <c r="BK29" i="214"/>
  <c r="BD29" i="214"/>
  <c r="BW28" i="214"/>
  <c r="BQ28" i="214"/>
  <c r="BL28" i="214"/>
  <c r="BG28" i="214"/>
  <c r="CA27" i="214"/>
  <c r="BV27" i="214"/>
  <c r="BQ27" i="214"/>
  <c r="BK27" i="214"/>
  <c r="BF27" i="214"/>
  <c r="CA26" i="214"/>
  <c r="BU26" i="214"/>
  <c r="BP26" i="214"/>
  <c r="BK26" i="214"/>
  <c r="BE26" i="214"/>
  <c r="BZ25" i="214"/>
  <c r="BU25" i="214"/>
  <c r="BO25" i="214"/>
  <c r="BJ25" i="214"/>
  <c r="BE25" i="214"/>
  <c r="BY24" i="214"/>
  <c r="BT24" i="214"/>
  <c r="BO24" i="214"/>
  <c r="BI24" i="214"/>
  <c r="BD24" i="214"/>
  <c r="BY22" i="214"/>
  <c r="BS22" i="214"/>
  <c r="BN22" i="214"/>
  <c r="BI22" i="214"/>
  <c r="BC22" i="214"/>
  <c r="BX21" i="214"/>
  <c r="BS21" i="214"/>
  <c r="BM21" i="214"/>
  <c r="BH21" i="214"/>
  <c r="BC21" i="214"/>
  <c r="BW20" i="214"/>
  <c r="BR20" i="214"/>
  <c r="BM20" i="214"/>
  <c r="BG20" i="214"/>
  <c r="BW19" i="214"/>
  <c r="BQ19" i="214"/>
  <c r="BL19" i="214"/>
  <c r="BG19" i="214"/>
  <c r="CA18" i="214"/>
  <c r="BV18" i="214"/>
  <c r="BQ18" i="214"/>
  <c r="BK18" i="214"/>
  <c r="BF18" i="214"/>
  <c r="CA17" i="214"/>
  <c r="BU17" i="214"/>
  <c r="BP17" i="214"/>
  <c r="BK17" i="214"/>
  <c r="BF17" i="214"/>
  <c r="BX16" i="214"/>
  <c r="BT16" i="214"/>
  <c r="BP16" i="214"/>
  <c r="BL16" i="214"/>
  <c r="BH16" i="214"/>
  <c r="BD16" i="214"/>
  <c r="BZ15" i="214"/>
  <c r="BV15" i="214"/>
  <c r="BR15" i="214"/>
  <c r="BN15" i="214"/>
  <c r="BJ15" i="214"/>
  <c r="BF15" i="214"/>
  <c r="BX14" i="214"/>
  <c r="BT14" i="214"/>
  <c r="BP14" i="214"/>
  <c r="BL14" i="214"/>
  <c r="BH14" i="214"/>
  <c r="BD14" i="214"/>
  <c r="BZ13" i="214"/>
  <c r="BV13" i="214"/>
  <c r="BR13" i="214"/>
  <c r="BN13" i="214"/>
  <c r="BJ13" i="214"/>
  <c r="BF13" i="214"/>
  <c r="BX12" i="214"/>
  <c r="BT12" i="214"/>
  <c r="BP12" i="214"/>
  <c r="BL12" i="214"/>
  <c r="BH12" i="214"/>
  <c r="BD12" i="214"/>
  <c r="BE51" i="214"/>
  <c r="BC49" i="214"/>
  <c r="BH47" i="214"/>
  <c r="BE45" i="214"/>
  <c r="BX44" i="214"/>
  <c r="BT41" i="214"/>
  <c r="BN40" i="214"/>
  <c r="BW39" i="214"/>
  <c r="BK39" i="214"/>
  <c r="BT38" i="214"/>
  <c r="BE38" i="214"/>
  <c r="BW37" i="214"/>
  <c r="BG37" i="214"/>
  <c r="BQ36" i="214"/>
  <c r="BF36" i="214"/>
  <c r="BU35" i="214"/>
  <c r="BI35" i="214"/>
  <c r="BZ33" i="214"/>
  <c r="BO33" i="214"/>
  <c r="BF33" i="214"/>
  <c r="BV32" i="214"/>
  <c r="BP32" i="214"/>
  <c r="BH32" i="214"/>
  <c r="BV31" i="214"/>
  <c r="BO31" i="214"/>
  <c r="BH31" i="214"/>
  <c r="BX30" i="214"/>
  <c r="BQ30" i="214"/>
  <c r="BI30" i="214"/>
  <c r="BW29" i="214"/>
  <c r="BP29" i="214"/>
  <c r="BJ29" i="214"/>
  <c r="CA28" i="214"/>
  <c r="BU28" i="214"/>
  <c r="BP28" i="214"/>
  <c r="BK28" i="214"/>
  <c r="BE28" i="214"/>
  <c r="BZ27" i="214"/>
  <c r="BU27" i="214"/>
  <c r="BO27" i="214"/>
  <c r="BJ27" i="214"/>
  <c r="BE27" i="214"/>
  <c r="BY26" i="214"/>
  <c r="BT26" i="214"/>
  <c r="BO26" i="214"/>
  <c r="BI26" i="214"/>
  <c r="BD26" i="214"/>
  <c r="BY25" i="214"/>
  <c r="BS25" i="214"/>
  <c r="BN25" i="214"/>
  <c r="BI25" i="214"/>
  <c r="BC25" i="214"/>
  <c r="BX24" i="214"/>
  <c r="BS24" i="214"/>
  <c r="BM24" i="214"/>
  <c r="BH24" i="214"/>
  <c r="BC24" i="214"/>
  <c r="BW22" i="214"/>
  <c r="BR22" i="214"/>
  <c r="BM22" i="214"/>
  <c r="BG22" i="214"/>
  <c r="BZ48" i="214"/>
  <c r="BQ44" i="214"/>
  <c r="BP41" i="214"/>
  <c r="BY40" i="214"/>
  <c r="BI40" i="214"/>
  <c r="BV39" i="214"/>
  <c r="BG39" i="214"/>
  <c r="BP38" i="214"/>
  <c r="BD38" i="214"/>
  <c r="BR37" i="214"/>
  <c r="BC37" i="214"/>
  <c r="BP36" i="214"/>
  <c r="BQ35" i="214"/>
  <c r="BH35" i="214"/>
  <c r="BW33" i="214"/>
  <c r="BN33" i="214"/>
  <c r="BU32" i="214"/>
  <c r="BM32" i="214"/>
  <c r="BF32" i="214"/>
  <c r="CA31" i="214"/>
  <c r="BT31" i="214"/>
  <c r="BN31" i="214"/>
  <c r="BF31" i="214"/>
  <c r="BV30" i="214"/>
  <c r="BN30" i="214"/>
  <c r="BH30" i="214"/>
  <c r="BV29" i="214"/>
  <c r="BO29" i="214"/>
  <c r="BG29" i="214"/>
  <c r="BY28" i="214"/>
  <c r="BT28" i="214"/>
  <c r="BO28" i="214"/>
  <c r="BI28" i="214"/>
  <c r="BD28" i="214"/>
  <c r="BY27" i="214"/>
  <c r="BS27" i="214"/>
  <c r="BN27" i="214"/>
  <c r="BI27" i="214"/>
  <c r="BC27" i="214"/>
  <c r="BX26" i="214"/>
  <c r="BS26" i="214"/>
  <c r="BM26" i="214"/>
  <c r="BH26" i="214"/>
  <c r="BC26" i="214"/>
  <c r="BW25" i="214"/>
  <c r="BR25" i="214"/>
  <c r="BM25" i="214"/>
  <c r="BG25" i="214"/>
  <c r="BW24" i="214"/>
  <c r="BQ24" i="214"/>
  <c r="BL24" i="214"/>
  <c r="BG24" i="214"/>
  <c r="BS46" i="214"/>
  <c r="BJ41" i="214"/>
  <c r="BN38" i="214"/>
  <c r="BE35" i="214"/>
  <c r="BJ33" i="214"/>
  <c r="BE32" i="214"/>
  <c r="BD31" i="214"/>
  <c r="BM30" i="214"/>
  <c r="BT29" i="214"/>
  <c r="BM28" i="214"/>
  <c r="BR27" i="214"/>
  <c r="BL26" i="214"/>
  <c r="CA25" i="214"/>
  <c r="BF25" i="214"/>
  <c r="BK24" i="214"/>
  <c r="BZ22" i="214"/>
  <c r="BO22" i="214"/>
  <c r="BE22" i="214"/>
  <c r="BU21" i="214"/>
  <c r="BO21" i="214"/>
  <c r="BG21" i="214"/>
  <c r="BV20" i="214"/>
  <c r="BO20" i="214"/>
  <c r="BI20" i="214"/>
  <c r="CA19" i="214"/>
  <c r="BT19" i="214"/>
  <c r="BM19" i="214"/>
  <c r="BE19" i="214"/>
  <c r="BY18" i="214"/>
  <c r="BR18" i="214"/>
  <c r="BJ18" i="214"/>
  <c r="BC18" i="214"/>
  <c r="BY17" i="214"/>
  <c r="BS17" i="214"/>
  <c r="BL17" i="214"/>
  <c r="BE17" i="214"/>
  <c r="BZ16" i="214"/>
  <c r="BU16" i="214"/>
  <c r="BO16" i="214"/>
  <c r="BJ16" i="214"/>
  <c r="BE16" i="214"/>
  <c r="BY15" i="214"/>
  <c r="BT15" i="214"/>
  <c r="BO15" i="214"/>
  <c r="BI15" i="214"/>
  <c r="BD15" i="214"/>
  <c r="BY14" i="214"/>
  <c r="BS14" i="214"/>
  <c r="BN14" i="214"/>
  <c r="BI14" i="214"/>
  <c r="BC14" i="214"/>
  <c r="BX13" i="214"/>
  <c r="BS13" i="214"/>
  <c r="BM13" i="214"/>
  <c r="BH13" i="214"/>
  <c r="BC13" i="214"/>
  <c r="BW12" i="214"/>
  <c r="BR12" i="214"/>
  <c r="BM12" i="214"/>
  <c r="BG12" i="214"/>
  <c r="BX11" i="214"/>
  <c r="BT11" i="214"/>
  <c r="BP11" i="214"/>
  <c r="BL11" i="214"/>
  <c r="BH11" i="214"/>
  <c r="BD11" i="214"/>
  <c r="BZ10" i="214"/>
  <c r="BV10" i="214"/>
  <c r="BR10" i="214"/>
  <c r="BN10" i="214"/>
  <c r="BJ10" i="214"/>
  <c r="BF10" i="214"/>
  <c r="BX9" i="214"/>
  <c r="BT9" i="214"/>
  <c r="BP9" i="214"/>
  <c r="BL9" i="214"/>
  <c r="BH9" i="214"/>
  <c r="BD9" i="214"/>
  <c r="BZ8" i="214"/>
  <c r="BV8" i="214"/>
  <c r="BR8" i="214"/>
  <c r="BN8" i="214"/>
  <c r="BJ8" i="214"/>
  <c r="BF8" i="214"/>
  <c r="BX7" i="214"/>
  <c r="BT7" i="214"/>
  <c r="BP7" i="214"/>
  <c r="BL7" i="214"/>
  <c r="BH7" i="214"/>
  <c r="BD7" i="214"/>
  <c r="BZ6" i="214"/>
  <c r="BV6" i="214"/>
  <c r="BR6" i="214"/>
  <c r="BN6" i="214"/>
  <c r="BJ6" i="214"/>
  <c r="BF6" i="214"/>
  <c r="BX5" i="214"/>
  <c r="BT5" i="214"/>
  <c r="BP5" i="214"/>
  <c r="BL5" i="214"/>
  <c r="BH5" i="214"/>
  <c r="BD5" i="214"/>
  <c r="BH40" i="214"/>
  <c r="BZ38" i="214"/>
  <c r="BN37" i="214"/>
  <c r="BP35" i="214"/>
  <c r="BV33" i="214"/>
  <c r="BL32" i="214"/>
  <c r="BK31" i="214"/>
  <c r="BT30" i="214"/>
  <c r="BW27" i="214"/>
  <c r="BK25" i="214"/>
  <c r="BP24" i="214"/>
  <c r="BQ22" i="214"/>
  <c r="BI21" i="214"/>
  <c r="BC20" i="214"/>
  <c r="BH19" i="214"/>
  <c r="BT45" i="214"/>
  <c r="BZ36" i="214"/>
  <c r="BZ32" i="214"/>
  <c r="BZ31" i="214"/>
  <c r="BF30" i="214"/>
  <c r="BL29" i="214"/>
  <c r="BH28" i="214"/>
  <c r="BM27" i="214"/>
  <c r="BG26" i="214"/>
  <c r="BV25" i="214"/>
  <c r="CA24" i="214"/>
  <c r="BE24" i="214"/>
  <c r="BV22" i="214"/>
  <c r="BK22" i="214"/>
  <c r="CA21" i="214"/>
  <c r="BT21" i="214"/>
  <c r="BL21" i="214"/>
  <c r="BE21" i="214"/>
  <c r="CA20" i="214"/>
  <c r="BU20" i="214"/>
  <c r="BN20" i="214"/>
  <c r="BF20" i="214"/>
  <c r="BY19" i="214"/>
  <c r="BS19" i="214"/>
  <c r="BK19" i="214"/>
  <c r="BD19" i="214"/>
  <c r="BW18" i="214"/>
  <c r="BO18" i="214"/>
  <c r="BI18" i="214"/>
  <c r="BX17" i="214"/>
  <c r="BQ17" i="214"/>
  <c r="BI17" i="214"/>
  <c r="BD17" i="214"/>
  <c r="BY16" i="214"/>
  <c r="BS16" i="214"/>
  <c r="BN16" i="214"/>
  <c r="BI16" i="214"/>
  <c r="BC16" i="214"/>
  <c r="BX15" i="214"/>
  <c r="BS15" i="214"/>
  <c r="BM15" i="214"/>
  <c r="BH15" i="214"/>
  <c r="BC15" i="214"/>
  <c r="BW14" i="214"/>
  <c r="BR14" i="214"/>
  <c r="BM14" i="214"/>
  <c r="BG14" i="214"/>
  <c r="BW13" i="214"/>
  <c r="BQ13" i="214"/>
  <c r="BL13" i="214"/>
  <c r="BG13" i="214"/>
  <c r="CA12" i="214"/>
  <c r="BV12" i="214"/>
  <c r="BQ12" i="214"/>
  <c r="BK12" i="214"/>
  <c r="BF12" i="214"/>
  <c r="CA11" i="214"/>
  <c r="BW11" i="214"/>
  <c r="BS11" i="214"/>
  <c r="BO11" i="214"/>
  <c r="BK11" i="214"/>
  <c r="BG11" i="214"/>
  <c r="BC11" i="214"/>
  <c r="BY10" i="214"/>
  <c r="BU10" i="214"/>
  <c r="BQ10" i="214"/>
  <c r="BM10" i="214"/>
  <c r="BI10" i="214"/>
  <c r="BE10" i="214"/>
  <c r="CA9" i="214"/>
  <c r="BW9" i="214"/>
  <c r="BS9" i="214"/>
  <c r="BO9" i="214"/>
  <c r="BK9" i="214"/>
  <c r="BG9" i="214"/>
  <c r="BC9" i="214"/>
  <c r="BY8" i="214"/>
  <c r="BU8" i="214"/>
  <c r="BQ8" i="214"/>
  <c r="BM8" i="214"/>
  <c r="BI8" i="214"/>
  <c r="BE8" i="214"/>
  <c r="CA7" i="214"/>
  <c r="BW7" i="214"/>
  <c r="BS7" i="214"/>
  <c r="BO7" i="214"/>
  <c r="BK7" i="214"/>
  <c r="BG7" i="214"/>
  <c r="BC7" i="214"/>
  <c r="BY6" i="214"/>
  <c r="BU6" i="214"/>
  <c r="BQ6" i="214"/>
  <c r="BM6" i="214"/>
  <c r="BI6" i="214"/>
  <c r="BE6" i="214"/>
  <c r="CA5" i="214"/>
  <c r="BW5" i="214"/>
  <c r="BS5" i="214"/>
  <c r="BO5" i="214"/>
  <c r="BK5" i="214"/>
  <c r="BG5" i="214"/>
  <c r="BC5" i="214"/>
  <c r="BS28" i="214"/>
  <c r="BF22" i="214"/>
  <c r="BP21" i="214"/>
  <c r="BQ20" i="214"/>
  <c r="BU19" i="214"/>
  <c r="BM44" i="214"/>
  <c r="BT40" i="214"/>
  <c r="BR39" i="214"/>
  <c r="BJ36" i="214"/>
  <c r="BY35" i="214"/>
  <c r="BR32" i="214"/>
  <c r="BS31" i="214"/>
  <c r="BF29" i="214"/>
  <c r="BX28" i="214"/>
  <c r="BC28" i="214"/>
  <c r="BG27" i="214"/>
  <c r="BW26" i="214"/>
  <c r="BQ25" i="214"/>
  <c r="BU24" i="214"/>
  <c r="BU22" i="214"/>
  <c r="BJ22" i="214"/>
  <c r="BY21" i="214"/>
  <c r="BQ21" i="214"/>
  <c r="BK21" i="214"/>
  <c r="BD21" i="214"/>
  <c r="BZ20" i="214"/>
  <c r="BS20" i="214"/>
  <c r="BK20" i="214"/>
  <c r="BE20" i="214"/>
  <c r="BX19" i="214"/>
  <c r="BP19" i="214"/>
  <c r="BI19" i="214"/>
  <c r="BC19" i="214"/>
  <c r="BU18" i="214"/>
  <c r="BN18" i="214"/>
  <c r="BG18" i="214"/>
  <c r="BW17" i="214"/>
  <c r="BO17" i="214"/>
  <c r="BH17" i="214"/>
  <c r="BC17" i="214"/>
  <c r="BW16" i="214"/>
  <c r="BR16" i="214"/>
  <c r="BM16" i="214"/>
  <c r="BG16" i="214"/>
  <c r="BW15" i="214"/>
  <c r="BQ15" i="214"/>
  <c r="BL15" i="214"/>
  <c r="BG15" i="214"/>
  <c r="CA14" i="214"/>
  <c r="BV14" i="214"/>
  <c r="BQ14" i="214"/>
  <c r="BK14" i="214"/>
  <c r="BF14" i="214"/>
  <c r="CA13" i="214"/>
  <c r="BU13" i="214"/>
  <c r="BP13" i="214"/>
  <c r="BK13" i="214"/>
  <c r="BE13" i="214"/>
  <c r="BZ12" i="214"/>
  <c r="BU12" i="214"/>
  <c r="BO12" i="214"/>
  <c r="BJ12" i="214"/>
  <c r="BE12" i="214"/>
  <c r="BZ11" i="214"/>
  <c r="BV11" i="214"/>
  <c r="BR11" i="214"/>
  <c r="BN11" i="214"/>
  <c r="BJ11" i="214"/>
  <c r="BF11" i="214"/>
  <c r="BX10" i="214"/>
  <c r="BT10" i="214"/>
  <c r="BP10" i="214"/>
  <c r="BL10" i="214"/>
  <c r="BH10" i="214"/>
  <c r="BD10" i="214"/>
  <c r="BZ9" i="214"/>
  <c r="BV9" i="214"/>
  <c r="BR9" i="214"/>
  <c r="BN9" i="214"/>
  <c r="BJ9" i="214"/>
  <c r="BF9" i="214"/>
  <c r="BX8" i="214"/>
  <c r="BT8" i="214"/>
  <c r="BP8" i="214"/>
  <c r="BL8" i="214"/>
  <c r="BH8" i="214"/>
  <c r="BD8" i="214"/>
  <c r="BZ7" i="214"/>
  <c r="BV7" i="214"/>
  <c r="BR7" i="214"/>
  <c r="BN7" i="214"/>
  <c r="BJ7" i="214"/>
  <c r="BF7" i="214"/>
  <c r="BX6" i="214"/>
  <c r="BT6" i="214"/>
  <c r="BP6" i="214"/>
  <c r="BL6" i="214"/>
  <c r="BH6" i="214"/>
  <c r="BD6" i="214"/>
  <c r="BZ5" i="214"/>
  <c r="BV5" i="214"/>
  <c r="BR5" i="214"/>
  <c r="BN5" i="214"/>
  <c r="BJ5" i="214"/>
  <c r="BF5" i="214"/>
  <c r="CA29" i="214"/>
  <c r="BQ26" i="214"/>
  <c r="CA22" i="214"/>
  <c r="BW21" i="214"/>
  <c r="BY20" i="214"/>
  <c r="BJ20" i="214"/>
  <c r="BO19" i="214"/>
  <c r="BS18" i="214"/>
  <c r="BQ16" i="214"/>
  <c r="BU15" i="214"/>
  <c r="BZ14" i="214"/>
  <c r="BE14" i="214"/>
  <c r="BI13" i="214"/>
  <c r="BN12" i="214"/>
  <c r="BU11" i="214"/>
  <c r="BE11" i="214"/>
  <c r="CA10" i="214"/>
  <c r="BK10" i="214"/>
  <c r="BQ9" i="214"/>
  <c r="BW8" i="214"/>
  <c r="BG8" i="214"/>
  <c r="BM7" i="214"/>
  <c r="BS6" i="214"/>
  <c r="BC6" i="214"/>
  <c r="BY5" i="214"/>
  <c r="BI5" i="214"/>
  <c r="BS12" i="214"/>
  <c r="BU9" i="214"/>
  <c r="BE9" i="214"/>
  <c r="CA8" i="214"/>
  <c r="BK8" i="214"/>
  <c r="BG6" i="214"/>
  <c r="BM5" i="214"/>
  <c r="BM18" i="214"/>
  <c r="BT17" i="214"/>
  <c r="BK16" i="214"/>
  <c r="BP15" i="214"/>
  <c r="BU14" i="214"/>
  <c r="BY13" i="214"/>
  <c r="BD13" i="214"/>
  <c r="BI12" i="214"/>
  <c r="BQ11" i="214"/>
  <c r="BW10" i="214"/>
  <c r="BG10" i="214"/>
  <c r="BM9" i="214"/>
  <c r="BS8" i="214"/>
  <c r="BC8" i="214"/>
  <c r="BY7" i="214"/>
  <c r="BI7" i="214"/>
  <c r="BO6" i="214"/>
  <c r="BU5" i="214"/>
  <c r="BE5" i="214"/>
  <c r="BO10" i="214"/>
  <c r="BW6" i="214"/>
  <c r="BE18" i="214"/>
  <c r="BM17" i="214"/>
  <c r="CA16" i="214"/>
  <c r="BF16" i="214"/>
  <c r="BK15" i="214"/>
  <c r="BO14" i="214"/>
  <c r="BT13" i="214"/>
  <c r="BY12" i="214"/>
  <c r="BC12" i="214"/>
  <c r="BM11" i="214"/>
  <c r="BS10" i="214"/>
  <c r="BC10" i="214"/>
  <c r="BY9" i="214"/>
  <c r="BI9" i="214"/>
  <c r="BO8" i="214"/>
  <c r="BU7" i="214"/>
  <c r="BE7" i="214"/>
  <c r="CA6" i="214"/>
  <c r="BK6" i="214"/>
  <c r="BQ5" i="214"/>
  <c r="BZ18" i="214"/>
  <c r="BG17" i="214"/>
  <c r="BV16" i="214"/>
  <c r="CA15" i="214"/>
  <c r="BE15" i="214"/>
  <c r="BJ14" i="214"/>
  <c r="BO13" i="214"/>
  <c r="BY11" i="214"/>
  <c r="BI11" i="214"/>
  <c r="BQ7" i="214"/>
  <c r="BZ52" i="213"/>
  <c r="BV52" i="213"/>
  <c r="BR52" i="213"/>
  <c r="BN52" i="213"/>
  <c r="BJ52" i="213"/>
  <c r="BF52" i="213"/>
  <c r="BX51" i="213"/>
  <c r="BT51" i="213"/>
  <c r="BP51" i="213"/>
  <c r="BL51" i="213"/>
  <c r="BH51" i="213"/>
  <c r="BD51" i="213"/>
  <c r="BZ50" i="213"/>
  <c r="BV50" i="213"/>
  <c r="BR50" i="213"/>
  <c r="BN50" i="213"/>
  <c r="BJ50" i="213"/>
  <c r="BF50" i="213"/>
  <c r="BX49" i="213"/>
  <c r="BT49" i="213"/>
  <c r="BP49" i="213"/>
  <c r="BY52" i="213"/>
  <c r="BU52" i="213"/>
  <c r="BQ52" i="213"/>
  <c r="BM52" i="213"/>
  <c r="BI52" i="213"/>
  <c r="BE52" i="213"/>
  <c r="CA51" i="213"/>
  <c r="BW51" i="213"/>
  <c r="BS51" i="213"/>
  <c r="BO51" i="213"/>
  <c r="BK51" i="213"/>
  <c r="BG51" i="213"/>
  <c r="BC51" i="213"/>
  <c r="BX52" i="213"/>
  <c r="BT52" i="213"/>
  <c r="BP52" i="213"/>
  <c r="BL52" i="213"/>
  <c r="BH52" i="213"/>
  <c r="BD52" i="213"/>
  <c r="BZ51" i="213"/>
  <c r="BV51" i="213"/>
  <c r="BR51" i="213"/>
  <c r="BN51" i="213"/>
  <c r="BJ51" i="213"/>
  <c r="BF51" i="213"/>
  <c r="BX50" i="213"/>
  <c r="BT50" i="213"/>
  <c r="BP50" i="213"/>
  <c r="BL50" i="213"/>
  <c r="BH50" i="213"/>
  <c r="BD50" i="213"/>
  <c r="BO52" i="213"/>
  <c r="BU51" i="213"/>
  <c r="BE51" i="213"/>
  <c r="BU50" i="213"/>
  <c r="BM50" i="213"/>
  <c r="BE50" i="213"/>
  <c r="BW49" i="213"/>
  <c r="BR49" i="213"/>
  <c r="BM49" i="213"/>
  <c r="BI49" i="213"/>
  <c r="BE49" i="213"/>
  <c r="CA48" i="213"/>
  <c r="BW48" i="213"/>
  <c r="BS48" i="213"/>
  <c r="BO48" i="213"/>
  <c r="BK48" i="213"/>
  <c r="BG48" i="213"/>
  <c r="BC48" i="213"/>
  <c r="BY47" i="213"/>
  <c r="BU47" i="213"/>
  <c r="BQ47" i="213"/>
  <c r="BM47" i="213"/>
  <c r="BI47" i="213"/>
  <c r="BE47" i="213"/>
  <c r="CA46" i="213"/>
  <c r="BW46" i="213"/>
  <c r="BS46" i="213"/>
  <c r="BO46" i="213"/>
  <c r="BK46" i="213"/>
  <c r="BG46" i="213"/>
  <c r="BC46" i="213"/>
  <c r="BY45" i="213"/>
  <c r="BU45" i="213"/>
  <c r="BQ45" i="213"/>
  <c r="BM45" i="213"/>
  <c r="BI45" i="213"/>
  <c r="BE45" i="213"/>
  <c r="CA52" i="213"/>
  <c r="BK52" i="213"/>
  <c r="BQ51" i="213"/>
  <c r="CA50" i="213"/>
  <c r="BS50" i="213"/>
  <c r="BK50" i="213"/>
  <c r="BC50" i="213"/>
  <c r="CA49" i="213"/>
  <c r="BV49" i="213"/>
  <c r="BQ49" i="213"/>
  <c r="BL49" i="213"/>
  <c r="BH49" i="213"/>
  <c r="BD49" i="213"/>
  <c r="BZ48" i="213"/>
  <c r="BV48" i="213"/>
  <c r="BR48" i="213"/>
  <c r="BN48" i="213"/>
  <c r="BJ48" i="213"/>
  <c r="BF48" i="213"/>
  <c r="BX47" i="213"/>
  <c r="BT47" i="213"/>
  <c r="BP47" i="213"/>
  <c r="BL47" i="213"/>
  <c r="BH47" i="213"/>
  <c r="BD47" i="213"/>
  <c r="BS52" i="213"/>
  <c r="BM51" i="213"/>
  <c r="BO50" i="213"/>
  <c r="BZ49" i="213"/>
  <c r="BO49" i="213"/>
  <c r="BG49" i="213"/>
  <c r="BX48" i="213"/>
  <c r="BP48" i="213"/>
  <c r="BH48" i="213"/>
  <c r="BW47" i="213"/>
  <c r="BO47" i="213"/>
  <c r="BG47" i="213"/>
  <c r="BV46" i="213"/>
  <c r="BQ46" i="213"/>
  <c r="BL46" i="213"/>
  <c r="BF46" i="213"/>
  <c r="BZ45" i="213"/>
  <c r="BT45" i="213"/>
  <c r="BO45" i="213"/>
  <c r="BJ45" i="213"/>
  <c r="BD45" i="213"/>
  <c r="CA44" i="213"/>
  <c r="BW44" i="213"/>
  <c r="BS44" i="213"/>
  <c r="BO44" i="213"/>
  <c r="BK44" i="213"/>
  <c r="BG44" i="213"/>
  <c r="BC44" i="213"/>
  <c r="BY41" i="213"/>
  <c r="BU41" i="213"/>
  <c r="BQ41" i="213"/>
  <c r="BM41" i="213"/>
  <c r="BI41" i="213"/>
  <c r="BE41" i="213"/>
  <c r="CA40" i="213"/>
  <c r="BW40" i="213"/>
  <c r="BS40" i="213"/>
  <c r="BO40" i="213"/>
  <c r="BK40" i="213"/>
  <c r="BG40" i="213"/>
  <c r="BC40" i="213"/>
  <c r="BY39" i="213"/>
  <c r="BU39" i="213"/>
  <c r="BQ39" i="213"/>
  <c r="BM39" i="213"/>
  <c r="BI39" i="213"/>
  <c r="BE39" i="213"/>
  <c r="CA38" i="213"/>
  <c r="BW38" i="213"/>
  <c r="BS38" i="213"/>
  <c r="BO38" i="213"/>
  <c r="BK38" i="213"/>
  <c r="BG38" i="213"/>
  <c r="BC38" i="213"/>
  <c r="BG52" i="213"/>
  <c r="BI51" i="213"/>
  <c r="BY50" i="213"/>
  <c r="BI50" i="213"/>
  <c r="BY49" i="213"/>
  <c r="BN49" i="213"/>
  <c r="BF49" i="213"/>
  <c r="BU48" i="213"/>
  <c r="BM48" i="213"/>
  <c r="BE48" i="213"/>
  <c r="BV47" i="213"/>
  <c r="BN47" i="213"/>
  <c r="BF47" i="213"/>
  <c r="BZ46" i="213"/>
  <c r="BU46" i="213"/>
  <c r="BP46" i="213"/>
  <c r="BJ46" i="213"/>
  <c r="BE46" i="213"/>
  <c r="BX45" i="213"/>
  <c r="BS45" i="213"/>
  <c r="BN45" i="213"/>
  <c r="BH45" i="213"/>
  <c r="BC45" i="213"/>
  <c r="BZ44" i="213"/>
  <c r="BV44" i="213"/>
  <c r="BR44" i="213"/>
  <c r="BN44" i="213"/>
  <c r="BJ44" i="213"/>
  <c r="BF44" i="213"/>
  <c r="BW52" i="213"/>
  <c r="BQ50" i="213"/>
  <c r="BS49" i="213"/>
  <c r="BT48" i="213"/>
  <c r="BD48" i="213"/>
  <c r="BZ47" i="213"/>
  <c r="BJ47" i="213"/>
  <c r="BT46" i="213"/>
  <c r="BI46" i="213"/>
  <c r="BW45" i="213"/>
  <c r="BL45" i="213"/>
  <c r="BX44" i="213"/>
  <c r="BP44" i="213"/>
  <c r="BH44" i="213"/>
  <c r="BX41" i="213"/>
  <c r="BS41" i="213"/>
  <c r="BN41" i="213"/>
  <c r="BH41" i="213"/>
  <c r="BC41" i="213"/>
  <c r="BC52" i="213"/>
  <c r="BG50" i="213"/>
  <c r="BK49" i="213"/>
  <c r="BQ48" i="213"/>
  <c r="BS47" i="213"/>
  <c r="BC47" i="213"/>
  <c r="BR46" i="213"/>
  <c r="BH46" i="213"/>
  <c r="BV45" i="213"/>
  <c r="BK45" i="213"/>
  <c r="BU44" i="213"/>
  <c r="BM44" i="213"/>
  <c r="BE44" i="213"/>
  <c r="BW41" i="213"/>
  <c r="BR41" i="213"/>
  <c r="BL41" i="213"/>
  <c r="BG41" i="213"/>
  <c r="BZ40" i="213"/>
  <c r="BU40" i="213"/>
  <c r="BP40" i="213"/>
  <c r="BJ40" i="213"/>
  <c r="BE40" i="213"/>
  <c r="BX39" i="213"/>
  <c r="BS39" i="213"/>
  <c r="BN39" i="213"/>
  <c r="BH39" i="213"/>
  <c r="BC39" i="213"/>
  <c r="BY51" i="213"/>
  <c r="BJ49" i="213"/>
  <c r="BL48" i="213"/>
  <c r="BR47" i="213"/>
  <c r="BY46" i="213"/>
  <c r="BN46" i="213"/>
  <c r="BD46" i="213"/>
  <c r="BR45" i="213"/>
  <c r="BG45" i="213"/>
  <c r="BT44" i="213"/>
  <c r="BL44" i="213"/>
  <c r="BD44" i="213"/>
  <c r="CA41" i="213"/>
  <c r="BV41" i="213"/>
  <c r="BP41" i="213"/>
  <c r="BK41" i="213"/>
  <c r="BF41" i="213"/>
  <c r="BY40" i="213"/>
  <c r="BT40" i="213"/>
  <c r="BN40" i="213"/>
  <c r="BI40" i="213"/>
  <c r="BD40" i="213"/>
  <c r="BW39" i="213"/>
  <c r="BR39" i="213"/>
  <c r="BL39" i="213"/>
  <c r="BG39" i="213"/>
  <c r="BU49" i="213"/>
  <c r="BY44" i="213"/>
  <c r="BJ41" i="213"/>
  <c r="BV40" i="213"/>
  <c r="BL40" i="213"/>
  <c r="BZ39" i="213"/>
  <c r="BO39" i="213"/>
  <c r="BD39" i="213"/>
  <c r="BV38" i="213"/>
  <c r="BQ38" i="213"/>
  <c r="BL38" i="213"/>
  <c r="BF38" i="213"/>
  <c r="BY37" i="213"/>
  <c r="BU37" i="213"/>
  <c r="BQ37" i="213"/>
  <c r="BM37" i="213"/>
  <c r="BI37" i="213"/>
  <c r="BE37" i="213"/>
  <c r="CA36" i="213"/>
  <c r="BW36" i="213"/>
  <c r="BS36" i="213"/>
  <c r="BO36" i="213"/>
  <c r="BK36" i="213"/>
  <c r="BG36" i="213"/>
  <c r="BC36" i="213"/>
  <c r="BY35" i="213"/>
  <c r="BU35" i="213"/>
  <c r="BQ35" i="213"/>
  <c r="BM35" i="213"/>
  <c r="BI35" i="213"/>
  <c r="BE35" i="213"/>
  <c r="CA33" i="213"/>
  <c r="BW33" i="213"/>
  <c r="BS33" i="213"/>
  <c r="BO33" i="213"/>
  <c r="BK33" i="213"/>
  <c r="BG33" i="213"/>
  <c r="BC33" i="213"/>
  <c r="BY32" i="213"/>
  <c r="BU32" i="213"/>
  <c r="BQ32" i="213"/>
  <c r="BM32" i="213"/>
  <c r="BI32" i="213"/>
  <c r="BE32" i="213"/>
  <c r="CA31" i="213"/>
  <c r="BW31" i="213"/>
  <c r="BS31" i="213"/>
  <c r="BO31" i="213"/>
  <c r="BK31" i="213"/>
  <c r="BG31" i="213"/>
  <c r="BC31" i="213"/>
  <c r="BY30" i="213"/>
  <c r="BU30" i="213"/>
  <c r="BQ30" i="213"/>
  <c r="BM30" i="213"/>
  <c r="BI30" i="213"/>
  <c r="BE30" i="213"/>
  <c r="BW50" i="213"/>
  <c r="CA47" i="213"/>
  <c r="CA45" i="213"/>
  <c r="BI44" i="213"/>
  <c r="BZ41" i="213"/>
  <c r="BQ40" i="213"/>
  <c r="BV39" i="213"/>
  <c r="BJ39" i="213"/>
  <c r="BY38" i="213"/>
  <c r="BR38" i="213"/>
  <c r="BJ38" i="213"/>
  <c r="BD38" i="213"/>
  <c r="BW37" i="213"/>
  <c r="BR37" i="213"/>
  <c r="BL37" i="213"/>
  <c r="BG37" i="213"/>
  <c r="BZ36" i="213"/>
  <c r="BU36" i="213"/>
  <c r="BP36" i="213"/>
  <c r="BJ36" i="213"/>
  <c r="BE36" i="213"/>
  <c r="BX35" i="213"/>
  <c r="BS35" i="213"/>
  <c r="BN35" i="213"/>
  <c r="BH35" i="213"/>
  <c r="BC35" i="213"/>
  <c r="BV33" i="213"/>
  <c r="BQ33" i="213"/>
  <c r="BL33" i="213"/>
  <c r="BF33" i="213"/>
  <c r="BZ32" i="213"/>
  <c r="BT32" i="213"/>
  <c r="BO32" i="213"/>
  <c r="BJ32" i="213"/>
  <c r="BD32" i="213"/>
  <c r="BX31" i="213"/>
  <c r="BR31" i="213"/>
  <c r="BM31" i="213"/>
  <c r="BH31" i="213"/>
  <c r="CA30" i="213"/>
  <c r="BV30" i="213"/>
  <c r="BP30" i="213"/>
  <c r="BK30" i="213"/>
  <c r="BF30" i="213"/>
  <c r="BZ29" i="213"/>
  <c r="BV29" i="213"/>
  <c r="BR29" i="213"/>
  <c r="BN29" i="213"/>
  <c r="BJ29" i="213"/>
  <c r="BF29" i="213"/>
  <c r="BX28" i="213"/>
  <c r="BT28" i="213"/>
  <c r="BP28" i="213"/>
  <c r="BL28" i="213"/>
  <c r="BH28" i="213"/>
  <c r="BD28" i="213"/>
  <c r="BZ27" i="213"/>
  <c r="BV27" i="213"/>
  <c r="BR27" i="213"/>
  <c r="BN27" i="213"/>
  <c r="BJ27" i="213"/>
  <c r="BF27" i="213"/>
  <c r="BX26" i="213"/>
  <c r="BT26" i="213"/>
  <c r="BP26" i="213"/>
  <c r="BL26" i="213"/>
  <c r="BH26" i="213"/>
  <c r="BD26" i="213"/>
  <c r="BZ25" i="213"/>
  <c r="BV25" i="213"/>
  <c r="BR25" i="213"/>
  <c r="BN25" i="213"/>
  <c r="BJ25" i="213"/>
  <c r="BF25" i="213"/>
  <c r="BX24" i="213"/>
  <c r="BT24" i="213"/>
  <c r="BP24" i="213"/>
  <c r="BL24" i="213"/>
  <c r="BH24" i="213"/>
  <c r="BD24" i="213"/>
  <c r="BZ22" i="213"/>
  <c r="BV22" i="213"/>
  <c r="BR22" i="213"/>
  <c r="BN22" i="213"/>
  <c r="BJ22" i="213"/>
  <c r="BF22" i="213"/>
  <c r="BX21" i="213"/>
  <c r="BT21" i="213"/>
  <c r="BP21" i="213"/>
  <c r="BL21" i="213"/>
  <c r="BH21" i="213"/>
  <c r="BD21" i="213"/>
  <c r="BZ20" i="213"/>
  <c r="BV20" i="213"/>
  <c r="BR20" i="213"/>
  <c r="BN20" i="213"/>
  <c r="BJ20" i="213"/>
  <c r="BF20" i="213"/>
  <c r="BX19" i="213"/>
  <c r="BT19" i="213"/>
  <c r="BP19" i="213"/>
  <c r="BL19" i="213"/>
  <c r="BH19" i="213"/>
  <c r="BD19" i="213"/>
  <c r="BZ18" i="213"/>
  <c r="BV18" i="213"/>
  <c r="BR18" i="213"/>
  <c r="BN18" i="213"/>
  <c r="BJ18" i="213"/>
  <c r="BF18" i="213"/>
  <c r="BX17" i="213"/>
  <c r="BC49" i="213"/>
  <c r="BK47" i="213"/>
  <c r="BP45" i="213"/>
  <c r="BT41" i="213"/>
  <c r="BM40" i="213"/>
  <c r="BT39" i="213"/>
  <c r="BF39" i="213"/>
  <c r="BX38" i="213"/>
  <c r="BP38" i="213"/>
  <c r="BI38" i="213"/>
  <c r="CA37" i="213"/>
  <c r="BV37" i="213"/>
  <c r="BP37" i="213"/>
  <c r="BK37" i="213"/>
  <c r="BF37" i="213"/>
  <c r="BY36" i="213"/>
  <c r="BT36" i="213"/>
  <c r="BN36" i="213"/>
  <c r="BI36" i="213"/>
  <c r="BD36" i="213"/>
  <c r="BW35" i="213"/>
  <c r="BR35" i="213"/>
  <c r="BL35" i="213"/>
  <c r="BG35" i="213"/>
  <c r="BZ33" i="213"/>
  <c r="BU33" i="213"/>
  <c r="BP33" i="213"/>
  <c r="BJ33" i="213"/>
  <c r="BE33" i="213"/>
  <c r="BX32" i="213"/>
  <c r="BS32" i="213"/>
  <c r="BN32" i="213"/>
  <c r="BH32" i="213"/>
  <c r="BC32" i="213"/>
  <c r="BV31" i="213"/>
  <c r="BQ31" i="213"/>
  <c r="BL31" i="213"/>
  <c r="BF31" i="213"/>
  <c r="BZ30" i="213"/>
  <c r="BT30" i="213"/>
  <c r="BO30" i="213"/>
  <c r="BJ30" i="213"/>
  <c r="BD30" i="213"/>
  <c r="BY29" i="213"/>
  <c r="BU29" i="213"/>
  <c r="BQ29" i="213"/>
  <c r="BM29" i="213"/>
  <c r="BI29" i="213"/>
  <c r="BE29" i="213"/>
  <c r="CA28" i="213"/>
  <c r="BW28" i="213"/>
  <c r="BS28" i="213"/>
  <c r="BO28" i="213"/>
  <c r="BK28" i="213"/>
  <c r="BG28" i="213"/>
  <c r="BC28" i="213"/>
  <c r="BY27" i="213"/>
  <c r="BU27" i="213"/>
  <c r="BQ27" i="213"/>
  <c r="BM27" i="213"/>
  <c r="BI27" i="213"/>
  <c r="BE27" i="213"/>
  <c r="CA26" i="213"/>
  <c r="BW26" i="213"/>
  <c r="BS26" i="213"/>
  <c r="BO26" i="213"/>
  <c r="BK26" i="213"/>
  <c r="BG26" i="213"/>
  <c r="BC26" i="213"/>
  <c r="BY25" i="213"/>
  <c r="BU25" i="213"/>
  <c r="BQ25" i="213"/>
  <c r="BM25" i="213"/>
  <c r="BI25" i="213"/>
  <c r="BE25" i="213"/>
  <c r="CA24" i="213"/>
  <c r="BW24" i="213"/>
  <c r="BS24" i="213"/>
  <c r="BO24" i="213"/>
  <c r="BK24" i="213"/>
  <c r="BG24" i="213"/>
  <c r="BC24" i="213"/>
  <c r="BY22" i="213"/>
  <c r="BU22" i="213"/>
  <c r="BQ22" i="213"/>
  <c r="BM22" i="213"/>
  <c r="BI22" i="213"/>
  <c r="BE22" i="213"/>
  <c r="BY48" i="213"/>
  <c r="BX46" i="213"/>
  <c r="BR40" i="213"/>
  <c r="BP39" i="213"/>
  <c r="BU38" i="213"/>
  <c r="BH38" i="213"/>
  <c r="BZ37" i="213"/>
  <c r="BO37" i="213"/>
  <c r="BD37" i="213"/>
  <c r="BV36" i="213"/>
  <c r="BL36" i="213"/>
  <c r="BZ35" i="213"/>
  <c r="BO35" i="213"/>
  <c r="BD35" i="213"/>
  <c r="BX33" i="213"/>
  <c r="BM33" i="213"/>
  <c r="CA32" i="213"/>
  <c r="BP32" i="213"/>
  <c r="BF32" i="213"/>
  <c r="BU31" i="213"/>
  <c r="BJ31" i="213"/>
  <c r="BS30" i="213"/>
  <c r="BH30" i="213"/>
  <c r="BW29" i="213"/>
  <c r="BO29" i="213"/>
  <c r="BG29" i="213"/>
  <c r="BV28" i="213"/>
  <c r="BN28" i="213"/>
  <c r="BF28" i="213"/>
  <c r="BW27" i="213"/>
  <c r="BO27" i="213"/>
  <c r="BG27" i="213"/>
  <c r="BV26" i="213"/>
  <c r="BN26" i="213"/>
  <c r="BF26" i="213"/>
  <c r="BW25" i="213"/>
  <c r="BO25" i="213"/>
  <c r="BG25" i="213"/>
  <c r="BV24" i="213"/>
  <c r="BN24" i="213"/>
  <c r="BF24" i="213"/>
  <c r="BW22" i="213"/>
  <c r="BO22" i="213"/>
  <c r="BG22" i="213"/>
  <c r="BY21" i="213"/>
  <c r="BS21" i="213"/>
  <c r="BN21" i="213"/>
  <c r="BI21" i="213"/>
  <c r="BC21" i="213"/>
  <c r="BX20" i="213"/>
  <c r="BS20" i="213"/>
  <c r="BM20" i="213"/>
  <c r="BH20" i="213"/>
  <c r="BC20" i="213"/>
  <c r="BW19" i="213"/>
  <c r="BR19" i="213"/>
  <c r="BM19" i="213"/>
  <c r="BG19" i="213"/>
  <c r="BW18" i="213"/>
  <c r="BQ18" i="213"/>
  <c r="BL18" i="213"/>
  <c r="BG18" i="213"/>
  <c r="CA17" i="213"/>
  <c r="BV17" i="213"/>
  <c r="BR17" i="213"/>
  <c r="BN17" i="213"/>
  <c r="BJ17" i="213"/>
  <c r="BF17" i="213"/>
  <c r="BX16" i="213"/>
  <c r="BT16" i="213"/>
  <c r="BP16" i="213"/>
  <c r="BL16" i="213"/>
  <c r="BH16" i="213"/>
  <c r="BD16" i="213"/>
  <c r="BZ15" i="213"/>
  <c r="BV15" i="213"/>
  <c r="BR15" i="213"/>
  <c r="BN15" i="213"/>
  <c r="BJ15" i="213"/>
  <c r="BF15" i="213"/>
  <c r="BX14" i="213"/>
  <c r="BT14" i="213"/>
  <c r="BP14" i="213"/>
  <c r="BL14" i="213"/>
  <c r="BH14" i="213"/>
  <c r="BD14" i="213"/>
  <c r="BZ13" i="213"/>
  <c r="BV13" i="213"/>
  <c r="BR13" i="213"/>
  <c r="BN13" i="213"/>
  <c r="BJ13" i="213"/>
  <c r="BF13" i="213"/>
  <c r="BX12" i="213"/>
  <c r="BT12" i="213"/>
  <c r="BP12" i="213"/>
  <c r="BL12" i="213"/>
  <c r="BH12" i="213"/>
  <c r="BD12" i="213"/>
  <c r="BZ11" i="213"/>
  <c r="BV11" i="213"/>
  <c r="BR11" i="213"/>
  <c r="BI48" i="213"/>
  <c r="BM46" i="213"/>
  <c r="BF45" i="213"/>
  <c r="BO41" i="213"/>
  <c r="BH40" i="213"/>
  <c r="BK39" i="213"/>
  <c r="BT38" i="213"/>
  <c r="BE38" i="213"/>
  <c r="BX37" i="213"/>
  <c r="BN37" i="213"/>
  <c r="BC37" i="213"/>
  <c r="BR36" i="213"/>
  <c r="BH36" i="213"/>
  <c r="BV35" i="213"/>
  <c r="BK35" i="213"/>
  <c r="BT33" i="213"/>
  <c r="BI33" i="213"/>
  <c r="BW32" i="213"/>
  <c r="BL32" i="213"/>
  <c r="BT31" i="213"/>
  <c r="BI31" i="213"/>
  <c r="BR30" i="213"/>
  <c r="BG30" i="213"/>
  <c r="BT29" i="213"/>
  <c r="BL29" i="213"/>
  <c r="BD29" i="213"/>
  <c r="BU28" i="213"/>
  <c r="BM28" i="213"/>
  <c r="BE28" i="213"/>
  <c r="BT27" i="213"/>
  <c r="BL27" i="213"/>
  <c r="BD27" i="213"/>
  <c r="BU26" i="213"/>
  <c r="BM26" i="213"/>
  <c r="BE26" i="213"/>
  <c r="BT25" i="213"/>
  <c r="BL25" i="213"/>
  <c r="BD25" i="213"/>
  <c r="BU24" i="213"/>
  <c r="BM24" i="213"/>
  <c r="BE24" i="213"/>
  <c r="BT22" i="213"/>
  <c r="BL22" i="213"/>
  <c r="BD22" i="213"/>
  <c r="BW21" i="213"/>
  <c r="BR21" i="213"/>
  <c r="BM21" i="213"/>
  <c r="BG21" i="213"/>
  <c r="BW20" i="213"/>
  <c r="BQ20" i="213"/>
  <c r="BL20" i="213"/>
  <c r="BG20" i="213"/>
  <c r="CA19" i="213"/>
  <c r="BV19" i="213"/>
  <c r="BQ19" i="213"/>
  <c r="BK19" i="213"/>
  <c r="BF19" i="213"/>
  <c r="CA18" i="213"/>
  <c r="BU18" i="213"/>
  <c r="BP18" i="213"/>
  <c r="BK18" i="213"/>
  <c r="BE18" i="213"/>
  <c r="BZ17" i="213"/>
  <c r="BU17" i="213"/>
  <c r="BQ17" i="213"/>
  <c r="BM17" i="213"/>
  <c r="BI17" i="213"/>
  <c r="BE17" i="213"/>
  <c r="BQ44" i="213"/>
  <c r="BD41" i="213"/>
  <c r="BF40" i="213"/>
  <c r="BN38" i="213"/>
  <c r="BT37" i="213"/>
  <c r="BJ37" i="213"/>
  <c r="BQ36" i="213"/>
  <c r="BF36" i="213"/>
  <c r="BT35" i="213"/>
  <c r="BJ35" i="213"/>
  <c r="BR33" i="213"/>
  <c r="BH33" i="213"/>
  <c r="BV32" i="213"/>
  <c r="BK32" i="213"/>
  <c r="BZ31" i="213"/>
  <c r="BP31" i="213"/>
  <c r="BE31" i="213"/>
  <c r="BX30" i="213"/>
  <c r="BN30" i="213"/>
  <c r="BC30" i="213"/>
  <c r="CA29" i="213"/>
  <c r="BS29" i="213"/>
  <c r="BK29" i="213"/>
  <c r="BC29" i="213"/>
  <c r="BZ28" i="213"/>
  <c r="BR28" i="213"/>
  <c r="BJ28" i="213"/>
  <c r="CA27" i="213"/>
  <c r="BS27" i="213"/>
  <c r="BK27" i="213"/>
  <c r="BC27" i="213"/>
  <c r="BZ26" i="213"/>
  <c r="BR26" i="213"/>
  <c r="BJ26" i="213"/>
  <c r="CA25" i="213"/>
  <c r="BS25" i="213"/>
  <c r="BK25" i="213"/>
  <c r="BC25" i="213"/>
  <c r="BZ24" i="213"/>
  <c r="BR24" i="213"/>
  <c r="BJ24" i="213"/>
  <c r="CA22" i="213"/>
  <c r="BS22" i="213"/>
  <c r="BK22" i="213"/>
  <c r="BC22" i="213"/>
  <c r="CA21" i="213"/>
  <c r="BV21" i="213"/>
  <c r="BQ21" i="213"/>
  <c r="BK21" i="213"/>
  <c r="BF21" i="213"/>
  <c r="CA20" i="213"/>
  <c r="BU20" i="213"/>
  <c r="BP20" i="213"/>
  <c r="BK20" i="213"/>
  <c r="BE20" i="213"/>
  <c r="BZ19" i="213"/>
  <c r="BU19" i="213"/>
  <c r="BO19" i="213"/>
  <c r="BJ19" i="213"/>
  <c r="BM36" i="213"/>
  <c r="BP35" i="213"/>
  <c r="BG32" i="213"/>
  <c r="BN31" i="213"/>
  <c r="BW30" i="213"/>
  <c r="BH29" i="213"/>
  <c r="BY26" i="213"/>
  <c r="BX25" i="213"/>
  <c r="BQ24" i="213"/>
  <c r="BP22" i="213"/>
  <c r="BZ21" i="213"/>
  <c r="BE21" i="213"/>
  <c r="BI20" i="213"/>
  <c r="BN19" i="213"/>
  <c r="BT18" i="213"/>
  <c r="BI18" i="213"/>
  <c r="BT17" i="213"/>
  <c r="BL17" i="213"/>
  <c r="BD17" i="213"/>
  <c r="BZ16" i="213"/>
  <c r="BU16" i="213"/>
  <c r="BO16" i="213"/>
  <c r="BJ16" i="213"/>
  <c r="BE16" i="213"/>
  <c r="BY15" i="213"/>
  <c r="BT15" i="213"/>
  <c r="BO15" i="213"/>
  <c r="BI15" i="213"/>
  <c r="BD15" i="213"/>
  <c r="BY14" i="213"/>
  <c r="BS14" i="213"/>
  <c r="BN14" i="213"/>
  <c r="BI14" i="213"/>
  <c r="BC14" i="213"/>
  <c r="BX13" i="213"/>
  <c r="BS13" i="213"/>
  <c r="BM13" i="213"/>
  <c r="BH13" i="213"/>
  <c r="BC13" i="213"/>
  <c r="BW12" i="213"/>
  <c r="BR12" i="213"/>
  <c r="BM12" i="213"/>
  <c r="BG12" i="213"/>
  <c r="BW11" i="213"/>
  <c r="BQ11" i="213"/>
  <c r="BM11" i="213"/>
  <c r="BI11" i="213"/>
  <c r="BE11" i="213"/>
  <c r="CA10" i="213"/>
  <c r="BW10" i="213"/>
  <c r="BS10" i="213"/>
  <c r="BO10" i="213"/>
  <c r="BK10" i="213"/>
  <c r="BG10" i="213"/>
  <c r="BC10" i="213"/>
  <c r="BY9" i="213"/>
  <c r="BU9" i="213"/>
  <c r="BQ9" i="213"/>
  <c r="BM9" i="213"/>
  <c r="BI9" i="213"/>
  <c r="BE9" i="213"/>
  <c r="CA8" i="213"/>
  <c r="BW8" i="213"/>
  <c r="BS8" i="213"/>
  <c r="BO8" i="213"/>
  <c r="BK8" i="213"/>
  <c r="BG8" i="213"/>
  <c r="BC8" i="213"/>
  <c r="BY7" i="213"/>
  <c r="BU7" i="213"/>
  <c r="BQ7" i="213"/>
  <c r="BM7" i="213"/>
  <c r="BI7" i="213"/>
  <c r="BE7" i="213"/>
  <c r="CA6" i="213"/>
  <c r="BW6" i="213"/>
  <c r="BS6" i="213"/>
  <c r="BO6" i="213"/>
  <c r="BK6" i="213"/>
  <c r="BG6" i="213"/>
  <c r="BC6" i="213"/>
  <c r="BY5" i="213"/>
  <c r="BU5" i="213"/>
  <c r="BQ5" i="213"/>
  <c r="BM5" i="213"/>
  <c r="BI5" i="213"/>
  <c r="BE5" i="213"/>
  <c r="BX40" i="213"/>
  <c r="BZ38" i="213"/>
  <c r="BX29" i="213"/>
  <c r="BQ28" i="213"/>
  <c r="BI26" i="213"/>
  <c r="BH25" i="213"/>
  <c r="BT20" i="213"/>
  <c r="BE19" i="213"/>
  <c r="BY18" i="213"/>
  <c r="BD18" i="213"/>
  <c r="BY17" i="213"/>
  <c r="BP17" i="213"/>
  <c r="BR16" i="213"/>
  <c r="BG16" i="213"/>
  <c r="BW15" i="213"/>
  <c r="BQ15" i="213"/>
  <c r="BG15" i="213"/>
  <c r="CA14" i="213"/>
  <c r="BQ14" i="213"/>
  <c r="BF14" i="213"/>
  <c r="BU13" i="213"/>
  <c r="BK13" i="213"/>
  <c r="BZ12" i="213"/>
  <c r="BU12" i="213"/>
  <c r="BJ12" i="213"/>
  <c r="BY11" i="213"/>
  <c r="BT11" i="213"/>
  <c r="BK11" i="213"/>
  <c r="BC11" i="213"/>
  <c r="CA39" i="213"/>
  <c r="BF35" i="213"/>
  <c r="BY33" i="213"/>
  <c r="BD31" i="213"/>
  <c r="BL30" i="213"/>
  <c r="BY28" i="213"/>
  <c r="BX27" i="213"/>
  <c r="BQ26" i="213"/>
  <c r="BP25" i="213"/>
  <c r="BI24" i="213"/>
  <c r="BH22" i="213"/>
  <c r="BU21" i="213"/>
  <c r="BY20" i="213"/>
  <c r="BD20" i="213"/>
  <c r="BI19" i="213"/>
  <c r="BS18" i="213"/>
  <c r="BH18" i="213"/>
  <c r="BS17" i="213"/>
  <c r="BK17" i="213"/>
  <c r="BC17" i="213"/>
  <c r="BY16" i="213"/>
  <c r="BS16" i="213"/>
  <c r="BN16" i="213"/>
  <c r="BI16" i="213"/>
  <c r="BC16" i="213"/>
  <c r="BX15" i="213"/>
  <c r="BS15" i="213"/>
  <c r="BM15" i="213"/>
  <c r="BH15" i="213"/>
  <c r="BC15" i="213"/>
  <c r="BW14" i="213"/>
  <c r="BR14" i="213"/>
  <c r="BM14" i="213"/>
  <c r="BG14" i="213"/>
  <c r="BW13" i="213"/>
  <c r="BQ13" i="213"/>
  <c r="BL13" i="213"/>
  <c r="BG13" i="213"/>
  <c r="CA12" i="213"/>
  <c r="BV12" i="213"/>
  <c r="BQ12" i="213"/>
  <c r="BK12" i="213"/>
  <c r="BF12" i="213"/>
  <c r="CA11" i="213"/>
  <c r="BU11" i="213"/>
  <c r="BP11" i="213"/>
  <c r="BL11" i="213"/>
  <c r="BH11" i="213"/>
  <c r="BD11" i="213"/>
  <c r="BZ10" i="213"/>
  <c r="BV10" i="213"/>
  <c r="BR10" i="213"/>
  <c r="BN10" i="213"/>
  <c r="BJ10" i="213"/>
  <c r="BF10" i="213"/>
  <c r="BX9" i="213"/>
  <c r="BT9" i="213"/>
  <c r="BP9" i="213"/>
  <c r="BL9" i="213"/>
  <c r="BH9" i="213"/>
  <c r="BD9" i="213"/>
  <c r="BZ8" i="213"/>
  <c r="BV8" i="213"/>
  <c r="BR8" i="213"/>
  <c r="BN8" i="213"/>
  <c r="BJ8" i="213"/>
  <c r="BF8" i="213"/>
  <c r="BX7" i="213"/>
  <c r="BT7" i="213"/>
  <c r="BP7" i="213"/>
  <c r="BL7" i="213"/>
  <c r="BH7" i="213"/>
  <c r="BD7" i="213"/>
  <c r="BZ6" i="213"/>
  <c r="BV6" i="213"/>
  <c r="BR6" i="213"/>
  <c r="BN6" i="213"/>
  <c r="BJ6" i="213"/>
  <c r="BF6" i="213"/>
  <c r="BX5" i="213"/>
  <c r="BT5" i="213"/>
  <c r="BP5" i="213"/>
  <c r="BL5" i="213"/>
  <c r="BH5" i="213"/>
  <c r="BD5" i="213"/>
  <c r="BS37" i="213"/>
  <c r="BN33" i="213"/>
  <c r="BP27" i="213"/>
  <c r="BO21" i="213"/>
  <c r="BY19" i="213"/>
  <c r="BO18" i="213"/>
  <c r="BH17" i="213"/>
  <c r="BW16" i="213"/>
  <c r="BM16" i="213"/>
  <c r="BL15" i="213"/>
  <c r="BV14" i="213"/>
  <c r="BK14" i="213"/>
  <c r="CA13" i="213"/>
  <c r="BP13" i="213"/>
  <c r="BE13" i="213"/>
  <c r="BO12" i="213"/>
  <c r="BE12" i="213"/>
  <c r="BO11" i="213"/>
  <c r="BG11" i="213"/>
  <c r="BI28" i="213"/>
  <c r="BY24" i="213"/>
  <c r="BX22" i="213"/>
  <c r="BG17" i="213"/>
  <c r="BK16" i="213"/>
  <c r="BP15" i="213"/>
  <c r="BU14" i="213"/>
  <c r="BY13" i="213"/>
  <c r="BD13" i="213"/>
  <c r="BI12" i="213"/>
  <c r="BN11" i="213"/>
  <c r="BY10" i="213"/>
  <c r="BQ10" i="213"/>
  <c r="BI10" i="213"/>
  <c r="BZ9" i="213"/>
  <c r="BR9" i="213"/>
  <c r="BJ9" i="213"/>
  <c r="BY8" i="213"/>
  <c r="BQ8" i="213"/>
  <c r="BI8" i="213"/>
  <c r="BZ7" i="213"/>
  <c r="BR7" i="213"/>
  <c r="BJ7" i="213"/>
  <c r="BY6" i="213"/>
  <c r="BQ6" i="213"/>
  <c r="BI6" i="213"/>
  <c r="BZ5" i="213"/>
  <c r="BR5" i="213"/>
  <c r="BJ5" i="213"/>
  <c r="BH37" i="213"/>
  <c r="BX36" i="213"/>
  <c r="CA35" i="213"/>
  <c r="BR32" i="213"/>
  <c r="BY31" i="213"/>
  <c r="BJ21" i="213"/>
  <c r="BC19" i="213"/>
  <c r="BM18" i="213"/>
  <c r="BW17" i="213"/>
  <c r="BV16" i="213"/>
  <c r="CA15" i="213"/>
  <c r="BF11" i="213"/>
  <c r="BM10" i="213"/>
  <c r="BV9" i="213"/>
  <c r="BN9" i="213"/>
  <c r="BF9" i="213"/>
  <c r="BM8" i="213"/>
  <c r="BF7" i="213"/>
  <c r="BU6" i="213"/>
  <c r="BM6" i="213"/>
  <c r="BE6" i="213"/>
  <c r="BV5" i="213"/>
  <c r="BN5" i="213"/>
  <c r="BF5" i="213"/>
  <c r="BM38" i="213"/>
  <c r="BD33" i="213"/>
  <c r="BP29" i="213"/>
  <c r="BO20" i="213"/>
  <c r="BC18" i="213"/>
  <c r="BO17" i="213"/>
  <c r="BQ16" i="213"/>
  <c r="BU15" i="213"/>
  <c r="BZ14" i="213"/>
  <c r="BE14" i="213"/>
  <c r="BI13" i="213"/>
  <c r="BN12" i="213"/>
  <c r="BS11" i="213"/>
  <c r="BT10" i="213"/>
  <c r="BL10" i="213"/>
  <c r="BD10" i="213"/>
  <c r="CA9" i="213"/>
  <c r="BS9" i="213"/>
  <c r="BK9" i="213"/>
  <c r="BC9" i="213"/>
  <c r="BT8" i="213"/>
  <c r="BL8" i="213"/>
  <c r="BD8" i="213"/>
  <c r="CA7" i="213"/>
  <c r="BS7" i="213"/>
  <c r="BK7" i="213"/>
  <c r="BC7" i="213"/>
  <c r="BT6" i="213"/>
  <c r="BL6" i="213"/>
  <c r="BD6" i="213"/>
  <c r="CA5" i="213"/>
  <c r="BS5" i="213"/>
  <c r="BK5" i="213"/>
  <c r="BC5" i="213"/>
  <c r="BH27" i="213"/>
  <c r="BS19" i="213"/>
  <c r="BX18" i="213"/>
  <c r="CA16" i="213"/>
  <c r="BF16" i="213"/>
  <c r="BK15" i="213"/>
  <c r="BO14" i="213"/>
  <c r="BT13" i="213"/>
  <c r="BY12" i="213"/>
  <c r="BC12" i="213"/>
  <c r="BJ11" i="213"/>
  <c r="BX10" i="213"/>
  <c r="BP10" i="213"/>
  <c r="BH10" i="213"/>
  <c r="BW9" i="213"/>
  <c r="BO9" i="213"/>
  <c r="BG9" i="213"/>
  <c r="BX8" i="213"/>
  <c r="BP8" i="213"/>
  <c r="BH8" i="213"/>
  <c r="BW7" i="213"/>
  <c r="BO7" i="213"/>
  <c r="BG7" i="213"/>
  <c r="BX6" i="213"/>
  <c r="BP6" i="213"/>
  <c r="BH6" i="213"/>
  <c r="BW5" i="213"/>
  <c r="BO5" i="213"/>
  <c r="BG5" i="213"/>
  <c r="BE15" i="213"/>
  <c r="BJ14" i="213"/>
  <c r="BO13" i="213"/>
  <c r="BS12" i="213"/>
  <c r="BX11" i="213"/>
  <c r="BU10" i="213"/>
  <c r="BE10" i="213"/>
  <c r="BU8" i="213"/>
  <c r="BE8" i="213"/>
  <c r="BV7" i="213"/>
  <c r="BN7" i="213"/>
  <c r="Y26" i="115"/>
  <c r="AG26" i="115" s="1"/>
  <c r="Y30" i="115"/>
  <c r="Y25" i="115"/>
  <c r="AF25" i="115" s="1"/>
  <c r="Y23" i="115"/>
  <c r="Y28" i="115"/>
  <c r="AE28" i="115"/>
  <c r="AE29" i="115"/>
  <c r="Y29" i="115"/>
  <c r="Y27" i="115"/>
  <c r="Y24" i="115"/>
  <c r="BA2" i="213"/>
  <c r="BA2" i="214"/>
  <c r="BA2" i="215"/>
  <c r="CD7" i="215" l="1"/>
  <c r="B7" i="215"/>
  <c r="CB7" i="215"/>
  <c r="CE7" i="215"/>
  <c r="C7" i="215"/>
  <c r="CQ16" i="215"/>
  <c r="O16" i="215"/>
  <c r="CK6" i="215"/>
  <c r="I6" i="215"/>
  <c r="CW44" i="215"/>
  <c r="U44" i="215"/>
  <c r="DA8" i="215"/>
  <c r="Y8" i="215"/>
  <c r="CP18" i="215"/>
  <c r="N18" i="215"/>
  <c r="DA36" i="215"/>
  <c r="Y36" i="215"/>
  <c r="CA53" i="215"/>
  <c r="DB53" i="215" s="1"/>
  <c r="DB5" i="215"/>
  <c r="Z5" i="215"/>
  <c r="CS12" i="215"/>
  <c r="Q12" i="215"/>
  <c r="CX27" i="215"/>
  <c r="V27" i="215"/>
  <c r="CV8" i="215"/>
  <c r="T8" i="215"/>
  <c r="CM11" i="215"/>
  <c r="K11" i="215"/>
  <c r="CF14" i="215"/>
  <c r="D14" i="215"/>
  <c r="C17" i="215"/>
  <c r="CE17" i="215"/>
  <c r="CQ18" i="215"/>
  <c r="O18" i="215"/>
  <c r="CY22" i="215"/>
  <c r="W22" i="215"/>
  <c r="CP29" i="215"/>
  <c r="N29" i="215"/>
  <c r="BG53" i="215"/>
  <c r="CH53" i="215" s="1"/>
  <c r="CH5" i="215"/>
  <c r="F5" i="215"/>
  <c r="CX7" i="215"/>
  <c r="V7" i="215"/>
  <c r="CX11" i="215"/>
  <c r="V11" i="215"/>
  <c r="CO14" i="215"/>
  <c r="M14" i="215"/>
  <c r="CS17" i="215"/>
  <c r="Q17" i="215"/>
  <c r="CZ21" i="215"/>
  <c r="X21" i="215"/>
  <c r="CQ27" i="215"/>
  <c r="O27" i="215"/>
  <c r="CT33" i="215"/>
  <c r="R33" i="215"/>
  <c r="CZ6" i="215"/>
  <c r="X6" i="215"/>
  <c r="CQ9" i="215"/>
  <c r="O9" i="215"/>
  <c r="CJ12" i="215"/>
  <c r="H12" i="215"/>
  <c r="X14" i="215"/>
  <c r="CZ14" i="215"/>
  <c r="U18" i="215"/>
  <c r="CW18" i="215"/>
  <c r="CK24" i="215"/>
  <c r="I24" i="215"/>
  <c r="W28" i="215"/>
  <c r="CY28" i="215"/>
  <c r="M31" i="215"/>
  <c r="CO31" i="215"/>
  <c r="CN35" i="215"/>
  <c r="L35" i="215"/>
  <c r="DA39" i="215"/>
  <c r="Y39" i="215"/>
  <c r="BE53" i="215"/>
  <c r="CF53" i="215" s="1"/>
  <c r="D5" i="215"/>
  <c r="CF5" i="215"/>
  <c r="J6" i="215"/>
  <c r="CL6" i="215"/>
  <c r="P7" i="215"/>
  <c r="CR7" i="215"/>
  <c r="CX8" i="215"/>
  <c r="V8" i="215"/>
  <c r="CB10" i="215"/>
  <c r="B10" i="215"/>
  <c r="CD10" i="215"/>
  <c r="H11" i="215"/>
  <c r="CJ11" i="215"/>
  <c r="CP12" i="215"/>
  <c r="N12" i="215"/>
  <c r="T13" i="215"/>
  <c r="CV13" i="215"/>
  <c r="DB14" i="215"/>
  <c r="Z14" i="215"/>
  <c r="CT16" i="215"/>
  <c r="R16" i="215"/>
  <c r="K18" i="215"/>
  <c r="CM18" i="215"/>
  <c r="CW21" i="215"/>
  <c r="U21" i="215"/>
  <c r="CH25" i="215"/>
  <c r="F25" i="215"/>
  <c r="CL27" i="215"/>
  <c r="J27" i="215"/>
  <c r="O29" i="215"/>
  <c r="CQ29" i="215"/>
  <c r="G32" i="215"/>
  <c r="CI32" i="215"/>
  <c r="CS36" i="215"/>
  <c r="Q36" i="215"/>
  <c r="CE45" i="215"/>
  <c r="C45" i="215"/>
  <c r="BR53" i="215"/>
  <c r="CS53" i="215" s="1"/>
  <c r="Q5" i="215"/>
  <c r="CS5" i="215"/>
  <c r="W6" i="215"/>
  <c r="CY6" i="215"/>
  <c r="G8" i="215"/>
  <c r="CI8" i="215"/>
  <c r="W8" i="215"/>
  <c r="CY8" i="215"/>
  <c r="G10" i="215"/>
  <c r="CI10" i="215"/>
  <c r="Q11" i="215"/>
  <c r="CS11" i="215"/>
  <c r="W12" i="215"/>
  <c r="CY12" i="215"/>
  <c r="G14" i="215"/>
  <c r="CI14" i="215"/>
  <c r="S16" i="215"/>
  <c r="CU16" i="215"/>
  <c r="CO18" i="215"/>
  <c r="M18" i="215"/>
  <c r="I19" i="215"/>
  <c r="CK19" i="215"/>
  <c r="CY21" i="215"/>
  <c r="W21" i="215"/>
  <c r="CP25" i="215"/>
  <c r="N25" i="215"/>
  <c r="CT27" i="215"/>
  <c r="R27" i="215"/>
  <c r="Q29" i="215"/>
  <c r="CS29" i="215"/>
  <c r="O31" i="215"/>
  <c r="CQ31" i="215"/>
  <c r="CF35" i="215"/>
  <c r="D35" i="215"/>
  <c r="CT40" i="215"/>
  <c r="R40" i="215"/>
  <c r="CD15" i="215"/>
  <c r="CB15" i="215"/>
  <c r="B15" i="215"/>
  <c r="H16" i="215"/>
  <c r="CJ16" i="215"/>
  <c r="X16" i="215"/>
  <c r="CZ16" i="215"/>
  <c r="T18" i="215"/>
  <c r="CV18" i="215"/>
  <c r="G20" i="215"/>
  <c r="CI20" i="215"/>
  <c r="Y21" i="215"/>
  <c r="DA21" i="215"/>
  <c r="CU24" i="215"/>
  <c r="S24" i="215"/>
  <c r="CN26" i="215"/>
  <c r="L26" i="215"/>
  <c r="E28" i="215"/>
  <c r="CG28" i="215"/>
  <c r="W29" i="215"/>
  <c r="CY29" i="215"/>
  <c r="CS31" i="215"/>
  <c r="Q31" i="215"/>
  <c r="M32" i="215"/>
  <c r="CO32" i="215"/>
  <c r="CR35" i="215"/>
  <c r="P35" i="215"/>
  <c r="CZ39" i="215"/>
  <c r="X39" i="215"/>
  <c r="CJ48" i="215"/>
  <c r="H48" i="215"/>
  <c r="CF20" i="215"/>
  <c r="D20" i="215"/>
  <c r="CL21" i="215"/>
  <c r="J21" i="215"/>
  <c r="DB21" i="215"/>
  <c r="Z21" i="215"/>
  <c r="F24" i="215"/>
  <c r="CH24" i="215"/>
  <c r="L25" i="215"/>
  <c r="CN25" i="215"/>
  <c r="CT26" i="215"/>
  <c r="R26" i="215"/>
  <c r="X27" i="215"/>
  <c r="CZ27" i="215"/>
  <c r="CV29" i="215"/>
  <c r="T29" i="215"/>
  <c r="DB30" i="215"/>
  <c r="Z30" i="215"/>
  <c r="F32" i="215"/>
  <c r="CH32" i="215"/>
  <c r="N33" i="215"/>
  <c r="CP33" i="215"/>
  <c r="CM35" i="215"/>
  <c r="K35" i="215"/>
  <c r="CU37" i="215"/>
  <c r="S37" i="215"/>
  <c r="CW46" i="215"/>
  <c r="U46" i="215"/>
  <c r="E35" i="215"/>
  <c r="CG35" i="215"/>
  <c r="CM36" i="215"/>
  <c r="K36" i="215"/>
  <c r="U37" i="215"/>
  <c r="CW37" i="215"/>
  <c r="E39" i="215"/>
  <c r="CG39" i="215"/>
  <c r="CQ41" i="215"/>
  <c r="O41" i="215"/>
  <c r="CH46" i="215"/>
  <c r="F46" i="215"/>
  <c r="CU51" i="215"/>
  <c r="S51" i="215"/>
  <c r="D36" i="215"/>
  <c r="CF36" i="215"/>
  <c r="J37" i="215"/>
  <c r="CL37" i="215"/>
  <c r="CR38" i="215"/>
  <c r="P38" i="215"/>
  <c r="CS40" i="215"/>
  <c r="Q40" i="215"/>
  <c r="CJ45" i="215"/>
  <c r="H45" i="215"/>
  <c r="CG48" i="215"/>
  <c r="E48" i="215"/>
  <c r="CI40" i="215"/>
  <c r="G40" i="215"/>
  <c r="CS41" i="215"/>
  <c r="Q41" i="215"/>
  <c r="CY44" i="215"/>
  <c r="W44" i="215"/>
  <c r="CY46" i="215"/>
  <c r="W46" i="215"/>
  <c r="CD49" i="215"/>
  <c r="B49" i="215"/>
  <c r="CB49" i="215"/>
  <c r="CZ38" i="215"/>
  <c r="X38" i="215"/>
  <c r="CF40" i="215"/>
  <c r="D40" i="215"/>
  <c r="CV40" i="215"/>
  <c r="T40" i="215"/>
  <c r="Z41" i="215"/>
  <c r="DB41" i="215"/>
  <c r="CH45" i="215"/>
  <c r="F45" i="215"/>
  <c r="CX45" i="215"/>
  <c r="V45" i="215"/>
  <c r="CE47" i="215"/>
  <c r="C47" i="215"/>
  <c r="CN48" i="215"/>
  <c r="L48" i="215"/>
  <c r="S49" i="215"/>
  <c r="CU49" i="215"/>
  <c r="CT52" i="215"/>
  <c r="R52" i="215"/>
  <c r="P47" i="215"/>
  <c r="CR47" i="215"/>
  <c r="F48" i="215"/>
  <c r="CH48" i="215"/>
  <c r="V48" i="215"/>
  <c r="CX48" i="215"/>
  <c r="CN49" i="215"/>
  <c r="L49" i="215"/>
  <c r="CG50" i="215"/>
  <c r="E50" i="215"/>
  <c r="CN51" i="215"/>
  <c r="L51" i="215"/>
  <c r="E47" i="215"/>
  <c r="CG47" i="215"/>
  <c r="U47" i="215"/>
  <c r="CW47" i="215"/>
  <c r="K48" i="215"/>
  <c r="CM48" i="215"/>
  <c r="E49" i="215"/>
  <c r="CG49" i="215"/>
  <c r="CW49" i="215"/>
  <c r="U49" i="215"/>
  <c r="CX50" i="215"/>
  <c r="V50" i="215"/>
  <c r="CP52" i="215"/>
  <c r="N52" i="215"/>
  <c r="O50" i="215"/>
  <c r="CQ50" i="215"/>
  <c r="I51" i="215"/>
  <c r="CK51" i="215"/>
  <c r="Y51" i="215"/>
  <c r="DA51" i="215"/>
  <c r="CQ52" i="215"/>
  <c r="O52" i="215"/>
  <c r="CJ50" i="215"/>
  <c r="H50" i="215"/>
  <c r="X50" i="215"/>
  <c r="CZ50" i="215"/>
  <c r="N51" i="215"/>
  <c r="CP51" i="215"/>
  <c r="CO52" i="215"/>
  <c r="M52" i="215"/>
  <c r="DA12" i="215"/>
  <c r="Y12" i="215"/>
  <c r="BC53" i="215"/>
  <c r="CD53" i="215" s="1"/>
  <c r="CD5" i="215"/>
  <c r="B5" i="215"/>
  <c r="CB5" i="215"/>
  <c r="CU7" i="215"/>
  <c r="S7" i="215"/>
  <c r="DB11" i="215"/>
  <c r="Z11" i="215"/>
  <c r="CN17" i="215"/>
  <c r="L17" i="215"/>
  <c r="CT22" i="215"/>
  <c r="R22" i="215"/>
  <c r="DA6" i="215"/>
  <c r="Y6" i="215"/>
  <c r="Y19" i="215"/>
  <c r="DA19" i="215"/>
  <c r="CE51" i="215"/>
  <c r="C51" i="215"/>
  <c r="CL7" i="215"/>
  <c r="J7" i="215"/>
  <c r="DB9" i="215"/>
  <c r="Z9" i="215"/>
  <c r="CS14" i="215"/>
  <c r="Q14" i="215"/>
  <c r="DB20" i="215"/>
  <c r="Z20" i="215"/>
  <c r="CO28" i="215"/>
  <c r="M28" i="215"/>
  <c r="DB40" i="215"/>
  <c r="Z40" i="215"/>
  <c r="CT11" i="215"/>
  <c r="R11" i="215"/>
  <c r="CF6" i="215"/>
  <c r="D6" i="215"/>
  <c r="CD9" i="215"/>
  <c r="B9" i="215"/>
  <c r="CB9" i="215"/>
  <c r="CT13" i="215"/>
  <c r="R13" i="215"/>
  <c r="CN19" i="215"/>
  <c r="L19" i="215"/>
  <c r="CG30" i="215"/>
  <c r="E30" i="215"/>
  <c r="CE9" i="215"/>
  <c r="C9" i="215"/>
  <c r="CN10" i="215"/>
  <c r="L10" i="215"/>
  <c r="CU11" i="215"/>
  <c r="S11" i="215"/>
  <c r="CE13" i="215"/>
  <c r="C13" i="215"/>
  <c r="CN14" i="215"/>
  <c r="L14" i="215"/>
  <c r="CZ15" i="215"/>
  <c r="X15" i="215"/>
  <c r="M17" i="215"/>
  <c r="CO17" i="215"/>
  <c r="DB18" i="215"/>
  <c r="Z18" i="215"/>
  <c r="CG21" i="215"/>
  <c r="E21" i="215"/>
  <c r="CR24" i="215"/>
  <c r="P24" i="215"/>
  <c r="CW26" i="215"/>
  <c r="U26" i="215"/>
  <c r="CN30" i="215"/>
  <c r="L30" i="215"/>
  <c r="CQ37" i="215"/>
  <c r="O37" i="215"/>
  <c r="BO53" i="215"/>
  <c r="CP53" i="215" s="1"/>
  <c r="CP5" i="215"/>
  <c r="N5" i="215"/>
  <c r="CW6" i="215"/>
  <c r="U6" i="215"/>
  <c r="CG8" i="215"/>
  <c r="E8" i="215"/>
  <c r="CP9" i="215"/>
  <c r="N9" i="215"/>
  <c r="CW10" i="215"/>
  <c r="U10" i="215"/>
  <c r="CG12" i="215"/>
  <c r="E12" i="215"/>
  <c r="CP13" i="215"/>
  <c r="N13" i="215"/>
  <c r="CW14" i="215"/>
  <c r="U14" i="215"/>
  <c r="CL16" i="215"/>
  <c r="J16" i="215"/>
  <c r="CK18" i="215"/>
  <c r="I18" i="215"/>
  <c r="E20" i="215"/>
  <c r="CG20" i="215"/>
  <c r="CL22" i="215"/>
  <c r="J22" i="215"/>
  <c r="I25" i="215"/>
  <c r="CK25" i="215"/>
  <c r="CI28" i="215"/>
  <c r="G28" i="215"/>
  <c r="S30" i="215"/>
  <c r="CU30" i="215"/>
  <c r="CE39" i="215"/>
  <c r="C39" i="215"/>
  <c r="BX53" i="215"/>
  <c r="CY53" i="215" s="1"/>
  <c r="CY5" i="215"/>
  <c r="W5" i="215"/>
  <c r="CI7" i="215"/>
  <c r="G7" i="215"/>
  <c r="CR8" i="215"/>
  <c r="P8" i="215"/>
  <c r="CY9" i="215"/>
  <c r="W9" i="215"/>
  <c r="CI11" i="215"/>
  <c r="G11" i="215"/>
  <c r="CR12" i="215"/>
  <c r="P12" i="215"/>
  <c r="CY13" i="215"/>
  <c r="W13" i="215"/>
  <c r="CJ15" i="215"/>
  <c r="H15" i="215"/>
  <c r="CJ17" i="215"/>
  <c r="H17" i="215"/>
  <c r="G19" i="215"/>
  <c r="CI19" i="215"/>
  <c r="CN21" i="215"/>
  <c r="L21" i="215"/>
  <c r="W24" i="215"/>
  <c r="CY24" i="215"/>
  <c r="CH27" i="215"/>
  <c r="F27" i="215"/>
  <c r="CH29" i="215"/>
  <c r="F29" i="215"/>
  <c r="CJ35" i="215"/>
  <c r="H35" i="215"/>
  <c r="CO30" i="215"/>
  <c r="M30" i="215"/>
  <c r="CU31" i="215"/>
  <c r="S31" i="215"/>
  <c r="CV32" i="215"/>
  <c r="T32" i="215"/>
  <c r="CZ35" i="215"/>
  <c r="X35" i="215"/>
  <c r="CH38" i="215"/>
  <c r="F38" i="215"/>
  <c r="CG40" i="215"/>
  <c r="E40" i="215"/>
  <c r="CT46" i="215"/>
  <c r="R46" i="215"/>
  <c r="BI53" i="215"/>
  <c r="CJ53" i="215" s="1"/>
  <c r="H5" i="215"/>
  <c r="CJ5" i="215"/>
  <c r="BY53" i="215"/>
  <c r="CZ53" i="215" s="1"/>
  <c r="X5" i="215"/>
  <c r="CZ5" i="215"/>
  <c r="CP6" i="215"/>
  <c r="N6" i="215"/>
  <c r="D7" i="215"/>
  <c r="CF7" i="215"/>
  <c r="T7" i="215"/>
  <c r="CV7" i="215"/>
  <c r="J8" i="215"/>
  <c r="CL8" i="215"/>
  <c r="Z8" i="215"/>
  <c r="DB8" i="215"/>
  <c r="P9" i="215"/>
  <c r="CR9" i="215"/>
  <c r="CH10" i="215"/>
  <c r="F10" i="215"/>
  <c r="CX10" i="215"/>
  <c r="V10" i="215"/>
  <c r="L11" i="215"/>
  <c r="CN11" i="215"/>
  <c r="CB12" i="215"/>
  <c r="B12" i="215"/>
  <c r="CD12" i="215"/>
  <c r="R12" i="215"/>
  <c r="CT12" i="215"/>
  <c r="H13" i="215"/>
  <c r="CJ13" i="215"/>
  <c r="X13" i="215"/>
  <c r="CZ13" i="215"/>
  <c r="CP14" i="215"/>
  <c r="N14" i="215"/>
  <c r="E15" i="215"/>
  <c r="CG15" i="215"/>
  <c r="CD16" i="215"/>
  <c r="B16" i="215"/>
  <c r="CB16" i="215"/>
  <c r="W16" i="215"/>
  <c r="CY16" i="215"/>
  <c r="CV17" i="215"/>
  <c r="T17" i="215"/>
  <c r="Q18" i="215"/>
  <c r="CS18" i="215"/>
  <c r="CQ19" i="215"/>
  <c r="O19" i="215"/>
  <c r="CW20" i="215"/>
  <c r="U20" i="215"/>
  <c r="E22" i="215"/>
  <c r="CG22" i="215"/>
  <c r="E24" i="215"/>
  <c r="CG24" i="215"/>
  <c r="CO25" i="215"/>
  <c r="M25" i="215"/>
  <c r="CR26" i="215"/>
  <c r="P26" i="215"/>
  <c r="Q27" i="215"/>
  <c r="CS27" i="215"/>
  <c r="CS28" i="215"/>
  <c r="Q28" i="215"/>
  <c r="CX29" i="215"/>
  <c r="V29" i="215"/>
  <c r="CI31" i="215"/>
  <c r="G31" i="215"/>
  <c r="CQ32" i="215"/>
  <c r="O32" i="215"/>
  <c r="V33" i="215"/>
  <c r="CX33" i="215"/>
  <c r="CJ37" i="215"/>
  <c r="H37" i="215"/>
  <c r="CL40" i="215"/>
  <c r="J40" i="215"/>
  <c r="Z46" i="215"/>
  <c r="DB46" i="215"/>
  <c r="BF53" i="215"/>
  <c r="CG53" i="215" s="1"/>
  <c r="CG5" i="215"/>
  <c r="E5" i="215"/>
  <c r="BV53" i="215"/>
  <c r="CW53" i="215" s="1"/>
  <c r="CW5" i="215"/>
  <c r="U5" i="215"/>
  <c r="CM6" i="215"/>
  <c r="K6" i="215"/>
  <c r="CG7" i="215"/>
  <c r="E7" i="215"/>
  <c r="CW7" i="215"/>
  <c r="U7" i="215"/>
  <c r="CM8" i="215"/>
  <c r="K8" i="215"/>
  <c r="CG9" i="215"/>
  <c r="E9" i="215"/>
  <c r="CW9" i="215"/>
  <c r="U9" i="215"/>
  <c r="CM10" i="215"/>
  <c r="K10" i="215"/>
  <c r="CG11" i="215"/>
  <c r="E11" i="215"/>
  <c r="CW11" i="215"/>
  <c r="U11" i="215"/>
  <c r="CM12" i="215"/>
  <c r="K12" i="215"/>
  <c r="CG13" i="215"/>
  <c r="E13" i="215"/>
  <c r="CW13" i="215"/>
  <c r="U13" i="215"/>
  <c r="CM14" i="215"/>
  <c r="K14" i="215"/>
  <c r="CI15" i="215"/>
  <c r="G15" i="215"/>
  <c r="C16" i="215"/>
  <c r="CE16" i="215"/>
  <c r="DA16" i="215"/>
  <c r="Y16" i="215"/>
  <c r="U17" i="215"/>
  <c r="CW17" i="215"/>
  <c r="CT18" i="215"/>
  <c r="R18" i="215"/>
  <c r="CS19" i="215"/>
  <c r="Q19" i="215"/>
  <c r="CX20" i="215"/>
  <c r="V20" i="215"/>
  <c r="CI22" i="215"/>
  <c r="G22" i="215"/>
  <c r="CQ24" i="215"/>
  <c r="O24" i="215"/>
  <c r="CX25" i="215"/>
  <c r="V25" i="215"/>
  <c r="Y26" i="215"/>
  <c r="DA26" i="215"/>
  <c r="DB27" i="215"/>
  <c r="Z27" i="215"/>
  <c r="DA28" i="215"/>
  <c r="Y28" i="215"/>
  <c r="DA29" i="215"/>
  <c r="Y29" i="215"/>
  <c r="CZ30" i="215"/>
  <c r="X30" i="215"/>
  <c r="CY31" i="215"/>
  <c r="W31" i="215"/>
  <c r="F33" i="215"/>
  <c r="CH33" i="215"/>
  <c r="CV35" i="215"/>
  <c r="T35" i="215"/>
  <c r="CZ37" i="215"/>
  <c r="X37" i="215"/>
  <c r="CU41" i="215"/>
  <c r="S41" i="215"/>
  <c r="CQ47" i="215"/>
  <c r="O47" i="215"/>
  <c r="F15" i="215"/>
  <c r="CH15" i="215"/>
  <c r="V15" i="215"/>
  <c r="CX15" i="215"/>
  <c r="L16" i="215"/>
  <c r="CN16" i="215"/>
  <c r="CB17" i="215"/>
  <c r="B17" i="215"/>
  <c r="CD17" i="215"/>
  <c r="R17" i="215"/>
  <c r="CT17" i="215"/>
  <c r="CJ18" i="215"/>
  <c r="H18" i="215"/>
  <c r="CZ18" i="215"/>
  <c r="X18" i="215"/>
  <c r="CR19" i="215"/>
  <c r="P19" i="215"/>
  <c r="CO20" i="215"/>
  <c r="M20" i="215"/>
  <c r="I21" i="215"/>
  <c r="CK21" i="215"/>
  <c r="CH22" i="215"/>
  <c r="F22" i="215"/>
  <c r="CE24" i="215"/>
  <c r="C24" i="215"/>
  <c r="CZ24" i="215"/>
  <c r="X24" i="215"/>
  <c r="CW25" i="215"/>
  <c r="U25" i="215"/>
  <c r="Q26" i="215"/>
  <c r="CS26" i="215"/>
  <c r="CP27" i="215"/>
  <c r="N27" i="215"/>
  <c r="CM28" i="215"/>
  <c r="K28" i="215"/>
  <c r="G29" i="215"/>
  <c r="CI29" i="215"/>
  <c r="CF30" i="215"/>
  <c r="D30" i="215"/>
  <c r="Y30" i="215"/>
  <c r="DA30" i="215"/>
  <c r="CX31" i="215"/>
  <c r="V31" i="215"/>
  <c r="CU32" i="215"/>
  <c r="S32" i="215"/>
  <c r="CS33" i="215"/>
  <c r="Q33" i="215"/>
  <c r="CO36" i="215"/>
  <c r="M36" i="215"/>
  <c r="M38" i="215"/>
  <c r="CO38" i="215"/>
  <c r="CD40" i="215"/>
  <c r="B40" i="215"/>
  <c r="CB40" i="215"/>
  <c r="CO44" i="215"/>
  <c r="M44" i="215"/>
  <c r="W49" i="215"/>
  <c r="CY49" i="215"/>
  <c r="CT19" i="215"/>
  <c r="R19" i="215"/>
  <c r="CJ20" i="215"/>
  <c r="H20" i="215"/>
  <c r="CZ20" i="215"/>
  <c r="X20" i="215"/>
  <c r="N21" i="215"/>
  <c r="CP21" i="215"/>
  <c r="D22" i="215"/>
  <c r="CF22" i="215"/>
  <c r="T22" i="215"/>
  <c r="CV22" i="215"/>
  <c r="CL24" i="215"/>
  <c r="J24" i="215"/>
  <c r="Z24" i="215"/>
  <c r="DB24" i="215"/>
  <c r="CR25" i="215"/>
  <c r="P25" i="215"/>
  <c r="F26" i="215"/>
  <c r="CH26" i="215"/>
  <c r="V26" i="215"/>
  <c r="CX26" i="215"/>
  <c r="CN27" i="215"/>
  <c r="L27" i="215"/>
  <c r="CB28" i="215"/>
  <c r="B28" i="215"/>
  <c r="CD28" i="215"/>
  <c r="R28" i="215"/>
  <c r="CT28" i="215"/>
  <c r="CJ29" i="215"/>
  <c r="H29" i="215"/>
  <c r="CZ29" i="215"/>
  <c r="X29" i="215"/>
  <c r="N30" i="215"/>
  <c r="CP30" i="215"/>
  <c r="CF31" i="215"/>
  <c r="D31" i="215"/>
  <c r="T31" i="215"/>
  <c r="CV31" i="215"/>
  <c r="CL32" i="215"/>
  <c r="J32" i="215"/>
  <c r="DB32" i="215"/>
  <c r="Z32" i="215"/>
  <c r="CV33" i="215"/>
  <c r="T33" i="215"/>
  <c r="CU35" i="215"/>
  <c r="S35" i="215"/>
  <c r="DB36" i="215"/>
  <c r="Z36" i="215"/>
  <c r="CD38" i="215"/>
  <c r="B38" i="215"/>
  <c r="CB38" i="215"/>
  <c r="CV39" i="215"/>
  <c r="T39" i="215"/>
  <c r="CT44" i="215"/>
  <c r="R44" i="215"/>
  <c r="DB50" i="215"/>
  <c r="Z50" i="215"/>
  <c r="CQ33" i="215"/>
  <c r="O33" i="215"/>
  <c r="CK35" i="215"/>
  <c r="I35" i="215"/>
  <c r="DA35" i="215"/>
  <c r="Y35" i="215"/>
  <c r="CQ36" i="215"/>
  <c r="O36" i="215"/>
  <c r="CK37" i="215"/>
  <c r="I37" i="215"/>
  <c r="DA37" i="215"/>
  <c r="Y37" i="215"/>
  <c r="CQ38" i="215"/>
  <c r="O38" i="215"/>
  <c r="K39" i="215"/>
  <c r="CM39" i="215"/>
  <c r="CP40" i="215"/>
  <c r="N40" i="215"/>
  <c r="CY41" i="215"/>
  <c r="W41" i="215"/>
  <c r="CI45" i="215"/>
  <c r="G45" i="215"/>
  <c r="CP46" i="215"/>
  <c r="N46" i="215"/>
  <c r="CR48" i="215"/>
  <c r="P48" i="215"/>
  <c r="CB35" i="215"/>
  <c r="CD35" i="215"/>
  <c r="B35" i="215"/>
  <c r="R35" i="215"/>
  <c r="CT35" i="215"/>
  <c r="CJ36" i="215"/>
  <c r="H36" i="215"/>
  <c r="CZ36" i="215"/>
  <c r="X36" i="215"/>
  <c r="N37" i="215"/>
  <c r="CP37" i="215"/>
  <c r="CF38" i="215"/>
  <c r="D38" i="215"/>
  <c r="CW38" i="215"/>
  <c r="U38" i="215"/>
  <c r="Q39" i="215"/>
  <c r="CS39" i="215"/>
  <c r="DA40" i="215"/>
  <c r="Y40" i="215"/>
  <c r="CK44" i="215"/>
  <c r="I44" i="215"/>
  <c r="CR45" i="215"/>
  <c r="P45" i="215"/>
  <c r="Y46" i="215"/>
  <c r="DA46" i="215"/>
  <c r="CW48" i="215"/>
  <c r="U48" i="215"/>
  <c r="CZ51" i="215"/>
  <c r="X51" i="215"/>
  <c r="K40" i="215"/>
  <c r="CM40" i="215"/>
  <c r="E41" i="215"/>
  <c r="CG41" i="215"/>
  <c r="U41" i="215"/>
  <c r="CW41" i="215"/>
  <c r="K44" i="215"/>
  <c r="CM44" i="215"/>
  <c r="E45" i="215"/>
  <c r="CG45" i="215"/>
  <c r="U45" i="215"/>
  <c r="CW45" i="215"/>
  <c r="K46" i="215"/>
  <c r="CM46" i="215"/>
  <c r="CD47" i="215"/>
  <c r="B47" i="215"/>
  <c r="CB47" i="215"/>
  <c r="CK48" i="215"/>
  <c r="I48" i="215"/>
  <c r="CL49" i="215"/>
  <c r="J49" i="215"/>
  <c r="CM51" i="215"/>
  <c r="K51" i="215"/>
  <c r="CD39" i="215"/>
  <c r="CB39" i="215"/>
  <c r="B39" i="215"/>
  <c r="CT39" i="215"/>
  <c r="R39" i="215"/>
  <c r="H40" i="215"/>
  <c r="CJ40" i="215"/>
  <c r="X40" i="215"/>
  <c r="CZ40" i="215"/>
  <c r="CP41" i="215"/>
  <c r="N41" i="215"/>
  <c r="CF44" i="215"/>
  <c r="D44" i="215"/>
  <c r="CV44" i="215"/>
  <c r="T44" i="215"/>
  <c r="J45" i="215"/>
  <c r="CL45" i="215"/>
  <c r="Z45" i="215"/>
  <c r="DB45" i="215"/>
  <c r="P46" i="215"/>
  <c r="CR46" i="215"/>
  <c r="CM47" i="215"/>
  <c r="K47" i="215"/>
  <c r="CV48" i="215"/>
  <c r="T48" i="215"/>
  <c r="CD50" i="215"/>
  <c r="B50" i="215"/>
  <c r="CB50" i="215"/>
  <c r="D47" i="215"/>
  <c r="CF47" i="215"/>
  <c r="T47" i="215"/>
  <c r="CV47" i="215"/>
  <c r="CL48" i="215"/>
  <c r="J48" i="215"/>
  <c r="DB48" i="215"/>
  <c r="Z48" i="215"/>
  <c r="CR49" i="215"/>
  <c r="P49" i="215"/>
  <c r="CO50" i="215"/>
  <c r="M50" i="215"/>
  <c r="CV51" i="215"/>
  <c r="T51" i="215"/>
  <c r="CK47" i="215"/>
  <c r="I47" i="215"/>
  <c r="DA47" i="215"/>
  <c r="Y47" i="215"/>
  <c r="CQ48" i="215"/>
  <c r="O48" i="215"/>
  <c r="CK49" i="215"/>
  <c r="I49" i="215"/>
  <c r="DA49" i="215"/>
  <c r="Y49" i="215"/>
  <c r="CI51" i="215"/>
  <c r="G51" i="215"/>
  <c r="CE50" i="215"/>
  <c r="C50" i="215"/>
  <c r="CU50" i="215"/>
  <c r="S50" i="215"/>
  <c r="CO51" i="215"/>
  <c r="M51" i="215"/>
  <c r="CE52" i="215"/>
  <c r="C52" i="215"/>
  <c r="CU52" i="215"/>
  <c r="S52" i="215"/>
  <c r="CN50" i="215"/>
  <c r="L50" i="215"/>
  <c r="B51" i="215"/>
  <c r="CD51" i="215"/>
  <c r="CB51" i="215"/>
  <c r="R51" i="215"/>
  <c r="CT51" i="215"/>
  <c r="H52" i="215"/>
  <c r="CJ52" i="215"/>
  <c r="X52" i="215"/>
  <c r="CZ52" i="215"/>
  <c r="CS52" i="215"/>
  <c r="Q52" i="215"/>
  <c r="CF52" i="215"/>
  <c r="D52" i="215"/>
  <c r="E16" i="215"/>
  <c r="CG16" i="215"/>
  <c r="BS53" i="215"/>
  <c r="CT53" i="215" s="1"/>
  <c r="CT5" i="215"/>
  <c r="R5" i="215"/>
  <c r="CS8" i="215"/>
  <c r="Q8" i="215"/>
  <c r="CD13" i="215"/>
  <c r="B13" i="215"/>
  <c r="CB13" i="215"/>
  <c r="CE18" i="215"/>
  <c r="C18" i="215"/>
  <c r="DA24" i="215"/>
  <c r="Y24" i="215"/>
  <c r="CT7" i="215"/>
  <c r="R7" i="215"/>
  <c r="K24" i="215"/>
  <c r="CM24" i="215"/>
  <c r="BD53" i="215"/>
  <c r="CE53" i="215" s="1"/>
  <c r="CE5" i="215"/>
  <c r="C5" i="215"/>
  <c r="DB7" i="215"/>
  <c r="Z7" i="215"/>
  <c r="CD11" i="215"/>
  <c r="B11" i="215"/>
  <c r="CB11" i="215"/>
  <c r="DB16" i="215"/>
  <c r="Z16" i="215"/>
  <c r="CD25" i="215"/>
  <c r="B25" i="215"/>
  <c r="CB25" i="215"/>
  <c r="DB29" i="215"/>
  <c r="Z29" i="215"/>
  <c r="CN8" i="215"/>
  <c r="L8" i="215"/>
  <c r="CE22" i="215"/>
  <c r="C22" i="215"/>
  <c r="CV6" i="215"/>
  <c r="T6" i="215"/>
  <c r="CK10" i="215"/>
  <c r="I10" i="215"/>
  <c r="Y14" i="215"/>
  <c r="DA14" i="215"/>
  <c r="CS25" i="215"/>
  <c r="Q25" i="215"/>
  <c r="DA32" i="215"/>
  <c r="Y32" i="215"/>
  <c r="CM9" i="215"/>
  <c r="K9" i="215"/>
  <c r="CV10" i="215"/>
  <c r="T10" i="215"/>
  <c r="CF12" i="215"/>
  <c r="D12" i="215"/>
  <c r="CM13" i="215"/>
  <c r="K13" i="215"/>
  <c r="CV14" i="215"/>
  <c r="T14" i="215"/>
  <c r="CH16" i="215"/>
  <c r="F16" i="215"/>
  <c r="CZ17" i="215"/>
  <c r="X17" i="215"/>
  <c r="CO19" i="215"/>
  <c r="M19" i="215"/>
  <c r="S21" i="215"/>
  <c r="CU21" i="215"/>
  <c r="CE25" i="215"/>
  <c r="C25" i="215"/>
  <c r="M27" i="215"/>
  <c r="CO27" i="215"/>
  <c r="CE31" i="215"/>
  <c r="C31" i="215"/>
  <c r="Q38" i="215"/>
  <c r="CS38" i="215"/>
  <c r="BW53" i="215"/>
  <c r="CX53" i="215" s="1"/>
  <c r="CX5" i="215"/>
  <c r="V5" i="215"/>
  <c r="CH7" i="215"/>
  <c r="F7" i="215"/>
  <c r="CO8" i="215"/>
  <c r="M8" i="215"/>
  <c r="CX9" i="215"/>
  <c r="V9" i="215"/>
  <c r="CH11" i="215"/>
  <c r="F11" i="215"/>
  <c r="CO12" i="215"/>
  <c r="M12" i="215"/>
  <c r="CX13" i="215"/>
  <c r="V13" i="215"/>
  <c r="CF15" i="215"/>
  <c r="D15" i="215"/>
  <c r="U16" i="215"/>
  <c r="CW16" i="215"/>
  <c r="CU18" i="215"/>
  <c r="S18" i="215"/>
  <c r="CU20" i="215"/>
  <c r="S20" i="215"/>
  <c r="Y22" i="215"/>
  <c r="DA22" i="215"/>
  <c r="CY25" i="215"/>
  <c r="W25" i="215"/>
  <c r="CV28" i="215"/>
  <c r="T28" i="215"/>
  <c r="CL31" i="215"/>
  <c r="J31" i="215"/>
  <c r="CO46" i="215"/>
  <c r="M46" i="215"/>
  <c r="CJ6" i="215"/>
  <c r="H6" i="215"/>
  <c r="CQ7" i="215"/>
  <c r="O7" i="215"/>
  <c r="CZ8" i="215"/>
  <c r="X8" i="215"/>
  <c r="CJ10" i="215"/>
  <c r="H10" i="215"/>
  <c r="CQ11" i="215"/>
  <c r="O11" i="215"/>
  <c r="CZ12" i="215"/>
  <c r="X12" i="215"/>
  <c r="CJ14" i="215"/>
  <c r="H14" i="215"/>
  <c r="CU15" i="215"/>
  <c r="S15" i="215"/>
  <c r="S17" i="215"/>
  <c r="CU17" i="215"/>
  <c r="CV19" i="215"/>
  <c r="T19" i="215"/>
  <c r="CD22" i="215"/>
  <c r="B22" i="215"/>
  <c r="CB22" i="215"/>
  <c r="CM25" i="215"/>
  <c r="K25" i="215"/>
  <c r="CW27" i="215"/>
  <c r="U27" i="215"/>
  <c r="U29" i="215"/>
  <c r="CW29" i="215"/>
  <c r="CK36" i="215"/>
  <c r="I36" i="215"/>
  <c r="CW30" i="215"/>
  <c r="U30" i="215"/>
  <c r="DB31" i="215"/>
  <c r="Z31" i="215"/>
  <c r="CN33" i="215"/>
  <c r="L33" i="215"/>
  <c r="CP36" i="215"/>
  <c r="N36" i="215"/>
  <c r="CX38" i="215"/>
  <c r="V38" i="215"/>
  <c r="CF41" i="215"/>
  <c r="D41" i="215"/>
  <c r="CI49" i="215"/>
  <c r="G49" i="215"/>
  <c r="BM53" i="215"/>
  <c r="CN53" i="215" s="1"/>
  <c r="L5" i="215"/>
  <c r="CN5" i="215"/>
  <c r="CB6" i="215"/>
  <c r="B6" i="215"/>
  <c r="CD6" i="215"/>
  <c r="R6" i="215"/>
  <c r="CT6" i="215"/>
  <c r="H7" i="215"/>
  <c r="CJ7" i="215"/>
  <c r="X7" i="215"/>
  <c r="CZ7" i="215"/>
  <c r="CP8" i="215"/>
  <c r="N8" i="215"/>
  <c r="D9" i="215"/>
  <c r="CF9" i="215"/>
  <c r="T9" i="215"/>
  <c r="CV9" i="215"/>
  <c r="J10" i="215"/>
  <c r="CL10" i="215"/>
  <c r="Z10" i="215"/>
  <c r="DB10" i="215"/>
  <c r="P11" i="215"/>
  <c r="CR11" i="215"/>
  <c r="CH12" i="215"/>
  <c r="F12" i="215"/>
  <c r="CX12" i="215"/>
  <c r="V12" i="215"/>
  <c r="L13" i="215"/>
  <c r="CN13" i="215"/>
  <c r="CB14" i="215"/>
  <c r="B14" i="215"/>
  <c r="CD14" i="215"/>
  <c r="R14" i="215"/>
  <c r="CT14" i="215"/>
  <c r="K15" i="215"/>
  <c r="CM15" i="215"/>
  <c r="G16" i="215"/>
  <c r="CI16" i="215"/>
  <c r="CF17" i="215"/>
  <c r="D17" i="215"/>
  <c r="Y17" i="215"/>
  <c r="DA17" i="215"/>
  <c r="CX18" i="215"/>
  <c r="V18" i="215"/>
  <c r="W19" i="215"/>
  <c r="CY19" i="215"/>
  <c r="CI21" i="215"/>
  <c r="G21" i="215"/>
  <c r="M22" i="215"/>
  <c r="CO22" i="215"/>
  <c r="CN24" i="215"/>
  <c r="L24" i="215"/>
  <c r="S25" i="215"/>
  <c r="CU25" i="215"/>
  <c r="CZ26" i="215"/>
  <c r="X26" i="215"/>
  <c r="W27" i="215"/>
  <c r="CY27" i="215"/>
  <c r="CZ28" i="215"/>
  <c r="X28" i="215"/>
  <c r="CJ30" i="215"/>
  <c r="H30" i="215"/>
  <c r="CP31" i="215"/>
  <c r="N31" i="215"/>
  <c r="U32" i="215"/>
  <c r="CW32" i="215"/>
  <c r="CQ35" i="215"/>
  <c r="O35" i="215"/>
  <c r="CY37" i="215"/>
  <c r="W37" i="215"/>
  <c r="CN41" i="215"/>
  <c r="L41" i="215"/>
  <c r="CP47" i="215"/>
  <c r="N47" i="215"/>
  <c r="BJ53" i="215"/>
  <c r="CK53" i="215" s="1"/>
  <c r="I5" i="215"/>
  <c r="CK5" i="215"/>
  <c r="BZ53" i="215"/>
  <c r="DA53" i="215" s="1"/>
  <c r="Y5" i="215"/>
  <c r="DA5" i="215"/>
  <c r="O6" i="215"/>
  <c r="CQ6" i="215"/>
  <c r="I7" i="215"/>
  <c r="CK7" i="215"/>
  <c r="Y7" i="215"/>
  <c r="DA7" i="215"/>
  <c r="O8" i="215"/>
  <c r="CQ8" i="215"/>
  <c r="I9" i="215"/>
  <c r="CK9" i="215"/>
  <c r="Y9" i="215"/>
  <c r="DA9" i="215"/>
  <c r="O10" i="215"/>
  <c r="CQ10" i="215"/>
  <c r="I11" i="215"/>
  <c r="CK11" i="215"/>
  <c r="Y11" i="215"/>
  <c r="DA11" i="215"/>
  <c r="O12" i="215"/>
  <c r="CQ12" i="215"/>
  <c r="I13" i="215"/>
  <c r="CK13" i="215"/>
  <c r="Y13" i="215"/>
  <c r="DA13" i="215"/>
  <c r="O14" i="215"/>
  <c r="CQ14" i="215"/>
  <c r="CN15" i="215"/>
  <c r="L15" i="215"/>
  <c r="CK16" i="215"/>
  <c r="I16" i="215"/>
  <c r="E17" i="215"/>
  <c r="CG17" i="215"/>
  <c r="CD18" i="215"/>
  <c r="B18" i="215"/>
  <c r="CB18" i="215"/>
  <c r="W18" i="215"/>
  <c r="CY18" i="215"/>
  <c r="CZ19" i="215"/>
  <c r="X19" i="215"/>
  <c r="CJ21" i="215"/>
  <c r="H21" i="215"/>
  <c r="CP22" i="215"/>
  <c r="N22" i="215"/>
  <c r="U24" i="215"/>
  <c r="CW24" i="215"/>
  <c r="CF26" i="215"/>
  <c r="D26" i="215"/>
  <c r="CG27" i="215"/>
  <c r="E27" i="215"/>
  <c r="CF28" i="215"/>
  <c r="D28" i="215"/>
  <c r="CE29" i="215"/>
  <c r="C29" i="215"/>
  <c r="C30" i="215"/>
  <c r="CE30" i="215"/>
  <c r="CD31" i="215"/>
  <c r="B31" i="215"/>
  <c r="CB31" i="215"/>
  <c r="CK32" i="215"/>
  <c r="I32" i="215"/>
  <c r="CR33" i="215"/>
  <c r="P33" i="215"/>
  <c r="CH36" i="215"/>
  <c r="F36" i="215"/>
  <c r="CP38" i="215"/>
  <c r="N38" i="215"/>
  <c r="CL44" i="215"/>
  <c r="J44" i="215"/>
  <c r="CZ48" i="215"/>
  <c r="X48" i="215"/>
  <c r="J15" i="215"/>
  <c r="CL15" i="215"/>
  <c r="Z15" i="215"/>
  <c r="DB15" i="215"/>
  <c r="P16" i="215"/>
  <c r="CR16" i="215"/>
  <c r="CH17" i="215"/>
  <c r="F17" i="215"/>
  <c r="CX17" i="215"/>
  <c r="V17" i="215"/>
  <c r="L18" i="215"/>
  <c r="CN18" i="215"/>
  <c r="CB19" i="215"/>
  <c r="B19" i="215"/>
  <c r="CD19" i="215"/>
  <c r="CW19" i="215"/>
  <c r="U19" i="215"/>
  <c r="CT20" i="215"/>
  <c r="R20" i="215"/>
  <c r="CQ21" i="215"/>
  <c r="O21" i="215"/>
  <c r="K22" i="215"/>
  <c r="CM22" i="215"/>
  <c r="CJ24" i="215"/>
  <c r="H24" i="215"/>
  <c r="CG25" i="215"/>
  <c r="E25" i="215"/>
  <c r="DB25" i="215"/>
  <c r="Z25" i="215"/>
  <c r="CY26" i="215"/>
  <c r="W26" i="215"/>
  <c r="S27" i="215"/>
  <c r="CU27" i="215"/>
  <c r="CR28" i="215"/>
  <c r="P28" i="215"/>
  <c r="CO29" i="215"/>
  <c r="M29" i="215"/>
  <c r="I30" i="215"/>
  <c r="CK30" i="215"/>
  <c r="CH31" i="215"/>
  <c r="F31" i="215"/>
  <c r="CE32" i="215"/>
  <c r="C32" i="215"/>
  <c r="CZ32" i="215"/>
  <c r="X32" i="215"/>
  <c r="X33" i="215"/>
  <c r="CZ33" i="215"/>
  <c r="CX36" i="215"/>
  <c r="V36" i="215"/>
  <c r="CY38" i="215"/>
  <c r="W38" i="215"/>
  <c r="CW40" i="215"/>
  <c r="U40" i="215"/>
  <c r="CM45" i="215"/>
  <c r="K45" i="215"/>
  <c r="CJ51" i="215"/>
  <c r="H51" i="215"/>
  <c r="CX19" i="215"/>
  <c r="V19" i="215"/>
  <c r="L20" i="215"/>
  <c r="CN20" i="215"/>
  <c r="CD21" i="215"/>
  <c r="CB21" i="215"/>
  <c r="B21" i="215"/>
  <c r="CT21" i="215"/>
  <c r="R21" i="215"/>
  <c r="CJ22" i="215"/>
  <c r="H22" i="215"/>
  <c r="CZ22" i="215"/>
  <c r="X22" i="215"/>
  <c r="CP24" i="215"/>
  <c r="N24" i="215"/>
  <c r="D25" i="215"/>
  <c r="CF25" i="215"/>
  <c r="T25" i="215"/>
  <c r="CV25" i="215"/>
  <c r="J26" i="215"/>
  <c r="CL26" i="215"/>
  <c r="DB26" i="215"/>
  <c r="Z26" i="215"/>
  <c r="P27" i="215"/>
  <c r="CR27" i="215"/>
  <c r="CH28" i="215"/>
  <c r="F28" i="215"/>
  <c r="CX28" i="215"/>
  <c r="V28" i="215"/>
  <c r="L29" i="215"/>
  <c r="CN29" i="215"/>
  <c r="CD30" i="215"/>
  <c r="CB30" i="215"/>
  <c r="B30" i="215"/>
  <c r="CT30" i="215"/>
  <c r="R30" i="215"/>
  <c r="H31" i="215"/>
  <c r="CJ31" i="215"/>
  <c r="CZ31" i="215"/>
  <c r="X31" i="215"/>
  <c r="CP32" i="215"/>
  <c r="N32" i="215"/>
  <c r="CF33" i="215"/>
  <c r="D33" i="215"/>
  <c r="DA33" i="215"/>
  <c r="Y33" i="215"/>
  <c r="CD36" i="215"/>
  <c r="B36" i="215"/>
  <c r="CB36" i="215"/>
  <c r="CE37" i="215"/>
  <c r="C37" i="215"/>
  <c r="CL38" i="215"/>
  <c r="J38" i="215"/>
  <c r="CO40" i="215"/>
  <c r="M40" i="215"/>
  <c r="CN45" i="215"/>
  <c r="L45" i="215"/>
  <c r="CE33" i="215"/>
  <c r="C33" i="215"/>
  <c r="S33" i="215"/>
  <c r="CU33" i="215"/>
  <c r="CO35" i="215"/>
  <c r="M35" i="215"/>
  <c r="C36" i="215"/>
  <c r="CE36" i="215"/>
  <c r="CU36" i="215"/>
  <c r="S36" i="215"/>
  <c r="CO37" i="215"/>
  <c r="M37" i="215"/>
  <c r="CE38" i="215"/>
  <c r="C38" i="215"/>
  <c r="CU38" i="215"/>
  <c r="S38" i="215"/>
  <c r="CR39" i="215"/>
  <c r="P39" i="215"/>
  <c r="CX40" i="215"/>
  <c r="V40" i="215"/>
  <c r="CH44" i="215"/>
  <c r="F44" i="215"/>
  <c r="CQ45" i="215"/>
  <c r="O45" i="215"/>
  <c r="CX46" i="215"/>
  <c r="V46" i="215"/>
  <c r="CQ49" i="215"/>
  <c r="O49" i="215"/>
  <c r="CH35" i="215"/>
  <c r="F35" i="215"/>
  <c r="V35" i="215"/>
  <c r="CX35" i="215"/>
  <c r="L36" i="215"/>
  <c r="CN36" i="215"/>
  <c r="CB37" i="215"/>
  <c r="CD37" i="215"/>
  <c r="B37" i="215"/>
  <c r="R37" i="215"/>
  <c r="CT37" i="215"/>
  <c r="H38" i="215"/>
  <c r="CJ38" i="215"/>
  <c r="DB38" i="215"/>
  <c r="Z38" i="215"/>
  <c r="CY39" i="215"/>
  <c r="W39" i="215"/>
  <c r="CJ41" i="215"/>
  <c r="H41" i="215"/>
  <c r="CS44" i="215"/>
  <c r="Q44" i="215"/>
  <c r="CZ45" i="215"/>
  <c r="X45" i="215"/>
  <c r="CI47" i="215"/>
  <c r="G47" i="215"/>
  <c r="CH49" i="215"/>
  <c r="F49" i="215"/>
  <c r="CD52" i="215"/>
  <c r="B52" i="215"/>
  <c r="CB52" i="215"/>
  <c r="CQ40" i="215"/>
  <c r="O40" i="215"/>
  <c r="I41" i="215"/>
  <c r="CK41" i="215"/>
  <c r="Y41" i="215"/>
  <c r="DA41" i="215"/>
  <c r="CQ44" i="215"/>
  <c r="O44" i="215"/>
  <c r="CK45" i="215"/>
  <c r="I45" i="215"/>
  <c r="Y45" i="215"/>
  <c r="DA45" i="215"/>
  <c r="CQ46" i="215"/>
  <c r="O46" i="215"/>
  <c r="CL47" i="215"/>
  <c r="J47" i="215"/>
  <c r="CS48" i="215"/>
  <c r="Q48" i="215"/>
  <c r="R49" i="215"/>
  <c r="CT49" i="215"/>
  <c r="CH52" i="215"/>
  <c r="F52" i="215"/>
  <c r="F39" i="215"/>
  <c r="CH39" i="215"/>
  <c r="V39" i="215"/>
  <c r="CX39" i="215"/>
  <c r="CN40" i="215"/>
  <c r="L40" i="215"/>
  <c r="B41" i="215"/>
  <c r="CB41" i="215"/>
  <c r="CD41" i="215"/>
  <c r="R41" i="215"/>
  <c r="CT41" i="215"/>
  <c r="H44" i="215"/>
  <c r="CJ44" i="215"/>
  <c r="X44" i="215"/>
  <c r="CZ44" i="215"/>
  <c r="CP45" i="215"/>
  <c r="N45" i="215"/>
  <c r="CF46" i="215"/>
  <c r="D46" i="215"/>
  <c r="CV46" i="215"/>
  <c r="T46" i="215"/>
  <c r="CU47" i="215"/>
  <c r="S47" i="215"/>
  <c r="CE49" i="215"/>
  <c r="C49" i="215"/>
  <c r="CT50" i="215"/>
  <c r="R50" i="215"/>
  <c r="H47" i="215"/>
  <c r="CJ47" i="215"/>
  <c r="X47" i="215"/>
  <c r="CZ47" i="215"/>
  <c r="N48" i="215"/>
  <c r="CP48" i="215"/>
  <c r="CF49" i="215"/>
  <c r="D49" i="215"/>
  <c r="CV49" i="215"/>
  <c r="T49" i="215"/>
  <c r="CW50" i="215"/>
  <c r="U50" i="215"/>
  <c r="CL52" i="215"/>
  <c r="J52" i="215"/>
  <c r="M47" i="215"/>
  <c r="CO47" i="215"/>
  <c r="C48" i="215"/>
  <c r="CE48" i="215"/>
  <c r="S48" i="215"/>
  <c r="CU48" i="215"/>
  <c r="M49" i="215"/>
  <c r="CO49" i="215"/>
  <c r="CH50" i="215"/>
  <c r="F50" i="215"/>
  <c r="CQ51" i="215"/>
  <c r="O51" i="215"/>
  <c r="CI50" i="215"/>
  <c r="G50" i="215"/>
  <c r="W50" i="215"/>
  <c r="CY50" i="215"/>
  <c r="Q51" i="215"/>
  <c r="CS51" i="215"/>
  <c r="CI52" i="215"/>
  <c r="G52" i="215"/>
  <c r="CY52" i="215"/>
  <c r="W52" i="215"/>
  <c r="P50" i="215"/>
  <c r="CR50" i="215"/>
  <c r="CH51" i="215"/>
  <c r="F51" i="215"/>
  <c r="CX51" i="215"/>
  <c r="V51" i="215"/>
  <c r="CN52" i="215"/>
  <c r="L52" i="215"/>
  <c r="CG52" i="215"/>
  <c r="E52" i="215"/>
  <c r="CW52" i="215"/>
  <c r="U52" i="215"/>
  <c r="DA10" i="215"/>
  <c r="Y10" i="215"/>
  <c r="CS21" i="215"/>
  <c r="Q21" i="215"/>
  <c r="CV15" i="215"/>
  <c r="T15" i="215"/>
  <c r="CS6" i="215"/>
  <c r="Q6" i="215"/>
  <c r="CL13" i="215"/>
  <c r="J13" i="215"/>
  <c r="CI27" i="215"/>
  <c r="G27" i="215"/>
  <c r="CS10" i="215"/>
  <c r="Q10" i="215"/>
  <c r="CK8" i="215"/>
  <c r="I8" i="215"/>
  <c r="DA18" i="215"/>
  <c r="Y18" i="215"/>
  <c r="CF10" i="215"/>
  <c r="D10" i="215"/>
  <c r="CV12" i="215"/>
  <c r="T12" i="215"/>
  <c r="CO15" i="215"/>
  <c r="M15" i="215"/>
  <c r="Q20" i="215"/>
  <c r="CS20" i="215"/>
  <c r="CJ26" i="215"/>
  <c r="H26" i="215"/>
  <c r="CJ33" i="215"/>
  <c r="H33" i="215"/>
  <c r="CO6" i="215"/>
  <c r="M6" i="215"/>
  <c r="CH9" i="215"/>
  <c r="F9" i="215"/>
  <c r="CO10" i="215"/>
  <c r="M10" i="215"/>
  <c r="CH13" i="215"/>
  <c r="F13" i="215"/>
  <c r="DA15" i="215"/>
  <c r="Y15" i="215"/>
  <c r="CU19" i="215"/>
  <c r="S19" i="215"/>
  <c r="CS24" i="215"/>
  <c r="Q24" i="215"/>
  <c r="CU29" i="215"/>
  <c r="S29" i="215"/>
  <c r="BP53" i="215"/>
  <c r="CQ53" i="215" s="1"/>
  <c r="CQ5" i="215"/>
  <c r="O5" i="215"/>
  <c r="CJ8" i="215"/>
  <c r="H8" i="215"/>
  <c r="CZ10" i="215"/>
  <c r="X10" i="215"/>
  <c r="CQ13" i="215"/>
  <c r="O13" i="215"/>
  <c r="CX16" i="215"/>
  <c r="V16" i="215"/>
  <c r="DA20" i="215"/>
  <c r="Y20" i="215"/>
  <c r="O26" i="215"/>
  <c r="CQ26" i="215"/>
  <c r="CS32" i="215"/>
  <c r="Q32" i="215"/>
  <c r="G30" i="215"/>
  <c r="CI30" i="215"/>
  <c r="CN32" i="215"/>
  <c r="L32" i="215"/>
  <c r="CV37" i="215"/>
  <c r="T37" i="215"/>
  <c r="CV45" i="215"/>
  <c r="T45" i="215"/>
  <c r="BU53" i="215"/>
  <c r="CV53" i="215" s="1"/>
  <c r="T5" i="215"/>
  <c r="CV5" i="215"/>
  <c r="Z6" i="215"/>
  <c r="DB6" i="215"/>
  <c r="CH8" i="215"/>
  <c r="F8" i="215"/>
  <c r="L9" i="215"/>
  <c r="CN9" i="215"/>
  <c r="R10" i="215"/>
  <c r="CT10" i="215"/>
  <c r="X11" i="215"/>
  <c r="CZ11" i="215"/>
  <c r="D13" i="215"/>
  <c r="CF13" i="215"/>
  <c r="J14" i="215"/>
  <c r="CL14" i="215"/>
  <c r="U15" i="215"/>
  <c r="CW15" i="215"/>
  <c r="O17" i="215"/>
  <c r="CQ17" i="215"/>
  <c r="CJ19" i="215"/>
  <c r="H19" i="215"/>
  <c r="CP20" i="215"/>
  <c r="N20" i="215"/>
  <c r="DB22" i="215"/>
  <c r="Z22" i="215"/>
  <c r="I26" i="215"/>
  <c r="CK26" i="215"/>
  <c r="I28" i="215"/>
  <c r="CK28" i="215"/>
  <c r="CY30" i="215"/>
  <c r="W30" i="215"/>
  <c r="CO33" i="215"/>
  <c r="M33" i="215"/>
  <c r="CO39" i="215"/>
  <c r="M39" i="215"/>
  <c r="CP49" i="215"/>
  <c r="N49" i="215"/>
  <c r="G6" i="215"/>
  <c r="CI6" i="215"/>
  <c r="Q7" i="215"/>
  <c r="CS7" i="215"/>
  <c r="Q9" i="215"/>
  <c r="CS9" i="215"/>
  <c r="W10" i="215"/>
  <c r="CY10" i="215"/>
  <c r="G12" i="215"/>
  <c r="CI12" i="215"/>
  <c r="Q13" i="215"/>
  <c r="CS13" i="215"/>
  <c r="CY14" i="215"/>
  <c r="W14" i="215"/>
  <c r="CY15" i="215"/>
  <c r="W15" i="215"/>
  <c r="CR17" i="215"/>
  <c r="P17" i="215"/>
  <c r="CQ20" i="215"/>
  <c r="O20" i="215"/>
  <c r="G24" i="215"/>
  <c r="CI24" i="215"/>
  <c r="CU26" i="215"/>
  <c r="S26" i="215"/>
  <c r="CU28" i="215"/>
  <c r="S28" i="215"/>
  <c r="CS30" i="215"/>
  <c r="Q30" i="215"/>
  <c r="W32" i="215"/>
  <c r="CY32" i="215"/>
  <c r="CN37" i="215"/>
  <c r="L37" i="215"/>
  <c r="CD46" i="215"/>
  <c r="B46" i="215"/>
  <c r="CB46" i="215"/>
  <c r="CT15" i="215"/>
  <c r="R15" i="215"/>
  <c r="N17" i="215"/>
  <c r="CP17" i="215"/>
  <c r="CF18" i="215"/>
  <c r="D18" i="215"/>
  <c r="CM19" i="215"/>
  <c r="K19" i="215"/>
  <c r="CF21" i="215"/>
  <c r="D21" i="215"/>
  <c r="CX22" i="215"/>
  <c r="V22" i="215"/>
  <c r="O25" i="215"/>
  <c r="CQ25" i="215"/>
  <c r="CK27" i="215"/>
  <c r="I27" i="215"/>
  <c r="CD29" i="215"/>
  <c r="B29" i="215"/>
  <c r="CB29" i="215"/>
  <c r="CV30" i="215"/>
  <c r="T30" i="215"/>
  <c r="CL33" i="215"/>
  <c r="J33" i="215"/>
  <c r="CR37" i="215"/>
  <c r="P37" i="215"/>
  <c r="CV41" i="215"/>
  <c r="T41" i="215"/>
  <c r="N19" i="215"/>
  <c r="CP19" i="215"/>
  <c r="T20" i="215"/>
  <c r="CV20" i="215"/>
  <c r="P22" i="215"/>
  <c r="CR22" i="215"/>
  <c r="CX24" i="215"/>
  <c r="V24" i="215"/>
  <c r="CD26" i="215"/>
  <c r="B26" i="215"/>
  <c r="CB26" i="215"/>
  <c r="H27" i="215"/>
  <c r="CJ27" i="215"/>
  <c r="CP28" i="215"/>
  <c r="N28" i="215"/>
  <c r="CF29" i="215"/>
  <c r="D29" i="215"/>
  <c r="CL30" i="215"/>
  <c r="J30" i="215"/>
  <c r="P31" i="215"/>
  <c r="CR31" i="215"/>
  <c r="CX32" i="215"/>
  <c r="V32" i="215"/>
  <c r="CT36" i="215"/>
  <c r="R36" i="215"/>
  <c r="CK39" i="215"/>
  <c r="I39" i="215"/>
  <c r="CD44" i="215"/>
  <c r="B44" i="215"/>
  <c r="CB44" i="215"/>
  <c r="K33" i="215"/>
  <c r="CM33" i="215"/>
  <c r="CW35" i="215"/>
  <c r="U35" i="215"/>
  <c r="E37" i="215"/>
  <c r="CG37" i="215"/>
  <c r="CM38" i="215"/>
  <c r="K38" i="215"/>
  <c r="CH40" i="215"/>
  <c r="F40" i="215"/>
  <c r="CX44" i="215"/>
  <c r="V44" i="215"/>
  <c r="CX47" i="215"/>
  <c r="V47" i="215"/>
  <c r="N35" i="215"/>
  <c r="CP35" i="215"/>
  <c r="T36" i="215"/>
  <c r="CV36" i="215"/>
  <c r="Z37" i="215"/>
  <c r="DB37" i="215"/>
  <c r="CN39" i="215"/>
  <c r="L39" i="215"/>
  <c r="CZ41" i="215"/>
  <c r="X41" i="215"/>
  <c r="CS46" i="215"/>
  <c r="Q46" i="215"/>
  <c r="DA50" i="215"/>
  <c r="Y50" i="215"/>
  <c r="CY40" i="215"/>
  <c r="W40" i="215"/>
  <c r="CI44" i="215"/>
  <c r="G44" i="215"/>
  <c r="Q45" i="215"/>
  <c r="CS45" i="215"/>
  <c r="CI46" i="215"/>
  <c r="G46" i="215"/>
  <c r="DB47" i="215"/>
  <c r="Z47" i="215"/>
  <c r="CS50" i="215"/>
  <c r="Q50" i="215"/>
  <c r="CP39" i="215"/>
  <c r="N39" i="215"/>
  <c r="J41" i="215"/>
  <c r="CL41" i="215"/>
  <c r="P44" i="215"/>
  <c r="CR44" i="215"/>
  <c r="CN46" i="215"/>
  <c r="L46" i="215"/>
  <c r="CV52" i="215"/>
  <c r="T52" i="215"/>
  <c r="BL53" i="215"/>
  <c r="CM53" i="215" s="1"/>
  <c r="CM5" i="215"/>
  <c r="K5" i="215"/>
  <c r="C21" i="215"/>
  <c r="CE21" i="215"/>
  <c r="CN6" i="215"/>
  <c r="L6" i="215"/>
  <c r="CT9" i="215"/>
  <c r="R9" i="215"/>
  <c r="CK14" i="215"/>
  <c r="I14" i="215"/>
  <c r="CM20" i="215"/>
  <c r="K20" i="215"/>
  <c r="CM29" i="215"/>
  <c r="K29" i="215"/>
  <c r="DB13" i="215"/>
  <c r="Z13" i="215"/>
  <c r="DA31" i="215"/>
  <c r="Y31" i="215"/>
  <c r="BT53" i="215"/>
  <c r="CU53" i="215" s="1"/>
  <c r="CU5" i="215"/>
  <c r="S5" i="215"/>
  <c r="CF8" i="215"/>
  <c r="D8" i="215"/>
  <c r="CK12" i="215"/>
  <c r="I12" i="215"/>
  <c r="W17" i="215"/>
  <c r="CY17" i="215"/>
  <c r="CG26" i="215"/>
  <c r="E26" i="215"/>
  <c r="CY35" i="215"/>
  <c r="W35" i="215"/>
  <c r="CL9" i="215"/>
  <c r="J9" i="215"/>
  <c r="BK53" i="215"/>
  <c r="CL53" i="215" s="1"/>
  <c r="CL5" i="215"/>
  <c r="J5" i="215"/>
  <c r="CM7" i="215"/>
  <c r="K7" i="215"/>
  <c r="CL11" i="215"/>
  <c r="J11" i="215"/>
  <c r="CK15" i="215"/>
  <c r="I15" i="215"/>
  <c r="CV26" i="215"/>
  <c r="T26" i="215"/>
  <c r="CG38" i="215"/>
  <c r="E38" i="215"/>
  <c r="CU9" i="215"/>
  <c r="S9" i="215"/>
  <c r="CE11" i="215"/>
  <c r="C11" i="215"/>
  <c r="CN12" i="215"/>
  <c r="L12" i="215"/>
  <c r="CU13" i="215"/>
  <c r="S13" i="215"/>
  <c r="CE15" i="215"/>
  <c r="C15" i="215"/>
  <c r="Q16" i="215"/>
  <c r="CS16" i="215"/>
  <c r="E18" i="215"/>
  <c r="CG18" i="215"/>
  <c r="CE20" i="215"/>
  <c r="C20" i="215"/>
  <c r="CK22" i="215"/>
  <c r="I22" i="215"/>
  <c r="CT25" i="215"/>
  <c r="R25" i="215"/>
  <c r="O28" i="215"/>
  <c r="CQ28" i="215"/>
  <c r="CF32" i="215"/>
  <c r="D32" i="215"/>
  <c r="CU45" i="215"/>
  <c r="S45" i="215"/>
  <c r="CG6" i="215"/>
  <c r="E6" i="215"/>
  <c r="CP7" i="215"/>
  <c r="N7" i="215"/>
  <c r="CW8" i="215"/>
  <c r="U8" i="215"/>
  <c r="CG10" i="215"/>
  <c r="E10" i="215"/>
  <c r="CP11" i="215"/>
  <c r="N11" i="215"/>
  <c r="CW12" i="215"/>
  <c r="U12" i="215"/>
  <c r="CG14" i="215"/>
  <c r="E14" i="215"/>
  <c r="O15" i="215"/>
  <c r="CQ15" i="215"/>
  <c r="G17" i="215"/>
  <c r="CI17" i="215"/>
  <c r="CG19" i="215"/>
  <c r="E19" i="215"/>
  <c r="CM21" i="215"/>
  <c r="K21" i="215"/>
  <c r="CF24" i="215"/>
  <c r="D24" i="215"/>
  <c r="CO26" i="215"/>
  <c r="M26" i="215"/>
  <c r="CG29" i="215"/>
  <c r="E29" i="215"/>
  <c r="CM32" i="215"/>
  <c r="K32" i="215"/>
  <c r="BH53" i="215"/>
  <c r="CI53" i="215" s="1"/>
  <c r="CI5" i="215"/>
  <c r="G5" i="215"/>
  <c r="CR6" i="215"/>
  <c r="P6" i="215"/>
  <c r="CY7" i="215"/>
  <c r="W7" i="215"/>
  <c r="CI9" i="215"/>
  <c r="G9" i="215"/>
  <c r="CR10" i="215"/>
  <c r="P10" i="215"/>
  <c r="CY11" i="215"/>
  <c r="W11" i="215"/>
  <c r="CI13" i="215"/>
  <c r="G13" i="215"/>
  <c r="CR14" i="215"/>
  <c r="P14" i="215"/>
  <c r="K16" i="215"/>
  <c r="CM16" i="215"/>
  <c r="CL18" i="215"/>
  <c r="J18" i="215"/>
  <c r="CL20" i="215"/>
  <c r="J20" i="215"/>
  <c r="CQ22" i="215"/>
  <c r="O22" i="215"/>
  <c r="Y25" i="215"/>
  <c r="DA25" i="215"/>
  <c r="CJ28" i="215"/>
  <c r="H28" i="215"/>
  <c r="CT31" i="215"/>
  <c r="R31" i="215"/>
  <c r="CU39" i="215"/>
  <c r="S39" i="215"/>
  <c r="E31" i="215"/>
  <c r="CG31" i="215"/>
  <c r="CG32" i="215"/>
  <c r="E32" i="215"/>
  <c r="CW33" i="215"/>
  <c r="U33" i="215"/>
  <c r="CF37" i="215"/>
  <c r="D37" i="215"/>
  <c r="CF39" i="215"/>
  <c r="D39" i="215"/>
  <c r="DB44" i="215"/>
  <c r="Z44" i="215"/>
  <c r="CX52" i="215"/>
  <c r="V52" i="215"/>
  <c r="BQ53" i="215"/>
  <c r="CR53" i="215" s="1"/>
  <c r="CR5" i="215"/>
  <c r="P5" i="215"/>
  <c r="CH6" i="215"/>
  <c r="F6" i="215"/>
  <c r="CX6" i="215"/>
  <c r="V6" i="215"/>
  <c r="L7" i="215"/>
  <c r="CN7" i="215"/>
  <c r="CB8" i="215"/>
  <c r="B8" i="215"/>
  <c r="CD8" i="215"/>
  <c r="R8" i="215"/>
  <c r="CT8" i="215"/>
  <c r="H9" i="215"/>
  <c r="CJ9" i="215"/>
  <c r="X9" i="215"/>
  <c r="CZ9" i="215"/>
  <c r="CP10" i="215"/>
  <c r="N10" i="215"/>
  <c r="D11" i="215"/>
  <c r="CF11" i="215"/>
  <c r="T11" i="215"/>
  <c r="CV11" i="215"/>
  <c r="J12" i="215"/>
  <c r="CL12" i="215"/>
  <c r="Z12" i="215"/>
  <c r="DB12" i="215"/>
  <c r="P13" i="215"/>
  <c r="CR13" i="215"/>
  <c r="CH14" i="215"/>
  <c r="F14" i="215"/>
  <c r="CX14" i="215"/>
  <c r="V14" i="215"/>
  <c r="CR15" i="215"/>
  <c r="P15" i="215"/>
  <c r="M16" i="215"/>
  <c r="CO16" i="215"/>
  <c r="I17" i="215"/>
  <c r="CK17" i="215"/>
  <c r="CH18" i="215"/>
  <c r="F18" i="215"/>
  <c r="C19" i="215"/>
  <c r="CE19" i="215"/>
  <c r="CH20" i="215"/>
  <c r="F20" i="215"/>
  <c r="M21" i="215"/>
  <c r="CO21" i="215"/>
  <c r="S22" i="215"/>
  <c r="CU22" i="215"/>
  <c r="CV24" i="215"/>
  <c r="T24" i="215"/>
  <c r="C26" i="215"/>
  <c r="CE26" i="215"/>
  <c r="CD27" i="215"/>
  <c r="B27" i="215"/>
  <c r="CB27" i="215"/>
  <c r="C28" i="215"/>
  <c r="CE28" i="215"/>
  <c r="CK29" i="215"/>
  <c r="I29" i="215"/>
  <c r="CR30" i="215"/>
  <c r="P30" i="215"/>
  <c r="U31" i="215"/>
  <c r="CW31" i="215"/>
  <c r="CG33" i="215"/>
  <c r="E33" i="215"/>
  <c r="CG36" i="215"/>
  <c r="E36" i="215"/>
  <c r="CK38" i="215"/>
  <c r="I38" i="215"/>
  <c r="CG44" i="215"/>
  <c r="E44" i="215"/>
  <c r="CO48" i="215"/>
  <c r="M48" i="215"/>
  <c r="BN53" i="215"/>
  <c r="CO53" i="215" s="1"/>
  <c r="CO5" i="215"/>
  <c r="M5" i="215"/>
  <c r="CE6" i="215"/>
  <c r="C6" i="215"/>
  <c r="CU6" i="215"/>
  <c r="S6" i="215"/>
  <c r="CO7" i="215"/>
  <c r="M7" i="215"/>
  <c r="CE8" i="215"/>
  <c r="C8" i="215"/>
  <c r="CU8" i="215"/>
  <c r="S8" i="215"/>
  <c r="CO9" i="215"/>
  <c r="M9" i="215"/>
  <c r="CE10" i="215"/>
  <c r="C10" i="215"/>
  <c r="CU10" i="215"/>
  <c r="S10" i="215"/>
  <c r="CO11" i="215"/>
  <c r="M11" i="215"/>
  <c r="CE12" i="215"/>
  <c r="C12" i="215"/>
  <c r="CU12" i="215"/>
  <c r="S12" i="215"/>
  <c r="CO13" i="215"/>
  <c r="M13" i="215"/>
  <c r="CE14" i="215"/>
  <c r="C14" i="215"/>
  <c r="CU14" i="215"/>
  <c r="S14" i="215"/>
  <c r="Q15" i="215"/>
  <c r="CS15" i="215"/>
  <c r="CP16" i="215"/>
  <c r="N16" i="215"/>
  <c r="CM17" i="215"/>
  <c r="K17" i="215"/>
  <c r="G18" i="215"/>
  <c r="CI18" i="215"/>
  <c r="CF19" i="215"/>
  <c r="D19" i="215"/>
  <c r="CK20" i="215"/>
  <c r="I20" i="215"/>
  <c r="CR21" i="215"/>
  <c r="P21" i="215"/>
  <c r="U22" i="215"/>
  <c r="CW22" i="215"/>
  <c r="CI25" i="215"/>
  <c r="G25" i="215"/>
  <c r="K26" i="215"/>
  <c r="CM26" i="215"/>
  <c r="K27" i="215"/>
  <c r="CM27" i="215"/>
  <c r="CN28" i="215"/>
  <c r="L28" i="215"/>
  <c r="CL29" i="215"/>
  <c r="J29" i="215"/>
  <c r="CM30" i="215"/>
  <c r="K30" i="215"/>
  <c r="CK31" i="215"/>
  <c r="I31" i="215"/>
  <c r="CR32" i="215"/>
  <c r="P32" i="215"/>
  <c r="DB33" i="215"/>
  <c r="Z33" i="215"/>
  <c r="CW36" i="215"/>
  <c r="U36" i="215"/>
  <c r="O39" i="215"/>
  <c r="CQ39" i="215"/>
  <c r="CF45" i="215"/>
  <c r="D45" i="215"/>
  <c r="CK50" i="215"/>
  <c r="I50" i="215"/>
  <c r="CP15" i="215"/>
  <c r="N15" i="215"/>
  <c r="CF16" i="215"/>
  <c r="D16" i="215"/>
  <c r="CV16" i="215"/>
  <c r="T16" i="215"/>
  <c r="J17" i="215"/>
  <c r="CL17" i="215"/>
  <c r="Z17" i="215"/>
  <c r="DB17" i="215"/>
  <c r="P18" i="215"/>
  <c r="CR18" i="215"/>
  <c r="CH19" i="215"/>
  <c r="F19" i="215"/>
  <c r="CD20" i="215"/>
  <c r="B20" i="215"/>
  <c r="CB20" i="215"/>
  <c r="W20" i="215"/>
  <c r="CY20" i="215"/>
  <c r="CV21" i="215"/>
  <c r="T21" i="215"/>
  <c r="CS22" i="215"/>
  <c r="Q22" i="215"/>
  <c r="M24" i="215"/>
  <c r="CO24" i="215"/>
  <c r="CL25" i="215"/>
  <c r="J25" i="215"/>
  <c r="CI26" i="215"/>
  <c r="G26" i="215"/>
  <c r="C27" i="215"/>
  <c r="CE27" i="215"/>
  <c r="DA27" i="215"/>
  <c r="Y27" i="215"/>
  <c r="U28" i="215"/>
  <c r="CW28" i="215"/>
  <c r="CT29" i="215"/>
  <c r="R29" i="215"/>
  <c r="CQ30" i="215"/>
  <c r="O30" i="215"/>
  <c r="K31" i="215"/>
  <c r="CM31" i="215"/>
  <c r="CJ32" i="215"/>
  <c r="H32" i="215"/>
  <c r="CB33" i="215"/>
  <c r="B33" i="215"/>
  <c r="CD33" i="215"/>
  <c r="CI35" i="215"/>
  <c r="G35" i="215"/>
  <c r="CI37" i="215"/>
  <c r="G37" i="215"/>
  <c r="CJ39" i="215"/>
  <c r="H39" i="215"/>
  <c r="CE41" i="215"/>
  <c r="C41" i="215"/>
  <c r="CL46" i="215"/>
  <c r="J46" i="215"/>
  <c r="CL19" i="215"/>
  <c r="J19" i="215"/>
  <c r="DB19" i="215"/>
  <c r="Z19" i="215"/>
  <c r="CR20" i="215"/>
  <c r="P20" i="215"/>
  <c r="F21" i="215"/>
  <c r="CH21" i="215"/>
  <c r="CX21" i="215"/>
  <c r="V21" i="215"/>
  <c r="CN22" i="215"/>
  <c r="L22" i="215"/>
  <c r="B24" i="215"/>
  <c r="CD24" i="215"/>
  <c r="CB24" i="215"/>
  <c r="R24" i="215"/>
  <c r="CT24" i="215"/>
  <c r="CJ25" i="215"/>
  <c r="H25" i="215"/>
  <c r="CZ25" i="215"/>
  <c r="X25" i="215"/>
  <c r="CP26" i="215"/>
  <c r="N26" i="215"/>
  <c r="CF27" i="215"/>
  <c r="D27" i="215"/>
  <c r="CV27" i="215"/>
  <c r="T27" i="215"/>
  <c r="J28" i="215"/>
  <c r="CL28" i="215"/>
  <c r="Z28" i="215"/>
  <c r="DB28" i="215"/>
  <c r="CR29" i="215"/>
  <c r="P29" i="215"/>
  <c r="CH30" i="215"/>
  <c r="F30" i="215"/>
  <c r="V30" i="215"/>
  <c r="CX30" i="215"/>
  <c r="CN31" i="215"/>
  <c r="L31" i="215"/>
  <c r="B32" i="215"/>
  <c r="CD32" i="215"/>
  <c r="CB32" i="215"/>
  <c r="R32" i="215"/>
  <c r="CT32" i="215"/>
  <c r="CK33" i="215"/>
  <c r="I33" i="215"/>
  <c r="CE35" i="215"/>
  <c r="C35" i="215"/>
  <c r="CL36" i="215"/>
  <c r="J36" i="215"/>
  <c r="CM37" i="215"/>
  <c r="K37" i="215"/>
  <c r="CT38" i="215"/>
  <c r="R38" i="215"/>
  <c r="CM41" i="215"/>
  <c r="K41" i="215"/>
  <c r="CG46" i="215"/>
  <c r="E46" i="215"/>
  <c r="G33" i="215"/>
  <c r="CI33" i="215"/>
  <c r="W33" i="215"/>
  <c r="CY33" i="215"/>
  <c r="CS35" i="215"/>
  <c r="Q35" i="215"/>
  <c r="CI36" i="215"/>
  <c r="G36" i="215"/>
  <c r="CY36" i="215"/>
  <c r="W36" i="215"/>
  <c r="CS37" i="215"/>
  <c r="Q37" i="215"/>
  <c r="G38" i="215"/>
  <c r="CI38" i="215"/>
  <c r="DA38" i="215"/>
  <c r="Y38" i="215"/>
  <c r="U39" i="215"/>
  <c r="CW39" i="215"/>
  <c r="CI41" i="215"/>
  <c r="G41" i="215"/>
  <c r="CP44" i="215"/>
  <c r="N44" i="215"/>
  <c r="CY45" i="215"/>
  <c r="W45" i="215"/>
  <c r="CH47" i="215"/>
  <c r="F47" i="215"/>
  <c r="CL50" i="215"/>
  <c r="J50" i="215"/>
  <c r="J35" i="215"/>
  <c r="CL35" i="215"/>
  <c r="Z35" i="215"/>
  <c r="DB35" i="215"/>
  <c r="CR36" i="215"/>
  <c r="P36" i="215"/>
  <c r="F37" i="215"/>
  <c r="CH37" i="215"/>
  <c r="V37" i="215"/>
  <c r="CX37" i="215"/>
  <c r="L38" i="215"/>
  <c r="CN38" i="215"/>
  <c r="CI39" i="215"/>
  <c r="G39" i="215"/>
  <c r="CK40" i="215"/>
  <c r="I40" i="215"/>
  <c r="CR41" i="215"/>
  <c r="P41" i="215"/>
  <c r="DA44" i="215"/>
  <c r="Y44" i="215"/>
  <c r="CK46" i="215"/>
  <c r="I46" i="215"/>
  <c r="CY47" i="215"/>
  <c r="W47" i="215"/>
  <c r="V49" i="215"/>
  <c r="CX49" i="215"/>
  <c r="C40" i="215"/>
  <c r="CE40" i="215"/>
  <c r="S40" i="215"/>
  <c r="CU40" i="215"/>
  <c r="M41" i="215"/>
  <c r="CO41" i="215"/>
  <c r="C44" i="215"/>
  <c r="CE44" i="215"/>
  <c r="S44" i="215"/>
  <c r="CU44" i="215"/>
  <c r="M45" i="215"/>
  <c r="CO45" i="215"/>
  <c r="C46" i="215"/>
  <c r="CE46" i="215"/>
  <c r="S46" i="215"/>
  <c r="CU46" i="215"/>
  <c r="CT47" i="215"/>
  <c r="R47" i="215"/>
  <c r="DA48" i="215"/>
  <c r="Y48" i="215"/>
  <c r="DB49" i="215"/>
  <c r="Z49" i="215"/>
  <c r="CV38" i="215"/>
  <c r="T38" i="215"/>
  <c r="J39" i="215"/>
  <c r="CL39" i="215"/>
  <c r="Z39" i="215"/>
  <c r="DB39" i="215"/>
  <c r="P40" i="215"/>
  <c r="CR40" i="215"/>
  <c r="CH41" i="215"/>
  <c r="F41" i="215"/>
  <c r="CX41" i="215"/>
  <c r="V41" i="215"/>
  <c r="CN44" i="215"/>
  <c r="L44" i="215"/>
  <c r="B45" i="215"/>
  <c r="CD45" i="215"/>
  <c r="CB45" i="215"/>
  <c r="R45" i="215"/>
  <c r="CT45" i="215"/>
  <c r="H46" i="215"/>
  <c r="CJ46" i="215"/>
  <c r="CZ46" i="215"/>
  <c r="X46" i="215"/>
  <c r="CF48" i="215"/>
  <c r="D48" i="215"/>
  <c r="CM49" i="215"/>
  <c r="K49" i="215"/>
  <c r="CR51" i="215"/>
  <c r="P51" i="215"/>
  <c r="CN47" i="215"/>
  <c r="L47" i="215"/>
  <c r="CB48" i="215"/>
  <c r="CD48" i="215"/>
  <c r="B48" i="215"/>
  <c r="CT48" i="215"/>
  <c r="R48" i="215"/>
  <c r="H49" i="215"/>
  <c r="CJ49" i="215"/>
  <c r="CZ49" i="215"/>
  <c r="X49" i="215"/>
  <c r="CF51" i="215"/>
  <c r="D51" i="215"/>
  <c r="DB52" i="215"/>
  <c r="Z52" i="215"/>
  <c r="CS47" i="215"/>
  <c r="Q47" i="215"/>
  <c r="CI48" i="215"/>
  <c r="G48" i="215"/>
  <c r="CY48" i="215"/>
  <c r="W48" i="215"/>
  <c r="CS49" i="215"/>
  <c r="Q49" i="215"/>
  <c r="CP50" i="215"/>
  <c r="N50" i="215"/>
  <c r="CY51" i="215"/>
  <c r="W51" i="215"/>
  <c r="K50" i="215"/>
  <c r="CM50" i="215"/>
  <c r="CG51" i="215"/>
  <c r="E51" i="215"/>
  <c r="CW51" i="215"/>
  <c r="U51" i="215"/>
  <c r="CM52" i="215"/>
  <c r="K52" i="215"/>
  <c r="CF50" i="215"/>
  <c r="D50" i="215"/>
  <c r="CV50" i="215"/>
  <c r="T50" i="215"/>
  <c r="J51" i="215"/>
  <c r="CL51" i="215"/>
  <c r="Z51" i="215"/>
  <c r="DB51" i="215"/>
  <c r="P52" i="215"/>
  <c r="CR52" i="215"/>
  <c r="CK52" i="215"/>
  <c r="I52" i="215"/>
  <c r="DA52" i="215"/>
  <c r="Y52" i="215"/>
  <c r="H11" i="214"/>
  <c r="CJ11" i="214"/>
  <c r="DA18" i="214"/>
  <c r="Y18" i="214"/>
  <c r="CZ9" i="214"/>
  <c r="X9" i="214"/>
  <c r="J15" i="214"/>
  <c r="CL15" i="214"/>
  <c r="BU53" i="214"/>
  <c r="CV53" i="214" s="1"/>
  <c r="CV5" i="214"/>
  <c r="T5" i="214"/>
  <c r="CX10" i="214"/>
  <c r="V10" i="214"/>
  <c r="CU17" i="214"/>
  <c r="S17" i="214"/>
  <c r="CT12" i="214"/>
  <c r="R12" i="214"/>
  <c r="CR9" i="214"/>
  <c r="P9" i="214"/>
  <c r="DA14" i="214"/>
  <c r="Y14" i="214"/>
  <c r="DB22" i="214"/>
  <c r="Z22" i="214"/>
  <c r="BZ53" i="214"/>
  <c r="DA53" i="214" s="1"/>
  <c r="DA5" i="214"/>
  <c r="Y5" i="214"/>
  <c r="CK7" i="214"/>
  <c r="I7" i="214"/>
  <c r="CQ8" i="214"/>
  <c r="O8" i="214"/>
  <c r="DA9" i="214"/>
  <c r="Y9" i="214"/>
  <c r="I11" i="214"/>
  <c r="CK11" i="214"/>
  <c r="T12" i="214"/>
  <c r="CV12" i="214"/>
  <c r="J14" i="214"/>
  <c r="CL14" i="214"/>
  <c r="F16" i="214"/>
  <c r="CH16" i="214"/>
  <c r="CH18" i="214"/>
  <c r="F18" i="214"/>
  <c r="CL20" i="214"/>
  <c r="J20" i="214"/>
  <c r="CV22" i="214"/>
  <c r="T22" i="214"/>
  <c r="CT31" i="214"/>
  <c r="R31" i="214"/>
  <c r="P20" i="214"/>
  <c r="CR20" i="214"/>
  <c r="D6" i="214"/>
  <c r="CF6" i="214"/>
  <c r="Z7" i="214"/>
  <c r="DB7" i="214"/>
  <c r="CX9" i="214"/>
  <c r="V9" i="214"/>
  <c r="CN10" i="214"/>
  <c r="L10" i="214"/>
  <c r="J12" i="214"/>
  <c r="CL12" i="214"/>
  <c r="CD15" i="214"/>
  <c r="B15" i="214"/>
  <c r="CB15" i="214"/>
  <c r="R16" i="214"/>
  <c r="CT16" i="214"/>
  <c r="CZ19" i="214"/>
  <c r="X19" i="214"/>
  <c r="DB24" i="214"/>
  <c r="Z24" i="214"/>
  <c r="DA32" i="214"/>
  <c r="Y32" i="214"/>
  <c r="CM32" i="214"/>
  <c r="K32" i="214"/>
  <c r="CW6" i="214"/>
  <c r="U6" i="214"/>
  <c r="CW8" i="214"/>
  <c r="U8" i="214"/>
  <c r="CG10" i="214"/>
  <c r="E10" i="214"/>
  <c r="CM11" i="214"/>
  <c r="K11" i="214"/>
  <c r="CY13" i="214"/>
  <c r="W13" i="214"/>
  <c r="CP15" i="214"/>
  <c r="N15" i="214"/>
  <c r="CB18" i="214"/>
  <c r="CD18" i="214"/>
  <c r="B18" i="214"/>
  <c r="N21" i="214"/>
  <c r="CP21" i="214"/>
  <c r="CM26" i="214"/>
  <c r="K26" i="214"/>
  <c r="CH24" i="214"/>
  <c r="F24" i="214"/>
  <c r="CD26" i="214"/>
  <c r="B26" i="214"/>
  <c r="CB26" i="214"/>
  <c r="CP28" i="214"/>
  <c r="N28" i="214"/>
  <c r="DB31" i="214"/>
  <c r="Z31" i="214"/>
  <c r="CQ36" i="214"/>
  <c r="O36" i="214"/>
  <c r="F22" i="214"/>
  <c r="CH22" i="214"/>
  <c r="R25" i="214"/>
  <c r="CT25" i="214"/>
  <c r="CK27" i="214"/>
  <c r="I27" i="214"/>
  <c r="CJ30" i="214"/>
  <c r="H30" i="214"/>
  <c r="U32" i="214"/>
  <c r="CW32" i="214"/>
  <c r="CL39" i="214"/>
  <c r="J39" i="214"/>
  <c r="I13" i="214"/>
  <c r="CK13" i="214"/>
  <c r="CK15" i="214"/>
  <c r="I15" i="214"/>
  <c r="CL17" i="214"/>
  <c r="J17" i="214"/>
  <c r="CX19" i="214"/>
  <c r="V19" i="214"/>
  <c r="CT21" i="214"/>
  <c r="R21" i="214"/>
  <c r="CF25" i="214"/>
  <c r="D25" i="214"/>
  <c r="CR27" i="214"/>
  <c r="P27" i="214"/>
  <c r="CM30" i="214"/>
  <c r="K30" i="214"/>
  <c r="CR32" i="214"/>
  <c r="P32" i="214"/>
  <c r="CM39" i="214"/>
  <c r="K39" i="214"/>
  <c r="CS44" i="214"/>
  <c r="Q44" i="214"/>
  <c r="I17" i="214"/>
  <c r="CK17" i="214"/>
  <c r="I19" i="214"/>
  <c r="CK19" i="214"/>
  <c r="CK21" i="214"/>
  <c r="I21" i="214"/>
  <c r="CK24" i="214"/>
  <c r="I24" i="214"/>
  <c r="CQ25" i="214"/>
  <c r="O25" i="214"/>
  <c r="O27" i="214"/>
  <c r="CQ27" i="214"/>
  <c r="CT29" i="214"/>
  <c r="R29" i="214"/>
  <c r="K31" i="214"/>
  <c r="CM31" i="214"/>
  <c r="CE35" i="214"/>
  <c r="C35" i="214"/>
  <c r="DB39" i="214"/>
  <c r="Z39" i="214"/>
  <c r="X50" i="214"/>
  <c r="CZ50" i="214"/>
  <c r="O33" i="214"/>
  <c r="CQ33" i="214"/>
  <c r="CP37" i="214"/>
  <c r="N37" i="214"/>
  <c r="CF40" i="214"/>
  <c r="D40" i="214"/>
  <c r="S44" i="214"/>
  <c r="CU44" i="214"/>
  <c r="H50" i="214"/>
  <c r="CJ50" i="214"/>
  <c r="CD30" i="214"/>
  <c r="CB30" i="214"/>
  <c r="B30" i="214"/>
  <c r="CZ31" i="214"/>
  <c r="X31" i="214"/>
  <c r="D33" i="214"/>
  <c r="CF33" i="214"/>
  <c r="DB35" i="214"/>
  <c r="Z35" i="214"/>
  <c r="O37" i="214"/>
  <c r="CQ37" i="214"/>
  <c r="CD41" i="214"/>
  <c r="B41" i="214"/>
  <c r="CB41" i="214"/>
  <c r="T44" i="214"/>
  <c r="CV44" i="214"/>
  <c r="CR45" i="214"/>
  <c r="P45" i="214"/>
  <c r="CL49" i="214"/>
  <c r="J49" i="214"/>
  <c r="T37" i="214"/>
  <c r="CV37" i="214"/>
  <c r="Z38" i="214"/>
  <c r="DB38" i="214"/>
  <c r="CH40" i="214"/>
  <c r="F40" i="214"/>
  <c r="L41" i="214"/>
  <c r="CN41" i="214"/>
  <c r="CT44" i="214"/>
  <c r="R44" i="214"/>
  <c r="CS46" i="214"/>
  <c r="Q46" i="214"/>
  <c r="C46" i="214"/>
  <c r="CE46" i="214"/>
  <c r="CP47" i="214"/>
  <c r="N47" i="214"/>
  <c r="P50" i="214"/>
  <c r="CR50" i="214"/>
  <c r="V45" i="214"/>
  <c r="CX45" i="214"/>
  <c r="CG47" i="214"/>
  <c r="E47" i="214"/>
  <c r="CR49" i="214"/>
  <c r="P49" i="214"/>
  <c r="CR47" i="214"/>
  <c r="P47" i="214"/>
  <c r="CX48" i="214"/>
  <c r="V48" i="214"/>
  <c r="CR51" i="214"/>
  <c r="P51" i="214"/>
  <c r="G48" i="214"/>
  <c r="CI48" i="214"/>
  <c r="CU49" i="214"/>
  <c r="S49" i="214"/>
  <c r="DB51" i="214"/>
  <c r="Z51" i="214"/>
  <c r="CM50" i="214"/>
  <c r="K50" i="214"/>
  <c r="CW51" i="214"/>
  <c r="U51" i="214"/>
  <c r="CM52" i="214"/>
  <c r="K52" i="214"/>
  <c r="CV52" i="214"/>
  <c r="T52" i="214"/>
  <c r="CO52" i="214"/>
  <c r="M52" i="214"/>
  <c r="AG25" i="115"/>
  <c r="X11" i="214"/>
  <c r="CZ11" i="214"/>
  <c r="Z15" i="214"/>
  <c r="DB15" i="214"/>
  <c r="BQ53" i="214"/>
  <c r="CR53" i="214" s="1"/>
  <c r="CR5" i="214"/>
  <c r="P5" i="214"/>
  <c r="CV7" i="214"/>
  <c r="T7" i="214"/>
  <c r="CD10" i="214"/>
  <c r="B10" i="214"/>
  <c r="CB10" i="214"/>
  <c r="X12" i="214"/>
  <c r="CZ12" i="214"/>
  <c r="CG16" i="214"/>
  <c r="E16" i="214"/>
  <c r="CX6" i="214"/>
  <c r="V6" i="214"/>
  <c r="CP6" i="214"/>
  <c r="N6" i="214"/>
  <c r="CT8" i="214"/>
  <c r="R8" i="214"/>
  <c r="CR11" i="214"/>
  <c r="P11" i="214"/>
  <c r="T14" i="214"/>
  <c r="CV14" i="214"/>
  <c r="CN18" i="214"/>
  <c r="L18" i="214"/>
  <c r="DB8" i="214"/>
  <c r="Z8" i="214"/>
  <c r="BI53" i="214"/>
  <c r="CJ53" i="214" s="1"/>
  <c r="CJ5" i="214"/>
  <c r="H5" i="214"/>
  <c r="CN7" i="214"/>
  <c r="L7" i="214"/>
  <c r="CL10" i="214"/>
  <c r="J10" i="214"/>
  <c r="CO12" i="214"/>
  <c r="M12" i="214"/>
  <c r="CV15" i="214"/>
  <c r="T15" i="214"/>
  <c r="CK20" i="214"/>
  <c r="I20" i="214"/>
  <c r="CR26" i="214"/>
  <c r="P26" i="214"/>
  <c r="BN53" i="214"/>
  <c r="CO53" i="214" s="1"/>
  <c r="CO5" i="214"/>
  <c r="M5" i="214"/>
  <c r="CE6" i="214"/>
  <c r="C6" i="214"/>
  <c r="CU6" i="214"/>
  <c r="S6" i="214"/>
  <c r="CO7" i="214"/>
  <c r="M7" i="214"/>
  <c r="CE8" i="214"/>
  <c r="C8" i="214"/>
  <c r="CU8" i="214"/>
  <c r="S8" i="214"/>
  <c r="CO9" i="214"/>
  <c r="M9" i="214"/>
  <c r="CE10" i="214"/>
  <c r="C10" i="214"/>
  <c r="CU10" i="214"/>
  <c r="S10" i="214"/>
  <c r="M11" i="214"/>
  <c r="CO11" i="214"/>
  <c r="D12" i="214"/>
  <c r="CF12" i="214"/>
  <c r="DA12" i="214"/>
  <c r="Y12" i="214"/>
  <c r="T13" i="214"/>
  <c r="CV13" i="214"/>
  <c r="P14" i="214"/>
  <c r="CR14" i="214"/>
  <c r="CM15" i="214"/>
  <c r="K15" i="214"/>
  <c r="L16" i="214"/>
  <c r="CN16" i="214"/>
  <c r="CI17" i="214"/>
  <c r="G17" i="214"/>
  <c r="CO18" i="214"/>
  <c r="M18" i="214"/>
  <c r="CQ19" i="214"/>
  <c r="O19" i="214"/>
  <c r="CT20" i="214"/>
  <c r="R20" i="214"/>
  <c r="CR21" i="214"/>
  <c r="P21" i="214"/>
  <c r="CV24" i="214"/>
  <c r="T24" i="214"/>
  <c r="CB28" i="214"/>
  <c r="B28" i="214"/>
  <c r="CD28" i="214"/>
  <c r="CS32" i="214"/>
  <c r="Q32" i="214"/>
  <c r="S40" i="214"/>
  <c r="CU40" i="214"/>
  <c r="CQ21" i="214"/>
  <c r="O21" i="214"/>
  <c r="BC53" i="214"/>
  <c r="CD53" i="214" s="1"/>
  <c r="CB5" i="214"/>
  <c r="B5" i="214"/>
  <c r="CD5" i="214"/>
  <c r="BS53" i="214"/>
  <c r="CT53" i="214" s="1"/>
  <c r="R5" i="214"/>
  <c r="CT5" i="214"/>
  <c r="CJ6" i="214"/>
  <c r="H6" i="214"/>
  <c r="CZ6" i="214"/>
  <c r="X6" i="214"/>
  <c r="N7" i="214"/>
  <c r="CP7" i="214"/>
  <c r="D8" i="214"/>
  <c r="CF8" i="214"/>
  <c r="T8" i="214"/>
  <c r="CV8" i="214"/>
  <c r="J9" i="214"/>
  <c r="CL9" i="214"/>
  <c r="DB9" i="214"/>
  <c r="Z9" i="214"/>
  <c r="CR10" i="214"/>
  <c r="P10" i="214"/>
  <c r="CH11" i="214"/>
  <c r="F11" i="214"/>
  <c r="CX11" i="214"/>
  <c r="V11" i="214"/>
  <c r="P12" i="214"/>
  <c r="CR12" i="214"/>
  <c r="CM13" i="214"/>
  <c r="K13" i="214"/>
  <c r="L14" i="214"/>
  <c r="CN14" i="214"/>
  <c r="CI15" i="214"/>
  <c r="G15" i="214"/>
  <c r="CB16" i="214"/>
  <c r="B16" i="214"/>
  <c r="CD16" i="214"/>
  <c r="X16" i="214"/>
  <c r="CZ16" i="214"/>
  <c r="CY17" i="214"/>
  <c r="W17" i="214"/>
  <c r="CE19" i="214"/>
  <c r="C19" i="214"/>
  <c r="CG20" i="214"/>
  <c r="E20" i="214"/>
  <c r="CF21" i="214"/>
  <c r="D21" i="214"/>
  <c r="CL22" i="214"/>
  <c r="J22" i="214"/>
  <c r="CW25" i="214"/>
  <c r="U25" i="214"/>
  <c r="CM29" i="214"/>
  <c r="K29" i="214"/>
  <c r="DA36" i="214"/>
  <c r="Y36" i="214"/>
  <c r="CJ21" i="214"/>
  <c r="H21" i="214"/>
  <c r="CX27" i="214"/>
  <c r="V27" i="214"/>
  <c r="CW33" i="214"/>
  <c r="U33" i="214"/>
  <c r="CI40" i="214"/>
  <c r="G40" i="214"/>
  <c r="BP53" i="214"/>
  <c r="CQ53" i="214" s="1"/>
  <c r="CQ5" i="214"/>
  <c r="O5" i="214"/>
  <c r="CK6" i="214"/>
  <c r="I6" i="214"/>
  <c r="DA6" i="214"/>
  <c r="Y6" i="214"/>
  <c r="CQ7" i="214"/>
  <c r="O7" i="214"/>
  <c r="CK8" i="214"/>
  <c r="I8" i="214"/>
  <c r="DA8" i="214"/>
  <c r="Y8" i="214"/>
  <c r="CQ9" i="214"/>
  <c r="O9" i="214"/>
  <c r="CK10" i="214"/>
  <c r="I10" i="214"/>
  <c r="DA10" i="214"/>
  <c r="Y10" i="214"/>
  <c r="CQ11" i="214"/>
  <c r="O11" i="214"/>
  <c r="CN12" i="214"/>
  <c r="L12" i="214"/>
  <c r="CI13" i="214"/>
  <c r="G13" i="214"/>
  <c r="CB14" i="214"/>
  <c r="B14" i="214"/>
  <c r="CD14" i="214"/>
  <c r="CZ14" i="214"/>
  <c r="X14" i="214"/>
  <c r="CU15" i="214"/>
  <c r="S15" i="214"/>
  <c r="N16" i="214"/>
  <c r="CP16" i="214"/>
  <c r="CM17" i="214"/>
  <c r="K17" i="214"/>
  <c r="CK18" i="214"/>
  <c r="I18" i="214"/>
  <c r="CN19" i="214"/>
  <c r="L19" i="214"/>
  <c r="N20" i="214"/>
  <c r="CP20" i="214"/>
  <c r="CV21" i="214"/>
  <c r="T21" i="214"/>
  <c r="CL24" i="214"/>
  <c r="J24" i="214"/>
  <c r="CS27" i="214"/>
  <c r="Q27" i="214"/>
  <c r="CE31" i="214"/>
  <c r="C31" i="214"/>
  <c r="CO38" i="214"/>
  <c r="M38" i="214"/>
  <c r="CM24" i="214"/>
  <c r="K24" i="214"/>
  <c r="L25" i="214"/>
  <c r="CN25" i="214"/>
  <c r="CI26" i="214"/>
  <c r="G26" i="214"/>
  <c r="CB27" i="214"/>
  <c r="B27" i="214"/>
  <c r="CD27" i="214"/>
  <c r="X27" i="214"/>
  <c r="CZ27" i="214"/>
  <c r="CU28" i="214"/>
  <c r="S28" i="214"/>
  <c r="U29" i="214"/>
  <c r="CW29" i="214"/>
  <c r="E31" i="214"/>
  <c r="CG31" i="214"/>
  <c r="CG32" i="214"/>
  <c r="E32" i="214"/>
  <c r="CX33" i="214"/>
  <c r="V33" i="214"/>
  <c r="CD37" i="214"/>
  <c r="B37" i="214"/>
  <c r="CB37" i="214"/>
  <c r="CH39" i="214"/>
  <c r="F39" i="214"/>
  <c r="O41" i="214"/>
  <c r="CQ41" i="214"/>
  <c r="L22" i="214"/>
  <c r="CN22" i="214"/>
  <c r="CI24" i="214"/>
  <c r="G24" i="214"/>
  <c r="CB25" i="214"/>
  <c r="B25" i="214"/>
  <c r="CD25" i="214"/>
  <c r="X25" i="214"/>
  <c r="CZ25" i="214"/>
  <c r="CU26" i="214"/>
  <c r="S26" i="214"/>
  <c r="N27" i="214"/>
  <c r="CP27" i="214"/>
  <c r="CL28" i="214"/>
  <c r="J28" i="214"/>
  <c r="CK29" i="214"/>
  <c r="I29" i="214"/>
  <c r="CR30" i="214"/>
  <c r="P30" i="214"/>
  <c r="U31" i="214"/>
  <c r="CW31" i="214"/>
  <c r="CG33" i="214"/>
  <c r="E33" i="214"/>
  <c r="CV35" i="214"/>
  <c r="T35" i="214"/>
  <c r="CX37" i="214"/>
  <c r="V37" i="214"/>
  <c r="CX39" i="214"/>
  <c r="V39" i="214"/>
  <c r="CF45" i="214"/>
  <c r="D45" i="214"/>
  <c r="C12" i="214"/>
  <c r="CE12" i="214"/>
  <c r="S12" i="214"/>
  <c r="CU12" i="214"/>
  <c r="CO13" i="214"/>
  <c r="M13" i="214"/>
  <c r="CE14" i="214"/>
  <c r="C14" i="214"/>
  <c r="CU14" i="214"/>
  <c r="S14" i="214"/>
  <c r="CO15" i="214"/>
  <c r="M15" i="214"/>
  <c r="C16" i="214"/>
  <c r="CE16" i="214"/>
  <c r="S16" i="214"/>
  <c r="CU16" i="214"/>
  <c r="CQ17" i="214"/>
  <c r="O17" i="214"/>
  <c r="J18" i="214"/>
  <c r="CL18" i="214"/>
  <c r="CH19" i="214"/>
  <c r="F19" i="214"/>
  <c r="F20" i="214"/>
  <c r="CH20" i="214"/>
  <c r="CD21" i="214"/>
  <c r="B21" i="214"/>
  <c r="CB21" i="214"/>
  <c r="CY21" i="214"/>
  <c r="W21" i="214"/>
  <c r="R22" i="214"/>
  <c r="CT22" i="214"/>
  <c r="CP24" i="214"/>
  <c r="N24" i="214"/>
  <c r="CK25" i="214"/>
  <c r="I25" i="214"/>
  <c r="CF26" i="214"/>
  <c r="D26" i="214"/>
  <c r="DB26" i="214"/>
  <c r="Z26" i="214"/>
  <c r="CW27" i="214"/>
  <c r="U27" i="214"/>
  <c r="CR28" i="214"/>
  <c r="P28" i="214"/>
  <c r="Q29" i="214"/>
  <c r="CS29" i="214"/>
  <c r="CS30" i="214"/>
  <c r="Q30" i="214"/>
  <c r="O31" i="214"/>
  <c r="CQ31" i="214"/>
  <c r="W32" i="214"/>
  <c r="CY32" i="214"/>
  <c r="CY35" i="214"/>
  <c r="W35" i="214"/>
  <c r="W37" i="214"/>
  <c r="CY37" i="214"/>
  <c r="C40" i="214"/>
  <c r="CE40" i="214"/>
  <c r="CG44" i="214"/>
  <c r="E44" i="214"/>
  <c r="CL41" i="214"/>
  <c r="J41" i="214"/>
  <c r="CG45" i="214"/>
  <c r="E45" i="214"/>
  <c r="V49" i="214"/>
  <c r="CX49" i="214"/>
  <c r="CO17" i="214"/>
  <c r="M17" i="214"/>
  <c r="CE18" i="214"/>
  <c r="C18" i="214"/>
  <c r="CU18" i="214"/>
  <c r="S18" i="214"/>
  <c r="M19" i="214"/>
  <c r="CO19" i="214"/>
  <c r="CE20" i="214"/>
  <c r="C20" i="214"/>
  <c r="S20" i="214"/>
  <c r="CU20" i="214"/>
  <c r="CO21" i="214"/>
  <c r="M21" i="214"/>
  <c r="CE22" i="214"/>
  <c r="C22" i="214"/>
  <c r="CU22" i="214"/>
  <c r="S22" i="214"/>
  <c r="CO24" i="214"/>
  <c r="M24" i="214"/>
  <c r="C25" i="214"/>
  <c r="CE25" i="214"/>
  <c r="S25" i="214"/>
  <c r="CU25" i="214"/>
  <c r="CO26" i="214"/>
  <c r="M26" i="214"/>
  <c r="C27" i="214"/>
  <c r="CE27" i="214"/>
  <c r="S27" i="214"/>
  <c r="CU27" i="214"/>
  <c r="M28" i="214"/>
  <c r="CO28" i="214"/>
  <c r="CD29" i="214"/>
  <c r="B29" i="214"/>
  <c r="CB29" i="214"/>
  <c r="W29" i="214"/>
  <c r="CY29" i="214"/>
  <c r="CV30" i="214"/>
  <c r="T30" i="214"/>
  <c r="CS31" i="214"/>
  <c r="Q31" i="214"/>
  <c r="M32" i="214"/>
  <c r="CO32" i="214"/>
  <c r="CL33" i="214"/>
  <c r="J33" i="214"/>
  <c r="CM35" i="214"/>
  <c r="K35" i="214"/>
  <c r="U36" i="214"/>
  <c r="CW36" i="214"/>
  <c r="CV38" i="214"/>
  <c r="T38" i="214"/>
  <c r="CN40" i="214"/>
  <c r="L40" i="214"/>
  <c r="Y41" i="214"/>
  <c r="DA41" i="214"/>
  <c r="DA45" i="214"/>
  <c r="Y45" i="214"/>
  <c r="CE33" i="214"/>
  <c r="C33" i="214"/>
  <c r="S33" i="214"/>
  <c r="CU33" i="214"/>
  <c r="CO35" i="214"/>
  <c r="M35" i="214"/>
  <c r="CE36" i="214"/>
  <c r="C36" i="214"/>
  <c r="CY36" i="214"/>
  <c r="W36" i="214"/>
  <c r="S37" i="214"/>
  <c r="CU37" i="214"/>
  <c r="CR38" i="214"/>
  <c r="P38" i="214"/>
  <c r="M39" i="214"/>
  <c r="CO39" i="214"/>
  <c r="I40" i="214"/>
  <c r="CK40" i="214"/>
  <c r="CH41" i="214"/>
  <c r="F41" i="214"/>
  <c r="C44" i="214"/>
  <c r="CE44" i="214"/>
  <c r="X44" i="214"/>
  <c r="CZ44" i="214"/>
  <c r="CD46" i="214"/>
  <c r="B46" i="214"/>
  <c r="CB46" i="214"/>
  <c r="CT47" i="214"/>
  <c r="R47" i="214"/>
  <c r="T51" i="214"/>
  <c r="CV51" i="214"/>
  <c r="CR29" i="214"/>
  <c r="P29" i="214"/>
  <c r="CH30" i="214"/>
  <c r="F30" i="214"/>
  <c r="V30" i="214"/>
  <c r="CX30" i="214"/>
  <c r="CN31" i="214"/>
  <c r="L31" i="214"/>
  <c r="B32" i="214"/>
  <c r="CD32" i="214"/>
  <c r="CB32" i="214"/>
  <c r="R32" i="214"/>
  <c r="CT32" i="214"/>
  <c r="CJ33" i="214"/>
  <c r="H33" i="214"/>
  <c r="CZ33" i="214"/>
  <c r="X33" i="214"/>
  <c r="N35" i="214"/>
  <c r="CP35" i="214"/>
  <c r="CF36" i="214"/>
  <c r="D36" i="214"/>
  <c r="CZ36" i="214"/>
  <c r="X36" i="214"/>
  <c r="CW37" i="214"/>
  <c r="U37" i="214"/>
  <c r="Q38" i="214"/>
  <c r="CS38" i="214"/>
  <c r="CP39" i="214"/>
  <c r="N39" i="214"/>
  <c r="CM40" i="214"/>
  <c r="K40" i="214"/>
  <c r="G41" i="214"/>
  <c r="CI41" i="214"/>
  <c r="CF44" i="214"/>
  <c r="D44" i="214"/>
  <c r="Y44" i="214"/>
  <c r="DA44" i="214"/>
  <c r="CZ45" i="214"/>
  <c r="X45" i="214"/>
  <c r="CH47" i="214"/>
  <c r="F47" i="214"/>
  <c r="N50" i="214"/>
  <c r="CP50" i="214"/>
  <c r="R36" i="214"/>
  <c r="CT36" i="214"/>
  <c r="H37" i="214"/>
  <c r="CJ37" i="214"/>
  <c r="X37" i="214"/>
  <c r="CZ37" i="214"/>
  <c r="CP38" i="214"/>
  <c r="N38" i="214"/>
  <c r="CF39" i="214"/>
  <c r="D39" i="214"/>
  <c r="CV39" i="214"/>
  <c r="T39" i="214"/>
  <c r="J40" i="214"/>
  <c r="CL40" i="214"/>
  <c r="Z40" i="214"/>
  <c r="DB40" i="214"/>
  <c r="P41" i="214"/>
  <c r="CR41" i="214"/>
  <c r="CH44" i="214"/>
  <c r="F44" i="214"/>
  <c r="CX44" i="214"/>
  <c r="V44" i="214"/>
  <c r="Q45" i="214"/>
  <c r="CS45" i="214"/>
  <c r="DA46" i="214"/>
  <c r="Y46" i="214"/>
  <c r="CV48" i="214"/>
  <c r="T48" i="214"/>
  <c r="CI46" i="214"/>
  <c r="G46" i="214"/>
  <c r="CY46" i="214"/>
  <c r="W46" i="214"/>
  <c r="CX47" i="214"/>
  <c r="V47" i="214"/>
  <c r="F49" i="214"/>
  <c r="CH49" i="214"/>
  <c r="L51" i="214"/>
  <c r="CN51" i="214"/>
  <c r="CL45" i="214"/>
  <c r="J45" i="214"/>
  <c r="DB45" i="214"/>
  <c r="Z45" i="214"/>
  <c r="P46" i="214"/>
  <c r="CR46" i="214"/>
  <c r="CL47" i="214"/>
  <c r="J47" i="214"/>
  <c r="CR48" i="214"/>
  <c r="P48" i="214"/>
  <c r="F50" i="214"/>
  <c r="CH50" i="214"/>
  <c r="D47" i="214"/>
  <c r="CF47" i="214"/>
  <c r="T47" i="214"/>
  <c r="CV47" i="214"/>
  <c r="J48" i="214"/>
  <c r="CL48" i="214"/>
  <c r="Z48" i="214"/>
  <c r="DB48" i="214"/>
  <c r="CT49" i="214"/>
  <c r="R49" i="214"/>
  <c r="CT50" i="214"/>
  <c r="R50" i="214"/>
  <c r="CZ51" i="214"/>
  <c r="X51" i="214"/>
  <c r="CW47" i="214"/>
  <c r="U47" i="214"/>
  <c r="CM48" i="214"/>
  <c r="K48" i="214"/>
  <c r="CG49" i="214"/>
  <c r="E49" i="214"/>
  <c r="X49" i="214"/>
  <c r="CZ49" i="214"/>
  <c r="CB51" i="214"/>
  <c r="CD51" i="214"/>
  <c r="B51" i="214"/>
  <c r="CP52" i="214"/>
  <c r="N52" i="214"/>
  <c r="DA49" i="214"/>
  <c r="Y49" i="214"/>
  <c r="CQ50" i="214"/>
  <c r="O50" i="214"/>
  <c r="CK51" i="214"/>
  <c r="I51" i="214"/>
  <c r="DA51" i="214"/>
  <c r="Y51" i="214"/>
  <c r="CQ52" i="214"/>
  <c r="O52" i="214"/>
  <c r="H52" i="214"/>
  <c r="CJ52" i="214"/>
  <c r="X52" i="214"/>
  <c r="CZ52" i="214"/>
  <c r="CS50" i="214"/>
  <c r="Q50" i="214"/>
  <c r="CI51" i="214"/>
  <c r="G51" i="214"/>
  <c r="CY51" i="214"/>
  <c r="W51" i="214"/>
  <c r="CS52" i="214"/>
  <c r="Q52" i="214"/>
  <c r="CF15" i="214"/>
  <c r="D15" i="214"/>
  <c r="CF7" i="214"/>
  <c r="D7" i="214"/>
  <c r="CB12" i="214"/>
  <c r="CD12" i="214"/>
  <c r="B12" i="214"/>
  <c r="D18" i="214"/>
  <c r="CF18" i="214"/>
  <c r="CD8" i="214"/>
  <c r="B8" i="214"/>
  <c r="CB8" i="214"/>
  <c r="CZ13" i="214"/>
  <c r="X13" i="214"/>
  <c r="CL8" i="214"/>
  <c r="J8" i="214"/>
  <c r="CT6" i="214"/>
  <c r="R6" i="214"/>
  <c r="T11" i="214"/>
  <c r="CV11" i="214"/>
  <c r="CP19" i="214"/>
  <c r="N19" i="214"/>
  <c r="BJ53" i="214"/>
  <c r="CK53" i="214" s="1"/>
  <c r="CK5" i="214"/>
  <c r="I5" i="214"/>
  <c r="CQ6" i="214"/>
  <c r="O6" i="214"/>
  <c r="DA7" i="214"/>
  <c r="Y7" i="214"/>
  <c r="CK9" i="214"/>
  <c r="I9" i="214"/>
  <c r="CQ10" i="214"/>
  <c r="O10" i="214"/>
  <c r="Y11" i="214"/>
  <c r="DA11" i="214"/>
  <c r="CQ13" i="214"/>
  <c r="O13" i="214"/>
  <c r="CH15" i="214"/>
  <c r="F15" i="214"/>
  <c r="CD17" i="214"/>
  <c r="B17" i="214"/>
  <c r="CB17" i="214"/>
  <c r="CJ19" i="214"/>
  <c r="H19" i="214"/>
  <c r="J21" i="214"/>
  <c r="CL21" i="214"/>
  <c r="CH27" i="214"/>
  <c r="F27" i="214"/>
  <c r="Q39" i="214"/>
  <c r="CS39" i="214"/>
  <c r="BO53" i="214"/>
  <c r="CP53" i="214" s="1"/>
  <c r="CP5" i="214"/>
  <c r="N5" i="214"/>
  <c r="J7" i="214"/>
  <c r="CL7" i="214"/>
  <c r="P8" i="214"/>
  <c r="CR8" i="214"/>
  <c r="CB11" i="214"/>
  <c r="B11" i="214"/>
  <c r="CD11" i="214"/>
  <c r="CH13" i="214"/>
  <c r="F13" i="214"/>
  <c r="CY15" i="214"/>
  <c r="W15" i="214"/>
  <c r="CX18" i="214"/>
  <c r="V18" i="214"/>
  <c r="DB20" i="214"/>
  <c r="Z20" i="214"/>
  <c r="CI28" i="214"/>
  <c r="G28" i="214"/>
  <c r="CL25" i="214"/>
  <c r="J25" i="214"/>
  <c r="DA38" i="214"/>
  <c r="Y38" i="214"/>
  <c r="CG6" i="214"/>
  <c r="E6" i="214"/>
  <c r="CM7" i="214"/>
  <c r="K7" i="214"/>
  <c r="CM9" i="214"/>
  <c r="K9" i="214"/>
  <c r="F12" i="214"/>
  <c r="CH12" i="214"/>
  <c r="R14" i="214"/>
  <c r="CT14" i="214"/>
  <c r="CF17" i="214"/>
  <c r="D17" i="214"/>
  <c r="D19" i="214"/>
  <c r="CF19" i="214"/>
  <c r="DA22" i="214"/>
  <c r="Y22" i="214"/>
  <c r="CN30" i="214"/>
  <c r="L30" i="214"/>
  <c r="F25" i="214"/>
  <c r="CH25" i="214"/>
  <c r="R27" i="214"/>
  <c r="CT27" i="214"/>
  <c r="CP29" i="214"/>
  <c r="N29" i="214"/>
  <c r="CO33" i="214"/>
  <c r="M33" i="214"/>
  <c r="O38" i="214"/>
  <c r="CQ38" i="214"/>
  <c r="CD24" i="214"/>
  <c r="B24" i="214"/>
  <c r="CB24" i="214"/>
  <c r="CP26" i="214"/>
  <c r="N26" i="214"/>
  <c r="CF28" i="214"/>
  <c r="D28" i="214"/>
  <c r="CP31" i="214"/>
  <c r="N31" i="214"/>
  <c r="CH37" i="214"/>
  <c r="F37" i="214"/>
  <c r="CY44" i="214"/>
  <c r="W44" i="214"/>
  <c r="O12" i="214"/>
  <c r="CQ12" i="214"/>
  <c r="O14" i="214"/>
  <c r="CQ14" i="214"/>
  <c r="CQ16" i="214"/>
  <c r="O16" i="214"/>
  <c r="CG18" i="214"/>
  <c r="E18" i="214"/>
  <c r="V20" i="214"/>
  <c r="CX20" i="214"/>
  <c r="CJ24" i="214"/>
  <c r="H24" i="214"/>
  <c r="CV26" i="214"/>
  <c r="T26" i="214"/>
  <c r="CM28" i="214"/>
  <c r="K28" i="214"/>
  <c r="CK31" i="214"/>
  <c r="I31" i="214"/>
  <c r="CM37" i="214"/>
  <c r="K37" i="214"/>
  <c r="DB41" i="214"/>
  <c r="Z41" i="214"/>
  <c r="CO47" i="214"/>
  <c r="M47" i="214"/>
  <c r="O18" i="214"/>
  <c r="CQ18" i="214"/>
  <c r="O20" i="214"/>
  <c r="CQ20" i="214"/>
  <c r="Y21" i="214"/>
  <c r="DA21" i="214"/>
  <c r="DA24" i="214"/>
  <c r="Y24" i="214"/>
  <c r="DA26" i="214"/>
  <c r="Y26" i="214"/>
  <c r="CK28" i="214"/>
  <c r="I28" i="214"/>
  <c r="CQ30" i="214"/>
  <c r="O30" i="214"/>
  <c r="CD33" i="214"/>
  <c r="B33" i="214"/>
  <c r="CB33" i="214"/>
  <c r="CK38" i="214"/>
  <c r="I38" i="214"/>
  <c r="CP41" i="214"/>
  <c r="N41" i="214"/>
  <c r="CK35" i="214"/>
  <c r="I35" i="214"/>
  <c r="Q36" i="214"/>
  <c r="CS36" i="214"/>
  <c r="G39" i="214"/>
  <c r="CI39" i="214"/>
  <c r="CX41" i="214"/>
  <c r="V41" i="214"/>
  <c r="U45" i="214"/>
  <c r="CW45" i="214"/>
  <c r="L29" i="214"/>
  <c r="CN29" i="214"/>
  <c r="H31" i="214"/>
  <c r="CJ31" i="214"/>
  <c r="CP32" i="214"/>
  <c r="N32" i="214"/>
  <c r="J35" i="214"/>
  <c r="CL35" i="214"/>
  <c r="CU36" i="214"/>
  <c r="S36" i="214"/>
  <c r="CN38" i="214"/>
  <c r="L38" i="214"/>
  <c r="E40" i="214"/>
  <c r="CG40" i="214"/>
  <c r="W41" i="214"/>
  <c r="CY41" i="214"/>
  <c r="DB46" i="214"/>
  <c r="Z46" i="214"/>
  <c r="CP36" i="214"/>
  <c r="N36" i="214"/>
  <c r="J38" i="214"/>
  <c r="CL38" i="214"/>
  <c r="CR39" i="214"/>
  <c r="P39" i="214"/>
  <c r="CX40" i="214"/>
  <c r="V40" i="214"/>
  <c r="B44" i="214"/>
  <c r="CD44" i="214"/>
  <c r="CB44" i="214"/>
  <c r="CN45" i="214"/>
  <c r="L45" i="214"/>
  <c r="CF48" i="214"/>
  <c r="D48" i="214"/>
  <c r="S46" i="214"/>
  <c r="CU46" i="214"/>
  <c r="CW48" i="214"/>
  <c r="U48" i="214"/>
  <c r="F45" i="214"/>
  <c r="CH45" i="214"/>
  <c r="L46" i="214"/>
  <c r="CN46" i="214"/>
  <c r="CJ48" i="214"/>
  <c r="H48" i="214"/>
  <c r="CT52" i="214"/>
  <c r="R52" i="214"/>
  <c r="CH48" i="214"/>
  <c r="F48" i="214"/>
  <c r="CN49" i="214"/>
  <c r="L49" i="214"/>
  <c r="CL50" i="214"/>
  <c r="J50" i="214"/>
  <c r="CS47" i="214"/>
  <c r="Q47" i="214"/>
  <c r="W48" i="214"/>
  <c r="CY48" i="214"/>
  <c r="T50" i="214"/>
  <c r="CV50" i="214"/>
  <c r="CW49" i="214"/>
  <c r="U49" i="214"/>
  <c r="CG51" i="214"/>
  <c r="E51" i="214"/>
  <c r="CF52" i="214"/>
  <c r="D52" i="214"/>
  <c r="CO50" i="214"/>
  <c r="M50" i="214"/>
  <c r="CU51" i="214"/>
  <c r="S51" i="214"/>
  <c r="N13" i="214"/>
  <c r="CP13" i="214"/>
  <c r="CW16" i="214"/>
  <c r="U16" i="214"/>
  <c r="CL6" i="214"/>
  <c r="J6" i="214"/>
  <c r="CP8" i="214"/>
  <c r="N8" i="214"/>
  <c r="CT10" i="214"/>
  <c r="R10" i="214"/>
  <c r="CU13" i="214"/>
  <c r="S13" i="214"/>
  <c r="DB16" i="214"/>
  <c r="Z16" i="214"/>
  <c r="CP10" i="214"/>
  <c r="N10" i="214"/>
  <c r="CJ7" i="214"/>
  <c r="H7" i="214"/>
  <c r="CN9" i="214"/>
  <c r="L9" i="214"/>
  <c r="H12" i="214"/>
  <c r="CJ12" i="214"/>
  <c r="CQ15" i="214"/>
  <c r="O15" i="214"/>
  <c r="BM53" i="214"/>
  <c r="CN53" i="214" s="1"/>
  <c r="CN5" i="214"/>
  <c r="L5" i="214"/>
  <c r="CF9" i="214"/>
  <c r="D9" i="214"/>
  <c r="BY53" i="214"/>
  <c r="CZ53" i="214" s="1"/>
  <c r="CZ5" i="214"/>
  <c r="X5" i="214"/>
  <c r="CH8" i="214"/>
  <c r="F8" i="214"/>
  <c r="DB10" i="214"/>
  <c r="Z10" i="214"/>
  <c r="CJ13" i="214"/>
  <c r="H13" i="214"/>
  <c r="P16" i="214"/>
  <c r="CR16" i="214"/>
  <c r="CZ20" i="214"/>
  <c r="X20" i="214"/>
  <c r="DB29" i="214"/>
  <c r="Z29" i="214"/>
  <c r="BR53" i="214"/>
  <c r="CS53" i="214" s="1"/>
  <c r="CS5" i="214"/>
  <c r="Q5" i="214"/>
  <c r="CI6" i="214"/>
  <c r="G6" i="214"/>
  <c r="CY6" i="214"/>
  <c r="W6" i="214"/>
  <c r="CS7" i="214"/>
  <c r="Q7" i="214"/>
  <c r="CI8" i="214"/>
  <c r="G8" i="214"/>
  <c r="CY8" i="214"/>
  <c r="W8" i="214"/>
  <c r="CS9" i="214"/>
  <c r="Q9" i="214"/>
  <c r="CI10" i="214"/>
  <c r="G10" i="214"/>
  <c r="CY10" i="214"/>
  <c r="W10" i="214"/>
  <c r="CS11" i="214"/>
  <c r="Q11" i="214"/>
  <c r="CK12" i="214"/>
  <c r="I12" i="214"/>
  <c r="CF13" i="214"/>
  <c r="D13" i="214"/>
  <c r="DB13" i="214"/>
  <c r="Z13" i="214"/>
  <c r="CW14" i="214"/>
  <c r="U14" i="214"/>
  <c r="CR15" i="214"/>
  <c r="P15" i="214"/>
  <c r="CS16" i="214"/>
  <c r="Q16" i="214"/>
  <c r="N17" i="214"/>
  <c r="CP17" i="214"/>
  <c r="T18" i="214"/>
  <c r="CV18" i="214"/>
  <c r="CY19" i="214"/>
  <c r="W19" i="214"/>
  <c r="DA20" i="214"/>
  <c r="Y20" i="214"/>
  <c r="CZ21" i="214"/>
  <c r="X21" i="214"/>
  <c r="P25" i="214"/>
  <c r="CR25" i="214"/>
  <c r="CY28" i="214"/>
  <c r="W28" i="214"/>
  <c r="CZ35" i="214"/>
  <c r="X35" i="214"/>
  <c r="CN44" i="214"/>
  <c r="L44" i="214"/>
  <c r="CG22" i="214"/>
  <c r="E22" i="214"/>
  <c r="BG53" i="214"/>
  <c r="CH53" i="214" s="1"/>
  <c r="F5" i="214"/>
  <c r="CH5" i="214"/>
  <c r="BW53" i="214"/>
  <c r="CX53" i="214" s="1"/>
  <c r="V5" i="214"/>
  <c r="CX5" i="214"/>
  <c r="L6" i="214"/>
  <c r="CN6" i="214"/>
  <c r="CB7" i="214"/>
  <c r="CD7" i="214"/>
  <c r="B7" i="214"/>
  <c r="CT7" i="214"/>
  <c r="R7" i="214"/>
  <c r="H8" i="214"/>
  <c r="CJ8" i="214"/>
  <c r="CZ8" i="214"/>
  <c r="X8" i="214"/>
  <c r="N9" i="214"/>
  <c r="CP9" i="214"/>
  <c r="D10" i="214"/>
  <c r="CF10" i="214"/>
  <c r="T10" i="214"/>
  <c r="CV10" i="214"/>
  <c r="CL11" i="214"/>
  <c r="J11" i="214"/>
  <c r="DB11" i="214"/>
  <c r="Z11" i="214"/>
  <c r="CW12" i="214"/>
  <c r="U12" i="214"/>
  <c r="CR13" i="214"/>
  <c r="P13" i="214"/>
  <c r="CS14" i="214"/>
  <c r="Q14" i="214"/>
  <c r="CN15" i="214"/>
  <c r="L15" i="214"/>
  <c r="H16" i="214"/>
  <c r="CJ16" i="214"/>
  <c r="CE17" i="214"/>
  <c r="C17" i="214"/>
  <c r="CJ18" i="214"/>
  <c r="H18" i="214"/>
  <c r="J19" i="214"/>
  <c r="CL19" i="214"/>
  <c r="CO20" i="214"/>
  <c r="M20" i="214"/>
  <c r="CM21" i="214"/>
  <c r="K21" i="214"/>
  <c r="CW22" i="214"/>
  <c r="U22" i="214"/>
  <c r="CH26" i="214"/>
  <c r="F26" i="214"/>
  <c r="CG30" i="214"/>
  <c r="E30" i="214"/>
  <c r="CU45" i="214"/>
  <c r="S45" i="214"/>
  <c r="P22" i="214"/>
  <c r="CR22" i="214"/>
  <c r="S30" i="214"/>
  <c r="CU30" i="214"/>
  <c r="CQ35" i="214"/>
  <c r="O35" i="214"/>
  <c r="BD53" i="214"/>
  <c r="CE53" i="214" s="1"/>
  <c r="CE5" i="214"/>
  <c r="C5" i="214"/>
  <c r="BT53" i="214"/>
  <c r="CU53" i="214" s="1"/>
  <c r="CU5" i="214"/>
  <c r="S5" i="214"/>
  <c r="CO6" i="214"/>
  <c r="M6" i="214"/>
  <c r="CE7" i="214"/>
  <c r="C7" i="214"/>
  <c r="CU7" i="214"/>
  <c r="S7" i="214"/>
  <c r="CO8" i="214"/>
  <c r="M8" i="214"/>
  <c r="CE9" i="214"/>
  <c r="C9" i="214"/>
  <c r="CU9" i="214"/>
  <c r="S9" i="214"/>
  <c r="CO10" i="214"/>
  <c r="M10" i="214"/>
  <c r="CE11" i="214"/>
  <c r="C11" i="214"/>
  <c r="CU11" i="214"/>
  <c r="S11" i="214"/>
  <c r="CS12" i="214"/>
  <c r="Q12" i="214"/>
  <c r="CN13" i="214"/>
  <c r="L13" i="214"/>
  <c r="CJ14" i="214"/>
  <c r="H14" i="214"/>
  <c r="CE15" i="214"/>
  <c r="C15" i="214"/>
  <c r="CZ15" i="214"/>
  <c r="X15" i="214"/>
  <c r="CV16" i="214"/>
  <c r="T16" i="214"/>
  <c r="CT17" i="214"/>
  <c r="R17" i="214"/>
  <c r="CS18" i="214"/>
  <c r="Q18" i="214"/>
  <c r="CU19" i="214"/>
  <c r="S19" i="214"/>
  <c r="CW20" i="214"/>
  <c r="U20" i="214"/>
  <c r="CF22" i="214"/>
  <c r="D22" i="214"/>
  <c r="CG25" i="214"/>
  <c r="E25" i="214"/>
  <c r="CN28" i="214"/>
  <c r="L28" i="214"/>
  <c r="CF32" i="214"/>
  <c r="D32" i="214"/>
  <c r="CK41" i="214"/>
  <c r="I41" i="214"/>
  <c r="P24" i="214"/>
  <c r="CR24" i="214"/>
  <c r="CS25" i="214"/>
  <c r="Q25" i="214"/>
  <c r="CN26" i="214"/>
  <c r="L26" i="214"/>
  <c r="H27" i="214"/>
  <c r="CJ27" i="214"/>
  <c r="CE28" i="214"/>
  <c r="C28" i="214"/>
  <c r="X28" i="214"/>
  <c r="CZ28" i="214"/>
  <c r="G30" i="214"/>
  <c r="CI30" i="214"/>
  <c r="M31" i="214"/>
  <c r="CO31" i="214"/>
  <c r="CN32" i="214"/>
  <c r="L32" i="214"/>
  <c r="CI35" i="214"/>
  <c r="G35" i="214"/>
  <c r="Q37" i="214"/>
  <c r="CS37" i="214"/>
  <c r="CW39" i="214"/>
  <c r="U39" i="214"/>
  <c r="CR44" i="214"/>
  <c r="P44" i="214"/>
  <c r="CS22" i="214"/>
  <c r="Q22" i="214"/>
  <c r="CN24" i="214"/>
  <c r="L24" i="214"/>
  <c r="H25" i="214"/>
  <c r="CJ25" i="214"/>
  <c r="CE26" i="214"/>
  <c r="C26" i="214"/>
  <c r="CZ26" i="214"/>
  <c r="X26" i="214"/>
  <c r="T27" i="214"/>
  <c r="CV27" i="214"/>
  <c r="CQ28" i="214"/>
  <c r="O28" i="214"/>
  <c r="O29" i="214"/>
  <c r="CQ29" i="214"/>
  <c r="CY30" i="214"/>
  <c r="W30" i="214"/>
  <c r="G32" i="214"/>
  <c r="CI32" i="214"/>
  <c r="CP33" i="214"/>
  <c r="N33" i="214"/>
  <c r="E36" i="214"/>
  <c r="CG36" i="214"/>
  <c r="CF38" i="214"/>
  <c r="D38" i="214"/>
  <c r="M40" i="214"/>
  <c r="CO40" i="214"/>
  <c r="CI47" i="214"/>
  <c r="G47" i="214"/>
  <c r="CI12" i="214"/>
  <c r="G12" i="214"/>
  <c r="CY12" i="214"/>
  <c r="W12" i="214"/>
  <c r="CS13" i="214"/>
  <c r="Q13" i="214"/>
  <c r="G14" i="214"/>
  <c r="CI14" i="214"/>
  <c r="W14" i="214"/>
  <c r="CY14" i="214"/>
  <c r="CS15" i="214"/>
  <c r="Q15" i="214"/>
  <c r="G16" i="214"/>
  <c r="CI16" i="214"/>
  <c r="W16" i="214"/>
  <c r="CY16" i="214"/>
  <c r="CV17" i="214"/>
  <c r="T17" i="214"/>
  <c r="CR18" i="214"/>
  <c r="P18" i="214"/>
  <c r="CM19" i="214"/>
  <c r="K19" i="214"/>
  <c r="CN20" i="214"/>
  <c r="L20" i="214"/>
  <c r="CI21" i="214"/>
  <c r="G21" i="214"/>
  <c r="CB22" i="214"/>
  <c r="B22" i="214"/>
  <c r="CD22" i="214"/>
  <c r="CZ22" i="214"/>
  <c r="X22" i="214"/>
  <c r="CU24" i="214"/>
  <c r="S24" i="214"/>
  <c r="N25" i="214"/>
  <c r="CP25" i="214"/>
  <c r="CL26" i="214"/>
  <c r="J26" i="214"/>
  <c r="CG27" i="214"/>
  <c r="E27" i="214"/>
  <c r="Z27" i="214"/>
  <c r="DB27" i="214"/>
  <c r="CX28" i="214"/>
  <c r="V28" i="214"/>
  <c r="DA29" i="214"/>
  <c r="Y29" i="214"/>
  <c r="CZ30" i="214"/>
  <c r="X30" i="214"/>
  <c r="CY31" i="214"/>
  <c r="W31" i="214"/>
  <c r="CH33" i="214"/>
  <c r="F33" i="214"/>
  <c r="F36" i="214"/>
  <c r="CH36" i="214"/>
  <c r="CJ38" i="214"/>
  <c r="H38" i="214"/>
  <c r="CS40" i="214"/>
  <c r="Q40" i="214"/>
  <c r="CO45" i="214"/>
  <c r="M45" i="214"/>
  <c r="U41" i="214"/>
  <c r="CW41" i="214"/>
  <c r="CV45" i="214"/>
  <c r="T45" i="214"/>
  <c r="F51" i="214"/>
  <c r="CH51" i="214"/>
  <c r="CS17" i="214"/>
  <c r="Q17" i="214"/>
  <c r="G18" i="214"/>
  <c r="CI18" i="214"/>
  <c r="CY18" i="214"/>
  <c r="W18" i="214"/>
  <c r="CS19" i="214"/>
  <c r="Q19" i="214"/>
  <c r="CI20" i="214"/>
  <c r="G20" i="214"/>
  <c r="CY20" i="214"/>
  <c r="W20" i="214"/>
  <c r="CS21" i="214"/>
  <c r="Q21" i="214"/>
  <c r="G22" i="214"/>
  <c r="CI22" i="214"/>
  <c r="W22" i="214"/>
  <c r="CY22" i="214"/>
  <c r="CS24" i="214"/>
  <c r="Q24" i="214"/>
  <c r="G25" i="214"/>
  <c r="CI25" i="214"/>
  <c r="W25" i="214"/>
  <c r="CY25" i="214"/>
  <c r="Q26" i="214"/>
  <c r="CS26" i="214"/>
  <c r="G27" i="214"/>
  <c r="CI27" i="214"/>
  <c r="W27" i="214"/>
  <c r="CY27" i="214"/>
  <c r="CS28" i="214"/>
  <c r="Q28" i="214"/>
  <c r="G29" i="214"/>
  <c r="CI29" i="214"/>
  <c r="CF30" i="214"/>
  <c r="D30" i="214"/>
  <c r="Y30" i="214"/>
  <c r="DA30" i="214"/>
  <c r="CX31" i="214"/>
  <c r="V31" i="214"/>
  <c r="CU32" i="214"/>
  <c r="S32" i="214"/>
  <c r="CT33" i="214"/>
  <c r="R33" i="214"/>
  <c r="CU35" i="214"/>
  <c r="S35" i="214"/>
  <c r="G37" i="214"/>
  <c r="CI37" i="214"/>
  <c r="E39" i="214"/>
  <c r="CG39" i="214"/>
  <c r="CY40" i="214"/>
  <c r="W40" i="214"/>
  <c r="K44" i="214"/>
  <c r="CM44" i="214"/>
  <c r="CH46" i="214"/>
  <c r="F46" i="214"/>
  <c r="G33" i="214"/>
  <c r="CI33" i="214"/>
  <c r="CY33" i="214"/>
  <c r="W33" i="214"/>
  <c r="CS35" i="214"/>
  <c r="Q35" i="214"/>
  <c r="CI36" i="214"/>
  <c r="G36" i="214"/>
  <c r="C37" i="214"/>
  <c r="CE37" i="214"/>
  <c r="Y37" i="214"/>
  <c r="DA37" i="214"/>
  <c r="U38" i="214"/>
  <c r="CW38" i="214"/>
  <c r="CT39" i="214"/>
  <c r="R39" i="214"/>
  <c r="O40" i="214"/>
  <c r="CQ40" i="214"/>
  <c r="K41" i="214"/>
  <c r="CM41" i="214"/>
  <c r="CJ44" i="214"/>
  <c r="H44" i="214"/>
  <c r="CJ45" i="214"/>
  <c r="H45" i="214"/>
  <c r="CO46" i="214"/>
  <c r="M46" i="214"/>
  <c r="CN48" i="214"/>
  <c r="L48" i="214"/>
  <c r="CF29" i="214"/>
  <c r="D29" i="214"/>
  <c r="CV29" i="214"/>
  <c r="T29" i="214"/>
  <c r="CL30" i="214"/>
  <c r="J30" i="214"/>
  <c r="DB30" i="214"/>
  <c r="Z30" i="214"/>
  <c r="P31" i="214"/>
  <c r="CR31" i="214"/>
  <c r="F32" i="214"/>
  <c r="CH32" i="214"/>
  <c r="CX32" i="214"/>
  <c r="V32" i="214"/>
  <c r="CN33" i="214"/>
  <c r="L33" i="214"/>
  <c r="CB35" i="214"/>
  <c r="CD35" i="214"/>
  <c r="B35" i="214"/>
  <c r="CT35" i="214"/>
  <c r="R35" i="214"/>
  <c r="CJ36" i="214"/>
  <c r="H36" i="214"/>
  <c r="CG37" i="214"/>
  <c r="E37" i="214"/>
  <c r="DB37" i="214"/>
  <c r="Z37" i="214"/>
  <c r="CY38" i="214"/>
  <c r="W38" i="214"/>
  <c r="S39" i="214"/>
  <c r="CU39" i="214"/>
  <c r="CR40" i="214"/>
  <c r="P40" i="214"/>
  <c r="CO41" i="214"/>
  <c r="M41" i="214"/>
  <c r="I44" i="214"/>
  <c r="CK44" i="214"/>
  <c r="CE45" i="214"/>
  <c r="C45" i="214"/>
  <c r="CG46" i="214"/>
  <c r="E46" i="214"/>
  <c r="CU47" i="214"/>
  <c r="S47" i="214"/>
  <c r="CD52" i="214"/>
  <c r="B52" i="214"/>
  <c r="CB52" i="214"/>
  <c r="V36" i="214"/>
  <c r="CX36" i="214"/>
  <c r="L37" i="214"/>
  <c r="CN37" i="214"/>
  <c r="CD38" i="214"/>
  <c r="CB38" i="214"/>
  <c r="B38" i="214"/>
  <c r="CT38" i="214"/>
  <c r="R38" i="214"/>
  <c r="H39" i="214"/>
  <c r="CJ39" i="214"/>
  <c r="X39" i="214"/>
  <c r="CZ39" i="214"/>
  <c r="N40" i="214"/>
  <c r="CP40" i="214"/>
  <c r="D41" i="214"/>
  <c r="CF41" i="214"/>
  <c r="CV41" i="214"/>
  <c r="T41" i="214"/>
  <c r="CL44" i="214"/>
  <c r="J44" i="214"/>
  <c r="DB44" i="214"/>
  <c r="Z44" i="214"/>
  <c r="CY45" i="214"/>
  <c r="W45" i="214"/>
  <c r="CM47" i="214"/>
  <c r="K47" i="214"/>
  <c r="CM49" i="214"/>
  <c r="K49" i="214"/>
  <c r="CM46" i="214"/>
  <c r="K46" i="214"/>
  <c r="CE47" i="214"/>
  <c r="C47" i="214"/>
  <c r="CG48" i="214"/>
  <c r="E48" i="214"/>
  <c r="CQ49" i="214"/>
  <c r="O49" i="214"/>
  <c r="CH52" i="214"/>
  <c r="F52" i="214"/>
  <c r="N45" i="214"/>
  <c r="CP45" i="214"/>
  <c r="D46" i="214"/>
  <c r="CF46" i="214"/>
  <c r="CV46" i="214"/>
  <c r="T46" i="214"/>
  <c r="CQ47" i="214"/>
  <c r="O47" i="214"/>
  <c r="CZ48" i="214"/>
  <c r="X48" i="214"/>
  <c r="V50" i="214"/>
  <c r="CX50" i="214"/>
  <c r="H47" i="214"/>
  <c r="CJ47" i="214"/>
  <c r="X47" i="214"/>
  <c r="CZ47" i="214"/>
  <c r="CP48" i="214"/>
  <c r="N48" i="214"/>
  <c r="CF49" i="214"/>
  <c r="D49" i="214"/>
  <c r="CY49" i="214"/>
  <c r="W49" i="214"/>
  <c r="DB50" i="214"/>
  <c r="Z50" i="214"/>
  <c r="CL52" i="214"/>
  <c r="J52" i="214"/>
  <c r="Y47" i="214"/>
  <c r="DA47" i="214"/>
  <c r="O48" i="214"/>
  <c r="CQ48" i="214"/>
  <c r="CK49" i="214"/>
  <c r="I49" i="214"/>
  <c r="CF50" i="214"/>
  <c r="D50" i="214"/>
  <c r="J51" i="214"/>
  <c r="CL51" i="214"/>
  <c r="CO49" i="214"/>
  <c r="M49" i="214"/>
  <c r="CE50" i="214"/>
  <c r="C50" i="214"/>
  <c r="CU50" i="214"/>
  <c r="S50" i="214"/>
  <c r="CO51" i="214"/>
  <c r="M51" i="214"/>
  <c r="CE52" i="214"/>
  <c r="C52" i="214"/>
  <c r="CU52" i="214"/>
  <c r="S52" i="214"/>
  <c r="L52" i="214"/>
  <c r="CN52" i="214"/>
  <c r="CG50" i="214"/>
  <c r="E50" i="214"/>
  <c r="CW50" i="214"/>
  <c r="U50" i="214"/>
  <c r="CM51" i="214"/>
  <c r="K51" i="214"/>
  <c r="CG52" i="214"/>
  <c r="E52" i="214"/>
  <c r="CW52" i="214"/>
  <c r="U52" i="214"/>
  <c r="CV6" i="214"/>
  <c r="T6" i="214"/>
  <c r="CH9" i="214"/>
  <c r="F9" i="214"/>
  <c r="R11" i="214"/>
  <c r="CT11" i="214"/>
  <c r="F14" i="214"/>
  <c r="CH14" i="214"/>
  <c r="CR17" i="214"/>
  <c r="P17" i="214"/>
  <c r="Z21" i="214"/>
  <c r="DB21" i="214"/>
  <c r="CB20" i="214"/>
  <c r="CD20" i="214"/>
  <c r="B20" i="214"/>
  <c r="BL53" i="214"/>
  <c r="CM53" i="214" s="1"/>
  <c r="CM5" i="214"/>
  <c r="K5" i="214"/>
  <c r="CG8" i="214"/>
  <c r="E8" i="214"/>
  <c r="CW10" i="214"/>
  <c r="U10" i="214"/>
  <c r="CD13" i="214"/>
  <c r="B13" i="214"/>
  <c r="CB13" i="214"/>
  <c r="CK16" i="214"/>
  <c r="I16" i="214"/>
  <c r="CJ20" i="214"/>
  <c r="H20" i="214"/>
  <c r="CF35" i="214"/>
  <c r="D35" i="214"/>
  <c r="CY26" i="214"/>
  <c r="W26" i="214"/>
  <c r="CW30" i="214"/>
  <c r="U30" i="214"/>
  <c r="CZ40" i="214"/>
  <c r="X40" i="214"/>
  <c r="CY24" i="214"/>
  <c r="W24" i="214"/>
  <c r="DB28" i="214"/>
  <c r="Z28" i="214"/>
  <c r="CJ35" i="214"/>
  <c r="H35" i="214"/>
  <c r="D51" i="214"/>
  <c r="CF51" i="214"/>
  <c r="DA13" i="214"/>
  <c r="Y13" i="214"/>
  <c r="DA15" i="214"/>
  <c r="Y15" i="214"/>
  <c r="Z18" i="214"/>
  <c r="DB18" i="214"/>
  <c r="CO22" i="214"/>
  <c r="M22" i="214"/>
  <c r="DA25" i="214"/>
  <c r="Y25" i="214"/>
  <c r="CL29" i="214"/>
  <c r="J29" i="214"/>
  <c r="CN35" i="214"/>
  <c r="L35" i="214"/>
  <c r="CV49" i="214"/>
  <c r="T49" i="214"/>
  <c r="DA17" i="214"/>
  <c r="Y17" i="214"/>
  <c r="Y19" i="214"/>
  <c r="DA19" i="214"/>
  <c r="CQ22" i="214"/>
  <c r="O22" i="214"/>
  <c r="CK26" i="214"/>
  <c r="I26" i="214"/>
  <c r="DA28" i="214"/>
  <c r="Y28" i="214"/>
  <c r="CJ32" i="214"/>
  <c r="H32" i="214"/>
  <c r="K36" i="214"/>
  <c r="CM36" i="214"/>
  <c r="K45" i="214"/>
  <c r="CM45" i="214"/>
  <c r="DA35" i="214"/>
  <c r="Y35" i="214"/>
  <c r="K38" i="214"/>
  <c r="CM38" i="214"/>
  <c r="Y40" i="214"/>
  <c r="DA40" i="214"/>
  <c r="CD47" i="214"/>
  <c r="B47" i="214"/>
  <c r="CB47" i="214"/>
  <c r="CT30" i="214"/>
  <c r="R30" i="214"/>
  <c r="T33" i="214"/>
  <c r="CV33" i="214"/>
  <c r="CK39" i="214"/>
  <c r="I39" i="214"/>
  <c r="D37" i="214"/>
  <c r="CF37" i="214"/>
  <c r="CE51" i="214"/>
  <c r="C51" i="214"/>
  <c r="CR7" i="214"/>
  <c r="P7" i="214"/>
  <c r="CK14" i="214"/>
  <c r="I14" i="214"/>
  <c r="CH17" i="214"/>
  <c r="F17" i="214"/>
  <c r="DB6" i="214"/>
  <c r="Z6" i="214"/>
  <c r="CJ9" i="214"/>
  <c r="H9" i="214"/>
  <c r="CN11" i="214"/>
  <c r="L11" i="214"/>
  <c r="CP14" i="214"/>
  <c r="N14" i="214"/>
  <c r="CN17" i="214"/>
  <c r="L17" i="214"/>
  <c r="BE53" i="214"/>
  <c r="CF53" i="214" s="1"/>
  <c r="CF5" i="214"/>
  <c r="D5" i="214"/>
  <c r="CZ7" i="214"/>
  <c r="X7" i="214"/>
  <c r="CH10" i="214"/>
  <c r="F10" i="214"/>
  <c r="CE13" i="214"/>
  <c r="C13" i="214"/>
  <c r="CL16" i="214"/>
  <c r="J16" i="214"/>
  <c r="CH6" i="214"/>
  <c r="F6" i="214"/>
  <c r="CV9" i="214"/>
  <c r="T9" i="214"/>
  <c r="CD6" i="214"/>
  <c r="B6" i="214"/>
  <c r="CB6" i="214"/>
  <c r="CX8" i="214"/>
  <c r="V8" i="214"/>
  <c r="D11" i="214"/>
  <c r="CF11" i="214"/>
  <c r="D14" i="214"/>
  <c r="CF14" i="214"/>
  <c r="CT18" i="214"/>
  <c r="R18" i="214"/>
  <c r="CX21" i="214"/>
  <c r="V21" i="214"/>
  <c r="BF53" i="214"/>
  <c r="CG53" i="214" s="1"/>
  <c r="CG5" i="214"/>
  <c r="E5" i="214"/>
  <c r="BV53" i="214"/>
  <c r="CW53" i="214" s="1"/>
  <c r="CW5" i="214"/>
  <c r="U5" i="214"/>
  <c r="CM6" i="214"/>
  <c r="K6" i="214"/>
  <c r="CG7" i="214"/>
  <c r="E7" i="214"/>
  <c r="CW7" i="214"/>
  <c r="U7" i="214"/>
  <c r="CM8" i="214"/>
  <c r="K8" i="214"/>
  <c r="CG9" i="214"/>
  <c r="E9" i="214"/>
  <c r="CW9" i="214"/>
  <c r="U9" i="214"/>
  <c r="CM10" i="214"/>
  <c r="K10" i="214"/>
  <c r="E11" i="214"/>
  <c r="CG11" i="214"/>
  <c r="U11" i="214"/>
  <c r="CW11" i="214"/>
  <c r="N12" i="214"/>
  <c r="CP12" i="214"/>
  <c r="CL13" i="214"/>
  <c r="J13" i="214"/>
  <c r="CG14" i="214"/>
  <c r="E14" i="214"/>
  <c r="Z14" i="214"/>
  <c r="DB14" i="214"/>
  <c r="CX15" i="214"/>
  <c r="V15" i="214"/>
  <c r="V16" i="214"/>
  <c r="CX16" i="214"/>
  <c r="CX17" i="214"/>
  <c r="V17" i="214"/>
  <c r="CB19" i="214"/>
  <c r="CD19" i="214"/>
  <c r="B19" i="214"/>
  <c r="CF20" i="214"/>
  <c r="D20" i="214"/>
  <c r="CE21" i="214"/>
  <c r="C21" i="214"/>
  <c r="CK22" i="214"/>
  <c r="I22" i="214"/>
  <c r="V26" i="214"/>
  <c r="CX26" i="214"/>
  <c r="CG29" i="214"/>
  <c r="E29" i="214"/>
  <c r="CK36" i="214"/>
  <c r="I36" i="214"/>
  <c r="T19" i="214"/>
  <c r="CV19" i="214"/>
  <c r="R28" i="214"/>
  <c r="CT28" i="214"/>
  <c r="BK53" i="214"/>
  <c r="CL53" i="214" s="1"/>
  <c r="J5" i="214"/>
  <c r="CL5" i="214"/>
  <c r="CA53" i="214"/>
  <c r="DB53" i="214" s="1"/>
  <c r="DB5" i="214"/>
  <c r="Z5" i="214"/>
  <c r="P6" i="214"/>
  <c r="CR6" i="214"/>
  <c r="CH7" i="214"/>
  <c r="F7" i="214"/>
  <c r="V7" i="214"/>
  <c r="CX7" i="214"/>
  <c r="CN8" i="214"/>
  <c r="L8" i="214"/>
  <c r="CB9" i="214"/>
  <c r="B9" i="214"/>
  <c r="CD9" i="214"/>
  <c r="CT9" i="214"/>
  <c r="R9" i="214"/>
  <c r="H10" i="214"/>
  <c r="CJ10" i="214"/>
  <c r="X10" i="214"/>
  <c r="CZ10" i="214"/>
  <c r="CP11" i="214"/>
  <c r="N11" i="214"/>
  <c r="CG12" i="214"/>
  <c r="E12" i="214"/>
  <c r="Z12" i="214"/>
  <c r="DB12" i="214"/>
  <c r="CX13" i="214"/>
  <c r="V13" i="214"/>
  <c r="V14" i="214"/>
  <c r="CX14" i="214"/>
  <c r="CT15" i="214"/>
  <c r="R15" i="214"/>
  <c r="CO16" i="214"/>
  <c r="M16" i="214"/>
  <c r="H17" i="214"/>
  <c r="CJ17" i="214"/>
  <c r="N18" i="214"/>
  <c r="CP18" i="214"/>
  <c r="R19" i="214"/>
  <c r="CT19" i="214"/>
  <c r="T20" i="214"/>
  <c r="CV20" i="214"/>
  <c r="CU21" i="214"/>
  <c r="S21" i="214"/>
  <c r="CF24" i="214"/>
  <c r="D24" i="214"/>
  <c r="L27" i="214"/>
  <c r="CN27" i="214"/>
  <c r="DA31" i="214"/>
  <c r="Y31" i="214"/>
  <c r="CI19" i="214"/>
  <c r="G19" i="214"/>
  <c r="CQ24" i="214"/>
  <c r="O24" i="214"/>
  <c r="CL31" i="214"/>
  <c r="J31" i="214"/>
  <c r="M37" i="214"/>
  <c r="CO37" i="214"/>
  <c r="BH53" i="214"/>
  <c r="CI53" i="214" s="1"/>
  <c r="CI5" i="214"/>
  <c r="G5" i="214"/>
  <c r="BX53" i="214"/>
  <c r="CY53" i="214" s="1"/>
  <c r="CY5" i="214"/>
  <c r="W5" i="214"/>
  <c r="CS6" i="214"/>
  <c r="Q6" i="214"/>
  <c r="CI7" i="214"/>
  <c r="G7" i="214"/>
  <c r="CY7" i="214"/>
  <c r="W7" i="214"/>
  <c r="CS8" i="214"/>
  <c r="Q8" i="214"/>
  <c r="CI9" i="214"/>
  <c r="G9" i="214"/>
  <c r="CY9" i="214"/>
  <c r="W9" i="214"/>
  <c r="CS10" i="214"/>
  <c r="Q10" i="214"/>
  <c r="CI11" i="214"/>
  <c r="G11" i="214"/>
  <c r="CY11" i="214"/>
  <c r="W11" i="214"/>
  <c r="V12" i="214"/>
  <c r="CX12" i="214"/>
  <c r="CT13" i="214"/>
  <c r="R13" i="214"/>
  <c r="CO14" i="214"/>
  <c r="M14" i="214"/>
  <c r="CJ15" i="214"/>
  <c r="H15" i="214"/>
  <c r="CF16" i="214"/>
  <c r="D16" i="214"/>
  <c r="DA16" i="214"/>
  <c r="Y16" i="214"/>
  <c r="CZ17" i="214"/>
  <c r="X17" i="214"/>
  <c r="CZ18" i="214"/>
  <c r="X18" i="214"/>
  <c r="Z19" i="214"/>
  <c r="DB19" i="214"/>
  <c r="F21" i="214"/>
  <c r="CH21" i="214"/>
  <c r="CP22" i="214"/>
  <c r="N22" i="214"/>
  <c r="DB25" i="214"/>
  <c r="Z25" i="214"/>
  <c r="CU29" i="214"/>
  <c r="S29" i="214"/>
  <c r="CK33" i="214"/>
  <c r="I33" i="214"/>
  <c r="CT46" i="214"/>
  <c r="R46" i="214"/>
  <c r="CX24" i="214"/>
  <c r="V24" i="214"/>
  <c r="V25" i="214"/>
  <c r="CX25" i="214"/>
  <c r="CT26" i="214"/>
  <c r="R26" i="214"/>
  <c r="CO27" i="214"/>
  <c r="M27" i="214"/>
  <c r="CJ28" i="214"/>
  <c r="H28" i="214"/>
  <c r="CH29" i="214"/>
  <c r="F29" i="214"/>
  <c r="CO30" i="214"/>
  <c r="M30" i="214"/>
  <c r="CU31" i="214"/>
  <c r="S31" i="214"/>
  <c r="CV32" i="214"/>
  <c r="T32" i="214"/>
  <c r="CR35" i="214"/>
  <c r="P35" i="214"/>
  <c r="CE38" i="214"/>
  <c r="C38" i="214"/>
  <c r="CJ40" i="214"/>
  <c r="H40" i="214"/>
  <c r="DA48" i="214"/>
  <c r="Y48" i="214"/>
  <c r="V22" i="214"/>
  <c r="CX22" i="214"/>
  <c r="CT24" i="214"/>
  <c r="R24" i="214"/>
  <c r="CO25" i="214"/>
  <c r="M25" i="214"/>
  <c r="CJ26" i="214"/>
  <c r="H26" i="214"/>
  <c r="D27" i="214"/>
  <c r="CF27" i="214"/>
  <c r="DA27" i="214"/>
  <c r="Y27" i="214"/>
  <c r="CV28" i="214"/>
  <c r="T28" i="214"/>
  <c r="CX29" i="214"/>
  <c r="V29" i="214"/>
  <c r="CI31" i="214"/>
  <c r="G31" i="214"/>
  <c r="CQ32" i="214"/>
  <c r="O32" i="214"/>
  <c r="DA33" i="214"/>
  <c r="Y33" i="214"/>
  <c r="CR36" i="214"/>
  <c r="P36" i="214"/>
  <c r="CU38" i="214"/>
  <c r="S38" i="214"/>
  <c r="CU41" i="214"/>
  <c r="S41" i="214"/>
  <c r="CD49" i="214"/>
  <c r="B49" i="214"/>
  <c r="CB49" i="214"/>
  <c r="K12" i="214"/>
  <c r="CM12" i="214"/>
  <c r="CG13" i="214"/>
  <c r="E13" i="214"/>
  <c r="CW13" i="214"/>
  <c r="U13" i="214"/>
  <c r="K14" i="214"/>
  <c r="CM14" i="214"/>
  <c r="E15" i="214"/>
  <c r="CG15" i="214"/>
  <c r="U15" i="214"/>
  <c r="CW15" i="214"/>
  <c r="K16" i="214"/>
  <c r="CM16" i="214"/>
  <c r="CG17" i="214"/>
  <c r="E17" i="214"/>
  <c r="DB17" i="214"/>
  <c r="Z17" i="214"/>
  <c r="CW18" i="214"/>
  <c r="U18" i="214"/>
  <c r="CR19" i="214"/>
  <c r="P19" i="214"/>
  <c r="CS20" i="214"/>
  <c r="Q20" i="214"/>
  <c r="CN21" i="214"/>
  <c r="L21" i="214"/>
  <c r="CJ22" i="214"/>
  <c r="H22" i="214"/>
  <c r="CE24" i="214"/>
  <c r="C24" i="214"/>
  <c r="CZ24" i="214"/>
  <c r="X24" i="214"/>
  <c r="CV25" i="214"/>
  <c r="T25" i="214"/>
  <c r="CQ26" i="214"/>
  <c r="O26" i="214"/>
  <c r="J27" i="214"/>
  <c r="CL27" i="214"/>
  <c r="CH28" i="214"/>
  <c r="F28" i="214"/>
  <c r="CE29" i="214"/>
  <c r="C29" i="214"/>
  <c r="C30" i="214"/>
  <c r="CE30" i="214"/>
  <c r="CD31" i="214"/>
  <c r="B31" i="214"/>
  <c r="CB31" i="214"/>
  <c r="CK32" i="214"/>
  <c r="I32" i="214"/>
  <c r="CS33" i="214"/>
  <c r="Q33" i="214"/>
  <c r="CV36" i="214"/>
  <c r="T36" i="214"/>
  <c r="CZ38" i="214"/>
  <c r="X38" i="214"/>
  <c r="E41" i="214"/>
  <c r="CG41" i="214"/>
  <c r="CL46" i="214"/>
  <c r="J46" i="214"/>
  <c r="G44" i="214"/>
  <c r="CI44" i="214"/>
  <c r="CW46" i="214"/>
  <c r="U46" i="214"/>
  <c r="CX52" i="214"/>
  <c r="V52" i="214"/>
  <c r="CW17" i="214"/>
  <c r="U17" i="214"/>
  <c r="CM18" i="214"/>
  <c r="K18" i="214"/>
  <c r="E19" i="214"/>
  <c r="CG19" i="214"/>
  <c r="CW19" i="214"/>
  <c r="U19" i="214"/>
  <c r="K20" i="214"/>
  <c r="CM20" i="214"/>
  <c r="E21" i="214"/>
  <c r="CG21" i="214"/>
  <c r="CW21" i="214"/>
  <c r="U21" i="214"/>
  <c r="K22" i="214"/>
  <c r="CM22" i="214"/>
  <c r="CG24" i="214"/>
  <c r="E24" i="214"/>
  <c r="U24" i="214"/>
  <c r="CW24" i="214"/>
  <c r="K25" i="214"/>
  <c r="CM25" i="214"/>
  <c r="CG26" i="214"/>
  <c r="E26" i="214"/>
  <c r="CW26" i="214"/>
  <c r="U26" i="214"/>
  <c r="CM27" i="214"/>
  <c r="K27" i="214"/>
  <c r="CG28" i="214"/>
  <c r="E28" i="214"/>
  <c r="CW28" i="214"/>
  <c r="U28" i="214"/>
  <c r="CO29" i="214"/>
  <c r="M29" i="214"/>
  <c r="I30" i="214"/>
  <c r="CK30" i="214"/>
  <c r="CH31" i="214"/>
  <c r="F31" i="214"/>
  <c r="CE32" i="214"/>
  <c r="C32" i="214"/>
  <c r="CZ32" i="214"/>
  <c r="X32" i="214"/>
  <c r="DB33" i="214"/>
  <c r="Z33" i="214"/>
  <c r="B36" i="214"/>
  <c r="CD36" i="214"/>
  <c r="CB36" i="214"/>
  <c r="CT37" i="214"/>
  <c r="R37" i="214"/>
  <c r="CQ39" i="214"/>
  <c r="O39" i="214"/>
  <c r="CE41" i="214"/>
  <c r="C41" i="214"/>
  <c r="CW44" i="214"/>
  <c r="U44" i="214"/>
  <c r="CK48" i="214"/>
  <c r="I48" i="214"/>
  <c r="CM33" i="214"/>
  <c r="K33" i="214"/>
  <c r="CG35" i="214"/>
  <c r="E35" i="214"/>
  <c r="CW35" i="214"/>
  <c r="U35" i="214"/>
  <c r="CN36" i="214"/>
  <c r="L36" i="214"/>
  <c r="I37" i="214"/>
  <c r="CK37" i="214"/>
  <c r="E38" i="214"/>
  <c r="CG38" i="214"/>
  <c r="CD39" i="214"/>
  <c r="B39" i="214"/>
  <c r="CB39" i="214"/>
  <c r="W39" i="214"/>
  <c r="CY39" i="214"/>
  <c r="CV40" i="214"/>
  <c r="T40" i="214"/>
  <c r="Q41" i="214"/>
  <c r="CS41" i="214"/>
  <c r="M44" i="214"/>
  <c r="CO44" i="214"/>
  <c r="O45" i="214"/>
  <c r="CQ45" i="214"/>
  <c r="CX46" i="214"/>
  <c r="V46" i="214"/>
  <c r="CE49" i="214"/>
  <c r="C49" i="214"/>
  <c r="CJ29" i="214"/>
  <c r="H29" i="214"/>
  <c r="CZ29" i="214"/>
  <c r="X29" i="214"/>
  <c r="N30" i="214"/>
  <c r="CP30" i="214"/>
  <c r="CF31" i="214"/>
  <c r="D31" i="214"/>
  <c r="T31" i="214"/>
  <c r="CV31" i="214"/>
  <c r="CL32" i="214"/>
  <c r="J32" i="214"/>
  <c r="DB32" i="214"/>
  <c r="Z32" i="214"/>
  <c r="CR33" i="214"/>
  <c r="P33" i="214"/>
  <c r="F35" i="214"/>
  <c r="CH35" i="214"/>
  <c r="V35" i="214"/>
  <c r="CX35" i="214"/>
  <c r="CO36" i="214"/>
  <c r="M36" i="214"/>
  <c r="CL37" i="214"/>
  <c r="J37" i="214"/>
  <c r="CI38" i="214"/>
  <c r="G38" i="214"/>
  <c r="C39" i="214"/>
  <c r="CE39" i="214"/>
  <c r="DA39" i="214"/>
  <c r="Y39" i="214"/>
  <c r="U40" i="214"/>
  <c r="CW40" i="214"/>
  <c r="CT41" i="214"/>
  <c r="R41" i="214"/>
  <c r="CQ44" i="214"/>
  <c r="O44" i="214"/>
  <c r="I45" i="214"/>
  <c r="CK45" i="214"/>
  <c r="CP46" i="214"/>
  <c r="N46" i="214"/>
  <c r="CS48" i="214"/>
  <c r="Q48" i="214"/>
  <c r="J36" i="214"/>
  <c r="CL36" i="214"/>
  <c r="Z36" i="214"/>
  <c r="DB36" i="214"/>
  <c r="CR37" i="214"/>
  <c r="P37" i="214"/>
  <c r="F38" i="214"/>
  <c r="CH38" i="214"/>
  <c r="V38" i="214"/>
  <c r="CX38" i="214"/>
  <c r="L39" i="214"/>
  <c r="CN39" i="214"/>
  <c r="CB40" i="214"/>
  <c r="B40" i="214"/>
  <c r="CD40" i="214"/>
  <c r="CT40" i="214"/>
  <c r="R40" i="214"/>
  <c r="CJ41" i="214"/>
  <c r="H41" i="214"/>
  <c r="CZ41" i="214"/>
  <c r="X41" i="214"/>
  <c r="N44" i="214"/>
  <c r="CP44" i="214"/>
  <c r="CI45" i="214"/>
  <c r="G45" i="214"/>
  <c r="CK46" i="214"/>
  <c r="I46" i="214"/>
  <c r="DB47" i="214"/>
  <c r="Z47" i="214"/>
  <c r="V51" i="214"/>
  <c r="CX51" i="214"/>
  <c r="CQ46" i="214"/>
  <c r="O46" i="214"/>
  <c r="I47" i="214"/>
  <c r="CK47" i="214"/>
  <c r="CO48" i="214"/>
  <c r="M48" i="214"/>
  <c r="DB49" i="214"/>
  <c r="Z49" i="214"/>
  <c r="CD45" i="214"/>
  <c r="B45" i="214"/>
  <c r="CB45" i="214"/>
  <c r="CT45" i="214"/>
  <c r="R45" i="214"/>
  <c r="H46" i="214"/>
  <c r="CJ46" i="214"/>
  <c r="CZ46" i="214"/>
  <c r="X46" i="214"/>
  <c r="CY47" i="214"/>
  <c r="W47" i="214"/>
  <c r="CI49" i="214"/>
  <c r="G49" i="214"/>
  <c r="N51" i="214"/>
  <c r="CP51" i="214"/>
  <c r="CN47" i="214"/>
  <c r="L47" i="214"/>
  <c r="CB48" i="214"/>
  <c r="B48" i="214"/>
  <c r="CD48" i="214"/>
  <c r="R48" i="214"/>
  <c r="CT48" i="214"/>
  <c r="CJ49" i="214"/>
  <c r="H49" i="214"/>
  <c r="CB50" i="214"/>
  <c r="CD50" i="214"/>
  <c r="B50" i="214"/>
  <c r="CJ51" i="214"/>
  <c r="H51" i="214"/>
  <c r="DB52" i="214"/>
  <c r="Z52" i="214"/>
  <c r="CE48" i="214"/>
  <c r="C48" i="214"/>
  <c r="CU48" i="214"/>
  <c r="S48" i="214"/>
  <c r="N49" i="214"/>
  <c r="CP49" i="214"/>
  <c r="CN50" i="214"/>
  <c r="L50" i="214"/>
  <c r="CT51" i="214"/>
  <c r="R51" i="214"/>
  <c r="CS49" i="214"/>
  <c r="Q49" i="214"/>
  <c r="CI50" i="214"/>
  <c r="G50" i="214"/>
  <c r="CY50" i="214"/>
  <c r="W50" i="214"/>
  <c r="CS51" i="214"/>
  <c r="Q51" i="214"/>
  <c r="CI52" i="214"/>
  <c r="G52" i="214"/>
  <c r="CY52" i="214"/>
  <c r="W52" i="214"/>
  <c r="CR52" i="214"/>
  <c r="P52" i="214"/>
  <c r="CK50" i="214"/>
  <c r="I50" i="214"/>
  <c r="DA50" i="214"/>
  <c r="Y50" i="214"/>
  <c r="CQ51" i="214"/>
  <c r="O51" i="214"/>
  <c r="CK52" i="214"/>
  <c r="I52" i="214"/>
  <c r="DA52" i="214"/>
  <c r="Y52" i="214"/>
  <c r="CV10" i="213"/>
  <c r="T10" i="213"/>
  <c r="BO53" i="213"/>
  <c r="CP53" i="213" s="1"/>
  <c r="CP5" i="213"/>
  <c r="N5" i="213"/>
  <c r="CI8" i="213"/>
  <c r="G8" i="213"/>
  <c r="CY10" i="213"/>
  <c r="W10" i="213"/>
  <c r="DB16" i="213"/>
  <c r="Z16" i="213"/>
  <c r="CE6" i="213"/>
  <c r="C6" i="213"/>
  <c r="CM8" i="213"/>
  <c r="K8" i="213"/>
  <c r="CU10" i="213"/>
  <c r="S10" i="213"/>
  <c r="N17" i="213"/>
  <c r="CP17" i="213"/>
  <c r="C33" i="213"/>
  <c r="CE33" i="213"/>
  <c r="CG7" i="213"/>
  <c r="E7" i="213"/>
  <c r="CW16" i="213"/>
  <c r="U16" i="213"/>
  <c r="W36" i="213"/>
  <c r="CY36" i="213"/>
  <c r="CK7" i="213"/>
  <c r="I7" i="213"/>
  <c r="DA9" i="213"/>
  <c r="Y9" i="213"/>
  <c r="T14" i="213"/>
  <c r="CV14" i="213"/>
  <c r="N11" i="213"/>
  <c r="CP11" i="213"/>
  <c r="CQ13" i="213"/>
  <c r="O13" i="213"/>
  <c r="CP18" i="213"/>
  <c r="N18" i="213"/>
  <c r="BL53" i="213"/>
  <c r="CM53" i="213" s="1"/>
  <c r="K5" i="213"/>
  <c r="CM5" i="213"/>
  <c r="U6" i="213"/>
  <c r="CW6" i="213"/>
  <c r="E8" i="213"/>
  <c r="CG8" i="213"/>
  <c r="K9" i="213"/>
  <c r="CM9" i="213"/>
  <c r="CW10" i="213"/>
  <c r="U10" i="213"/>
  <c r="CM11" i="213"/>
  <c r="K11" i="213"/>
  <c r="Z12" i="213"/>
  <c r="DB12" i="213"/>
  <c r="CX14" i="213"/>
  <c r="V14" i="213"/>
  <c r="CL17" i="213"/>
  <c r="J17" i="213"/>
  <c r="CI22" i="213"/>
  <c r="G22" i="213"/>
  <c r="CZ33" i="213"/>
  <c r="X33" i="213"/>
  <c r="CV12" i="213"/>
  <c r="T12" i="213"/>
  <c r="P15" i="213"/>
  <c r="CR15" i="213"/>
  <c r="D19" i="213"/>
  <c r="CF19" i="213"/>
  <c r="BE53" i="213"/>
  <c r="CF53" i="213" s="1"/>
  <c r="D5" i="213"/>
  <c r="CF5" i="213"/>
  <c r="CL6" i="213"/>
  <c r="J6" i="213"/>
  <c r="CR7" i="213"/>
  <c r="P7" i="213"/>
  <c r="CX8" i="213"/>
  <c r="V8" i="213"/>
  <c r="CD10" i="213"/>
  <c r="CB10" i="213"/>
  <c r="B10" i="213"/>
  <c r="H11" i="213"/>
  <c r="CJ11" i="213"/>
  <c r="CD13" i="213"/>
  <c r="B13" i="213"/>
  <c r="CB13" i="213"/>
  <c r="CY13" i="213"/>
  <c r="W13" i="213"/>
  <c r="CP15" i="213"/>
  <c r="N15" i="213"/>
  <c r="C17" i="213"/>
  <c r="CE17" i="213"/>
  <c r="DA21" i="213"/>
  <c r="Y21" i="213"/>
  <c r="CH32" i="213"/>
  <c r="F32" i="213"/>
  <c r="N19" i="213"/>
  <c r="CP19" i="213"/>
  <c r="CG21" i="213"/>
  <c r="E21" i="213"/>
  <c r="DB22" i="213"/>
  <c r="Z22" i="213"/>
  <c r="CK26" i="213"/>
  <c r="I26" i="213"/>
  <c r="CS28" i="213"/>
  <c r="Q28" i="213"/>
  <c r="CT29" i="213"/>
  <c r="R29" i="213"/>
  <c r="CL32" i="213"/>
  <c r="J32" i="213"/>
  <c r="I37" i="213"/>
  <c r="CK37" i="213"/>
  <c r="L17" i="213"/>
  <c r="CN17" i="213"/>
  <c r="CW19" i="213"/>
  <c r="U19" i="213"/>
  <c r="CS21" i="213"/>
  <c r="Q21" i="213"/>
  <c r="CE25" i="213"/>
  <c r="C25" i="213"/>
  <c r="CU27" i="213"/>
  <c r="S27" i="213"/>
  <c r="Q30" i="213"/>
  <c r="CS30" i="213"/>
  <c r="U35" i="213"/>
  <c r="CW35" i="213"/>
  <c r="CL39" i="213"/>
  <c r="J39" i="213"/>
  <c r="Y11" i="213"/>
  <c r="DA11" i="213"/>
  <c r="CK13" i="213"/>
  <c r="I13" i="213"/>
  <c r="O14" i="213"/>
  <c r="CQ14" i="213"/>
  <c r="DA15" i="213"/>
  <c r="Y15" i="213"/>
  <c r="CK17" i="213"/>
  <c r="I17" i="213"/>
  <c r="CX18" i="213"/>
  <c r="V18" i="213"/>
  <c r="CT20" i="213"/>
  <c r="R20" i="213"/>
  <c r="CO21" i="213"/>
  <c r="M21" i="213"/>
  <c r="CW24" i="213"/>
  <c r="U24" i="213"/>
  <c r="CP27" i="213"/>
  <c r="N27" i="213"/>
  <c r="G30" i="213"/>
  <c r="CI30" i="213"/>
  <c r="W33" i="213"/>
  <c r="CY33" i="213"/>
  <c r="K36" i="213"/>
  <c r="CM36" i="213"/>
  <c r="CS40" i="213"/>
  <c r="Q40" i="213"/>
  <c r="X22" i="213"/>
  <c r="CZ22" i="213"/>
  <c r="CF25" i="213"/>
  <c r="D25" i="213"/>
  <c r="DB26" i="213"/>
  <c r="Z26" i="213"/>
  <c r="F28" i="213"/>
  <c r="CH28" i="213"/>
  <c r="V28" i="213"/>
  <c r="CX28" i="213"/>
  <c r="CE30" i="213"/>
  <c r="C30" i="213"/>
  <c r="U31" i="213"/>
  <c r="CW31" i="213"/>
  <c r="O33" i="213"/>
  <c r="CQ33" i="213"/>
  <c r="CJ36" i="213"/>
  <c r="H36" i="213"/>
  <c r="E37" i="213"/>
  <c r="CG37" i="213"/>
  <c r="E39" i="213"/>
  <c r="CG39" i="213"/>
  <c r="CG18" i="213"/>
  <c r="E18" i="213"/>
  <c r="K19" i="213"/>
  <c r="CM19" i="213"/>
  <c r="CW20" i="213"/>
  <c r="U20" i="213"/>
  <c r="CG22" i="213"/>
  <c r="E22" i="213"/>
  <c r="CM24" i="213"/>
  <c r="K24" i="213"/>
  <c r="E25" i="213"/>
  <c r="CG25" i="213"/>
  <c r="CM26" i="213"/>
  <c r="K26" i="213"/>
  <c r="U27" i="213"/>
  <c r="CW27" i="213"/>
  <c r="E29" i="213"/>
  <c r="CG29" i="213"/>
  <c r="CQ30" i="213"/>
  <c r="O30" i="213"/>
  <c r="CN31" i="213"/>
  <c r="L31" i="213"/>
  <c r="E33" i="213"/>
  <c r="CG33" i="213"/>
  <c r="W35" i="213"/>
  <c r="CY35" i="213"/>
  <c r="CS37" i="213"/>
  <c r="Q37" i="213"/>
  <c r="CR40" i="213"/>
  <c r="P40" i="213"/>
  <c r="L30" i="213"/>
  <c r="CN30" i="213"/>
  <c r="CT31" i="213"/>
  <c r="R31" i="213"/>
  <c r="X32" i="213"/>
  <c r="CZ32" i="213"/>
  <c r="CF35" i="213"/>
  <c r="D35" i="213"/>
  <c r="CL36" i="213"/>
  <c r="J36" i="213"/>
  <c r="P37" i="213"/>
  <c r="CR37" i="213"/>
  <c r="CP39" i="213"/>
  <c r="N39" i="213"/>
  <c r="K39" i="213"/>
  <c r="CM39" i="213"/>
  <c r="E41" i="213"/>
  <c r="CG41" i="213"/>
  <c r="CH45" i="213"/>
  <c r="F45" i="213"/>
  <c r="CZ51" i="213"/>
  <c r="X51" i="213"/>
  <c r="CQ40" i="213"/>
  <c r="O40" i="213"/>
  <c r="CN44" i="213"/>
  <c r="L44" i="213"/>
  <c r="CR48" i="213"/>
  <c r="P48" i="213"/>
  <c r="W41" i="213"/>
  <c r="CY41" i="213"/>
  <c r="CK47" i="213"/>
  <c r="I47" i="213"/>
  <c r="I44" i="213"/>
  <c r="CK44" i="213"/>
  <c r="CT45" i="213"/>
  <c r="R45" i="213"/>
  <c r="CQ46" i="213"/>
  <c r="O46" i="213"/>
  <c r="CV48" i="213"/>
  <c r="T48" i="213"/>
  <c r="CB38" i="213"/>
  <c r="CD38" i="213"/>
  <c r="B38" i="213"/>
  <c r="CJ39" i="213"/>
  <c r="H39" i="213"/>
  <c r="N40" i="213"/>
  <c r="CP40" i="213"/>
  <c r="T41" i="213"/>
  <c r="CV41" i="213"/>
  <c r="Z44" i="213"/>
  <c r="DB44" i="213"/>
  <c r="CR46" i="213"/>
  <c r="P46" i="213"/>
  <c r="F49" i="213"/>
  <c r="CH49" i="213"/>
  <c r="CM47" i="213"/>
  <c r="K47" i="213"/>
  <c r="CG48" i="213"/>
  <c r="E48" i="213"/>
  <c r="CM49" i="213"/>
  <c r="K49" i="213"/>
  <c r="CR51" i="213"/>
  <c r="P51" i="213"/>
  <c r="X45" i="213"/>
  <c r="CZ45" i="213"/>
  <c r="CF47" i="213"/>
  <c r="D47" i="213"/>
  <c r="J48" i="213"/>
  <c r="CL48" i="213"/>
  <c r="CS49" i="213"/>
  <c r="Q49" i="213"/>
  <c r="CE50" i="213"/>
  <c r="C50" i="213"/>
  <c r="CU50" i="213"/>
  <c r="S50" i="213"/>
  <c r="CE52" i="213"/>
  <c r="C52" i="213"/>
  <c r="CU52" i="213"/>
  <c r="S52" i="213"/>
  <c r="CL51" i="213"/>
  <c r="J51" i="213"/>
  <c r="DB51" i="213"/>
  <c r="Z51" i="213"/>
  <c r="CR52" i="213"/>
  <c r="P52" i="213"/>
  <c r="CU49" i="213"/>
  <c r="S49" i="213"/>
  <c r="CO50" i="213"/>
  <c r="M50" i="213"/>
  <c r="CE51" i="213"/>
  <c r="C51" i="213"/>
  <c r="CO52" i="213"/>
  <c r="M52" i="213"/>
  <c r="CY11" i="213"/>
  <c r="W11" i="213"/>
  <c r="BW53" i="213"/>
  <c r="CX53" i="213" s="1"/>
  <c r="CX5" i="213"/>
  <c r="V5" i="213"/>
  <c r="CH7" i="213"/>
  <c r="F7" i="213"/>
  <c r="CX9" i="213"/>
  <c r="V9" i="213"/>
  <c r="CP14" i="213"/>
  <c r="N14" i="213"/>
  <c r="BK53" i="213"/>
  <c r="CL53" i="213" s="1"/>
  <c r="CL5" i="213"/>
  <c r="J5" i="213"/>
  <c r="CT7" i="213"/>
  <c r="R7" i="213"/>
  <c r="CU8" i="213"/>
  <c r="S8" i="213"/>
  <c r="R11" i="213"/>
  <c r="CT11" i="213"/>
  <c r="CB18" i="213"/>
  <c r="CD18" i="213"/>
  <c r="B18" i="213"/>
  <c r="CF6" i="213"/>
  <c r="D6" i="213"/>
  <c r="CN10" i="213"/>
  <c r="L10" i="213"/>
  <c r="CZ31" i="213"/>
  <c r="X31" i="213"/>
  <c r="CI37" i="213"/>
  <c r="G37" i="213"/>
  <c r="CS7" i="213"/>
  <c r="Q7" i="213"/>
  <c r="CJ10" i="213"/>
  <c r="H10" i="213"/>
  <c r="CQ15" i="213"/>
  <c r="O15" i="213"/>
  <c r="D12" i="213"/>
  <c r="CF12" i="213"/>
  <c r="CN16" i="213"/>
  <c r="L16" i="213"/>
  <c r="CT37" i="213"/>
  <c r="R37" i="213"/>
  <c r="I6" i="213"/>
  <c r="CK6" i="213"/>
  <c r="CQ7" i="213"/>
  <c r="O7" i="213"/>
  <c r="I8" i="213"/>
  <c r="CK8" i="213"/>
  <c r="CQ9" i="213"/>
  <c r="O9" i="213"/>
  <c r="Y10" i="213"/>
  <c r="DA10" i="213"/>
  <c r="CL12" i="213"/>
  <c r="J12" i="213"/>
  <c r="CH14" i="213"/>
  <c r="F14" i="213"/>
  <c r="CB15" i="213"/>
  <c r="CD15" i="213"/>
  <c r="B15" i="213"/>
  <c r="CT16" i="213"/>
  <c r="R16" i="213"/>
  <c r="R17" i="213"/>
  <c r="CT17" i="213"/>
  <c r="CJ24" i="213"/>
  <c r="H24" i="213"/>
  <c r="E35" i="213"/>
  <c r="CG35" i="213"/>
  <c r="DA12" i="213"/>
  <c r="Y12" i="213"/>
  <c r="CR14" i="213"/>
  <c r="P14" i="213"/>
  <c r="CZ17" i="213"/>
  <c r="X17" i="213"/>
  <c r="CY29" i="213"/>
  <c r="W29" i="213"/>
  <c r="BY53" i="213"/>
  <c r="CZ53" i="213" s="1"/>
  <c r="CZ5" i="213"/>
  <c r="X5" i="213"/>
  <c r="D7" i="213"/>
  <c r="CF7" i="213"/>
  <c r="J8" i="213"/>
  <c r="CL8" i="213"/>
  <c r="Z8" i="213"/>
  <c r="DB8" i="213"/>
  <c r="CH10" i="213"/>
  <c r="F10" i="213"/>
  <c r="CN11" i="213"/>
  <c r="L11" i="213"/>
  <c r="CI13" i="213"/>
  <c r="G13" i="213"/>
  <c r="CB14" i="213"/>
  <c r="B14" i="213"/>
  <c r="CD14" i="213"/>
  <c r="CU15" i="213"/>
  <c r="S15" i="213"/>
  <c r="CM17" i="213"/>
  <c r="K17" i="213"/>
  <c r="CQ22" i="213"/>
  <c r="O22" i="213"/>
  <c r="CQ35" i="213"/>
  <c r="O35" i="213"/>
  <c r="CQ20" i="213"/>
  <c r="O20" i="213"/>
  <c r="CD22" i="213"/>
  <c r="CB22" i="213"/>
  <c r="B22" i="213"/>
  <c r="CL25" i="213"/>
  <c r="J25" i="213"/>
  <c r="CT27" i="213"/>
  <c r="R27" i="213"/>
  <c r="DB29" i="213"/>
  <c r="Z29" i="213"/>
  <c r="CW32" i="213"/>
  <c r="U32" i="213"/>
  <c r="CU37" i="213"/>
  <c r="S37" i="213"/>
  <c r="CR17" i="213"/>
  <c r="P17" i="213"/>
  <c r="CG19" i="213"/>
  <c r="E19" i="213"/>
  <c r="CX20" i="213"/>
  <c r="V20" i="213"/>
  <c r="CF24" i="213"/>
  <c r="D24" i="213"/>
  <c r="CM25" i="213"/>
  <c r="K25" i="213"/>
  <c r="CF28" i="213"/>
  <c r="D28" i="213"/>
  <c r="CJ31" i="213"/>
  <c r="H31" i="213"/>
  <c r="G36" i="213"/>
  <c r="CI36" i="213"/>
  <c r="G40" i="213"/>
  <c r="CI40" i="213"/>
  <c r="C12" i="213"/>
  <c r="CE12" i="213"/>
  <c r="CO13" i="213"/>
  <c r="M13" i="213"/>
  <c r="CU14" i="213"/>
  <c r="S14" i="213"/>
  <c r="C16" i="213"/>
  <c r="CE16" i="213"/>
  <c r="S16" i="213"/>
  <c r="CU16" i="213"/>
  <c r="CH18" i="213"/>
  <c r="F18" i="213"/>
  <c r="CD20" i="213"/>
  <c r="B20" i="213"/>
  <c r="CB20" i="213"/>
  <c r="R21" i="213"/>
  <c r="CT21" i="213"/>
  <c r="CH25" i="213"/>
  <c r="F25" i="213"/>
  <c r="CX27" i="213"/>
  <c r="V27" i="213"/>
  <c r="CT30" i="213"/>
  <c r="R30" i="213"/>
  <c r="CQ32" i="213"/>
  <c r="O32" i="213"/>
  <c r="CW36" i="213"/>
  <c r="U36" i="213"/>
  <c r="CY46" i="213"/>
  <c r="W46" i="213"/>
  <c r="CB24" i="213"/>
  <c r="CD24" i="213"/>
  <c r="B24" i="213"/>
  <c r="H25" i="213"/>
  <c r="CJ25" i="213"/>
  <c r="N26" i="213"/>
  <c r="CP26" i="213"/>
  <c r="CV27" i="213"/>
  <c r="T27" i="213"/>
  <c r="DB28" i="213"/>
  <c r="Z28" i="213"/>
  <c r="I30" i="213"/>
  <c r="CK30" i="213"/>
  <c r="CD32" i="213"/>
  <c r="B32" i="213"/>
  <c r="CB32" i="213"/>
  <c r="CV33" i="213"/>
  <c r="T33" i="213"/>
  <c r="M36" i="213"/>
  <c r="CO36" i="213"/>
  <c r="CJ38" i="213"/>
  <c r="H38" i="213"/>
  <c r="CL47" i="213"/>
  <c r="J47" i="213"/>
  <c r="CK18" i="213"/>
  <c r="I18" i="213"/>
  <c r="O19" i="213"/>
  <c r="CQ19" i="213"/>
  <c r="DA20" i="213"/>
  <c r="Y20" i="213"/>
  <c r="I22" i="213"/>
  <c r="CK22" i="213"/>
  <c r="O24" i="213"/>
  <c r="CQ24" i="213"/>
  <c r="Y25" i="213"/>
  <c r="DA25" i="213"/>
  <c r="I27" i="213"/>
  <c r="CK27" i="213"/>
  <c r="O28" i="213"/>
  <c r="CQ28" i="213"/>
  <c r="Y29" i="213"/>
  <c r="DA29" i="213"/>
  <c r="Q31" i="213"/>
  <c r="CS31" i="213"/>
  <c r="CM33" i="213"/>
  <c r="K33" i="213"/>
  <c r="CF36" i="213"/>
  <c r="D36" i="213"/>
  <c r="Y36" i="213"/>
  <c r="DA36" i="213"/>
  <c r="CZ38" i="213"/>
  <c r="X38" i="213"/>
  <c r="V50" i="213"/>
  <c r="CX50" i="213"/>
  <c r="F31" i="213"/>
  <c r="CH31" i="213"/>
  <c r="L32" i="213"/>
  <c r="CN32" i="213"/>
  <c r="CT33" i="213"/>
  <c r="R33" i="213"/>
  <c r="CJ35" i="213"/>
  <c r="H35" i="213"/>
  <c r="N36" i="213"/>
  <c r="CP36" i="213"/>
  <c r="CV37" i="213"/>
  <c r="T37" i="213"/>
  <c r="DA39" i="213"/>
  <c r="Y39" i="213"/>
  <c r="Q39" i="213"/>
  <c r="CS39" i="213"/>
  <c r="CL41" i="213"/>
  <c r="J41" i="213"/>
  <c r="Q45" i="213"/>
  <c r="CS45" i="213"/>
  <c r="CS47" i="213"/>
  <c r="Q47" i="213"/>
  <c r="W39" i="213"/>
  <c r="CY39" i="213"/>
  <c r="Q41" i="213"/>
  <c r="CS41" i="213"/>
  <c r="CS46" i="213"/>
  <c r="Q46" i="213"/>
  <c r="G41" i="213"/>
  <c r="CI41" i="213"/>
  <c r="CX45" i="213"/>
  <c r="V45" i="213"/>
  <c r="P50" i="213"/>
  <c r="CR50" i="213"/>
  <c r="CD45" i="213"/>
  <c r="B45" i="213"/>
  <c r="CB45" i="213"/>
  <c r="CV46" i="213"/>
  <c r="T46" i="213"/>
  <c r="CG49" i="213"/>
  <c r="E49" i="213"/>
  <c r="CH38" i="213"/>
  <c r="F38" i="213"/>
  <c r="L39" i="213"/>
  <c r="CN39" i="213"/>
  <c r="R40" i="213"/>
  <c r="CT40" i="213"/>
  <c r="CZ41" i="213"/>
  <c r="X41" i="213"/>
  <c r="CE45" i="213"/>
  <c r="C45" i="213"/>
  <c r="CW46" i="213"/>
  <c r="U46" i="213"/>
  <c r="N49" i="213"/>
  <c r="CP49" i="213"/>
  <c r="O47" i="213"/>
  <c r="CQ47" i="213"/>
  <c r="P49" i="213"/>
  <c r="CR49" i="213"/>
  <c r="CL52" i="213"/>
  <c r="J52" i="213"/>
  <c r="CB46" i="213"/>
  <c r="B46" i="213"/>
  <c r="CD46" i="213"/>
  <c r="CT46" i="213"/>
  <c r="R46" i="213"/>
  <c r="X47" i="213"/>
  <c r="CZ47" i="213"/>
  <c r="CF49" i="213"/>
  <c r="D49" i="213"/>
  <c r="CF51" i="213"/>
  <c r="D51" i="213"/>
  <c r="CS51" i="213"/>
  <c r="Q51" i="213"/>
  <c r="CY52" i="213"/>
  <c r="W52" i="213"/>
  <c r="CF52" i="213"/>
  <c r="D52" i="213"/>
  <c r="CV52" i="213"/>
  <c r="T52" i="213"/>
  <c r="CS50" i="213"/>
  <c r="Q50" i="213"/>
  <c r="CI51" i="213"/>
  <c r="G51" i="213"/>
  <c r="CS52" i="213"/>
  <c r="Q52" i="213"/>
  <c r="CV8" i="213"/>
  <c r="T8" i="213"/>
  <c r="CT12" i="213"/>
  <c r="R12" i="213"/>
  <c r="CI6" i="213"/>
  <c r="G6" i="213"/>
  <c r="CP7" i="213"/>
  <c r="N7" i="213"/>
  <c r="CY8" i="213"/>
  <c r="W8" i="213"/>
  <c r="CI10" i="213"/>
  <c r="G10" i="213"/>
  <c r="CB12" i="213"/>
  <c r="CD12" i="213"/>
  <c r="B12" i="213"/>
  <c r="CL15" i="213"/>
  <c r="J15" i="213"/>
  <c r="CT19" i="213"/>
  <c r="R19" i="213"/>
  <c r="BS53" i="213"/>
  <c r="CT53" i="213" s="1"/>
  <c r="CT5" i="213"/>
  <c r="R5" i="213"/>
  <c r="CU6" i="213"/>
  <c r="S6" i="213"/>
  <c r="DB7" i="213"/>
  <c r="Z7" i="213"/>
  <c r="CD9" i="213"/>
  <c r="B9" i="213"/>
  <c r="CB9" i="213"/>
  <c r="CE10" i="213"/>
  <c r="C10" i="213"/>
  <c r="CO12" i="213"/>
  <c r="M12" i="213"/>
  <c r="CV15" i="213"/>
  <c r="T15" i="213"/>
  <c r="N20" i="213"/>
  <c r="CP20" i="213"/>
  <c r="BF53" i="213"/>
  <c r="CG53" i="213" s="1"/>
  <c r="CG5" i="213"/>
  <c r="E5" i="213"/>
  <c r="CN6" i="213"/>
  <c r="L6" i="213"/>
  <c r="CG9" i="213"/>
  <c r="E9" i="213"/>
  <c r="CG11" i="213"/>
  <c r="E11" i="213"/>
  <c r="CN18" i="213"/>
  <c r="L18" i="213"/>
  <c r="Q32" i="213"/>
  <c r="CS32" i="213"/>
  <c r="BJ53" i="213"/>
  <c r="CK53" i="213" s="1"/>
  <c r="CK5" i="213"/>
  <c r="I5" i="213"/>
  <c r="CR6" i="213"/>
  <c r="P6" i="213"/>
  <c r="DA7" i="213"/>
  <c r="Y7" i="213"/>
  <c r="CK9" i="213"/>
  <c r="I9" i="213"/>
  <c r="CR10" i="213"/>
  <c r="P10" i="213"/>
  <c r="CE13" i="213"/>
  <c r="C13" i="213"/>
  <c r="CL16" i="213"/>
  <c r="J16" i="213"/>
  <c r="CJ28" i="213"/>
  <c r="H28" i="213"/>
  <c r="N12" i="213"/>
  <c r="CP12" i="213"/>
  <c r="J14" i="213"/>
  <c r="CL14" i="213"/>
  <c r="V16" i="213"/>
  <c r="CX16" i="213"/>
  <c r="CP21" i="213"/>
  <c r="N21" i="213"/>
  <c r="BD53" i="213"/>
  <c r="CE53" i="213" s="1"/>
  <c r="C5" i="213"/>
  <c r="CE5" i="213"/>
  <c r="BT53" i="213"/>
  <c r="CU53" i="213" s="1"/>
  <c r="S5" i="213"/>
  <c r="CU5" i="213"/>
  <c r="M6" i="213"/>
  <c r="CO6" i="213"/>
  <c r="C7" i="213"/>
  <c r="CE7" i="213"/>
  <c r="S7" i="213"/>
  <c r="CU7" i="213"/>
  <c r="M8" i="213"/>
  <c r="CO8" i="213"/>
  <c r="C9" i="213"/>
  <c r="CE9" i="213"/>
  <c r="S9" i="213"/>
  <c r="CU9" i="213"/>
  <c r="M10" i="213"/>
  <c r="CO10" i="213"/>
  <c r="CE11" i="213"/>
  <c r="C11" i="213"/>
  <c r="CV11" i="213"/>
  <c r="T11" i="213"/>
  <c r="P12" i="213"/>
  <c r="CR12" i="213"/>
  <c r="CM13" i="213"/>
  <c r="K13" i="213"/>
  <c r="L14" i="213"/>
  <c r="CN14" i="213"/>
  <c r="CI15" i="213"/>
  <c r="G15" i="213"/>
  <c r="CB16" i="213"/>
  <c r="CD16" i="213"/>
  <c r="B16" i="213"/>
  <c r="CZ16" i="213"/>
  <c r="X16" i="213"/>
  <c r="CI18" i="213"/>
  <c r="G18" i="213"/>
  <c r="CZ20" i="213"/>
  <c r="X20" i="213"/>
  <c r="CQ25" i="213"/>
  <c r="O25" i="213"/>
  <c r="CM30" i="213"/>
  <c r="K30" i="213"/>
  <c r="DB39" i="213"/>
  <c r="Z39" i="213"/>
  <c r="X11" i="213"/>
  <c r="CZ11" i="213"/>
  <c r="CL13" i="213"/>
  <c r="J13" i="213"/>
  <c r="Z14" i="213"/>
  <c r="DB14" i="213"/>
  <c r="F16" i="213"/>
  <c r="CH16" i="213"/>
  <c r="CE18" i="213"/>
  <c r="C18" i="213"/>
  <c r="CI25" i="213"/>
  <c r="G25" i="213"/>
  <c r="DA38" i="213"/>
  <c r="Y38" i="213"/>
  <c r="BM53" i="213"/>
  <c r="CN53" i="213" s="1"/>
  <c r="L5" i="213"/>
  <c r="CN5" i="213"/>
  <c r="CD6" i="213"/>
  <c r="CB6" i="213"/>
  <c r="B6" i="213"/>
  <c r="R6" i="213"/>
  <c r="CT6" i="213"/>
  <c r="CJ7" i="213"/>
  <c r="H7" i="213"/>
  <c r="CZ7" i="213"/>
  <c r="X7" i="213"/>
  <c r="CP8" i="213"/>
  <c r="N8" i="213"/>
  <c r="D9" i="213"/>
  <c r="CF9" i="213"/>
  <c r="T9" i="213"/>
  <c r="CV9" i="213"/>
  <c r="CL10" i="213"/>
  <c r="J10" i="213"/>
  <c r="DB10" i="213"/>
  <c r="Z10" i="213"/>
  <c r="CR11" i="213"/>
  <c r="P11" i="213"/>
  <c r="CS12" i="213"/>
  <c r="Q12" i="213"/>
  <c r="CN13" i="213"/>
  <c r="L13" i="213"/>
  <c r="CJ14" i="213"/>
  <c r="H14" i="213"/>
  <c r="CE15" i="213"/>
  <c r="C15" i="213"/>
  <c r="CZ15" i="213"/>
  <c r="X15" i="213"/>
  <c r="CV16" i="213"/>
  <c r="T16" i="213"/>
  <c r="S17" i="213"/>
  <c r="CU17" i="213"/>
  <c r="CJ20" i="213"/>
  <c r="H20" i="213"/>
  <c r="CR24" i="213"/>
  <c r="P24" i="213"/>
  <c r="CX30" i="213"/>
  <c r="V30" i="213"/>
  <c r="CN36" i="213"/>
  <c r="L36" i="213"/>
  <c r="DA19" i="213"/>
  <c r="Y19" i="213"/>
  <c r="T20" i="213"/>
  <c r="CV20" i="213"/>
  <c r="P21" i="213"/>
  <c r="CR21" i="213"/>
  <c r="CL22" i="213"/>
  <c r="J22" i="213"/>
  <c r="CS24" i="213"/>
  <c r="Q24" i="213"/>
  <c r="CT25" i="213"/>
  <c r="R25" i="213"/>
  <c r="DA26" i="213"/>
  <c r="Y26" i="213"/>
  <c r="DB27" i="213"/>
  <c r="Z27" i="213"/>
  <c r="CD29" i="213"/>
  <c r="B29" i="213"/>
  <c r="CB29" i="213"/>
  <c r="CD30" i="213"/>
  <c r="CB30" i="213"/>
  <c r="B30" i="213"/>
  <c r="O31" i="213"/>
  <c r="CQ31" i="213"/>
  <c r="CI33" i="213"/>
  <c r="G33" i="213"/>
  <c r="CG36" i="213"/>
  <c r="E36" i="213"/>
  <c r="CO38" i="213"/>
  <c r="M38" i="213"/>
  <c r="CF17" i="213"/>
  <c r="D17" i="213"/>
  <c r="CV17" i="213"/>
  <c r="T17" i="213"/>
  <c r="CQ18" i="213"/>
  <c r="O18" i="213"/>
  <c r="J19" i="213"/>
  <c r="CL19" i="213"/>
  <c r="CH20" i="213"/>
  <c r="F20" i="213"/>
  <c r="F21" i="213"/>
  <c r="CH21" i="213"/>
  <c r="CE22" i="213"/>
  <c r="C22" i="213"/>
  <c r="CN24" i="213"/>
  <c r="L24" i="213"/>
  <c r="CU25" i="213"/>
  <c r="S25" i="213"/>
  <c r="CE27" i="213"/>
  <c r="C27" i="213"/>
  <c r="CN28" i="213"/>
  <c r="L28" i="213"/>
  <c r="CU29" i="213"/>
  <c r="S29" i="213"/>
  <c r="CU31" i="213"/>
  <c r="S31" i="213"/>
  <c r="S33" i="213"/>
  <c r="CU33" i="213"/>
  <c r="CS36" i="213"/>
  <c r="Q36" i="213"/>
  <c r="CF38" i="213"/>
  <c r="D38" i="213"/>
  <c r="CP41" i="213"/>
  <c r="N41" i="213"/>
  <c r="CS11" i="213"/>
  <c r="Q11" i="213"/>
  <c r="CI12" i="213"/>
  <c r="G12" i="213"/>
  <c r="CY12" i="213"/>
  <c r="W12" i="213"/>
  <c r="CS13" i="213"/>
  <c r="Q13" i="213"/>
  <c r="G14" i="213"/>
  <c r="CI14" i="213"/>
  <c r="W14" i="213"/>
  <c r="CY14" i="213"/>
  <c r="Q15" i="213"/>
  <c r="CS15" i="213"/>
  <c r="G16" i="213"/>
  <c r="CI16" i="213"/>
  <c r="CY16" i="213"/>
  <c r="W16" i="213"/>
  <c r="CS17" i="213"/>
  <c r="Q17" i="213"/>
  <c r="CM18" i="213"/>
  <c r="K18" i="213"/>
  <c r="CN19" i="213"/>
  <c r="L19" i="213"/>
  <c r="CI20" i="213"/>
  <c r="G20" i="213"/>
  <c r="CB21" i="213"/>
  <c r="B21" i="213"/>
  <c r="CD21" i="213"/>
  <c r="CZ21" i="213"/>
  <c r="X21" i="213"/>
  <c r="CG24" i="213"/>
  <c r="E24" i="213"/>
  <c r="CP25" i="213"/>
  <c r="N25" i="213"/>
  <c r="CW26" i="213"/>
  <c r="U26" i="213"/>
  <c r="CG28" i="213"/>
  <c r="E28" i="213"/>
  <c r="CP29" i="213"/>
  <c r="N29" i="213"/>
  <c r="I31" i="213"/>
  <c r="CK31" i="213"/>
  <c r="DB32" i="213"/>
  <c r="Z32" i="213"/>
  <c r="CP35" i="213"/>
  <c r="N35" i="213"/>
  <c r="CE37" i="213"/>
  <c r="C37" i="213"/>
  <c r="CV38" i="213"/>
  <c r="T38" i="213"/>
  <c r="CZ48" i="213"/>
  <c r="X48" i="213"/>
  <c r="P22" i="213"/>
  <c r="CR22" i="213"/>
  <c r="F24" i="213"/>
  <c r="CH24" i="213"/>
  <c r="V24" i="213"/>
  <c r="CX24" i="213"/>
  <c r="CN25" i="213"/>
  <c r="L25" i="213"/>
  <c r="CB26" i="213"/>
  <c r="CD26" i="213"/>
  <c r="B26" i="213"/>
  <c r="CT26" i="213"/>
  <c r="R26" i="213"/>
  <c r="H27" i="213"/>
  <c r="CJ27" i="213"/>
  <c r="X27" i="213"/>
  <c r="CZ27" i="213"/>
  <c r="N28" i="213"/>
  <c r="CP28" i="213"/>
  <c r="CF29" i="213"/>
  <c r="D29" i="213"/>
  <c r="CV29" i="213"/>
  <c r="T29" i="213"/>
  <c r="CP30" i="213"/>
  <c r="N30" i="213"/>
  <c r="K31" i="213"/>
  <c r="CM31" i="213"/>
  <c r="G32" i="213"/>
  <c r="CI32" i="213"/>
  <c r="CF33" i="213"/>
  <c r="D33" i="213"/>
  <c r="Y33" i="213"/>
  <c r="DA33" i="213"/>
  <c r="CX35" i="213"/>
  <c r="V35" i="213"/>
  <c r="S36" i="213"/>
  <c r="CU36" i="213"/>
  <c r="CQ37" i="213"/>
  <c r="O37" i="213"/>
  <c r="O38" i="213"/>
  <c r="CQ38" i="213"/>
  <c r="CN40" i="213"/>
  <c r="L40" i="213"/>
  <c r="CB49" i="213"/>
  <c r="CD49" i="213"/>
  <c r="B49" i="213"/>
  <c r="M18" i="213"/>
  <c r="CO18" i="213"/>
  <c r="CE19" i="213"/>
  <c r="C19" i="213"/>
  <c r="CU19" i="213"/>
  <c r="S19" i="213"/>
  <c r="CO20" i="213"/>
  <c r="M20" i="213"/>
  <c r="CE21" i="213"/>
  <c r="C21" i="213"/>
  <c r="CU21" i="213"/>
  <c r="S21" i="213"/>
  <c r="M22" i="213"/>
  <c r="CO22" i="213"/>
  <c r="CE24" i="213"/>
  <c r="C24" i="213"/>
  <c r="CU24" i="213"/>
  <c r="S24" i="213"/>
  <c r="M25" i="213"/>
  <c r="CO25" i="213"/>
  <c r="CE26" i="213"/>
  <c r="C26" i="213"/>
  <c r="CU26" i="213"/>
  <c r="S26" i="213"/>
  <c r="M27" i="213"/>
  <c r="CO27" i="213"/>
  <c r="CE28" i="213"/>
  <c r="C28" i="213"/>
  <c r="CU28" i="213"/>
  <c r="S28" i="213"/>
  <c r="M29" i="213"/>
  <c r="CO29" i="213"/>
  <c r="CG30" i="213"/>
  <c r="E30" i="213"/>
  <c r="DB30" i="213"/>
  <c r="Z30" i="213"/>
  <c r="CY31" i="213"/>
  <c r="W31" i="213"/>
  <c r="S32" i="213"/>
  <c r="CU32" i="213"/>
  <c r="CR33" i="213"/>
  <c r="P33" i="213"/>
  <c r="CO35" i="213"/>
  <c r="M35" i="213"/>
  <c r="I36" i="213"/>
  <c r="CK36" i="213"/>
  <c r="CH37" i="213"/>
  <c r="F37" i="213"/>
  <c r="CE38" i="213"/>
  <c r="C38" i="213"/>
  <c r="CK39" i="213"/>
  <c r="I39" i="213"/>
  <c r="CJ44" i="213"/>
  <c r="H44" i="213"/>
  <c r="CF30" i="213"/>
  <c r="D30" i="213"/>
  <c r="CV30" i="213"/>
  <c r="T30" i="213"/>
  <c r="J31" i="213"/>
  <c r="CL31" i="213"/>
  <c r="Z31" i="213"/>
  <c r="DB31" i="213"/>
  <c r="P32" i="213"/>
  <c r="CR32" i="213"/>
  <c r="CH33" i="213"/>
  <c r="F33" i="213"/>
  <c r="CX33" i="213"/>
  <c r="V33" i="213"/>
  <c r="L35" i="213"/>
  <c r="CN35" i="213"/>
  <c r="B36" i="213"/>
  <c r="CD36" i="213"/>
  <c r="CB36" i="213"/>
  <c r="R36" i="213"/>
  <c r="CT36" i="213"/>
  <c r="CJ37" i="213"/>
  <c r="H37" i="213"/>
  <c r="CZ37" i="213"/>
  <c r="X37" i="213"/>
  <c r="U38" i="213"/>
  <c r="CW38" i="213"/>
  <c r="K40" i="213"/>
  <c r="CM40" i="213"/>
  <c r="CV49" i="213"/>
  <c r="T49" i="213"/>
  <c r="CX39" i="213"/>
  <c r="V39" i="213"/>
  <c r="S40" i="213"/>
  <c r="CU40" i="213"/>
  <c r="O41" i="213"/>
  <c r="CQ41" i="213"/>
  <c r="CM44" i="213"/>
  <c r="K44" i="213"/>
  <c r="C46" i="213"/>
  <c r="CE46" i="213"/>
  <c r="CM48" i="213"/>
  <c r="K48" i="213"/>
  <c r="G39" i="213"/>
  <c r="CI39" i="213"/>
  <c r="CF40" i="213"/>
  <c r="D40" i="213"/>
  <c r="Y40" i="213"/>
  <c r="DA40" i="213"/>
  <c r="CX41" i="213"/>
  <c r="V41" i="213"/>
  <c r="CL45" i="213"/>
  <c r="J45" i="213"/>
  <c r="CD47" i="213"/>
  <c r="B47" i="213"/>
  <c r="CB47" i="213"/>
  <c r="F50" i="213"/>
  <c r="CH50" i="213"/>
  <c r="CO41" i="213"/>
  <c r="M41" i="213"/>
  <c r="CQ44" i="213"/>
  <c r="O44" i="213"/>
  <c r="CJ46" i="213"/>
  <c r="H46" i="213"/>
  <c r="CE48" i="213"/>
  <c r="C48" i="213"/>
  <c r="CX52" i="213"/>
  <c r="V52" i="213"/>
  <c r="Q44" i="213"/>
  <c r="CS44" i="213"/>
  <c r="CI45" i="213"/>
  <c r="G45" i="213"/>
  <c r="CF46" i="213"/>
  <c r="D46" i="213"/>
  <c r="Y46" i="213"/>
  <c r="DA46" i="213"/>
  <c r="CF48" i="213"/>
  <c r="D48" i="213"/>
  <c r="CO49" i="213"/>
  <c r="M49" i="213"/>
  <c r="CJ51" i="213"/>
  <c r="H51" i="213"/>
  <c r="J38" i="213"/>
  <c r="CL38" i="213"/>
  <c r="Z38" i="213"/>
  <c r="DB38" i="213"/>
  <c r="P39" i="213"/>
  <c r="CR39" i="213"/>
  <c r="CH40" i="213"/>
  <c r="F40" i="213"/>
  <c r="V40" i="213"/>
  <c r="CX40" i="213"/>
  <c r="L41" i="213"/>
  <c r="CN41" i="213"/>
  <c r="CD44" i="213"/>
  <c r="B44" i="213"/>
  <c r="CB44" i="213"/>
  <c r="R44" i="213"/>
  <c r="CT44" i="213"/>
  <c r="CK45" i="213"/>
  <c r="I45" i="213"/>
  <c r="E46" i="213"/>
  <c r="CG46" i="213"/>
  <c r="CH47" i="213"/>
  <c r="F47" i="213"/>
  <c r="CQ48" i="213"/>
  <c r="O48" i="213"/>
  <c r="DA49" i="213"/>
  <c r="Y49" i="213"/>
  <c r="CE47" i="213"/>
  <c r="C47" i="213"/>
  <c r="CU47" i="213"/>
  <c r="S47" i="213"/>
  <c r="CO48" i="213"/>
  <c r="M48" i="213"/>
  <c r="CE49" i="213"/>
  <c r="C49" i="213"/>
  <c r="CW49" i="213"/>
  <c r="U49" i="213"/>
  <c r="CT50" i="213"/>
  <c r="R50" i="213"/>
  <c r="DB52" i="213"/>
  <c r="Z52" i="213"/>
  <c r="P45" i="213"/>
  <c r="CR45" i="213"/>
  <c r="CH46" i="213"/>
  <c r="F46" i="213"/>
  <c r="V46" i="213"/>
  <c r="CX46" i="213"/>
  <c r="CN47" i="213"/>
  <c r="L47" i="213"/>
  <c r="B48" i="213"/>
  <c r="CD48" i="213"/>
  <c r="CB48" i="213"/>
  <c r="R48" i="213"/>
  <c r="CT48" i="213"/>
  <c r="H49" i="213"/>
  <c r="CJ49" i="213"/>
  <c r="CF50" i="213"/>
  <c r="D50" i="213"/>
  <c r="CV51" i="213"/>
  <c r="T51" i="213"/>
  <c r="CM50" i="213"/>
  <c r="K50" i="213"/>
  <c r="CG51" i="213"/>
  <c r="E51" i="213"/>
  <c r="CW51" i="213"/>
  <c r="U51" i="213"/>
  <c r="CM52" i="213"/>
  <c r="K52" i="213"/>
  <c r="CB51" i="213"/>
  <c r="B51" i="213"/>
  <c r="CD51" i="213"/>
  <c r="CT51" i="213"/>
  <c r="R51" i="213"/>
  <c r="H52" i="213"/>
  <c r="CJ52" i="213"/>
  <c r="X52" i="213"/>
  <c r="CZ52" i="213"/>
  <c r="CG50" i="213"/>
  <c r="E50" i="213"/>
  <c r="CW50" i="213"/>
  <c r="U50" i="213"/>
  <c r="CM51" i="213"/>
  <c r="K51" i="213"/>
  <c r="CG52" i="213"/>
  <c r="E52" i="213"/>
  <c r="CW52" i="213"/>
  <c r="U52" i="213"/>
  <c r="CW7" i="213"/>
  <c r="U7" i="213"/>
  <c r="CK14" i="213"/>
  <c r="I14" i="213"/>
  <c r="CY6" i="213"/>
  <c r="W6" i="213"/>
  <c r="CP9" i="213"/>
  <c r="N9" i="213"/>
  <c r="CU13" i="213"/>
  <c r="S13" i="213"/>
  <c r="BC53" i="213"/>
  <c r="CD53" i="213" s="1"/>
  <c r="CD5" i="213"/>
  <c r="B5" i="213"/>
  <c r="CB5" i="213"/>
  <c r="CL7" i="213"/>
  <c r="J7" i="213"/>
  <c r="CT9" i="213"/>
  <c r="R9" i="213"/>
  <c r="D14" i="213"/>
  <c r="CF14" i="213"/>
  <c r="BV53" i="213"/>
  <c r="CW53" i="213" s="1"/>
  <c r="CW5" i="213"/>
  <c r="U5" i="213"/>
  <c r="CW9" i="213"/>
  <c r="U9" i="213"/>
  <c r="CK21" i="213"/>
  <c r="I21" i="213"/>
  <c r="BZ53" i="213"/>
  <c r="DA53" i="213" s="1"/>
  <c r="DA5" i="213"/>
  <c r="Y5" i="213"/>
  <c r="CR8" i="213"/>
  <c r="P8" i="213"/>
  <c r="M11" i="213"/>
  <c r="CO11" i="213"/>
  <c r="CY22" i="213"/>
  <c r="W22" i="213"/>
  <c r="CM15" i="213"/>
  <c r="K15" i="213"/>
  <c r="M33" i="213"/>
  <c r="CO33" i="213"/>
  <c r="E6" i="213"/>
  <c r="CG6" i="213"/>
  <c r="K7" i="213"/>
  <c r="CM7" i="213"/>
  <c r="U8" i="213"/>
  <c r="CW8" i="213"/>
  <c r="E10" i="213"/>
  <c r="CG10" i="213"/>
  <c r="CG12" i="213"/>
  <c r="E12" i="213"/>
  <c r="CX13" i="213"/>
  <c r="V13" i="213"/>
  <c r="CT15" i="213"/>
  <c r="R15" i="213"/>
  <c r="CO16" i="213"/>
  <c r="M16" i="213"/>
  <c r="CJ19" i="213"/>
  <c r="H19" i="213"/>
  <c r="CY27" i="213"/>
  <c r="W27" i="213"/>
  <c r="J11" i="213"/>
  <c r="CL11" i="213"/>
  <c r="CG14" i="213"/>
  <c r="E14" i="213"/>
  <c r="O17" i="213"/>
  <c r="CQ17" i="213"/>
  <c r="CR28" i="213"/>
  <c r="P28" i="213"/>
  <c r="BU53" i="213"/>
  <c r="CV53" i="213" s="1"/>
  <c r="T5" i="213"/>
  <c r="CV5" i="213"/>
  <c r="DB6" i="213"/>
  <c r="Z6" i="213"/>
  <c r="CH8" i="213"/>
  <c r="F8" i="213"/>
  <c r="L9" i="213"/>
  <c r="CN9" i="213"/>
  <c r="CT10" i="213"/>
  <c r="R10" i="213"/>
  <c r="F12" i="213"/>
  <c r="CH12" i="213"/>
  <c r="R14" i="213"/>
  <c r="CT14" i="213"/>
  <c r="CK16" i="213"/>
  <c r="I16" i="213"/>
  <c r="CU18" i="213"/>
  <c r="S18" i="213"/>
  <c r="CZ26" i="213"/>
  <c r="X26" i="213"/>
  <c r="CL20" i="213"/>
  <c r="J20" i="213"/>
  <c r="Z21" i="213"/>
  <c r="DB21" i="213"/>
  <c r="CD25" i="213"/>
  <c r="B25" i="213"/>
  <c r="CB25" i="213"/>
  <c r="CL27" i="213"/>
  <c r="J27" i="213"/>
  <c r="W30" i="213"/>
  <c r="CY30" i="213"/>
  <c r="CK35" i="213"/>
  <c r="I35" i="213"/>
  <c r="CE41" i="213"/>
  <c r="C41" i="213"/>
  <c r="CF18" i="213"/>
  <c r="D18" i="213"/>
  <c r="DB18" i="213"/>
  <c r="Z18" i="213"/>
  <c r="CR20" i="213"/>
  <c r="P20" i="213"/>
  <c r="CU22" i="213"/>
  <c r="S22" i="213"/>
  <c r="CN26" i="213"/>
  <c r="L26" i="213"/>
  <c r="CE29" i="213"/>
  <c r="C29" i="213"/>
  <c r="CX32" i="213"/>
  <c r="V32" i="213"/>
  <c r="CO37" i="213"/>
  <c r="M37" i="213"/>
  <c r="CN46" i="213"/>
  <c r="L46" i="213"/>
  <c r="O12" i="213"/>
  <c r="CQ12" i="213"/>
  <c r="Y13" i="213"/>
  <c r="DA13" i="213"/>
  <c r="CK15" i="213"/>
  <c r="I15" i="213"/>
  <c r="CQ16" i="213"/>
  <c r="O16" i="213"/>
  <c r="DB17" i="213"/>
  <c r="Z17" i="213"/>
  <c r="V19" i="213"/>
  <c r="CX19" i="213"/>
  <c r="CP22" i="213"/>
  <c r="N22" i="213"/>
  <c r="CG26" i="213"/>
  <c r="E26" i="213"/>
  <c r="CW28" i="213"/>
  <c r="U28" i="213"/>
  <c r="E32" i="213"/>
  <c r="CG32" i="213"/>
  <c r="DA37" i="213"/>
  <c r="Y37" i="213"/>
  <c r="H22" i="213"/>
  <c r="CJ22" i="213"/>
  <c r="N24" i="213"/>
  <c r="CP24" i="213"/>
  <c r="CV25" i="213"/>
  <c r="T25" i="213"/>
  <c r="CL26" i="213"/>
  <c r="J26" i="213"/>
  <c r="P27" i="213"/>
  <c r="CR27" i="213"/>
  <c r="CN29" i="213"/>
  <c r="L29" i="213"/>
  <c r="Y30" i="213"/>
  <c r="DA30" i="213"/>
  <c r="CT32" i="213"/>
  <c r="R32" i="213"/>
  <c r="K35" i="213"/>
  <c r="CM35" i="213"/>
  <c r="DB37" i="213"/>
  <c r="Z37" i="213"/>
  <c r="CQ45" i="213"/>
  <c r="O45" i="213"/>
  <c r="CW18" i="213"/>
  <c r="U18" i="213"/>
  <c r="CG20" i="213"/>
  <c r="E20" i="213"/>
  <c r="K21" i="213"/>
  <c r="CM21" i="213"/>
  <c r="U22" i="213"/>
  <c r="CW22" i="213"/>
  <c r="U25" i="213"/>
  <c r="CW25" i="213"/>
  <c r="E27" i="213"/>
  <c r="CG27" i="213"/>
  <c r="CM28" i="213"/>
  <c r="K28" i="213"/>
  <c r="U29" i="213"/>
  <c r="CW29" i="213"/>
  <c r="CK32" i="213"/>
  <c r="I32" i="213"/>
  <c r="CD35" i="213"/>
  <c r="B35" i="213"/>
  <c r="CB35" i="213"/>
  <c r="CV36" i="213"/>
  <c r="T36" i="213"/>
  <c r="CS38" i="213"/>
  <c r="Q38" i="213"/>
  <c r="DB47" i="213"/>
  <c r="Z47" i="213"/>
  <c r="CD31" i="213"/>
  <c r="CB31" i="213"/>
  <c r="B31" i="213"/>
  <c r="H32" i="213"/>
  <c r="CJ32" i="213"/>
  <c r="N33" i="213"/>
  <c r="CP33" i="213"/>
  <c r="CV35" i="213"/>
  <c r="T35" i="213"/>
  <c r="DB36" i="213"/>
  <c r="Z36" i="213"/>
  <c r="CM38" i="213"/>
  <c r="K38" i="213"/>
  <c r="I41" i="213"/>
  <c r="CK41" i="213"/>
  <c r="CJ40" i="213"/>
  <c r="H40" i="213"/>
  <c r="DB41" i="213"/>
  <c r="Z41" i="213"/>
  <c r="CZ46" i="213"/>
  <c r="X46" i="213"/>
  <c r="CT39" i="213"/>
  <c r="R39" i="213"/>
  <c r="K41" i="213"/>
  <c r="CM41" i="213"/>
  <c r="G46" i="213"/>
  <c r="CI46" i="213"/>
  <c r="CD41" i="213"/>
  <c r="B41" i="213"/>
  <c r="CB41" i="213"/>
  <c r="CM45" i="213"/>
  <c r="K45" i="213"/>
  <c r="R49" i="213"/>
  <c r="CT49" i="213"/>
  <c r="Y44" i="213"/>
  <c r="DA44" i="213"/>
  <c r="CO47" i="213"/>
  <c r="M47" i="213"/>
  <c r="H50" i="213"/>
  <c r="CJ50" i="213"/>
  <c r="CT38" i="213"/>
  <c r="R38" i="213"/>
  <c r="CZ39" i="213"/>
  <c r="X39" i="213"/>
  <c r="D41" i="213"/>
  <c r="CF41" i="213"/>
  <c r="J44" i="213"/>
  <c r="CL44" i="213"/>
  <c r="S45" i="213"/>
  <c r="CU45" i="213"/>
  <c r="CX47" i="213"/>
  <c r="V47" i="213"/>
  <c r="CN51" i="213"/>
  <c r="L51" i="213"/>
  <c r="CW48" i="213"/>
  <c r="U48" i="213"/>
  <c r="CB50" i="213"/>
  <c r="CD50" i="213"/>
  <c r="B50" i="213"/>
  <c r="CJ45" i="213"/>
  <c r="H45" i="213"/>
  <c r="N46" i="213"/>
  <c r="CP46" i="213"/>
  <c r="CV47" i="213"/>
  <c r="T47" i="213"/>
  <c r="Z48" i="213"/>
  <c r="DB48" i="213"/>
  <c r="CV50" i="213"/>
  <c r="T50" i="213"/>
  <c r="CO51" i="213"/>
  <c r="M51" i="213"/>
  <c r="CU51" i="213"/>
  <c r="S51" i="213"/>
  <c r="Z25" i="115"/>
  <c r="CF8" i="213"/>
  <c r="D8" i="213"/>
  <c r="CF15" i="213"/>
  <c r="D15" i="213"/>
  <c r="CQ8" i="213"/>
  <c r="O8" i="213"/>
  <c r="CK11" i="213"/>
  <c r="I11" i="213"/>
  <c r="CY18" i="213"/>
  <c r="W18" i="213"/>
  <c r="CM6" i="213"/>
  <c r="K6" i="213"/>
  <c r="DB9" i="213"/>
  <c r="Z9" i="213"/>
  <c r="DA14" i="213"/>
  <c r="Y14" i="213"/>
  <c r="CN38" i="213"/>
  <c r="L38" i="213"/>
  <c r="CN8" i="213"/>
  <c r="L8" i="213"/>
  <c r="CX17" i="213"/>
  <c r="V17" i="213"/>
  <c r="CJ6" i="213"/>
  <c r="H6" i="213"/>
  <c r="CZ8" i="213"/>
  <c r="X8" i="213"/>
  <c r="H12" i="213"/>
  <c r="CJ12" i="213"/>
  <c r="CZ24" i="213"/>
  <c r="X24" i="213"/>
  <c r="DB13" i="213"/>
  <c r="Z13" i="213"/>
  <c r="CZ19" i="213"/>
  <c r="X19" i="213"/>
  <c r="BP53" i="213"/>
  <c r="CQ53" i="213" s="1"/>
  <c r="CQ5" i="213"/>
  <c r="O5" i="213"/>
  <c r="Y6" i="213"/>
  <c r="DA6" i="213"/>
  <c r="Y8" i="213"/>
  <c r="DA8" i="213"/>
  <c r="I10" i="213"/>
  <c r="CK10" i="213"/>
  <c r="CQ11" i="213"/>
  <c r="O11" i="213"/>
  <c r="CH13" i="213"/>
  <c r="F13" i="213"/>
  <c r="CY15" i="213"/>
  <c r="W15" i="213"/>
  <c r="CE20" i="213"/>
  <c r="C20" i="213"/>
  <c r="CZ28" i="213"/>
  <c r="X28" i="213"/>
  <c r="CU11" i="213"/>
  <c r="S11" i="213"/>
  <c r="CX15" i="213"/>
  <c r="V15" i="213"/>
  <c r="CU20" i="213"/>
  <c r="S20" i="213"/>
  <c r="BI53" i="213"/>
  <c r="CJ53" i="213" s="1"/>
  <c r="CJ5" i="213"/>
  <c r="H5" i="213"/>
  <c r="CP6" i="213"/>
  <c r="N6" i="213"/>
  <c r="T7" i="213"/>
  <c r="CV7" i="213"/>
  <c r="CR9" i="213"/>
  <c r="P9" i="213"/>
  <c r="CX10" i="213"/>
  <c r="V10" i="213"/>
  <c r="CN12" i="213"/>
  <c r="L12" i="213"/>
  <c r="CZ14" i="213"/>
  <c r="X14" i="213"/>
  <c r="N16" i="213"/>
  <c r="CP16" i="213"/>
  <c r="CO19" i="213"/>
  <c r="M19" i="213"/>
  <c r="CI29" i="213"/>
  <c r="G29" i="213"/>
  <c r="T19" i="213"/>
  <c r="CV19" i="213"/>
  <c r="J21" i="213"/>
  <c r="CL21" i="213"/>
  <c r="CK24" i="213"/>
  <c r="I24" i="213"/>
  <c r="CS26" i="213"/>
  <c r="Q26" i="213"/>
  <c r="DA28" i="213"/>
  <c r="Y28" i="213"/>
  <c r="CF31" i="213"/>
  <c r="D31" i="213"/>
  <c r="CU35" i="213"/>
  <c r="S35" i="213"/>
  <c r="CR44" i="213"/>
  <c r="P44" i="213"/>
  <c r="CL18" i="213"/>
  <c r="J18" i="213"/>
  <c r="Z19" i="213"/>
  <c r="DB19" i="213"/>
  <c r="V21" i="213"/>
  <c r="CX21" i="213"/>
  <c r="CV26" i="213"/>
  <c r="T26" i="213"/>
  <c r="CM29" i="213"/>
  <c r="K29" i="213"/>
  <c r="CJ33" i="213"/>
  <c r="H33" i="213"/>
  <c r="CY37" i="213"/>
  <c r="W37" i="213"/>
  <c r="CJ48" i="213"/>
  <c r="H48" i="213"/>
  <c r="S12" i="213"/>
  <c r="CU12" i="213"/>
  <c r="CE14" i="213"/>
  <c r="C14" i="213"/>
  <c r="CO15" i="213"/>
  <c r="M15" i="213"/>
  <c r="CO17" i="213"/>
  <c r="M17" i="213"/>
  <c r="F19" i="213"/>
  <c r="CH19" i="213"/>
  <c r="CY20" i="213"/>
  <c r="W20" i="213"/>
  <c r="CX22" i="213"/>
  <c r="V22" i="213"/>
  <c r="CO26" i="213"/>
  <c r="M26" i="213"/>
  <c r="CH29" i="213"/>
  <c r="F29" i="213"/>
  <c r="CE35" i="213"/>
  <c r="C35" i="213"/>
  <c r="G38" i="213"/>
  <c r="CI38" i="213"/>
  <c r="CN22" i="213"/>
  <c r="L22" i="213"/>
  <c r="CT24" i="213"/>
  <c r="R24" i="213"/>
  <c r="X25" i="213"/>
  <c r="CZ25" i="213"/>
  <c r="CF27" i="213"/>
  <c r="D27" i="213"/>
  <c r="CL28" i="213"/>
  <c r="J28" i="213"/>
  <c r="P29" i="213"/>
  <c r="CR29" i="213"/>
  <c r="E31" i="213"/>
  <c r="CG31" i="213"/>
  <c r="W32" i="213"/>
  <c r="CY32" i="213"/>
  <c r="Q35" i="213"/>
  <c r="CS35" i="213"/>
  <c r="CL37" i="213"/>
  <c r="J37" i="213"/>
  <c r="CU39" i="213"/>
  <c r="S39" i="213"/>
  <c r="DA18" i="213"/>
  <c r="Y18" i="213"/>
  <c r="I20" i="213"/>
  <c r="CK20" i="213"/>
  <c r="O21" i="213"/>
  <c r="CQ21" i="213"/>
  <c r="Y22" i="213"/>
  <c r="DA22" i="213"/>
  <c r="I25" i="213"/>
  <c r="CK25" i="213"/>
  <c r="O26" i="213"/>
  <c r="CQ26" i="213"/>
  <c r="Y27" i="213"/>
  <c r="DA27" i="213"/>
  <c r="I29" i="213"/>
  <c r="CK29" i="213"/>
  <c r="CW30" i="213"/>
  <c r="U30" i="213"/>
  <c r="CP32" i="213"/>
  <c r="N32" i="213"/>
  <c r="G35" i="213"/>
  <c r="CI35" i="213"/>
  <c r="CX37" i="213"/>
  <c r="V37" i="213"/>
  <c r="Y41" i="213"/>
  <c r="DA41" i="213"/>
  <c r="CR30" i="213"/>
  <c r="P30" i="213"/>
  <c r="V31" i="213"/>
  <c r="CX31" i="213"/>
  <c r="CB33" i="213"/>
  <c r="B33" i="213"/>
  <c r="CD33" i="213"/>
  <c r="CZ35" i="213"/>
  <c r="X35" i="213"/>
  <c r="D37" i="213"/>
  <c r="CF37" i="213"/>
  <c r="CR38" i="213"/>
  <c r="P38" i="213"/>
  <c r="CZ44" i="213"/>
  <c r="X44" i="213"/>
  <c r="M40" i="213"/>
  <c r="CO40" i="213"/>
  <c r="CE44" i="213"/>
  <c r="C44" i="213"/>
  <c r="CD39" i="213"/>
  <c r="B39" i="213"/>
  <c r="CB39" i="213"/>
  <c r="CV40" i="213"/>
  <c r="T40" i="213"/>
  <c r="CV44" i="213"/>
  <c r="T44" i="213"/>
  <c r="J49" i="213"/>
  <c r="CL49" i="213"/>
  <c r="CI44" i="213"/>
  <c r="G44" i="213"/>
  <c r="DA47" i="213"/>
  <c r="Y47" i="213"/>
  <c r="CO44" i="213"/>
  <c r="M44" i="213"/>
  <c r="W45" i="213"/>
  <c r="CY45" i="213"/>
  <c r="CW47" i="213"/>
  <c r="U47" i="213"/>
  <c r="X50" i="213"/>
  <c r="CZ50" i="213"/>
  <c r="CX38" i="213"/>
  <c r="V38" i="213"/>
  <c r="B40" i="213"/>
  <c r="CD40" i="213"/>
  <c r="CB40" i="213"/>
  <c r="CJ41" i="213"/>
  <c r="H41" i="213"/>
  <c r="N44" i="213"/>
  <c r="CP44" i="213"/>
  <c r="DA45" i="213"/>
  <c r="Y45" i="213"/>
  <c r="CI48" i="213"/>
  <c r="G48" i="213"/>
  <c r="CT52" i="213"/>
  <c r="R52" i="213"/>
  <c r="I48" i="213"/>
  <c r="CK48" i="213"/>
  <c r="Y48" i="213"/>
  <c r="DA48" i="213"/>
  <c r="CL50" i="213"/>
  <c r="J50" i="213"/>
  <c r="CN45" i="213"/>
  <c r="L45" i="213"/>
  <c r="H47" i="213"/>
  <c r="CJ47" i="213"/>
  <c r="N48" i="213"/>
  <c r="CP48" i="213"/>
  <c r="V49" i="213"/>
  <c r="CX49" i="213"/>
  <c r="CI50" i="213"/>
  <c r="G50" i="213"/>
  <c r="CY50" i="213"/>
  <c r="W50" i="213"/>
  <c r="CI52" i="213"/>
  <c r="G52" i="213"/>
  <c r="N51" i="213"/>
  <c r="CP51" i="213"/>
  <c r="CY49" i="213"/>
  <c r="W49" i="213"/>
  <c r="CY51" i="213"/>
  <c r="W51" i="213"/>
  <c r="CO7" i="213"/>
  <c r="M7" i="213"/>
  <c r="CF10" i="213"/>
  <c r="D10" i="213"/>
  <c r="N13" i="213"/>
  <c r="CP13" i="213"/>
  <c r="BG53" i="213"/>
  <c r="CH53" i="213" s="1"/>
  <c r="CH5" i="213"/>
  <c r="F5" i="213"/>
  <c r="CQ6" i="213"/>
  <c r="O6" i="213"/>
  <c r="CX7" i="213"/>
  <c r="V7" i="213"/>
  <c r="CH9" i="213"/>
  <c r="F9" i="213"/>
  <c r="CQ10" i="213"/>
  <c r="O10" i="213"/>
  <c r="X12" i="213"/>
  <c r="CZ12" i="213"/>
  <c r="CG16" i="213"/>
  <c r="E16" i="213"/>
  <c r="CI27" i="213"/>
  <c r="G27" i="213"/>
  <c r="CA53" i="213"/>
  <c r="DB53" i="213" s="1"/>
  <c r="DB5" i="213"/>
  <c r="Z5" i="213"/>
  <c r="CD7" i="213"/>
  <c r="B7" i="213"/>
  <c r="CB7" i="213"/>
  <c r="CE8" i="213"/>
  <c r="C8" i="213"/>
  <c r="CL9" i="213"/>
  <c r="J9" i="213"/>
  <c r="CM10" i="213"/>
  <c r="K10" i="213"/>
  <c r="CJ13" i="213"/>
  <c r="H13" i="213"/>
  <c r="CR16" i="213"/>
  <c r="P16" i="213"/>
  <c r="CQ29" i="213"/>
  <c r="O29" i="213"/>
  <c r="BN53" i="213"/>
  <c r="CO53" i="213" s="1"/>
  <c r="CO5" i="213"/>
  <c r="M5" i="213"/>
  <c r="CV6" i="213"/>
  <c r="T6" i="213"/>
  <c r="CO9" i="213"/>
  <c r="M9" i="213"/>
  <c r="Z15" i="213"/>
  <c r="DB15" i="213"/>
  <c r="CB19" i="213"/>
  <c r="CD19" i="213"/>
  <c r="B19" i="213"/>
  <c r="DB35" i="213"/>
  <c r="Z35" i="213"/>
  <c r="BR53" i="213"/>
  <c r="CS53" i="213" s="1"/>
  <c r="CS5" i="213"/>
  <c r="Q5" i="213"/>
  <c r="CZ6" i="213"/>
  <c r="X6" i="213"/>
  <c r="CJ8" i="213"/>
  <c r="H8" i="213"/>
  <c r="CS9" i="213"/>
  <c r="Q9" i="213"/>
  <c r="CZ10" i="213"/>
  <c r="X10" i="213"/>
  <c r="CZ13" i="213"/>
  <c r="X13" i="213"/>
  <c r="CH17" i="213"/>
  <c r="F17" i="213"/>
  <c r="CH11" i="213"/>
  <c r="F11" i="213"/>
  <c r="CF13" i="213"/>
  <c r="D13" i="213"/>
  <c r="CW14" i="213"/>
  <c r="U14" i="213"/>
  <c r="G17" i="213"/>
  <c r="CI17" i="213"/>
  <c r="CQ27" i="213"/>
  <c r="O27" i="213"/>
  <c r="BH53" i="213"/>
  <c r="CI53" i="213" s="1"/>
  <c r="CI5" i="213"/>
  <c r="G5" i="213"/>
  <c r="BX53" i="213"/>
  <c r="CY53" i="213" s="1"/>
  <c r="CY5" i="213"/>
  <c r="W5" i="213"/>
  <c r="Q6" i="213"/>
  <c r="CS6" i="213"/>
  <c r="CI7" i="213"/>
  <c r="G7" i="213"/>
  <c r="CY7" i="213"/>
  <c r="W7" i="213"/>
  <c r="CS8" i="213"/>
  <c r="Q8" i="213"/>
  <c r="CI9" i="213"/>
  <c r="G9" i="213"/>
  <c r="CY9" i="213"/>
  <c r="W9" i="213"/>
  <c r="CS10" i="213"/>
  <c r="Q10" i="213"/>
  <c r="CI11" i="213"/>
  <c r="G11" i="213"/>
  <c r="Z11" i="213"/>
  <c r="DB11" i="213"/>
  <c r="CW12" i="213"/>
  <c r="U12" i="213"/>
  <c r="CR13" i="213"/>
  <c r="P13" i="213"/>
  <c r="CS14" i="213"/>
  <c r="Q14" i="213"/>
  <c r="CN15" i="213"/>
  <c r="L15" i="213"/>
  <c r="H16" i="213"/>
  <c r="CJ16" i="213"/>
  <c r="CB17" i="213"/>
  <c r="B17" i="213"/>
  <c r="CD17" i="213"/>
  <c r="R18" i="213"/>
  <c r="CT18" i="213"/>
  <c r="T21" i="213"/>
  <c r="CV21" i="213"/>
  <c r="CR26" i="213"/>
  <c r="P26" i="213"/>
  <c r="CE31" i="213"/>
  <c r="C31" i="213"/>
  <c r="CB11" i="213"/>
  <c r="B11" i="213"/>
  <c r="CD11" i="213"/>
  <c r="CK12" i="213"/>
  <c r="I12" i="213"/>
  <c r="CV13" i="213"/>
  <c r="T13" i="213"/>
  <c r="F15" i="213"/>
  <c r="CH15" i="213"/>
  <c r="CS16" i="213"/>
  <c r="Q16" i="213"/>
  <c r="CZ18" i="213"/>
  <c r="X18" i="213"/>
  <c r="CJ26" i="213"/>
  <c r="H26" i="213"/>
  <c r="W40" i="213"/>
  <c r="CY40" i="213"/>
  <c r="BQ53" i="213"/>
  <c r="CR53" i="213" s="1"/>
  <c r="CR5" i="213"/>
  <c r="P5" i="213"/>
  <c r="CH6" i="213"/>
  <c r="F6" i="213"/>
  <c r="CX6" i="213"/>
  <c r="V6" i="213"/>
  <c r="L7" i="213"/>
  <c r="CN7" i="213"/>
  <c r="CD8" i="213"/>
  <c r="CB8" i="213"/>
  <c r="B8" i="213"/>
  <c r="CT8" i="213"/>
  <c r="R8" i="213"/>
  <c r="CJ9" i="213"/>
  <c r="H9" i="213"/>
  <c r="CZ9" i="213"/>
  <c r="X9" i="213"/>
  <c r="CP10" i="213"/>
  <c r="N10" i="213"/>
  <c r="D11" i="213"/>
  <c r="CF11" i="213"/>
  <c r="CX11" i="213"/>
  <c r="V11" i="213"/>
  <c r="V12" i="213"/>
  <c r="CX12" i="213"/>
  <c r="CT13" i="213"/>
  <c r="R13" i="213"/>
  <c r="CO14" i="213"/>
  <c r="M14" i="213"/>
  <c r="CJ15" i="213"/>
  <c r="H15" i="213"/>
  <c r="CF16" i="213"/>
  <c r="D16" i="213"/>
  <c r="DA16" i="213"/>
  <c r="Y16" i="213"/>
  <c r="H18" i="213"/>
  <c r="CJ18" i="213"/>
  <c r="D21" i="213"/>
  <c r="CF21" i="213"/>
  <c r="CY25" i="213"/>
  <c r="W25" i="213"/>
  <c r="CO31" i="213"/>
  <c r="M31" i="213"/>
  <c r="CK19" i="213"/>
  <c r="I19" i="213"/>
  <c r="CF20" i="213"/>
  <c r="D20" i="213"/>
  <c r="DB20" i="213"/>
  <c r="Z20" i="213"/>
  <c r="CW21" i="213"/>
  <c r="U21" i="213"/>
  <c r="CT22" i="213"/>
  <c r="R22" i="213"/>
  <c r="DA24" i="213"/>
  <c r="Y24" i="213"/>
  <c r="DB25" i="213"/>
  <c r="Z25" i="213"/>
  <c r="CD27" i="213"/>
  <c r="B27" i="213"/>
  <c r="CB27" i="213"/>
  <c r="CK28" i="213"/>
  <c r="I28" i="213"/>
  <c r="CL29" i="213"/>
  <c r="J29" i="213"/>
  <c r="M30" i="213"/>
  <c r="CO30" i="213"/>
  <c r="DA31" i="213"/>
  <c r="Y31" i="213"/>
  <c r="CS33" i="213"/>
  <c r="Q33" i="213"/>
  <c r="CR36" i="213"/>
  <c r="P36" i="213"/>
  <c r="CG40" i="213"/>
  <c r="E40" i="213"/>
  <c r="H17" i="213"/>
  <c r="CJ17" i="213"/>
  <c r="DA17" i="213"/>
  <c r="Y17" i="213"/>
  <c r="CV18" i="213"/>
  <c r="T18" i="213"/>
  <c r="P19" i="213"/>
  <c r="CR19" i="213"/>
  <c r="CM20" i="213"/>
  <c r="K20" i="213"/>
  <c r="L21" i="213"/>
  <c r="CN21" i="213"/>
  <c r="CM22" i="213"/>
  <c r="K22" i="213"/>
  <c r="CV24" i="213"/>
  <c r="T24" i="213"/>
  <c r="CF26" i="213"/>
  <c r="D26" i="213"/>
  <c r="CM27" i="213"/>
  <c r="K27" i="213"/>
  <c r="CV28" i="213"/>
  <c r="T28" i="213"/>
  <c r="CH30" i="213"/>
  <c r="F30" i="213"/>
  <c r="CM32" i="213"/>
  <c r="K32" i="213"/>
  <c r="CL35" i="213"/>
  <c r="J35" i="213"/>
  <c r="CD37" i="213"/>
  <c r="B37" i="213"/>
  <c r="CB37" i="213"/>
  <c r="CU38" i="213"/>
  <c r="S38" i="213"/>
  <c r="E45" i="213"/>
  <c r="CG45" i="213"/>
  <c r="CW11" i="213"/>
  <c r="U11" i="213"/>
  <c r="K12" i="213"/>
  <c r="CM12" i="213"/>
  <c r="CG13" i="213"/>
  <c r="E13" i="213"/>
  <c r="CW13" i="213"/>
  <c r="U13" i="213"/>
  <c r="K14" i="213"/>
  <c r="CM14" i="213"/>
  <c r="E15" i="213"/>
  <c r="CG15" i="213"/>
  <c r="CW15" i="213"/>
  <c r="U15" i="213"/>
  <c r="K16" i="213"/>
  <c r="CM16" i="213"/>
  <c r="CG17" i="213"/>
  <c r="E17" i="213"/>
  <c r="CW17" i="213"/>
  <c r="U17" i="213"/>
  <c r="CR18" i="213"/>
  <c r="P18" i="213"/>
  <c r="CS19" i="213"/>
  <c r="Q19" i="213"/>
  <c r="CN20" i="213"/>
  <c r="L20" i="213"/>
  <c r="CJ21" i="213"/>
  <c r="H21" i="213"/>
  <c r="CH22" i="213"/>
  <c r="F22" i="213"/>
  <c r="CO24" i="213"/>
  <c r="M24" i="213"/>
  <c r="CX25" i="213"/>
  <c r="V25" i="213"/>
  <c r="CH27" i="213"/>
  <c r="F27" i="213"/>
  <c r="CO28" i="213"/>
  <c r="M28" i="213"/>
  <c r="CX29" i="213"/>
  <c r="V29" i="213"/>
  <c r="CV31" i="213"/>
  <c r="T31" i="213"/>
  <c r="CN33" i="213"/>
  <c r="L33" i="213"/>
  <c r="DA35" i="213"/>
  <c r="Y35" i="213"/>
  <c r="CP37" i="213"/>
  <c r="N37" i="213"/>
  <c r="O39" i="213"/>
  <c r="CQ39" i="213"/>
  <c r="CF22" i="213"/>
  <c r="D22" i="213"/>
  <c r="CV22" i="213"/>
  <c r="T22" i="213"/>
  <c r="CL24" i="213"/>
  <c r="J24" i="213"/>
  <c r="DB24" i="213"/>
  <c r="Z24" i="213"/>
  <c r="P25" i="213"/>
  <c r="CR25" i="213"/>
  <c r="F26" i="213"/>
  <c r="CH26" i="213"/>
  <c r="V26" i="213"/>
  <c r="CX26" i="213"/>
  <c r="CN27" i="213"/>
  <c r="L27" i="213"/>
  <c r="CB28" i="213"/>
  <c r="CD28" i="213"/>
  <c r="B28" i="213"/>
  <c r="CT28" i="213"/>
  <c r="R28" i="213"/>
  <c r="H29" i="213"/>
  <c r="CJ29" i="213"/>
  <c r="X29" i="213"/>
  <c r="CZ29" i="213"/>
  <c r="CU30" i="213"/>
  <c r="S30" i="213"/>
  <c r="CR31" i="213"/>
  <c r="P31" i="213"/>
  <c r="M32" i="213"/>
  <c r="CO32" i="213"/>
  <c r="I33" i="213"/>
  <c r="CK33" i="213"/>
  <c r="CH35" i="213"/>
  <c r="F35" i="213"/>
  <c r="C36" i="213"/>
  <c r="CE36" i="213"/>
  <c r="CZ36" i="213"/>
  <c r="X36" i="213"/>
  <c r="U37" i="213"/>
  <c r="CW37" i="213"/>
  <c r="CY38" i="213"/>
  <c r="W38" i="213"/>
  <c r="CU41" i="213"/>
  <c r="S41" i="213"/>
  <c r="W17" i="213"/>
  <c r="CY17" i="213"/>
  <c r="CS18" i="213"/>
  <c r="Q18" i="213"/>
  <c r="CI19" i="213"/>
  <c r="G19" i="213"/>
  <c r="CY19" i="213"/>
  <c r="W19" i="213"/>
  <c r="CS20" i="213"/>
  <c r="Q20" i="213"/>
  <c r="G21" i="213"/>
  <c r="CI21" i="213"/>
  <c r="W21" i="213"/>
  <c r="CY21" i="213"/>
  <c r="Q22" i="213"/>
  <c r="CS22" i="213"/>
  <c r="G24" i="213"/>
  <c r="CI24" i="213"/>
  <c r="W24" i="213"/>
  <c r="CY24" i="213"/>
  <c r="Q25" i="213"/>
  <c r="CS25" i="213"/>
  <c r="G26" i="213"/>
  <c r="CI26" i="213"/>
  <c r="W26" i="213"/>
  <c r="CY26" i="213"/>
  <c r="Q27" i="213"/>
  <c r="CS27" i="213"/>
  <c r="G28" i="213"/>
  <c r="CI28" i="213"/>
  <c r="W28" i="213"/>
  <c r="CY28" i="213"/>
  <c r="Q29" i="213"/>
  <c r="CS29" i="213"/>
  <c r="CL30" i="213"/>
  <c r="J30" i="213"/>
  <c r="CI31" i="213"/>
  <c r="G31" i="213"/>
  <c r="C32" i="213"/>
  <c r="CE32" i="213"/>
  <c r="DA32" i="213"/>
  <c r="Y32" i="213"/>
  <c r="U33" i="213"/>
  <c r="CW33" i="213"/>
  <c r="CT35" i="213"/>
  <c r="R35" i="213"/>
  <c r="CQ36" i="213"/>
  <c r="O36" i="213"/>
  <c r="K37" i="213"/>
  <c r="CM37" i="213"/>
  <c r="CK38" i="213"/>
  <c r="I38" i="213"/>
  <c r="U39" i="213"/>
  <c r="CW39" i="213"/>
  <c r="DB45" i="213"/>
  <c r="Z45" i="213"/>
  <c r="H30" i="213"/>
  <c r="CJ30" i="213"/>
  <c r="X30" i="213"/>
  <c r="CZ30" i="213"/>
  <c r="CP31" i="213"/>
  <c r="N31" i="213"/>
  <c r="CF32" i="213"/>
  <c r="D32" i="213"/>
  <c r="CV32" i="213"/>
  <c r="T32" i="213"/>
  <c r="J33" i="213"/>
  <c r="CL33" i="213"/>
  <c r="Z33" i="213"/>
  <c r="DB33" i="213"/>
  <c r="P35" i="213"/>
  <c r="CR35" i="213"/>
  <c r="CH36" i="213"/>
  <c r="F36" i="213"/>
  <c r="V36" i="213"/>
  <c r="CX36" i="213"/>
  <c r="CN37" i="213"/>
  <c r="L37" i="213"/>
  <c r="E38" i="213"/>
  <c r="CG38" i="213"/>
  <c r="CE39" i="213"/>
  <c r="C39" i="213"/>
  <c r="CW40" i="213"/>
  <c r="U40" i="213"/>
  <c r="CH39" i="213"/>
  <c r="F39" i="213"/>
  <c r="C40" i="213"/>
  <c r="CE40" i="213"/>
  <c r="CZ40" i="213"/>
  <c r="X40" i="213"/>
  <c r="U41" i="213"/>
  <c r="CW41" i="213"/>
  <c r="CU44" i="213"/>
  <c r="S44" i="213"/>
  <c r="CO46" i="213"/>
  <c r="M46" i="213"/>
  <c r="CK49" i="213"/>
  <c r="I49" i="213"/>
  <c r="CO39" i="213"/>
  <c r="M39" i="213"/>
  <c r="I40" i="213"/>
  <c r="CK40" i="213"/>
  <c r="CH41" i="213"/>
  <c r="F41" i="213"/>
  <c r="CF44" i="213"/>
  <c r="D44" i="213"/>
  <c r="U45" i="213"/>
  <c r="CW45" i="213"/>
  <c r="CT47" i="213"/>
  <c r="R47" i="213"/>
  <c r="CD52" i="213"/>
  <c r="B52" i="213"/>
  <c r="CB52" i="213"/>
  <c r="CT41" i="213"/>
  <c r="R41" i="213"/>
  <c r="CY44" i="213"/>
  <c r="W44" i="213"/>
  <c r="CU46" i="213"/>
  <c r="S46" i="213"/>
  <c r="CU48" i="213"/>
  <c r="S48" i="213"/>
  <c r="CG44" i="213"/>
  <c r="E44" i="213"/>
  <c r="CW44" i="213"/>
  <c r="U44" i="213"/>
  <c r="CO45" i="213"/>
  <c r="M45" i="213"/>
  <c r="I46" i="213"/>
  <c r="CK46" i="213"/>
  <c r="CG47" i="213"/>
  <c r="E47" i="213"/>
  <c r="CN48" i="213"/>
  <c r="L48" i="213"/>
  <c r="CZ49" i="213"/>
  <c r="X49" i="213"/>
  <c r="CH52" i="213"/>
  <c r="F52" i="213"/>
  <c r="N38" i="213"/>
  <c r="CP38" i="213"/>
  <c r="D39" i="213"/>
  <c r="CF39" i="213"/>
  <c r="CV39" i="213"/>
  <c r="T39" i="213"/>
  <c r="CL40" i="213"/>
  <c r="J40" i="213"/>
  <c r="DB40" i="213"/>
  <c r="Z40" i="213"/>
  <c r="P41" i="213"/>
  <c r="CR41" i="213"/>
  <c r="F44" i="213"/>
  <c r="CH44" i="213"/>
  <c r="V44" i="213"/>
  <c r="CX44" i="213"/>
  <c r="CP45" i="213"/>
  <c r="N45" i="213"/>
  <c r="CM46" i="213"/>
  <c r="K46" i="213"/>
  <c r="CP47" i="213"/>
  <c r="N47" i="213"/>
  <c r="CY48" i="213"/>
  <c r="W48" i="213"/>
  <c r="N50" i="213"/>
  <c r="CP50" i="213"/>
  <c r="G47" i="213"/>
  <c r="CI47" i="213"/>
  <c r="W47" i="213"/>
  <c r="CY47" i="213"/>
  <c r="Q48" i="213"/>
  <c r="CS48" i="213"/>
  <c r="CI49" i="213"/>
  <c r="G49" i="213"/>
  <c r="Z49" i="213"/>
  <c r="DB49" i="213"/>
  <c r="DB50" i="213"/>
  <c r="Z50" i="213"/>
  <c r="CF45" i="213"/>
  <c r="D45" i="213"/>
  <c r="CV45" i="213"/>
  <c r="T45" i="213"/>
  <c r="J46" i="213"/>
  <c r="CL46" i="213"/>
  <c r="Z46" i="213"/>
  <c r="DB46" i="213"/>
  <c r="P47" i="213"/>
  <c r="CR47" i="213"/>
  <c r="CH48" i="213"/>
  <c r="F48" i="213"/>
  <c r="CX48" i="213"/>
  <c r="V48" i="213"/>
  <c r="CN49" i="213"/>
  <c r="L49" i="213"/>
  <c r="L50" i="213"/>
  <c r="CN50" i="213"/>
  <c r="CP52" i="213"/>
  <c r="N52" i="213"/>
  <c r="CQ50" i="213"/>
  <c r="O50" i="213"/>
  <c r="CK51" i="213"/>
  <c r="I51" i="213"/>
  <c r="DA51" i="213"/>
  <c r="Y51" i="213"/>
  <c r="CQ52" i="213"/>
  <c r="O52" i="213"/>
  <c r="F51" i="213"/>
  <c r="CH51" i="213"/>
  <c r="V51" i="213"/>
  <c r="CX51" i="213"/>
  <c r="L52" i="213"/>
  <c r="CN52" i="213"/>
  <c r="CQ49" i="213"/>
  <c r="O49" i="213"/>
  <c r="CK50" i="213"/>
  <c r="I50" i="213"/>
  <c r="DA50" i="213"/>
  <c r="Y50" i="213"/>
  <c r="CQ51" i="213"/>
  <c r="O51" i="213"/>
  <c r="CK52" i="213"/>
  <c r="I52" i="213"/>
  <c r="DA52" i="213"/>
  <c r="Y52" i="213"/>
  <c r="AF26" i="115"/>
  <c r="Z30" i="115"/>
  <c r="AG30" i="115"/>
  <c r="Z26" i="115"/>
  <c r="AF30" i="115"/>
  <c r="Z23" i="115"/>
  <c r="AF23" i="115"/>
  <c r="AG23" i="115"/>
  <c r="AG29" i="115"/>
  <c r="Z29" i="115"/>
  <c r="AF29" i="115"/>
  <c r="Z27" i="115"/>
  <c r="AF27" i="115"/>
  <c r="AG27" i="115"/>
  <c r="AG28" i="115"/>
  <c r="Z28" i="115"/>
  <c r="AF28" i="115"/>
  <c r="Z24" i="115"/>
  <c r="AF24" i="115"/>
  <c r="AG24" i="115"/>
  <c r="AC4" i="120"/>
  <c r="W6" i="120"/>
  <c r="W7" i="120"/>
  <c r="W8" i="120"/>
  <c r="W9" i="120"/>
  <c r="W10" i="120"/>
  <c r="W11" i="120"/>
  <c r="W12" i="120"/>
  <c r="W13" i="120"/>
  <c r="W14" i="120"/>
  <c r="W15" i="120"/>
  <c r="O22" i="115"/>
  <c r="P22" i="115" s="1"/>
  <c r="Q22" i="115"/>
  <c r="U22" i="115" s="1"/>
  <c r="W22" i="115" s="1"/>
  <c r="S22" i="115"/>
  <c r="T22" i="115"/>
  <c r="AC22" i="115"/>
  <c r="P53" i="215" l="1"/>
  <c r="J53" i="215"/>
  <c r="T53" i="215"/>
  <c r="O53" i="215"/>
  <c r="I53" i="215"/>
  <c r="V53" i="215"/>
  <c r="E53" i="215"/>
  <c r="Z53" i="215"/>
  <c r="M53" i="215"/>
  <c r="Y53" i="215"/>
  <c r="U53" i="215"/>
  <c r="H53" i="215"/>
  <c r="W53" i="215"/>
  <c r="Q53" i="215"/>
  <c r="K53" i="215"/>
  <c r="X53" i="215"/>
  <c r="N53" i="215"/>
  <c r="CB53" i="215"/>
  <c r="G53" i="215"/>
  <c r="S53" i="215"/>
  <c r="L53" i="215"/>
  <c r="C53" i="215"/>
  <c r="R53" i="215"/>
  <c r="B53" i="215"/>
  <c r="D53" i="215"/>
  <c r="F53" i="215"/>
  <c r="W53" i="214"/>
  <c r="Z53" i="214"/>
  <c r="J53" i="214"/>
  <c r="E53" i="214"/>
  <c r="D53" i="214"/>
  <c r="C53" i="214"/>
  <c r="P53" i="214"/>
  <c r="T53" i="214"/>
  <c r="U53" i="214"/>
  <c r="K53" i="214"/>
  <c r="S53" i="214"/>
  <c r="X53" i="214"/>
  <c r="N53" i="214"/>
  <c r="I53" i="214"/>
  <c r="O53" i="214"/>
  <c r="B53" i="214"/>
  <c r="Y53" i="214"/>
  <c r="V53" i="214"/>
  <c r="M53" i="214"/>
  <c r="G53" i="214"/>
  <c r="F53" i="214"/>
  <c r="Q53" i="214"/>
  <c r="L53" i="214"/>
  <c r="R53" i="214"/>
  <c r="CB53" i="214"/>
  <c r="H53" i="214"/>
  <c r="Z53" i="213"/>
  <c r="S53" i="213"/>
  <c r="O53" i="213"/>
  <c r="E53" i="213"/>
  <c r="U53" i="213"/>
  <c r="X53" i="213"/>
  <c r="P53" i="213"/>
  <c r="M53" i="213"/>
  <c r="T53" i="213"/>
  <c r="Y53" i="213"/>
  <c r="CB53" i="213"/>
  <c r="L53" i="213"/>
  <c r="R53" i="213"/>
  <c r="J53" i="213"/>
  <c r="D53" i="213"/>
  <c r="W53" i="213"/>
  <c r="Q53" i="213"/>
  <c r="F53" i="213"/>
  <c r="G53" i="213"/>
  <c r="H53" i="213"/>
  <c r="B53" i="213"/>
  <c r="C53" i="213"/>
  <c r="I53" i="213"/>
  <c r="V53" i="213"/>
  <c r="K53" i="213"/>
  <c r="N53" i="213"/>
  <c r="X22" i="115"/>
  <c r="V22" i="115"/>
  <c r="Y22" i="115" s="1"/>
  <c r="AG22" i="115" l="1"/>
  <c r="Z22" i="115"/>
  <c r="AF22" i="115"/>
  <c r="Z61" i="138"/>
  <c r="Y61" i="138"/>
  <c r="X61" i="138"/>
  <c r="W61" i="138"/>
  <c r="V61" i="138"/>
  <c r="U61" i="138"/>
  <c r="T61" i="138"/>
  <c r="S61" i="138"/>
  <c r="R61" i="138"/>
  <c r="Q61" i="138"/>
  <c r="P61" i="138"/>
  <c r="O61" i="138"/>
  <c r="N61" i="138"/>
  <c r="M61" i="138"/>
  <c r="L61" i="138"/>
  <c r="K61" i="138"/>
  <c r="J61" i="138"/>
  <c r="I61" i="138"/>
  <c r="H61" i="138"/>
  <c r="G61" i="138"/>
  <c r="F61" i="138"/>
  <c r="E61" i="138"/>
  <c r="D61" i="138"/>
  <c r="C61" i="138"/>
  <c r="B61" i="138"/>
  <c r="S6" i="115" l="1"/>
  <c r="T6" i="115" s="1"/>
  <c r="S7" i="115"/>
  <c r="T7" i="115" s="1"/>
  <c r="S8" i="115"/>
  <c r="T8" i="115" s="1"/>
  <c r="S9" i="115"/>
  <c r="T9" i="115" s="1"/>
  <c r="S10" i="115"/>
  <c r="T10" i="115"/>
  <c r="AD15" i="120"/>
  <c r="Y7" i="120"/>
  <c r="AD7" i="120" s="1"/>
  <c r="Y8" i="120"/>
  <c r="Y9" i="120"/>
  <c r="AD9" i="120" s="1"/>
  <c r="Y10" i="120"/>
  <c r="AD10" i="120" s="1"/>
  <c r="Y11" i="120"/>
  <c r="Y12" i="120"/>
  <c r="AD12" i="120" s="1"/>
  <c r="Y13" i="120"/>
  <c r="AD13" i="120" s="1"/>
  <c r="Y14" i="120"/>
  <c r="AD14" i="120" s="1"/>
  <c r="Y15" i="120"/>
  <c r="O21" i="115"/>
  <c r="P21" i="115" s="1"/>
  <c r="Q21" i="115"/>
  <c r="U21" i="115" s="1"/>
  <c r="W21" i="115" s="1"/>
  <c r="S21" i="115"/>
  <c r="T21" i="115"/>
  <c r="G7" i="182"/>
  <c r="G6" i="182"/>
  <c r="O14" i="115"/>
  <c r="P14" i="115" s="1"/>
  <c r="O15" i="115"/>
  <c r="P15" i="115" s="1"/>
  <c r="O16" i="115"/>
  <c r="P16" i="115" s="1"/>
  <c r="O17" i="115"/>
  <c r="P17" i="115" s="1"/>
  <c r="O18" i="115"/>
  <c r="P18" i="115" s="1"/>
  <c r="O19" i="115"/>
  <c r="P19" i="115" s="1"/>
  <c r="O20" i="115"/>
  <c r="P20" i="115" s="1"/>
  <c r="Q14" i="115"/>
  <c r="U14" i="115" s="1"/>
  <c r="Q15" i="115"/>
  <c r="Q16" i="115"/>
  <c r="Q17" i="115"/>
  <c r="U17" i="115" s="1"/>
  <c r="W17" i="115" s="1"/>
  <c r="Q18" i="115"/>
  <c r="U18" i="115" s="1"/>
  <c r="V18" i="115" s="1"/>
  <c r="Q19" i="115"/>
  <c r="U19" i="115" s="1"/>
  <c r="V19" i="115" s="1"/>
  <c r="Q20" i="115"/>
  <c r="U20" i="115" s="1"/>
  <c r="W20" i="115" s="1"/>
  <c r="S14" i="115"/>
  <c r="S15" i="115"/>
  <c r="S16" i="115"/>
  <c r="S17" i="115"/>
  <c r="S18" i="115"/>
  <c r="S19" i="115"/>
  <c r="S20" i="115"/>
  <c r="T14" i="115"/>
  <c r="T15" i="115"/>
  <c r="T16" i="115"/>
  <c r="T17" i="115"/>
  <c r="T18" i="115"/>
  <c r="T19" i="115"/>
  <c r="T20" i="115"/>
  <c r="U15" i="115"/>
  <c r="V15" i="115" s="1"/>
  <c r="U16" i="115"/>
  <c r="T11" i="115"/>
  <c r="T12" i="115"/>
  <c r="T13" i="115"/>
  <c r="S11" i="115"/>
  <c r="S12" i="115"/>
  <c r="S13" i="115"/>
  <c r="AZ93" i="144"/>
  <c r="AY93" i="144"/>
  <c r="AX93" i="144"/>
  <c r="AW93" i="144"/>
  <c r="AV93" i="144"/>
  <c r="AU93" i="144"/>
  <c r="AT93" i="144"/>
  <c r="AS93" i="144"/>
  <c r="AR93" i="144"/>
  <c r="AQ93" i="144"/>
  <c r="AP93" i="144"/>
  <c r="AO93" i="144"/>
  <c r="AN93" i="144"/>
  <c r="AM93" i="144"/>
  <c r="AL93" i="144"/>
  <c r="AK93" i="144"/>
  <c r="AJ93" i="144"/>
  <c r="AI93" i="144"/>
  <c r="AH93" i="144"/>
  <c r="AG93" i="144"/>
  <c r="AF93" i="144"/>
  <c r="AE93" i="144"/>
  <c r="AD93" i="144"/>
  <c r="AC93" i="144"/>
  <c r="AB93" i="144"/>
  <c r="AZ89" i="144"/>
  <c r="AY89" i="144"/>
  <c r="AX89" i="144"/>
  <c r="AW89" i="144"/>
  <c r="AV89" i="144"/>
  <c r="AU89" i="144"/>
  <c r="AT89" i="144"/>
  <c r="AS89" i="144"/>
  <c r="AR89" i="144"/>
  <c r="AQ89" i="144"/>
  <c r="AP89" i="144"/>
  <c r="AO89" i="144"/>
  <c r="AN89" i="144"/>
  <c r="AM89" i="144"/>
  <c r="AL89" i="144"/>
  <c r="AK89" i="144"/>
  <c r="AJ89" i="144"/>
  <c r="AI89" i="144"/>
  <c r="AH89" i="144"/>
  <c r="AG89" i="144"/>
  <c r="AF89" i="144"/>
  <c r="AE89" i="144"/>
  <c r="AD89" i="144"/>
  <c r="AC89" i="144"/>
  <c r="AB89" i="144"/>
  <c r="AZ88" i="144"/>
  <c r="AY88" i="144"/>
  <c r="AX88" i="144"/>
  <c r="AW88" i="144"/>
  <c r="AV88" i="144"/>
  <c r="AU88" i="144"/>
  <c r="AT88" i="144"/>
  <c r="AS88" i="144"/>
  <c r="AR88" i="144"/>
  <c r="AQ88" i="144"/>
  <c r="AP88" i="144"/>
  <c r="AO88" i="144"/>
  <c r="AN88" i="144"/>
  <c r="AM88" i="144"/>
  <c r="AL88" i="144"/>
  <c r="AK88" i="144"/>
  <c r="AJ88" i="144"/>
  <c r="AI88" i="144"/>
  <c r="AH88" i="144"/>
  <c r="AG88" i="144"/>
  <c r="AF88" i="144"/>
  <c r="AE88" i="144"/>
  <c r="AD88" i="144"/>
  <c r="AC88" i="144"/>
  <c r="AB88" i="144"/>
  <c r="AZ87" i="144"/>
  <c r="AY87" i="144"/>
  <c r="AX87" i="144"/>
  <c r="AW87" i="144"/>
  <c r="AV87" i="144"/>
  <c r="AU87" i="144"/>
  <c r="AT87" i="144"/>
  <c r="AS87" i="144"/>
  <c r="AR87" i="144"/>
  <c r="AQ87" i="144"/>
  <c r="AP87" i="144"/>
  <c r="AO87" i="144"/>
  <c r="AN87" i="144"/>
  <c r="AM87" i="144"/>
  <c r="AL87" i="144"/>
  <c r="AK87" i="144"/>
  <c r="AJ87" i="144"/>
  <c r="AI87" i="144"/>
  <c r="AH87" i="144"/>
  <c r="AG87" i="144"/>
  <c r="AF87" i="144"/>
  <c r="AE87" i="144"/>
  <c r="AD87" i="144"/>
  <c r="AC87" i="144"/>
  <c r="AB87" i="144"/>
  <c r="AZ86" i="144"/>
  <c r="AY86" i="144"/>
  <c r="AX86" i="144"/>
  <c r="AW86" i="144"/>
  <c r="AV86" i="144"/>
  <c r="AU86" i="144"/>
  <c r="AT86" i="144"/>
  <c r="AS86" i="144"/>
  <c r="AR86" i="144"/>
  <c r="AQ86" i="144"/>
  <c r="AP86" i="144"/>
  <c r="AO86" i="144"/>
  <c r="AN86" i="144"/>
  <c r="AM86" i="144"/>
  <c r="AL86" i="144"/>
  <c r="AK86" i="144"/>
  <c r="AJ86" i="144"/>
  <c r="AI86" i="144"/>
  <c r="AH86" i="144"/>
  <c r="AG86" i="144"/>
  <c r="AF86" i="144"/>
  <c r="AE86" i="144"/>
  <c r="AD86" i="144"/>
  <c r="AC86" i="144"/>
  <c r="AB86" i="144"/>
  <c r="AZ85" i="144"/>
  <c r="AY85" i="144"/>
  <c r="AX85" i="144"/>
  <c r="AW85" i="144"/>
  <c r="AV85" i="144"/>
  <c r="AU85" i="144"/>
  <c r="AT85" i="144"/>
  <c r="AS85" i="144"/>
  <c r="AR85" i="144"/>
  <c r="AQ85" i="144"/>
  <c r="AP85" i="144"/>
  <c r="AO85" i="144"/>
  <c r="AN85" i="144"/>
  <c r="AM85" i="144"/>
  <c r="AL85" i="144"/>
  <c r="AK85" i="144"/>
  <c r="AJ85" i="144"/>
  <c r="AI85" i="144"/>
  <c r="AH85" i="144"/>
  <c r="AG85" i="144"/>
  <c r="AF85" i="144"/>
  <c r="AE85" i="144"/>
  <c r="AD85" i="144"/>
  <c r="AC85" i="144"/>
  <c r="AB85" i="144"/>
  <c r="AZ84" i="144"/>
  <c r="AY84" i="144"/>
  <c r="AX84" i="144"/>
  <c r="AW84" i="144"/>
  <c r="AV84" i="144"/>
  <c r="AU84" i="144"/>
  <c r="AT84" i="144"/>
  <c r="AS84" i="144"/>
  <c r="AR84" i="144"/>
  <c r="AQ84" i="144"/>
  <c r="AP84" i="144"/>
  <c r="AO84" i="144"/>
  <c r="AN84" i="144"/>
  <c r="AM84" i="144"/>
  <c r="AL84" i="144"/>
  <c r="AK84" i="144"/>
  <c r="AJ84" i="144"/>
  <c r="AI84" i="144"/>
  <c r="AH84" i="144"/>
  <c r="AG84" i="144"/>
  <c r="AF84" i="144"/>
  <c r="AE84" i="144"/>
  <c r="AD84" i="144"/>
  <c r="AC84" i="144"/>
  <c r="AB84" i="144"/>
  <c r="AZ68" i="208"/>
  <c r="AY68" i="208"/>
  <c r="AX68" i="208"/>
  <c r="AW68" i="208"/>
  <c r="AV68" i="208"/>
  <c r="AU68" i="208"/>
  <c r="AT68" i="208"/>
  <c r="AS68" i="208"/>
  <c r="AR68" i="208"/>
  <c r="AQ68" i="208"/>
  <c r="AP68" i="208"/>
  <c r="AO68" i="208"/>
  <c r="AN68" i="208"/>
  <c r="AM68" i="208"/>
  <c r="AL68" i="208"/>
  <c r="AK68" i="208"/>
  <c r="AJ68" i="208"/>
  <c r="AI68" i="208"/>
  <c r="AH68" i="208"/>
  <c r="AG68" i="208"/>
  <c r="AF68" i="208"/>
  <c r="AE68" i="208"/>
  <c r="AD68" i="208"/>
  <c r="AC68" i="208"/>
  <c r="AB68" i="208"/>
  <c r="AZ64" i="208"/>
  <c r="AY64" i="208"/>
  <c r="AX64" i="208"/>
  <c r="AW64" i="208"/>
  <c r="AV64" i="208"/>
  <c r="AU64" i="208"/>
  <c r="AT64" i="208"/>
  <c r="AS64" i="208"/>
  <c r="AR64" i="208"/>
  <c r="AQ64" i="208"/>
  <c r="AP64" i="208"/>
  <c r="AO64" i="208"/>
  <c r="AN64" i="208"/>
  <c r="AM64" i="208"/>
  <c r="AL64" i="208"/>
  <c r="AK64" i="208"/>
  <c r="AJ64" i="208"/>
  <c r="AI64" i="208"/>
  <c r="AH64" i="208"/>
  <c r="AG64" i="208"/>
  <c r="AF64" i="208"/>
  <c r="AE64" i="208"/>
  <c r="AD64" i="208"/>
  <c r="AC64" i="208"/>
  <c r="AB64" i="208"/>
  <c r="AZ63" i="208"/>
  <c r="AY63" i="208"/>
  <c r="AX63" i="208"/>
  <c r="AW63" i="208"/>
  <c r="AV63" i="208"/>
  <c r="AU63" i="208"/>
  <c r="AT63" i="208"/>
  <c r="AS63" i="208"/>
  <c r="AR63" i="208"/>
  <c r="AQ63" i="208"/>
  <c r="AP63" i="208"/>
  <c r="AO63" i="208"/>
  <c r="AN63" i="208"/>
  <c r="AM63" i="208"/>
  <c r="AL63" i="208"/>
  <c r="AK63" i="208"/>
  <c r="AJ63" i="208"/>
  <c r="AI63" i="208"/>
  <c r="AH63" i="208"/>
  <c r="AG63" i="208"/>
  <c r="AF63" i="208"/>
  <c r="AE63" i="208"/>
  <c r="AD63" i="208"/>
  <c r="AC63" i="208"/>
  <c r="AB63" i="208"/>
  <c r="AZ62" i="208"/>
  <c r="AY62" i="208"/>
  <c r="AX62" i="208"/>
  <c r="AW62" i="208"/>
  <c r="AV62" i="208"/>
  <c r="AU62" i="208"/>
  <c r="AT62" i="208"/>
  <c r="AS62" i="208"/>
  <c r="AR62" i="208"/>
  <c r="AQ62" i="208"/>
  <c r="AP62" i="208"/>
  <c r="AO62" i="208"/>
  <c r="AN62" i="208"/>
  <c r="AM62" i="208"/>
  <c r="AL62" i="208"/>
  <c r="AK62" i="208"/>
  <c r="AJ62" i="208"/>
  <c r="AI62" i="208"/>
  <c r="AH62" i="208"/>
  <c r="AG62" i="208"/>
  <c r="AF62" i="208"/>
  <c r="AE62" i="208"/>
  <c r="AD62" i="208"/>
  <c r="AC62" i="208"/>
  <c r="AB62" i="208"/>
  <c r="AZ61" i="208"/>
  <c r="AY61" i="208"/>
  <c r="AX61" i="208"/>
  <c r="AW61" i="208"/>
  <c r="AV61" i="208"/>
  <c r="AU61" i="208"/>
  <c r="AT61" i="208"/>
  <c r="AS61" i="208"/>
  <c r="AR61" i="208"/>
  <c r="AQ61" i="208"/>
  <c r="AP61" i="208"/>
  <c r="AO61" i="208"/>
  <c r="AN61" i="208"/>
  <c r="AM61" i="208"/>
  <c r="AL61" i="208"/>
  <c r="AK61" i="208"/>
  <c r="AJ61" i="208"/>
  <c r="AI61" i="208"/>
  <c r="AH61" i="208"/>
  <c r="AG61" i="208"/>
  <c r="AF61" i="208"/>
  <c r="AE61" i="208"/>
  <c r="AD61" i="208"/>
  <c r="AC61" i="208"/>
  <c r="AB61" i="208"/>
  <c r="AZ60" i="208"/>
  <c r="AY60" i="208"/>
  <c r="AX60" i="208"/>
  <c r="AW60" i="208"/>
  <c r="AV60" i="208"/>
  <c r="AU60" i="208"/>
  <c r="AT60" i="208"/>
  <c r="AS60" i="208"/>
  <c r="AR60" i="208"/>
  <c r="AQ60" i="208"/>
  <c r="AP60" i="208"/>
  <c r="AO60" i="208"/>
  <c r="AN60" i="208"/>
  <c r="AM60" i="208"/>
  <c r="AL60" i="208"/>
  <c r="AK60" i="208"/>
  <c r="AJ60" i="208"/>
  <c r="AI60" i="208"/>
  <c r="AH60" i="208"/>
  <c r="AG60" i="208"/>
  <c r="AF60" i="208"/>
  <c r="AE60" i="208"/>
  <c r="AD60" i="208"/>
  <c r="AC60" i="208"/>
  <c r="AB60" i="208"/>
  <c r="AZ59" i="208"/>
  <c r="AY59" i="208"/>
  <c r="AX59" i="208"/>
  <c r="AW59" i="208"/>
  <c r="AV59" i="208"/>
  <c r="AU59" i="208"/>
  <c r="AT59" i="208"/>
  <c r="AS59" i="208"/>
  <c r="AR59" i="208"/>
  <c r="AQ59" i="208"/>
  <c r="AP59" i="208"/>
  <c r="AO59" i="208"/>
  <c r="AN59" i="208"/>
  <c r="AM59" i="208"/>
  <c r="AL59" i="208"/>
  <c r="AK59" i="208"/>
  <c r="AJ59" i="208"/>
  <c r="AI59" i="208"/>
  <c r="AH59" i="208"/>
  <c r="AG59" i="208"/>
  <c r="AF59" i="208"/>
  <c r="AE59" i="208"/>
  <c r="AD59" i="208"/>
  <c r="AC59" i="208"/>
  <c r="AB59" i="208"/>
  <c r="AZ58" i="208"/>
  <c r="AY58" i="208"/>
  <c r="AX58" i="208"/>
  <c r="AW58" i="208"/>
  <c r="AV58" i="208"/>
  <c r="AU58" i="208"/>
  <c r="AT58" i="208"/>
  <c r="AS58" i="208"/>
  <c r="AR58" i="208"/>
  <c r="AQ58" i="208"/>
  <c r="AP58" i="208"/>
  <c r="AO58" i="208"/>
  <c r="AN58" i="208"/>
  <c r="AM58" i="208"/>
  <c r="AL58" i="208"/>
  <c r="AK58" i="208"/>
  <c r="AJ58" i="208"/>
  <c r="AI58" i="208"/>
  <c r="AH58" i="208"/>
  <c r="AG58" i="208"/>
  <c r="AF58" i="208"/>
  <c r="AE58" i="208"/>
  <c r="AD58" i="208"/>
  <c r="AC58" i="208"/>
  <c r="AB58" i="208"/>
  <c r="AZ68" i="207"/>
  <c r="AY68" i="207"/>
  <c r="AX68" i="207"/>
  <c r="AW68" i="207"/>
  <c r="AV68" i="207"/>
  <c r="AU68" i="207"/>
  <c r="AT68" i="207"/>
  <c r="AS68" i="207"/>
  <c r="AR68" i="207"/>
  <c r="AQ68" i="207"/>
  <c r="AP68" i="207"/>
  <c r="AO68" i="207"/>
  <c r="AN68" i="207"/>
  <c r="AM68" i="207"/>
  <c r="AL68" i="207"/>
  <c r="AK68" i="207"/>
  <c r="AJ68" i="207"/>
  <c r="AI68" i="207"/>
  <c r="AH68" i="207"/>
  <c r="AG68" i="207"/>
  <c r="AF68" i="207"/>
  <c r="AE68" i="207"/>
  <c r="AD68" i="207"/>
  <c r="AC68" i="207"/>
  <c r="AB68" i="207"/>
  <c r="AZ64" i="207"/>
  <c r="AY64" i="207"/>
  <c r="AX64" i="207"/>
  <c r="AW64" i="207"/>
  <c r="AV64" i="207"/>
  <c r="AU64" i="207"/>
  <c r="AT64" i="207"/>
  <c r="AS64" i="207"/>
  <c r="AR64" i="207"/>
  <c r="AQ64" i="207"/>
  <c r="AP64" i="207"/>
  <c r="AO64" i="207"/>
  <c r="AN64" i="207"/>
  <c r="AM64" i="207"/>
  <c r="AL64" i="207"/>
  <c r="AK64" i="207"/>
  <c r="AJ64" i="207"/>
  <c r="AI64" i="207"/>
  <c r="AH64" i="207"/>
  <c r="AG64" i="207"/>
  <c r="AF64" i="207"/>
  <c r="AE64" i="207"/>
  <c r="AD64" i="207"/>
  <c r="AC64" i="207"/>
  <c r="AB64" i="207"/>
  <c r="AZ63" i="207"/>
  <c r="AY63" i="207"/>
  <c r="AX63" i="207"/>
  <c r="AW63" i="207"/>
  <c r="AV63" i="207"/>
  <c r="AU63" i="207"/>
  <c r="AT63" i="207"/>
  <c r="AS63" i="207"/>
  <c r="AR63" i="207"/>
  <c r="AQ63" i="207"/>
  <c r="AP63" i="207"/>
  <c r="AO63" i="207"/>
  <c r="AN63" i="207"/>
  <c r="AM63" i="207"/>
  <c r="AL63" i="207"/>
  <c r="AK63" i="207"/>
  <c r="AJ63" i="207"/>
  <c r="AI63" i="207"/>
  <c r="AH63" i="207"/>
  <c r="AG63" i="207"/>
  <c r="AF63" i="207"/>
  <c r="AE63" i="207"/>
  <c r="AD63" i="207"/>
  <c r="AC63" i="207"/>
  <c r="AB63" i="207"/>
  <c r="AZ62" i="207"/>
  <c r="AY62" i="207"/>
  <c r="AX62" i="207"/>
  <c r="AW62" i="207"/>
  <c r="AV62" i="207"/>
  <c r="AU62" i="207"/>
  <c r="AT62" i="207"/>
  <c r="AS62" i="207"/>
  <c r="AR62" i="207"/>
  <c r="AQ62" i="207"/>
  <c r="AP62" i="207"/>
  <c r="AO62" i="207"/>
  <c r="AN62" i="207"/>
  <c r="AM62" i="207"/>
  <c r="AL62" i="207"/>
  <c r="AK62" i="207"/>
  <c r="AJ62" i="207"/>
  <c r="AI62" i="207"/>
  <c r="AH62" i="207"/>
  <c r="AG62" i="207"/>
  <c r="AF62" i="207"/>
  <c r="AE62" i="207"/>
  <c r="AD62" i="207"/>
  <c r="AC62" i="207"/>
  <c r="AB62" i="207"/>
  <c r="AZ61" i="207"/>
  <c r="AY61" i="207"/>
  <c r="AX61" i="207"/>
  <c r="AW61" i="207"/>
  <c r="AV61" i="207"/>
  <c r="AU61" i="207"/>
  <c r="AT61" i="207"/>
  <c r="AS61" i="207"/>
  <c r="AR61" i="207"/>
  <c r="AQ61" i="207"/>
  <c r="AP61" i="207"/>
  <c r="AO61" i="207"/>
  <c r="AN61" i="207"/>
  <c r="AM61" i="207"/>
  <c r="AL61" i="207"/>
  <c r="AK61" i="207"/>
  <c r="AJ61" i="207"/>
  <c r="AI61" i="207"/>
  <c r="AH61" i="207"/>
  <c r="AG61" i="207"/>
  <c r="AF61" i="207"/>
  <c r="AE61" i="207"/>
  <c r="AD61" i="207"/>
  <c r="AC61" i="207"/>
  <c r="AB61" i="207"/>
  <c r="AZ60" i="207"/>
  <c r="AY60" i="207"/>
  <c r="AX60" i="207"/>
  <c r="AW60" i="207"/>
  <c r="AV60" i="207"/>
  <c r="AU60" i="207"/>
  <c r="AT60" i="207"/>
  <c r="AS60" i="207"/>
  <c r="AR60" i="207"/>
  <c r="AQ60" i="207"/>
  <c r="AP60" i="207"/>
  <c r="AO60" i="207"/>
  <c r="AN60" i="207"/>
  <c r="AM60" i="207"/>
  <c r="AL60" i="207"/>
  <c r="AK60" i="207"/>
  <c r="AJ60" i="207"/>
  <c r="AI60" i="207"/>
  <c r="AH60" i="207"/>
  <c r="AG60" i="207"/>
  <c r="AF60" i="207"/>
  <c r="AE60" i="207"/>
  <c r="AD60" i="207"/>
  <c r="AC60" i="207"/>
  <c r="AB60" i="207"/>
  <c r="AZ59" i="207"/>
  <c r="AY59" i="207"/>
  <c r="AX59" i="207"/>
  <c r="AW59" i="207"/>
  <c r="AV59" i="207"/>
  <c r="AU59" i="207"/>
  <c r="AT59" i="207"/>
  <c r="AS59" i="207"/>
  <c r="AR59" i="207"/>
  <c r="AQ59" i="207"/>
  <c r="AP59" i="207"/>
  <c r="AO59" i="207"/>
  <c r="AN59" i="207"/>
  <c r="AM59" i="207"/>
  <c r="AL59" i="207"/>
  <c r="AK59" i="207"/>
  <c r="AJ59" i="207"/>
  <c r="AI59" i="207"/>
  <c r="AH59" i="207"/>
  <c r="AG59" i="207"/>
  <c r="AF59" i="207"/>
  <c r="AE59" i="207"/>
  <c r="AD59" i="207"/>
  <c r="AC59" i="207"/>
  <c r="AB59" i="207"/>
  <c r="AZ58" i="207"/>
  <c r="AY58" i="207"/>
  <c r="AX58" i="207"/>
  <c r="AW58" i="207"/>
  <c r="AV58" i="207"/>
  <c r="AU58" i="207"/>
  <c r="AT58" i="207"/>
  <c r="AS58" i="207"/>
  <c r="AR58" i="207"/>
  <c r="AQ58" i="207"/>
  <c r="AP58" i="207"/>
  <c r="AO58" i="207"/>
  <c r="AN58" i="207"/>
  <c r="AM58" i="207"/>
  <c r="AL58" i="207"/>
  <c r="AK58" i="207"/>
  <c r="AJ58" i="207"/>
  <c r="AI58" i="207"/>
  <c r="AH58" i="207"/>
  <c r="AG58" i="207"/>
  <c r="AF58" i="207"/>
  <c r="AE58" i="207"/>
  <c r="AD58" i="207"/>
  <c r="AC58" i="207"/>
  <c r="AB58" i="207"/>
  <c r="AZ68" i="206"/>
  <c r="AY68" i="206"/>
  <c r="AX68" i="206"/>
  <c r="AW68" i="206"/>
  <c r="AV68" i="206"/>
  <c r="AU68" i="206"/>
  <c r="AT68" i="206"/>
  <c r="AS68" i="206"/>
  <c r="AR68" i="206"/>
  <c r="AQ68" i="206"/>
  <c r="AP68" i="206"/>
  <c r="AO68" i="206"/>
  <c r="AN68" i="206"/>
  <c r="AM68" i="206"/>
  <c r="AL68" i="206"/>
  <c r="AK68" i="206"/>
  <c r="AJ68" i="206"/>
  <c r="AI68" i="206"/>
  <c r="AH68" i="206"/>
  <c r="AG68" i="206"/>
  <c r="AF68" i="206"/>
  <c r="AE68" i="206"/>
  <c r="AD68" i="206"/>
  <c r="AC68" i="206"/>
  <c r="AB68" i="206"/>
  <c r="AZ64" i="206"/>
  <c r="AY64" i="206"/>
  <c r="AX64" i="206"/>
  <c r="AW64" i="206"/>
  <c r="AV64" i="206"/>
  <c r="AU64" i="206"/>
  <c r="AT64" i="206"/>
  <c r="AS64" i="206"/>
  <c r="AR64" i="206"/>
  <c r="AQ64" i="206"/>
  <c r="AP64" i="206"/>
  <c r="AO64" i="206"/>
  <c r="AN64" i="206"/>
  <c r="AM64" i="206"/>
  <c r="AL64" i="206"/>
  <c r="AK64" i="206"/>
  <c r="AJ64" i="206"/>
  <c r="AI64" i="206"/>
  <c r="AH64" i="206"/>
  <c r="AG64" i="206"/>
  <c r="AF64" i="206"/>
  <c r="AE64" i="206"/>
  <c r="AD64" i="206"/>
  <c r="AC64" i="206"/>
  <c r="AB64" i="206"/>
  <c r="AZ63" i="206"/>
  <c r="AY63" i="206"/>
  <c r="AX63" i="206"/>
  <c r="AW63" i="206"/>
  <c r="AV63" i="206"/>
  <c r="AU63" i="206"/>
  <c r="AT63" i="206"/>
  <c r="AS63" i="206"/>
  <c r="AR63" i="206"/>
  <c r="AQ63" i="206"/>
  <c r="AP63" i="206"/>
  <c r="AO63" i="206"/>
  <c r="AN63" i="206"/>
  <c r="AM63" i="206"/>
  <c r="AL63" i="206"/>
  <c r="AK63" i="206"/>
  <c r="AJ63" i="206"/>
  <c r="AI63" i="206"/>
  <c r="AH63" i="206"/>
  <c r="AG63" i="206"/>
  <c r="AF63" i="206"/>
  <c r="AE63" i="206"/>
  <c r="AD63" i="206"/>
  <c r="AC63" i="206"/>
  <c r="AB63" i="206"/>
  <c r="AZ62" i="206"/>
  <c r="AY62" i="206"/>
  <c r="AX62" i="206"/>
  <c r="AW62" i="206"/>
  <c r="AV62" i="206"/>
  <c r="AU62" i="206"/>
  <c r="AT62" i="206"/>
  <c r="AS62" i="206"/>
  <c r="AR62" i="206"/>
  <c r="AQ62" i="206"/>
  <c r="AP62" i="206"/>
  <c r="AO62" i="206"/>
  <c r="AN62" i="206"/>
  <c r="AM62" i="206"/>
  <c r="AL62" i="206"/>
  <c r="AK62" i="206"/>
  <c r="AJ62" i="206"/>
  <c r="AI62" i="206"/>
  <c r="AH62" i="206"/>
  <c r="AG62" i="206"/>
  <c r="AF62" i="206"/>
  <c r="AE62" i="206"/>
  <c r="AD62" i="206"/>
  <c r="AC62" i="206"/>
  <c r="AB62" i="206"/>
  <c r="AZ61" i="206"/>
  <c r="AY61" i="206"/>
  <c r="AX61" i="206"/>
  <c r="AW61" i="206"/>
  <c r="AV61" i="206"/>
  <c r="AU61" i="206"/>
  <c r="AT61" i="206"/>
  <c r="AS61" i="206"/>
  <c r="AR61" i="206"/>
  <c r="AQ61" i="206"/>
  <c r="AP61" i="206"/>
  <c r="AO61" i="206"/>
  <c r="AN61" i="206"/>
  <c r="AM61" i="206"/>
  <c r="AL61" i="206"/>
  <c r="AK61" i="206"/>
  <c r="AJ61" i="206"/>
  <c r="AI61" i="206"/>
  <c r="AH61" i="206"/>
  <c r="AG61" i="206"/>
  <c r="AF61" i="206"/>
  <c r="AE61" i="206"/>
  <c r="AD61" i="206"/>
  <c r="AC61" i="206"/>
  <c r="AB61" i="206"/>
  <c r="AZ60" i="206"/>
  <c r="AY60" i="206"/>
  <c r="AX60" i="206"/>
  <c r="AW60" i="206"/>
  <c r="AV60" i="206"/>
  <c r="AU60" i="206"/>
  <c r="AT60" i="206"/>
  <c r="AS60" i="206"/>
  <c r="AR60" i="206"/>
  <c r="AQ60" i="206"/>
  <c r="AP60" i="206"/>
  <c r="AO60" i="206"/>
  <c r="AN60" i="206"/>
  <c r="AM60" i="206"/>
  <c r="AL60" i="206"/>
  <c r="AK60" i="206"/>
  <c r="AJ60" i="206"/>
  <c r="AI60" i="206"/>
  <c r="AH60" i="206"/>
  <c r="AG60" i="206"/>
  <c r="AF60" i="206"/>
  <c r="AE60" i="206"/>
  <c r="AD60" i="206"/>
  <c r="AC60" i="206"/>
  <c r="AB60" i="206"/>
  <c r="AZ59" i="206"/>
  <c r="AY59" i="206"/>
  <c r="AX59" i="206"/>
  <c r="AW59" i="206"/>
  <c r="AV59" i="206"/>
  <c r="AU59" i="206"/>
  <c r="AT59" i="206"/>
  <c r="AS59" i="206"/>
  <c r="AR59" i="206"/>
  <c r="AQ59" i="206"/>
  <c r="AP59" i="206"/>
  <c r="AO59" i="206"/>
  <c r="AN59" i="206"/>
  <c r="AM59" i="206"/>
  <c r="AL59" i="206"/>
  <c r="AK59" i="206"/>
  <c r="AJ59" i="206"/>
  <c r="AI59" i="206"/>
  <c r="AH59" i="206"/>
  <c r="AG59" i="206"/>
  <c r="AF59" i="206"/>
  <c r="AE59" i="206"/>
  <c r="AD59" i="206"/>
  <c r="AC59" i="206"/>
  <c r="AB59" i="206"/>
  <c r="AZ58" i="206"/>
  <c r="AY58" i="206"/>
  <c r="AX58" i="206"/>
  <c r="AW58" i="206"/>
  <c r="AV58" i="206"/>
  <c r="AU58" i="206"/>
  <c r="AT58" i="206"/>
  <c r="AS58" i="206"/>
  <c r="AR58" i="206"/>
  <c r="AQ58" i="206"/>
  <c r="AP58" i="206"/>
  <c r="AO58" i="206"/>
  <c r="AN58" i="206"/>
  <c r="AM58" i="206"/>
  <c r="AL58" i="206"/>
  <c r="AK58" i="206"/>
  <c r="AJ58" i="206"/>
  <c r="AI58" i="206"/>
  <c r="AH58" i="206"/>
  <c r="AG58" i="206"/>
  <c r="AF58" i="206"/>
  <c r="AE58" i="206"/>
  <c r="AD58" i="206"/>
  <c r="AC58" i="206"/>
  <c r="AB58" i="206"/>
  <c r="AC68" i="205"/>
  <c r="AD68" i="205"/>
  <c r="AE68" i="205"/>
  <c r="AF68" i="205"/>
  <c r="AG68" i="205"/>
  <c r="AH68" i="205"/>
  <c r="AI68" i="205"/>
  <c r="AJ68" i="205"/>
  <c r="AK68" i="205"/>
  <c r="AL68" i="205"/>
  <c r="AM68" i="205"/>
  <c r="AN68" i="205"/>
  <c r="AO68" i="205"/>
  <c r="AP68" i="205"/>
  <c r="AQ68" i="205"/>
  <c r="AR68" i="205"/>
  <c r="AS68" i="205"/>
  <c r="AT68" i="205"/>
  <c r="AU68" i="205"/>
  <c r="AV68" i="205"/>
  <c r="AW68" i="205"/>
  <c r="AX68" i="205"/>
  <c r="AY68" i="205"/>
  <c r="AZ68" i="205"/>
  <c r="AB68" i="205"/>
  <c r="AB59" i="205"/>
  <c r="AC59" i="205"/>
  <c r="AD59" i="205"/>
  <c r="AE59" i="205"/>
  <c r="AF59" i="205"/>
  <c r="AG59" i="205"/>
  <c r="AH59" i="205"/>
  <c r="AI59" i="205"/>
  <c r="AJ59" i="205"/>
  <c r="AK59" i="205"/>
  <c r="AL59" i="205"/>
  <c r="AM59" i="205"/>
  <c r="AN59" i="205"/>
  <c r="AO59" i="205"/>
  <c r="AP59" i="205"/>
  <c r="AQ59" i="205"/>
  <c r="AR59" i="205"/>
  <c r="AS59" i="205"/>
  <c r="AT59" i="205"/>
  <c r="AU59" i="205"/>
  <c r="AV59" i="205"/>
  <c r="AW59" i="205"/>
  <c r="AX59" i="205"/>
  <c r="AY59" i="205"/>
  <c r="AZ59" i="205"/>
  <c r="AB60" i="205"/>
  <c r="AC60" i="205"/>
  <c r="AD60" i="205"/>
  <c r="AE60" i="205"/>
  <c r="AF60" i="205"/>
  <c r="AG60" i="205"/>
  <c r="AH60" i="205"/>
  <c r="AI60" i="205"/>
  <c r="AJ60" i="205"/>
  <c r="AK60" i="205"/>
  <c r="AL60" i="205"/>
  <c r="AM60" i="205"/>
  <c r="AN60" i="205"/>
  <c r="AO60" i="205"/>
  <c r="AP60" i="205"/>
  <c r="AQ60" i="205"/>
  <c r="AR60" i="205"/>
  <c r="AS60" i="205"/>
  <c r="AT60" i="205"/>
  <c r="AU60" i="205"/>
  <c r="AV60" i="205"/>
  <c r="AW60" i="205"/>
  <c r="AX60" i="205"/>
  <c r="AY60" i="205"/>
  <c r="AZ60" i="205"/>
  <c r="AB61" i="205"/>
  <c r="AC61" i="205"/>
  <c r="AD61" i="205"/>
  <c r="AE61" i="205"/>
  <c r="AF61" i="205"/>
  <c r="AG61" i="205"/>
  <c r="AH61" i="205"/>
  <c r="AI61" i="205"/>
  <c r="AJ61" i="205"/>
  <c r="AK61" i="205"/>
  <c r="AL61" i="205"/>
  <c r="AM61" i="205"/>
  <c r="AN61" i="205"/>
  <c r="AO61" i="205"/>
  <c r="AP61" i="205"/>
  <c r="AQ61" i="205"/>
  <c r="AR61" i="205"/>
  <c r="AS61" i="205"/>
  <c r="AT61" i="205"/>
  <c r="AU61" i="205"/>
  <c r="AV61" i="205"/>
  <c r="AW61" i="205"/>
  <c r="AX61" i="205"/>
  <c r="AY61" i="205"/>
  <c r="AZ61" i="205"/>
  <c r="AB62" i="205"/>
  <c r="AC62" i="205"/>
  <c r="AD62" i="205"/>
  <c r="AE62" i="205"/>
  <c r="AF62" i="205"/>
  <c r="AG62" i="205"/>
  <c r="AH62" i="205"/>
  <c r="AI62" i="205"/>
  <c r="AJ62" i="205"/>
  <c r="AK62" i="205"/>
  <c r="AL62" i="205"/>
  <c r="AM62" i="205"/>
  <c r="AN62" i="205"/>
  <c r="AO62" i="205"/>
  <c r="AP62" i="205"/>
  <c r="AQ62" i="205"/>
  <c r="AR62" i="205"/>
  <c r="AS62" i="205"/>
  <c r="AT62" i="205"/>
  <c r="AU62" i="205"/>
  <c r="AV62" i="205"/>
  <c r="AW62" i="205"/>
  <c r="AX62" i="205"/>
  <c r="AY62" i="205"/>
  <c r="AZ62" i="205"/>
  <c r="AB63" i="205"/>
  <c r="AC63" i="205"/>
  <c r="AD63" i="205"/>
  <c r="AE63" i="205"/>
  <c r="AF63" i="205"/>
  <c r="AG63" i="205"/>
  <c r="AH63" i="205"/>
  <c r="AI63" i="205"/>
  <c r="AJ63" i="205"/>
  <c r="AK63" i="205"/>
  <c r="AL63" i="205"/>
  <c r="AM63" i="205"/>
  <c r="AN63" i="205"/>
  <c r="AO63" i="205"/>
  <c r="AP63" i="205"/>
  <c r="AQ63" i="205"/>
  <c r="AR63" i="205"/>
  <c r="AS63" i="205"/>
  <c r="AT63" i="205"/>
  <c r="AU63" i="205"/>
  <c r="AV63" i="205"/>
  <c r="AW63" i="205"/>
  <c r="AX63" i="205"/>
  <c r="AY63" i="205"/>
  <c r="AZ63" i="205"/>
  <c r="AB64" i="205"/>
  <c r="AC64" i="205"/>
  <c r="AD64" i="205"/>
  <c r="AE64" i="205"/>
  <c r="AF64" i="205"/>
  <c r="AG64" i="205"/>
  <c r="AH64" i="205"/>
  <c r="AI64" i="205"/>
  <c r="AJ64" i="205"/>
  <c r="AK64" i="205"/>
  <c r="AL64" i="205"/>
  <c r="AM64" i="205"/>
  <c r="AN64" i="205"/>
  <c r="AO64" i="205"/>
  <c r="AP64" i="205"/>
  <c r="AQ64" i="205"/>
  <c r="AR64" i="205"/>
  <c r="AS64" i="205"/>
  <c r="AT64" i="205"/>
  <c r="AU64" i="205"/>
  <c r="AV64" i="205"/>
  <c r="AW64" i="205"/>
  <c r="AX64" i="205"/>
  <c r="AY64" i="205"/>
  <c r="AZ64" i="205"/>
  <c r="AC58" i="205"/>
  <c r="AD58" i="205"/>
  <c r="AE58" i="205"/>
  <c r="AF58" i="205"/>
  <c r="AG58" i="205"/>
  <c r="AH58" i="205"/>
  <c r="AI58" i="205"/>
  <c r="AJ58" i="205"/>
  <c r="AK58" i="205"/>
  <c r="AL58" i="205"/>
  <c r="AM58" i="205"/>
  <c r="AN58" i="205"/>
  <c r="AO58" i="205"/>
  <c r="AP58" i="205"/>
  <c r="AQ58" i="205"/>
  <c r="AR58" i="205"/>
  <c r="AS58" i="205"/>
  <c r="AT58" i="205"/>
  <c r="AU58" i="205"/>
  <c r="AV58" i="205"/>
  <c r="AW58" i="205"/>
  <c r="AX58" i="205"/>
  <c r="AY58" i="205"/>
  <c r="AZ58" i="205"/>
  <c r="AB58" i="205"/>
  <c r="AG77" i="144"/>
  <c r="AH77" i="144"/>
  <c r="AI77" i="144"/>
  <c r="AJ77" i="144"/>
  <c r="AK77" i="144"/>
  <c r="AL77" i="144"/>
  <c r="AM77" i="144"/>
  <c r="AN77" i="144"/>
  <c r="AO77" i="144"/>
  <c r="AP77" i="144"/>
  <c r="AQ77" i="144"/>
  <c r="AR77" i="144"/>
  <c r="AS77" i="144"/>
  <c r="AT77" i="144"/>
  <c r="AU77" i="144"/>
  <c r="AV77" i="144"/>
  <c r="AW77" i="144"/>
  <c r="AX77" i="144"/>
  <c r="AY77" i="144"/>
  <c r="AZ77" i="144"/>
  <c r="AE14" i="120"/>
  <c r="AE15" i="120"/>
  <c r="AD22" i="115" s="1"/>
  <c r="AE22" i="115" s="1"/>
  <c r="Y5" i="120"/>
  <c r="AC5" i="120" s="1"/>
  <c r="Y6" i="120"/>
  <c r="AC6" i="120" s="1"/>
  <c r="AE5" i="120"/>
  <c r="B8" i="127" s="1"/>
  <c r="AE6" i="120"/>
  <c r="AE7" i="120"/>
  <c r="AE8" i="120"/>
  <c r="AE9" i="120"/>
  <c r="AE10" i="120"/>
  <c r="AE11" i="120"/>
  <c r="AE12" i="120"/>
  <c r="AE13" i="120"/>
  <c r="O7" i="115"/>
  <c r="O8" i="115"/>
  <c r="P8" i="115" s="1"/>
  <c r="Q8" i="115"/>
  <c r="O9" i="115"/>
  <c r="P9" i="115" s="1"/>
  <c r="O10" i="115"/>
  <c r="P10" i="115" s="1"/>
  <c r="O11" i="115"/>
  <c r="P11" i="115" s="1"/>
  <c r="O12" i="115"/>
  <c r="P12" i="115" s="1"/>
  <c r="O13" i="115"/>
  <c r="P13" i="115" s="1"/>
  <c r="Q9" i="115"/>
  <c r="Q10" i="115"/>
  <c r="U10" i="115" s="1"/>
  <c r="V10" i="115" s="1"/>
  <c r="Q11" i="115"/>
  <c r="U11" i="115" s="1"/>
  <c r="Q12" i="115"/>
  <c r="U12" i="115" s="1"/>
  <c r="V12" i="115" s="1"/>
  <c r="Q13" i="115"/>
  <c r="U13" i="115" s="1"/>
  <c r="W13" i="115" s="1"/>
  <c r="B22" i="127"/>
  <c r="AE4" i="120"/>
  <c r="O6" i="115"/>
  <c r="P6" i="115" s="1"/>
  <c r="R6" i="115" s="1"/>
  <c r="A6" i="144"/>
  <c r="B12" i="127"/>
  <c r="AZ53" i="208"/>
  <c r="AY53" i="208"/>
  <c r="AX53" i="208"/>
  <c r="AW53" i="208"/>
  <c r="AV53" i="208"/>
  <c r="AU53" i="208"/>
  <c r="AT53" i="208"/>
  <c r="AS53" i="208"/>
  <c r="AR53" i="208"/>
  <c r="AQ53" i="208"/>
  <c r="AP53" i="208"/>
  <c r="AO53" i="208"/>
  <c r="AN53" i="208"/>
  <c r="AM53" i="208"/>
  <c r="AL53" i="208"/>
  <c r="AK53" i="208"/>
  <c r="AJ53" i="208"/>
  <c r="AI53" i="208"/>
  <c r="AH53" i="208"/>
  <c r="AG53" i="208"/>
  <c r="AF53" i="208"/>
  <c r="AE53" i="208"/>
  <c r="AD53" i="208"/>
  <c r="AC53" i="208"/>
  <c r="AB53" i="208"/>
  <c r="BA52" i="208"/>
  <c r="A52" i="208"/>
  <c r="BA51" i="208"/>
  <c r="A51" i="208"/>
  <c r="BA50" i="208"/>
  <c r="A50" i="208"/>
  <c r="BA49" i="208"/>
  <c r="A49" i="208"/>
  <c r="BA48" i="208"/>
  <c r="A48" i="208"/>
  <c r="BA47" i="208"/>
  <c r="A47" i="208"/>
  <c r="BA46" i="208"/>
  <c r="A46" i="208"/>
  <c r="BA45" i="208"/>
  <c r="A45" i="208"/>
  <c r="BA44" i="208"/>
  <c r="A44" i="208"/>
  <c r="BA41" i="208"/>
  <c r="A41" i="208"/>
  <c r="BA40" i="208"/>
  <c r="A40" i="208"/>
  <c r="BA39" i="208"/>
  <c r="A39" i="208"/>
  <c r="BA38" i="208"/>
  <c r="A38" i="208"/>
  <c r="BA37" i="208"/>
  <c r="A37" i="208"/>
  <c r="BA36" i="208"/>
  <c r="A36" i="208"/>
  <c r="BA35" i="208"/>
  <c r="A35" i="208"/>
  <c r="BA33" i="208"/>
  <c r="A33" i="208"/>
  <c r="BA32" i="208"/>
  <c r="A32" i="208"/>
  <c r="BA31" i="208"/>
  <c r="A31" i="208"/>
  <c r="BA30" i="208"/>
  <c r="A30" i="208"/>
  <c r="BA29" i="208"/>
  <c r="A29" i="208"/>
  <c r="BA28" i="208"/>
  <c r="A28" i="208"/>
  <c r="BA27" i="208"/>
  <c r="A27" i="208"/>
  <c r="BA26" i="208"/>
  <c r="A26" i="208"/>
  <c r="BA25" i="208"/>
  <c r="A25" i="208"/>
  <c r="BA24" i="208"/>
  <c r="A24" i="208"/>
  <c r="BA22" i="208"/>
  <c r="A22" i="208"/>
  <c r="BA21" i="208"/>
  <c r="A21" i="208"/>
  <c r="BA20" i="208"/>
  <c r="A20" i="208"/>
  <c r="BA19" i="208"/>
  <c r="A19" i="208"/>
  <c r="BA18" i="208"/>
  <c r="A18" i="208"/>
  <c r="BA17" i="208"/>
  <c r="A17" i="208"/>
  <c r="BA16" i="208"/>
  <c r="A16" i="208"/>
  <c r="BA15" i="208"/>
  <c r="A15" i="208"/>
  <c r="BA14" i="208"/>
  <c r="A14" i="208"/>
  <c r="BA13" i="208"/>
  <c r="A13" i="208"/>
  <c r="BA12" i="208"/>
  <c r="A12" i="208"/>
  <c r="BA11" i="208"/>
  <c r="A11" i="208"/>
  <c r="BA10" i="208"/>
  <c r="A10" i="208"/>
  <c r="BA9" i="208"/>
  <c r="A9" i="208"/>
  <c r="BA8" i="208"/>
  <c r="A8" i="208"/>
  <c r="BA7" i="208"/>
  <c r="A7" i="208"/>
  <c r="BA6" i="208"/>
  <c r="A6" i="208"/>
  <c r="BA5" i="208"/>
  <c r="A5" i="208"/>
  <c r="DB4" i="208"/>
  <c r="DA4" i="208"/>
  <c r="CZ4" i="208"/>
  <c r="CY4" i="208"/>
  <c r="CX4" i="208"/>
  <c r="CW4" i="208"/>
  <c r="CV4" i="208"/>
  <c r="CU4" i="208"/>
  <c r="CT4" i="208"/>
  <c r="CS4" i="208"/>
  <c r="CR4" i="208"/>
  <c r="CQ4" i="208"/>
  <c r="CP4" i="208"/>
  <c r="CO4" i="208"/>
  <c r="CN4" i="208"/>
  <c r="CM4" i="208"/>
  <c r="CL4" i="208"/>
  <c r="CK4" i="208"/>
  <c r="CJ4" i="208"/>
  <c r="CI4" i="208"/>
  <c r="CH4" i="208"/>
  <c r="CG4" i="208"/>
  <c r="CF4" i="208"/>
  <c r="CE4" i="208"/>
  <c r="CD4" i="208"/>
  <c r="Z4" i="208"/>
  <c r="AZ4" i="208" s="1"/>
  <c r="CA4" i="208" s="1"/>
  <c r="Y4" i="208"/>
  <c r="AY4" i="208" s="1"/>
  <c r="BZ4" i="208" s="1"/>
  <c r="X4" i="208"/>
  <c r="AX4" i="208" s="1"/>
  <c r="BY4" i="208" s="1"/>
  <c r="W4" i="208"/>
  <c r="AW4" i="208" s="1"/>
  <c r="BX4" i="208" s="1"/>
  <c r="V4" i="208"/>
  <c r="AV4" i="208" s="1"/>
  <c r="BW4" i="208" s="1"/>
  <c r="U4" i="208"/>
  <c r="AU4" i="208" s="1"/>
  <c r="BV4" i="208" s="1"/>
  <c r="T4" i="208"/>
  <c r="AT4" i="208" s="1"/>
  <c r="BU4" i="208" s="1"/>
  <c r="S4" i="208"/>
  <c r="AS4" i="208" s="1"/>
  <c r="BT4" i="208" s="1"/>
  <c r="R4" i="208"/>
  <c r="AR4" i="208" s="1"/>
  <c r="BS4" i="208" s="1"/>
  <c r="Q4" i="208"/>
  <c r="AQ4" i="208" s="1"/>
  <c r="BR4" i="208" s="1"/>
  <c r="P4" i="208"/>
  <c r="AP4" i="208" s="1"/>
  <c r="BQ4" i="208" s="1"/>
  <c r="O4" i="208"/>
  <c r="AO4" i="208" s="1"/>
  <c r="BP4" i="208" s="1"/>
  <c r="N4" i="208"/>
  <c r="AN4" i="208" s="1"/>
  <c r="BO4" i="208" s="1"/>
  <c r="M4" i="208"/>
  <c r="AM4" i="208" s="1"/>
  <c r="BN4" i="208" s="1"/>
  <c r="L4" i="208"/>
  <c r="AL4" i="208" s="1"/>
  <c r="BM4" i="208" s="1"/>
  <c r="K4" i="208"/>
  <c r="AK4" i="208" s="1"/>
  <c r="BL4" i="208" s="1"/>
  <c r="J4" i="208"/>
  <c r="AJ4" i="208" s="1"/>
  <c r="BK4" i="208" s="1"/>
  <c r="I4" i="208"/>
  <c r="AI4" i="208" s="1"/>
  <c r="BJ4" i="208" s="1"/>
  <c r="H4" i="208"/>
  <c r="AH4" i="208" s="1"/>
  <c r="BI4" i="208" s="1"/>
  <c r="G4" i="208"/>
  <c r="AG4" i="208" s="1"/>
  <c r="BH4" i="208" s="1"/>
  <c r="F4" i="208"/>
  <c r="AF4" i="208" s="1"/>
  <c r="BG4" i="208" s="1"/>
  <c r="E4" i="208"/>
  <c r="AE4" i="208" s="1"/>
  <c r="BF4" i="208" s="1"/>
  <c r="D4" i="208"/>
  <c r="AD4" i="208" s="1"/>
  <c r="BE4" i="208" s="1"/>
  <c r="C4" i="208"/>
  <c r="AC4" i="208" s="1"/>
  <c r="BD4" i="208" s="1"/>
  <c r="B4" i="208"/>
  <c r="AB4" i="208" s="1"/>
  <c r="BC4" i="208" s="1"/>
  <c r="BA53" i="208"/>
  <c r="AZ53" i="207"/>
  <c r="AY53" i="207"/>
  <c r="AX53" i="207"/>
  <c r="AW53" i="207"/>
  <c r="AV53" i="207"/>
  <c r="AU53" i="207"/>
  <c r="AT53" i="207"/>
  <c r="AS53" i="207"/>
  <c r="AR53" i="207"/>
  <c r="AQ53" i="207"/>
  <c r="AP53" i="207"/>
  <c r="AO53" i="207"/>
  <c r="AN53" i="207"/>
  <c r="AM53" i="207"/>
  <c r="AL53" i="207"/>
  <c r="AK53" i="207"/>
  <c r="AJ53" i="207"/>
  <c r="AI53" i="207"/>
  <c r="AH53" i="207"/>
  <c r="AG53" i="207"/>
  <c r="AF53" i="207"/>
  <c r="AE53" i="207"/>
  <c r="AD53" i="207"/>
  <c r="AC53" i="207"/>
  <c r="AB53" i="207"/>
  <c r="BA52" i="207"/>
  <c r="A52" i="207"/>
  <c r="BA51" i="207"/>
  <c r="A51" i="207"/>
  <c r="BA50" i="207"/>
  <c r="A50" i="207"/>
  <c r="BA49" i="207"/>
  <c r="A49" i="207"/>
  <c r="BA48" i="207"/>
  <c r="A48" i="207"/>
  <c r="BA47" i="207"/>
  <c r="A47" i="207"/>
  <c r="BA46" i="207"/>
  <c r="A46" i="207"/>
  <c r="BA45" i="207"/>
  <c r="A45" i="207"/>
  <c r="BA44" i="207"/>
  <c r="A44" i="207"/>
  <c r="BA41" i="207"/>
  <c r="A41" i="207"/>
  <c r="BA40" i="207"/>
  <c r="A40" i="207"/>
  <c r="BA39" i="207"/>
  <c r="A39" i="207"/>
  <c r="BA38" i="207"/>
  <c r="A38" i="207"/>
  <c r="BA37" i="207"/>
  <c r="A37" i="207"/>
  <c r="BA36" i="207"/>
  <c r="A36" i="207"/>
  <c r="BA35" i="207"/>
  <c r="A35" i="207"/>
  <c r="BA33" i="207"/>
  <c r="A33" i="207"/>
  <c r="BA32" i="207"/>
  <c r="A32" i="207"/>
  <c r="BA31" i="207"/>
  <c r="A31" i="207"/>
  <c r="BA30" i="207"/>
  <c r="A30" i="207"/>
  <c r="BA29" i="207"/>
  <c r="A29" i="207"/>
  <c r="BA28" i="207"/>
  <c r="A28" i="207"/>
  <c r="BA27" i="207"/>
  <c r="A27" i="207"/>
  <c r="BA26" i="207"/>
  <c r="A26" i="207"/>
  <c r="BA25" i="207"/>
  <c r="A25" i="207"/>
  <c r="BA24" i="207"/>
  <c r="A24" i="207"/>
  <c r="BA22" i="207"/>
  <c r="A22" i="207"/>
  <c r="BA21" i="207"/>
  <c r="A21" i="207"/>
  <c r="BA20" i="207"/>
  <c r="A20" i="207"/>
  <c r="BA19" i="207"/>
  <c r="A19" i="207"/>
  <c r="BA18" i="207"/>
  <c r="A18" i="207"/>
  <c r="BA17" i="207"/>
  <c r="A17" i="207"/>
  <c r="BA16" i="207"/>
  <c r="A16" i="207"/>
  <c r="BA15" i="207"/>
  <c r="A15" i="207"/>
  <c r="BA14" i="207"/>
  <c r="A14" i="207"/>
  <c r="BA13" i="207"/>
  <c r="A13" i="207"/>
  <c r="BA12" i="207"/>
  <c r="A12" i="207"/>
  <c r="BA11" i="207"/>
  <c r="A11" i="207"/>
  <c r="BA10" i="207"/>
  <c r="A10" i="207"/>
  <c r="BA9" i="207"/>
  <c r="A9" i="207"/>
  <c r="BA8" i="207"/>
  <c r="A8" i="207"/>
  <c r="BA7" i="207"/>
  <c r="A7" i="207"/>
  <c r="BA6" i="207"/>
  <c r="A6" i="207"/>
  <c r="BA5" i="207"/>
  <c r="BA53" i="207" s="1"/>
  <c r="A5" i="207"/>
  <c r="DB4" i="207"/>
  <c r="DA4" i="207"/>
  <c r="CZ4" i="207"/>
  <c r="CY4" i="207"/>
  <c r="CX4" i="207"/>
  <c r="CW4" i="207"/>
  <c r="CV4" i="207"/>
  <c r="CU4" i="207"/>
  <c r="CT4" i="207"/>
  <c r="CS4" i="207"/>
  <c r="CR4" i="207"/>
  <c r="CQ4" i="207"/>
  <c r="CP4" i="207"/>
  <c r="CO4" i="207"/>
  <c r="CN4" i="207"/>
  <c r="CM4" i="207"/>
  <c r="CL4" i="207"/>
  <c r="CK4" i="207"/>
  <c r="CJ4" i="207"/>
  <c r="CI4" i="207"/>
  <c r="CH4" i="207"/>
  <c r="CG4" i="207"/>
  <c r="CF4" i="207"/>
  <c r="CE4" i="207"/>
  <c r="CD4" i="207"/>
  <c r="Z4" i="207"/>
  <c r="AZ4" i="207" s="1"/>
  <c r="CA4" i="207" s="1"/>
  <c r="Y4" i="207"/>
  <c r="AY4" i="207" s="1"/>
  <c r="BZ4" i="207" s="1"/>
  <c r="X4" i="207"/>
  <c r="AX4" i="207" s="1"/>
  <c r="BY4" i="207" s="1"/>
  <c r="W4" i="207"/>
  <c r="AW4" i="207" s="1"/>
  <c r="BX4" i="207" s="1"/>
  <c r="V4" i="207"/>
  <c r="AV4" i="207" s="1"/>
  <c r="BW4" i="207" s="1"/>
  <c r="U4" i="207"/>
  <c r="AU4" i="207" s="1"/>
  <c r="BV4" i="207" s="1"/>
  <c r="T4" i="207"/>
  <c r="AT4" i="207" s="1"/>
  <c r="BU4" i="207" s="1"/>
  <c r="S4" i="207"/>
  <c r="AS4" i="207" s="1"/>
  <c r="BT4" i="207" s="1"/>
  <c r="R4" i="207"/>
  <c r="AR4" i="207" s="1"/>
  <c r="BS4" i="207" s="1"/>
  <c r="Q4" i="207"/>
  <c r="AQ4" i="207" s="1"/>
  <c r="BR4" i="207" s="1"/>
  <c r="P4" i="207"/>
  <c r="AP4" i="207" s="1"/>
  <c r="BQ4" i="207" s="1"/>
  <c r="O4" i="207"/>
  <c r="AO4" i="207" s="1"/>
  <c r="BP4" i="207" s="1"/>
  <c r="N4" i="207"/>
  <c r="AN4" i="207" s="1"/>
  <c r="BO4" i="207" s="1"/>
  <c r="M4" i="207"/>
  <c r="AM4" i="207" s="1"/>
  <c r="BN4" i="207" s="1"/>
  <c r="L4" i="207"/>
  <c r="AL4" i="207" s="1"/>
  <c r="BM4" i="207" s="1"/>
  <c r="K4" i="207"/>
  <c r="AK4" i="207" s="1"/>
  <c r="BL4" i="207" s="1"/>
  <c r="J4" i="207"/>
  <c r="AJ4" i="207" s="1"/>
  <c r="BK4" i="207" s="1"/>
  <c r="I4" i="207"/>
  <c r="AI4" i="207" s="1"/>
  <c r="BJ4" i="207" s="1"/>
  <c r="H4" i="207"/>
  <c r="AH4" i="207" s="1"/>
  <c r="BI4" i="207" s="1"/>
  <c r="G4" i="207"/>
  <c r="AG4" i="207" s="1"/>
  <c r="BH4" i="207" s="1"/>
  <c r="F4" i="207"/>
  <c r="AF4" i="207" s="1"/>
  <c r="BG4" i="207" s="1"/>
  <c r="E4" i="207"/>
  <c r="AE4" i="207" s="1"/>
  <c r="BF4" i="207" s="1"/>
  <c r="D4" i="207"/>
  <c r="AD4" i="207" s="1"/>
  <c r="BE4" i="207" s="1"/>
  <c r="C4" i="207"/>
  <c r="AC4" i="207" s="1"/>
  <c r="BD4" i="207" s="1"/>
  <c r="B4" i="207"/>
  <c r="AB4" i="207" s="1"/>
  <c r="BC4" i="207" s="1"/>
  <c r="BZ14" i="208"/>
  <c r="Y14" i="208" s="1"/>
  <c r="AZ53" i="206"/>
  <c r="AY53" i="206"/>
  <c r="AX53" i="206"/>
  <c r="AW53" i="206"/>
  <c r="AV53" i="206"/>
  <c r="AU53" i="206"/>
  <c r="AT53" i="206"/>
  <c r="AS53" i="206"/>
  <c r="AR53" i="206"/>
  <c r="AQ53" i="206"/>
  <c r="AP53" i="206"/>
  <c r="AO53" i="206"/>
  <c r="AN53" i="206"/>
  <c r="AM53" i="206"/>
  <c r="AL53" i="206"/>
  <c r="AK53" i="206"/>
  <c r="AJ53" i="206"/>
  <c r="AI53" i="206"/>
  <c r="AH53" i="206"/>
  <c r="AG53" i="206"/>
  <c r="AF53" i="206"/>
  <c r="AE53" i="206"/>
  <c r="AD53" i="206"/>
  <c r="AC53" i="206"/>
  <c r="AB53" i="206"/>
  <c r="BA52" i="206"/>
  <c r="A52" i="206"/>
  <c r="BA51" i="206"/>
  <c r="A51" i="206"/>
  <c r="BA50" i="206"/>
  <c r="A50" i="206"/>
  <c r="BA49" i="206"/>
  <c r="A49" i="206"/>
  <c r="BA48" i="206"/>
  <c r="A48" i="206"/>
  <c r="BA47" i="206"/>
  <c r="A47" i="206"/>
  <c r="BA46" i="206"/>
  <c r="A46" i="206"/>
  <c r="BA45" i="206"/>
  <c r="A45" i="206"/>
  <c r="BA44" i="206"/>
  <c r="A44" i="206"/>
  <c r="BA41" i="206"/>
  <c r="A41" i="206"/>
  <c r="BA40" i="206"/>
  <c r="A40" i="206"/>
  <c r="BA39" i="206"/>
  <c r="A39" i="206"/>
  <c r="BA38" i="206"/>
  <c r="A38" i="206"/>
  <c r="BA37" i="206"/>
  <c r="A37" i="206"/>
  <c r="BA36" i="206"/>
  <c r="A36" i="206"/>
  <c r="BA35" i="206"/>
  <c r="A35" i="206"/>
  <c r="BA33" i="206"/>
  <c r="A33" i="206"/>
  <c r="BA32" i="206"/>
  <c r="A32" i="206"/>
  <c r="BA31" i="206"/>
  <c r="A31" i="206"/>
  <c r="BA30" i="206"/>
  <c r="A30" i="206"/>
  <c r="BA29" i="206"/>
  <c r="A29" i="206"/>
  <c r="BA28" i="206"/>
  <c r="A28" i="206"/>
  <c r="BA27" i="206"/>
  <c r="A27" i="206"/>
  <c r="BA26" i="206"/>
  <c r="A26" i="206"/>
  <c r="BA25" i="206"/>
  <c r="A25" i="206"/>
  <c r="BA24" i="206"/>
  <c r="A24" i="206"/>
  <c r="BA22" i="206"/>
  <c r="A22" i="206"/>
  <c r="BA21" i="206"/>
  <c r="A21" i="206"/>
  <c r="BA20" i="206"/>
  <c r="A20" i="206"/>
  <c r="BA19" i="206"/>
  <c r="A19" i="206"/>
  <c r="BA18" i="206"/>
  <c r="A18" i="206"/>
  <c r="BA17" i="206"/>
  <c r="A17" i="206"/>
  <c r="BA16" i="206"/>
  <c r="A16" i="206"/>
  <c r="BA15" i="206"/>
  <c r="A15" i="206"/>
  <c r="BA14" i="206"/>
  <c r="A14" i="206"/>
  <c r="BA13" i="206"/>
  <c r="A13" i="206"/>
  <c r="BA12" i="206"/>
  <c r="A12" i="206"/>
  <c r="BA11" i="206"/>
  <c r="A11" i="206"/>
  <c r="BA10" i="206"/>
  <c r="A10" i="206"/>
  <c r="BA9" i="206"/>
  <c r="A9" i="206"/>
  <c r="BA8" i="206"/>
  <c r="A8" i="206"/>
  <c r="BA7" i="206"/>
  <c r="A7" i="206"/>
  <c r="BA6" i="206"/>
  <c r="A6" i="206"/>
  <c r="BA5" i="206"/>
  <c r="A5" i="206"/>
  <c r="DB4" i="206"/>
  <c r="DA4" i="206"/>
  <c r="CZ4" i="206"/>
  <c r="CY4" i="206"/>
  <c r="CX4" i="206"/>
  <c r="CW4" i="206"/>
  <c r="CV4" i="206"/>
  <c r="CU4" i="206"/>
  <c r="CT4" i="206"/>
  <c r="CS4" i="206"/>
  <c r="CR4" i="206"/>
  <c r="CQ4" i="206"/>
  <c r="CP4" i="206"/>
  <c r="CO4" i="206"/>
  <c r="CN4" i="206"/>
  <c r="CM4" i="206"/>
  <c r="CL4" i="206"/>
  <c r="CK4" i="206"/>
  <c r="CJ4" i="206"/>
  <c r="CI4" i="206"/>
  <c r="CH4" i="206"/>
  <c r="CG4" i="206"/>
  <c r="CF4" i="206"/>
  <c r="CE4" i="206"/>
  <c r="CD4" i="206"/>
  <c r="Z4" i="206"/>
  <c r="AZ4" i="206" s="1"/>
  <c r="CA4" i="206" s="1"/>
  <c r="Y4" i="206"/>
  <c r="AY4" i="206" s="1"/>
  <c r="BZ4" i="206" s="1"/>
  <c r="X4" i="206"/>
  <c r="AX4" i="206" s="1"/>
  <c r="BY4" i="206" s="1"/>
  <c r="W4" i="206"/>
  <c r="AW4" i="206" s="1"/>
  <c r="BX4" i="206" s="1"/>
  <c r="V4" i="206"/>
  <c r="AV4" i="206" s="1"/>
  <c r="BW4" i="206" s="1"/>
  <c r="U4" i="206"/>
  <c r="AU4" i="206" s="1"/>
  <c r="BV4" i="206" s="1"/>
  <c r="T4" i="206"/>
  <c r="AT4" i="206" s="1"/>
  <c r="BU4" i="206" s="1"/>
  <c r="S4" i="206"/>
  <c r="AS4" i="206" s="1"/>
  <c r="BT4" i="206" s="1"/>
  <c r="R4" i="206"/>
  <c r="AR4" i="206" s="1"/>
  <c r="BS4" i="206" s="1"/>
  <c r="Q4" i="206"/>
  <c r="AQ4" i="206" s="1"/>
  <c r="BR4" i="206" s="1"/>
  <c r="P4" i="206"/>
  <c r="AP4" i="206" s="1"/>
  <c r="BQ4" i="206" s="1"/>
  <c r="O4" i="206"/>
  <c r="AO4" i="206" s="1"/>
  <c r="BP4" i="206" s="1"/>
  <c r="N4" i="206"/>
  <c r="AN4" i="206" s="1"/>
  <c r="BO4" i="206" s="1"/>
  <c r="M4" i="206"/>
  <c r="AM4" i="206" s="1"/>
  <c r="BN4" i="206" s="1"/>
  <c r="L4" i="206"/>
  <c r="AL4" i="206" s="1"/>
  <c r="BM4" i="206" s="1"/>
  <c r="K4" i="206"/>
  <c r="AK4" i="206" s="1"/>
  <c r="BL4" i="206" s="1"/>
  <c r="J4" i="206"/>
  <c r="AJ4" i="206" s="1"/>
  <c r="BK4" i="206" s="1"/>
  <c r="I4" i="206"/>
  <c r="AI4" i="206" s="1"/>
  <c r="BJ4" i="206" s="1"/>
  <c r="H4" i="206"/>
  <c r="AH4" i="206" s="1"/>
  <c r="BI4" i="206" s="1"/>
  <c r="G4" i="206"/>
  <c r="AG4" i="206" s="1"/>
  <c r="BH4" i="206" s="1"/>
  <c r="F4" i="206"/>
  <c r="AF4" i="206" s="1"/>
  <c r="BG4" i="206" s="1"/>
  <c r="E4" i="206"/>
  <c r="AE4" i="206" s="1"/>
  <c r="BF4" i="206" s="1"/>
  <c r="D4" i="206"/>
  <c r="AD4" i="206" s="1"/>
  <c r="BE4" i="206" s="1"/>
  <c r="C4" i="206"/>
  <c r="AC4" i="206" s="1"/>
  <c r="BD4" i="206" s="1"/>
  <c r="B4" i="206"/>
  <c r="AB4" i="206" s="1"/>
  <c r="BC4" i="206" s="1"/>
  <c r="BQ51" i="207"/>
  <c r="P51" i="207" s="1"/>
  <c r="AZ53" i="205"/>
  <c r="AY53" i="205"/>
  <c r="AX53" i="205"/>
  <c r="AW53" i="205"/>
  <c r="AV53" i="205"/>
  <c r="AU53" i="205"/>
  <c r="AT53" i="205"/>
  <c r="AS53" i="205"/>
  <c r="AR53" i="205"/>
  <c r="AQ53" i="205"/>
  <c r="AP53" i="205"/>
  <c r="AO53" i="205"/>
  <c r="AN53" i="205"/>
  <c r="AM53" i="205"/>
  <c r="AL53" i="205"/>
  <c r="AK53" i="205"/>
  <c r="AJ53" i="205"/>
  <c r="AI53" i="205"/>
  <c r="AH53" i="205"/>
  <c r="AG53" i="205"/>
  <c r="AF53" i="205"/>
  <c r="AE53" i="205"/>
  <c r="AD53" i="205"/>
  <c r="AC53" i="205"/>
  <c r="BA52" i="205"/>
  <c r="A52" i="205"/>
  <c r="BA51" i="205"/>
  <c r="A51" i="205"/>
  <c r="BA50" i="205"/>
  <c r="A50" i="205"/>
  <c r="BA49" i="205"/>
  <c r="A49" i="205"/>
  <c r="BA48" i="205"/>
  <c r="A48" i="205"/>
  <c r="BA47" i="205"/>
  <c r="A47" i="205"/>
  <c r="BA46" i="205"/>
  <c r="A46" i="205"/>
  <c r="BA45" i="205"/>
  <c r="A45" i="205"/>
  <c r="BA44" i="205"/>
  <c r="A44" i="205"/>
  <c r="BA41" i="205"/>
  <c r="A41" i="205"/>
  <c r="BA40" i="205"/>
  <c r="A40" i="205"/>
  <c r="BA39" i="205"/>
  <c r="A39" i="205"/>
  <c r="BA38" i="205"/>
  <c r="A38" i="205"/>
  <c r="BA37" i="205"/>
  <c r="A37" i="205"/>
  <c r="BA36" i="205"/>
  <c r="A36" i="205"/>
  <c r="BA35" i="205"/>
  <c r="A35" i="205"/>
  <c r="BA33" i="205"/>
  <c r="A33" i="205"/>
  <c r="BA32" i="205"/>
  <c r="A32" i="205"/>
  <c r="BA31" i="205"/>
  <c r="A31" i="205"/>
  <c r="BA30" i="205"/>
  <c r="A30" i="205"/>
  <c r="BA29" i="205"/>
  <c r="A29" i="205"/>
  <c r="BA28" i="205"/>
  <c r="A28" i="205"/>
  <c r="BA27" i="205"/>
  <c r="A27" i="205"/>
  <c r="BA26" i="205"/>
  <c r="A26" i="205"/>
  <c r="BA25" i="205"/>
  <c r="A25" i="205"/>
  <c r="BA24" i="205"/>
  <c r="A24" i="205"/>
  <c r="BA22" i="205"/>
  <c r="A22" i="205"/>
  <c r="BA21" i="205"/>
  <c r="A21" i="205"/>
  <c r="BA20" i="205"/>
  <c r="A20" i="205"/>
  <c r="BA19" i="205"/>
  <c r="A19" i="205"/>
  <c r="BA18" i="205"/>
  <c r="A18" i="205"/>
  <c r="BA17" i="205"/>
  <c r="A17" i="205"/>
  <c r="BA16" i="205"/>
  <c r="A16" i="205"/>
  <c r="BA15" i="205"/>
  <c r="A15" i="205"/>
  <c r="BA14" i="205"/>
  <c r="A14" i="205"/>
  <c r="BA13" i="205"/>
  <c r="A13" i="205"/>
  <c r="BA12" i="205"/>
  <c r="A12" i="205"/>
  <c r="BA11" i="205"/>
  <c r="A11" i="205"/>
  <c r="BA10" i="205"/>
  <c r="A10" i="205"/>
  <c r="BA9" i="205"/>
  <c r="A9" i="205"/>
  <c r="BA8" i="205"/>
  <c r="A8" i="205"/>
  <c r="BA7" i="205"/>
  <c r="A7" i="205"/>
  <c r="BA6" i="205"/>
  <c r="A6" i="205"/>
  <c r="A5" i="205"/>
  <c r="DB4" i="205"/>
  <c r="DA4" i="205"/>
  <c r="CZ4" i="205"/>
  <c r="CY4" i="205"/>
  <c r="CX4" i="205"/>
  <c r="CW4" i="205"/>
  <c r="CV4" i="205"/>
  <c r="CU4" i="205"/>
  <c r="CT4" i="205"/>
  <c r="CS4" i="205"/>
  <c r="CR4" i="205"/>
  <c r="CQ4" i="205"/>
  <c r="CP4" i="205"/>
  <c r="CO4" i="205"/>
  <c r="CN4" i="205"/>
  <c r="CM4" i="205"/>
  <c r="CL4" i="205"/>
  <c r="CK4" i="205"/>
  <c r="CJ4" i="205"/>
  <c r="CI4" i="205"/>
  <c r="CH4" i="205"/>
  <c r="CG4" i="205"/>
  <c r="CF4" i="205"/>
  <c r="CE4" i="205"/>
  <c r="CD4" i="205"/>
  <c r="Z4" i="205"/>
  <c r="AZ4" i="205" s="1"/>
  <c r="CA4" i="205" s="1"/>
  <c r="Y4" i="205"/>
  <c r="AY4" i="205" s="1"/>
  <c r="BZ4" i="205" s="1"/>
  <c r="X4" i="205"/>
  <c r="AX4" i="205" s="1"/>
  <c r="BY4" i="205" s="1"/>
  <c r="W4" i="205"/>
  <c r="AW4" i="205" s="1"/>
  <c r="BX4" i="205" s="1"/>
  <c r="V4" i="205"/>
  <c r="AV4" i="205" s="1"/>
  <c r="BW4" i="205" s="1"/>
  <c r="U4" i="205"/>
  <c r="AU4" i="205" s="1"/>
  <c r="BV4" i="205" s="1"/>
  <c r="T4" i="205"/>
  <c r="AT4" i="205" s="1"/>
  <c r="BU4" i="205" s="1"/>
  <c r="S4" i="205"/>
  <c r="AS4" i="205" s="1"/>
  <c r="BT4" i="205" s="1"/>
  <c r="R4" i="205"/>
  <c r="AR4" i="205" s="1"/>
  <c r="BS4" i="205" s="1"/>
  <c r="Q4" i="205"/>
  <c r="AQ4" i="205" s="1"/>
  <c r="BR4" i="205" s="1"/>
  <c r="P4" i="205"/>
  <c r="AP4" i="205" s="1"/>
  <c r="BQ4" i="205" s="1"/>
  <c r="O4" i="205"/>
  <c r="AO4" i="205" s="1"/>
  <c r="BP4" i="205" s="1"/>
  <c r="N4" i="205"/>
  <c r="AN4" i="205" s="1"/>
  <c r="BO4" i="205" s="1"/>
  <c r="M4" i="205"/>
  <c r="AM4" i="205" s="1"/>
  <c r="BN4" i="205" s="1"/>
  <c r="L4" i="205"/>
  <c r="AL4" i="205" s="1"/>
  <c r="BM4" i="205" s="1"/>
  <c r="K4" i="205"/>
  <c r="AK4" i="205" s="1"/>
  <c r="BL4" i="205" s="1"/>
  <c r="J4" i="205"/>
  <c r="AJ4" i="205" s="1"/>
  <c r="BK4" i="205" s="1"/>
  <c r="I4" i="205"/>
  <c r="AI4" i="205" s="1"/>
  <c r="BJ4" i="205" s="1"/>
  <c r="H4" i="205"/>
  <c r="AH4" i="205" s="1"/>
  <c r="BI4" i="205" s="1"/>
  <c r="G4" i="205"/>
  <c r="AG4" i="205" s="1"/>
  <c r="BH4" i="205" s="1"/>
  <c r="F4" i="205"/>
  <c r="AF4" i="205" s="1"/>
  <c r="BG4" i="205" s="1"/>
  <c r="E4" i="205"/>
  <c r="AE4" i="205" s="1"/>
  <c r="BF4" i="205" s="1"/>
  <c r="D4" i="205"/>
  <c r="AD4" i="205" s="1"/>
  <c r="BE4" i="205" s="1"/>
  <c r="C4" i="205"/>
  <c r="AC4" i="205" s="1"/>
  <c r="BD4" i="205" s="1"/>
  <c r="B4" i="205"/>
  <c r="AB4" i="205" s="1"/>
  <c r="BC4" i="205" s="1"/>
  <c r="I5" i="182"/>
  <c r="B20" i="127"/>
  <c r="A5" i="160"/>
  <c r="A6" i="160"/>
  <c r="A7" i="160"/>
  <c r="A8" i="160"/>
  <c r="A9" i="160"/>
  <c r="A10" i="160"/>
  <c r="C19" i="127"/>
  <c r="C10" i="127"/>
  <c r="D22" i="204"/>
  <c r="B19" i="204"/>
  <c r="D18" i="204"/>
  <c r="D17" i="204"/>
  <c r="D16" i="204"/>
  <c r="D15" i="204"/>
  <c r="D14" i="204"/>
  <c r="D13" i="204"/>
  <c r="B10" i="204"/>
  <c r="D9" i="204"/>
  <c r="D8" i="204"/>
  <c r="D7" i="204"/>
  <c r="D6" i="204"/>
  <c r="D5" i="204"/>
  <c r="D4" i="204"/>
  <c r="I6" i="182"/>
  <c r="I4" i="182"/>
  <c r="I3" i="182"/>
  <c r="I2" i="182"/>
  <c r="G5" i="182"/>
  <c r="G4" i="182"/>
  <c r="G3" i="182"/>
  <c r="G2" i="182"/>
  <c r="C23" i="127"/>
  <c r="Q6" i="115"/>
  <c r="U6" i="115" s="1"/>
  <c r="B7" i="127"/>
  <c r="B24" i="127"/>
  <c r="E13" i="183"/>
  <c r="F13" i="183"/>
  <c r="G13" i="183"/>
  <c r="H13" i="183"/>
  <c r="I13" i="183"/>
  <c r="J13" i="183"/>
  <c r="K13" i="183"/>
  <c r="L13" i="183"/>
  <c r="M13" i="183"/>
  <c r="N13" i="183"/>
  <c r="O13" i="183"/>
  <c r="P13" i="183"/>
  <c r="Q13" i="183"/>
  <c r="R13" i="183"/>
  <c r="S13" i="183"/>
  <c r="T13" i="183"/>
  <c r="U13" i="183"/>
  <c r="V13" i="183"/>
  <c r="W13" i="183"/>
  <c r="X13" i="183"/>
  <c r="Y13" i="183"/>
  <c r="Z13" i="183"/>
  <c r="AA13" i="183"/>
  <c r="D13" i="183"/>
  <c r="A5" i="144"/>
  <c r="AF3" i="5"/>
  <c r="AG3" i="5"/>
  <c r="AH3" i="5"/>
  <c r="AI3" i="5"/>
  <c r="AJ3" i="5"/>
  <c r="AK3" i="5"/>
  <c r="AL3" i="5"/>
  <c r="AM3" i="5"/>
  <c r="AN3" i="5"/>
  <c r="AO3" i="5"/>
  <c r="AP3" i="5"/>
  <c r="AQ3" i="5"/>
  <c r="AR3" i="5"/>
  <c r="AS3" i="5"/>
  <c r="AT3" i="5"/>
  <c r="AU3" i="5"/>
  <c r="AV3" i="5"/>
  <c r="AW3" i="5"/>
  <c r="AX3" i="5"/>
  <c r="AY3" i="5"/>
  <c r="AZ3" i="5"/>
  <c r="BA3" i="5"/>
  <c r="BB3" i="5"/>
  <c r="BC3" i="5"/>
  <c r="BD3" i="5"/>
  <c r="CF3" i="5"/>
  <c r="CG3" i="5"/>
  <c r="CH3" i="5"/>
  <c r="CI3" i="5"/>
  <c r="CJ3" i="5"/>
  <c r="CK3" i="5"/>
  <c r="CL3" i="5"/>
  <c r="CM3" i="5"/>
  <c r="CN3" i="5"/>
  <c r="CO3" i="5"/>
  <c r="CP3" i="5"/>
  <c r="CQ3" i="5"/>
  <c r="CR3" i="5"/>
  <c r="CS3" i="5"/>
  <c r="CT3" i="5"/>
  <c r="CU3" i="5"/>
  <c r="CV3" i="5"/>
  <c r="CW3" i="5"/>
  <c r="CX3" i="5"/>
  <c r="CY3" i="5"/>
  <c r="CZ3" i="5"/>
  <c r="DA3" i="5"/>
  <c r="DB3" i="5"/>
  <c r="DC3" i="5"/>
  <c r="DD3" i="5"/>
  <c r="E3" i="5"/>
  <c r="F3" i="5"/>
  <c r="G3" i="5"/>
  <c r="H3" i="5"/>
  <c r="I3" i="5"/>
  <c r="J3" i="5"/>
  <c r="K3" i="5"/>
  <c r="L3" i="5"/>
  <c r="M3" i="5"/>
  <c r="N3" i="5"/>
  <c r="O3" i="5"/>
  <c r="P3" i="5"/>
  <c r="Q3" i="5"/>
  <c r="R3" i="5"/>
  <c r="S3" i="5"/>
  <c r="T3" i="5"/>
  <c r="U3" i="5"/>
  <c r="V3" i="5"/>
  <c r="W3" i="5"/>
  <c r="X3" i="5"/>
  <c r="Y3" i="5"/>
  <c r="Z3" i="5"/>
  <c r="AA3" i="5"/>
  <c r="AB3" i="5"/>
  <c r="AC3" i="5"/>
  <c r="AD10" i="5"/>
  <c r="AD8" i="5"/>
  <c r="CN8" i="5" s="1"/>
  <c r="AN8" i="5" s="1"/>
  <c r="AD6" i="5"/>
  <c r="AD5" i="5"/>
  <c r="AD7" i="5"/>
  <c r="AD11" i="5"/>
  <c r="CO11" i="5" s="1"/>
  <c r="AD12" i="5"/>
  <c r="AD13" i="5"/>
  <c r="DB13" i="5" s="1"/>
  <c r="CB13" i="5" s="1"/>
  <c r="AD14" i="5"/>
  <c r="AD15" i="5"/>
  <c r="CK15" i="5" s="1"/>
  <c r="AD16" i="5"/>
  <c r="AD17" i="5"/>
  <c r="DB17" i="5" s="1"/>
  <c r="AD18" i="5"/>
  <c r="AD19" i="5"/>
  <c r="DB19" i="5" s="1"/>
  <c r="AD20" i="5"/>
  <c r="AD21" i="5"/>
  <c r="DB21" i="5" s="1"/>
  <c r="CB21" i="5" s="1"/>
  <c r="AD22" i="5"/>
  <c r="AD23" i="5"/>
  <c r="CO23" i="5" s="1"/>
  <c r="AD24" i="5"/>
  <c r="AD25" i="5"/>
  <c r="AD26" i="5"/>
  <c r="AD27" i="5"/>
  <c r="CU27" i="5" s="1"/>
  <c r="AD28" i="5"/>
  <c r="AD29" i="5"/>
  <c r="AD30" i="5"/>
  <c r="AD31" i="5"/>
  <c r="CL31" i="5" s="1"/>
  <c r="AD32" i="5"/>
  <c r="AD33" i="5"/>
  <c r="AD34" i="5"/>
  <c r="CX34" i="5"/>
  <c r="BX34" i="5" s="1"/>
  <c r="AD35" i="5"/>
  <c r="AD36" i="5"/>
  <c r="AD37" i="5"/>
  <c r="AD38" i="5"/>
  <c r="AD39" i="5"/>
  <c r="AD40" i="5"/>
  <c r="AD41" i="5"/>
  <c r="AD42" i="5"/>
  <c r="AD43" i="5"/>
  <c r="CG43" i="5" s="1"/>
  <c r="BG43" i="5" s="1"/>
  <c r="AD44" i="5"/>
  <c r="AD45" i="5"/>
  <c r="AD46" i="5"/>
  <c r="AD47" i="5"/>
  <c r="AD48" i="5"/>
  <c r="AD49" i="5"/>
  <c r="AD50" i="5"/>
  <c r="AD51" i="5"/>
  <c r="AD52" i="5"/>
  <c r="AD53" i="5"/>
  <c r="AD54" i="5"/>
  <c r="CI54" i="5" s="1"/>
  <c r="AD55" i="5"/>
  <c r="AD56" i="5"/>
  <c r="AD57" i="5"/>
  <c r="AD58" i="5"/>
  <c r="AD59" i="5"/>
  <c r="AD60" i="5"/>
  <c r="AD61" i="5"/>
  <c r="AD62" i="5"/>
  <c r="AD63" i="5"/>
  <c r="CX63" i="5" s="1"/>
  <c r="AD64" i="5"/>
  <c r="AD65" i="5"/>
  <c r="AD66" i="5"/>
  <c r="AD67" i="5"/>
  <c r="AD68" i="5"/>
  <c r="CV68" i="5" s="1"/>
  <c r="BV68" i="5" s="1"/>
  <c r="AD69" i="5"/>
  <c r="AD70" i="5"/>
  <c r="AD71" i="5"/>
  <c r="AD72" i="5"/>
  <c r="AD73" i="5"/>
  <c r="AD74" i="5"/>
  <c r="AD75" i="5"/>
  <c r="CP75" i="5" s="1"/>
  <c r="BP75" i="5" s="1"/>
  <c r="AD76" i="5"/>
  <c r="AD77" i="5"/>
  <c r="CZ77" i="5" s="1"/>
  <c r="AD78" i="5"/>
  <c r="AD79" i="5"/>
  <c r="AD80" i="5"/>
  <c r="AD81" i="5"/>
  <c r="AD82" i="5"/>
  <c r="CR82" i="5" s="1"/>
  <c r="BR82" i="5" s="1"/>
  <c r="AD83" i="5"/>
  <c r="DC83" i="5" s="1"/>
  <c r="AD84" i="5"/>
  <c r="AD85" i="5"/>
  <c r="CY85" i="5" s="1"/>
  <c r="BY85" i="5" s="1"/>
  <c r="AD86" i="5"/>
  <c r="AD87" i="5"/>
  <c r="CP87" i="5" s="1"/>
  <c r="AD88" i="5"/>
  <c r="AD89" i="5"/>
  <c r="AD90" i="5"/>
  <c r="AD91" i="5"/>
  <c r="CU91" i="5" s="1"/>
  <c r="BU91" i="5" s="1"/>
  <c r="CM91" i="5"/>
  <c r="AD92" i="5"/>
  <c r="AD93" i="5"/>
  <c r="AD94" i="5"/>
  <c r="AD95" i="5"/>
  <c r="AD96" i="5"/>
  <c r="CP96" i="5" s="1"/>
  <c r="AD97" i="5"/>
  <c r="AD98" i="5"/>
  <c r="AD99" i="5"/>
  <c r="DD8" i="5"/>
  <c r="CH32" i="5"/>
  <c r="BH32" i="5" s="1"/>
  <c r="CZ41" i="5"/>
  <c r="CW91" i="5"/>
  <c r="CS31" i="5"/>
  <c r="BS31" i="5" s="1"/>
  <c r="CL27" i="5"/>
  <c r="CT23" i="5"/>
  <c r="CL19" i="5"/>
  <c r="BL19" i="5" s="1"/>
  <c r="DA15" i="5"/>
  <c r="CS19" i="5"/>
  <c r="BS19" i="5" s="1"/>
  <c r="CL63" i="5"/>
  <c r="CY93" i="5"/>
  <c r="DA65" i="5"/>
  <c r="CA65" i="5" s="1"/>
  <c r="CJ96" i="5"/>
  <c r="CH60" i="5"/>
  <c r="CN48" i="5"/>
  <c r="BN48" i="5" s="1"/>
  <c r="DA36" i="5"/>
  <c r="CA36" i="5" s="1"/>
  <c r="DB28" i="5"/>
  <c r="CW24" i="5"/>
  <c r="BW24" i="5" s="1"/>
  <c r="DD12" i="5"/>
  <c r="DA8" i="5"/>
  <c r="BA8" i="5" s="1"/>
  <c r="DC6" i="5"/>
  <c r="CP11" i="5"/>
  <c r="BP11" i="5" s="1"/>
  <c r="CP15" i="5"/>
  <c r="CM18" i="5"/>
  <c r="BM18" i="5" s="1"/>
  <c r="DA24" i="5"/>
  <c r="CA24" i="5" s="1"/>
  <c r="CO32" i="5"/>
  <c r="BO32" i="5" s="1"/>
  <c r="CO48" i="5"/>
  <c r="DA68" i="5"/>
  <c r="CA68" i="5" s="1"/>
  <c r="CF84" i="5"/>
  <c r="BF84" i="5" s="1"/>
  <c r="CT95" i="5"/>
  <c r="DD34" i="5"/>
  <c r="CR34" i="5"/>
  <c r="BR34" i="5" s="1"/>
  <c r="CQ30" i="5"/>
  <c r="BQ30" i="5" s="1"/>
  <c r="DA22" i="5"/>
  <c r="CY14" i="5"/>
  <c r="BY14" i="5" s="1"/>
  <c r="CQ6" i="5"/>
  <c r="CI14" i="5"/>
  <c r="BI14" i="5" s="1"/>
  <c r="DB87" i="5"/>
  <c r="CB87" i="5" s="1"/>
  <c r="CH11" i="5"/>
  <c r="BH11" i="5" s="1"/>
  <c r="CX11" i="5"/>
  <c r="CM35" i="5"/>
  <c r="BM35" i="5" s="1"/>
  <c r="CG47" i="5"/>
  <c r="CS8" i="5"/>
  <c r="CS20" i="5"/>
  <c r="CL24" i="5"/>
  <c r="BL24" i="5" s="1"/>
  <c r="CJ36" i="5"/>
  <c r="BJ36" i="5" s="1"/>
  <c r="CW60" i="5"/>
  <c r="BW60" i="5" s="1"/>
  <c r="DB72" i="5"/>
  <c r="CZ84" i="5"/>
  <c r="BZ84" i="5" s="1"/>
  <c r="CR92" i="5"/>
  <c r="BR92" i="5" s="1"/>
  <c r="CL98" i="5"/>
  <c r="CR94" i="5"/>
  <c r="CZ94" i="5"/>
  <c r="BZ94" i="5" s="1"/>
  <c r="CX99" i="5"/>
  <c r="CM99" i="5"/>
  <c r="BM99" i="5" s="1"/>
  <c r="AM99" i="5"/>
  <c r="DC99" i="5"/>
  <c r="CC99" i="5" s="1"/>
  <c r="DB95" i="5"/>
  <c r="DC95" i="5"/>
  <c r="CC95" i="5" s="1"/>
  <c r="DC91" i="5"/>
  <c r="CC91" i="5" s="1"/>
  <c r="CP91" i="5"/>
  <c r="AU91" i="5"/>
  <c r="CG91" i="5"/>
  <c r="CY87" i="5"/>
  <c r="CU87" i="5"/>
  <c r="CG87" i="5"/>
  <c r="BG87" i="5" s="1"/>
  <c r="AG87" i="5"/>
  <c r="CI87" i="5"/>
  <c r="CX83" i="5"/>
  <c r="CY79" i="5"/>
  <c r="CW79" i="5"/>
  <c r="CX75" i="5"/>
  <c r="BX75" i="5" s="1"/>
  <c r="CW71" i="5"/>
  <c r="BW71" i="5" s="1"/>
  <c r="CI71" i="5"/>
  <c r="CY67" i="5"/>
  <c r="CS63" i="5"/>
  <c r="BS63" i="5" s="1"/>
  <c r="CI63" i="5"/>
  <c r="BI63" i="5" s="1"/>
  <c r="DB59" i="5"/>
  <c r="CL59" i="5"/>
  <c r="BL59" i="5" s="1"/>
  <c r="CY55" i="5"/>
  <c r="BY55" i="5" s="1"/>
  <c r="DC51" i="5"/>
  <c r="CC51" i="5" s="1"/>
  <c r="CY51" i="5"/>
  <c r="DA51" i="5"/>
  <c r="CA51" i="5" s="1"/>
  <c r="BA51" i="5"/>
  <c r="CL47" i="5"/>
  <c r="BL47" i="5" s="1"/>
  <c r="CM47" i="5"/>
  <c r="BM47" i="5" s="1"/>
  <c r="DC43" i="5"/>
  <c r="CL43" i="5"/>
  <c r="BL43" i="5" s="1"/>
  <c r="DA43" i="5"/>
  <c r="CA43" i="5" s="1"/>
  <c r="CI39" i="5"/>
  <c r="BI39" i="5" s="1"/>
  <c r="CU39" i="5"/>
  <c r="BU39" i="5" s="1"/>
  <c r="CY35" i="5"/>
  <c r="BY35" i="5" s="1"/>
  <c r="CO35" i="5"/>
  <c r="BO35" i="5" s="1"/>
  <c r="CS35" i="5"/>
  <c r="BS35" i="5" s="1"/>
  <c r="CH35" i="5"/>
  <c r="CX31" i="5"/>
  <c r="BX31" i="5" s="1"/>
  <c r="CM31" i="5"/>
  <c r="BM31" i="5" s="1"/>
  <c r="AM31" i="5"/>
  <c r="DB31" i="5"/>
  <c r="CB31" i="5" s="1"/>
  <c r="BB31" i="5"/>
  <c r="CQ31" i="5"/>
  <c r="BQ31" i="5" s="1"/>
  <c r="CG31" i="5"/>
  <c r="DC27" i="5"/>
  <c r="CC27" i="5" s="1"/>
  <c r="DA27" i="5"/>
  <c r="CA27" i="5" s="1"/>
  <c r="CP27" i="5"/>
  <c r="BP27" i="5" s="1"/>
  <c r="DB27" i="5"/>
  <c r="CB27" i="5" s="1"/>
  <c r="CQ27" i="5"/>
  <c r="BQ27" i="5" s="1"/>
  <c r="CG27" i="5"/>
  <c r="BG27" i="5" s="1"/>
  <c r="DD23" i="5"/>
  <c r="CD23" i="5" s="1"/>
  <c r="CX23" i="5"/>
  <c r="CP23" i="5"/>
  <c r="BP23" i="5" s="1"/>
  <c r="CH23" i="5"/>
  <c r="BH23" i="5" s="1"/>
  <c r="AH23" i="5"/>
  <c r="DA23" i="5"/>
  <c r="CA23" i="5" s="1"/>
  <c r="CS23" i="5"/>
  <c r="BS23" i="5" s="1"/>
  <c r="CK23" i="5"/>
  <c r="BK23" i="5" s="1"/>
  <c r="DD19" i="5"/>
  <c r="CD19" i="5" s="1"/>
  <c r="CW19" i="5"/>
  <c r="BW19" i="5" s="1"/>
  <c r="CO19" i="5"/>
  <c r="BO19" i="5" s="1"/>
  <c r="CG19" i="5"/>
  <c r="BG19" i="5" s="1"/>
  <c r="CX19" i="5"/>
  <c r="BX19" i="5" s="1"/>
  <c r="CP19" i="5"/>
  <c r="BP19" i="5" s="1"/>
  <c r="CH19" i="5"/>
  <c r="BH19" i="5" s="1"/>
  <c r="DD15" i="5"/>
  <c r="CD15" i="5" s="1"/>
  <c r="DB15" i="5"/>
  <c r="CB15" i="5" s="1"/>
  <c r="CT15" i="5"/>
  <c r="BT15" i="5" s="1"/>
  <c r="CL15" i="5"/>
  <c r="BL15" i="5" s="1"/>
  <c r="CW15" i="5"/>
  <c r="BW15" i="5" s="1"/>
  <c r="CO15" i="5"/>
  <c r="BO15" i="5" s="1"/>
  <c r="CG15" i="5"/>
  <c r="BG15" i="5" s="1"/>
  <c r="DD11" i="5"/>
  <c r="CD11" i="5" s="1"/>
  <c r="DA11" i="5"/>
  <c r="CA11" i="5" s="1"/>
  <c r="CS11" i="5"/>
  <c r="BS11" i="5" s="1"/>
  <c r="CK11" i="5"/>
  <c r="BK11" i="5" s="1"/>
  <c r="DB11" i="5"/>
  <c r="CB11" i="5" s="1"/>
  <c r="CT11" i="5"/>
  <c r="BT11" i="5" s="1"/>
  <c r="CL11" i="5"/>
  <c r="BL11" i="5" s="1"/>
  <c r="CT7" i="5"/>
  <c r="AT7" i="5" s="1"/>
  <c r="CK8" i="5"/>
  <c r="CG11" i="5"/>
  <c r="BG11" i="5" s="1"/>
  <c r="CW11" i="5"/>
  <c r="BW11" i="5" s="1"/>
  <c r="CN12" i="5"/>
  <c r="BN12" i="5" s="1"/>
  <c r="CH15" i="5"/>
  <c r="BH15" i="5" s="1"/>
  <c r="AH15" i="5"/>
  <c r="CX15" i="5"/>
  <c r="BX15" i="5" s="1"/>
  <c r="CK19" i="5"/>
  <c r="DA19" i="5"/>
  <c r="CA19" i="5" s="1"/>
  <c r="CL23" i="5"/>
  <c r="DB23" i="5"/>
  <c r="CB23" i="5" s="1"/>
  <c r="CK27" i="5"/>
  <c r="BK27" i="5" s="1"/>
  <c r="AK27" i="5"/>
  <c r="CH31" i="5"/>
  <c r="DC31" i="5"/>
  <c r="CC31" i="5" s="1"/>
  <c r="CI35" i="5"/>
  <c r="CF36" i="5"/>
  <c r="BF36" i="5" s="1"/>
  <c r="CO39" i="5"/>
  <c r="BO39" i="5" s="1"/>
  <c r="AO39" i="5"/>
  <c r="CS51" i="5"/>
  <c r="BS51" i="5" s="1"/>
  <c r="CY63" i="5"/>
  <c r="BY63" i="5" s="1"/>
  <c r="CS67" i="5"/>
  <c r="CX79" i="5"/>
  <c r="BX79" i="5" s="1"/>
  <c r="CO87" i="5"/>
  <c r="BO87" i="5" s="1"/>
  <c r="AO87" i="5"/>
  <c r="CH91" i="5"/>
  <c r="BH91" i="5" s="1"/>
  <c r="CG95" i="5"/>
  <c r="CY98" i="5"/>
  <c r="BY98" i="5" s="1"/>
  <c r="CS92" i="5"/>
  <c r="CX88" i="5"/>
  <c r="BX88" i="5" s="1"/>
  <c r="CL88" i="5"/>
  <c r="CL84" i="5"/>
  <c r="CR84" i="5"/>
  <c r="BR84" i="5" s="1"/>
  <c r="CZ80" i="5"/>
  <c r="CK80" i="5"/>
  <c r="BK80" i="5" s="1"/>
  <c r="CN76" i="5"/>
  <c r="BN76" i="5" s="1"/>
  <c r="CG72" i="5"/>
  <c r="DA72" i="5"/>
  <c r="CA72" i="5" s="1"/>
  <c r="CO68" i="5"/>
  <c r="CF68" i="5"/>
  <c r="BF68" i="5" s="1"/>
  <c r="CH64" i="5"/>
  <c r="DA64" i="5"/>
  <c r="CA64" i="5" s="1"/>
  <c r="CO60" i="5"/>
  <c r="CT60" i="5"/>
  <c r="BT60" i="5" s="1"/>
  <c r="CG60" i="5"/>
  <c r="CW56" i="5"/>
  <c r="BW56" i="5" s="1"/>
  <c r="CH56" i="5"/>
  <c r="BH56" i="5" s="1"/>
  <c r="AH56" i="5"/>
  <c r="CN56" i="5"/>
  <c r="BN56" i="5" s="1"/>
  <c r="AN56" i="5"/>
  <c r="DB52" i="5"/>
  <c r="CB52" i="5" s="1"/>
  <c r="CP52" i="5"/>
  <c r="BP52" i="5" s="1"/>
  <c r="DD48" i="5"/>
  <c r="CD48" i="5" s="1"/>
  <c r="BD48" i="5"/>
  <c r="CH48" i="5"/>
  <c r="BH48" i="5" s="1"/>
  <c r="CT48" i="5"/>
  <c r="BT48" i="5" s="1"/>
  <c r="CJ48" i="5"/>
  <c r="BJ48" i="5" s="1"/>
  <c r="CS44" i="5"/>
  <c r="BS44" i="5" s="1"/>
  <c r="CH44" i="5"/>
  <c r="CW44" i="5"/>
  <c r="BW44" i="5" s="1"/>
  <c r="DA40" i="5"/>
  <c r="CA40" i="5" s="1"/>
  <c r="CP40" i="5"/>
  <c r="BP40" i="5" s="1"/>
  <c r="DB40" i="5"/>
  <c r="CB40" i="5" s="1"/>
  <c r="CR40" i="5"/>
  <c r="BR40" i="5" s="1"/>
  <c r="CG40" i="5"/>
  <c r="CK36" i="5"/>
  <c r="BK36" i="5" s="1"/>
  <c r="AK36" i="5"/>
  <c r="CZ36" i="5"/>
  <c r="BZ36" i="5" s="1"/>
  <c r="CT32" i="5"/>
  <c r="BT32" i="5" s="1"/>
  <c r="CJ32" i="5"/>
  <c r="CX32" i="5"/>
  <c r="BX32" i="5" s="1"/>
  <c r="CN32" i="5"/>
  <c r="CW28" i="5"/>
  <c r="BW28" i="5" s="1"/>
  <c r="CX28" i="5"/>
  <c r="BX28" i="5" s="1"/>
  <c r="CN28" i="5"/>
  <c r="DB24" i="5"/>
  <c r="CB24" i="5" s="1"/>
  <c r="CR24" i="5"/>
  <c r="CV24" i="5"/>
  <c r="CK24" i="5"/>
  <c r="BK24" i="5" s="1"/>
  <c r="DC20" i="5"/>
  <c r="CC20" i="5" s="1"/>
  <c r="CV20" i="5"/>
  <c r="BV20" i="5" s="1"/>
  <c r="AV20" i="5"/>
  <c r="CN20" i="5"/>
  <c r="BN20" i="5" s="1"/>
  <c r="CW20" i="5"/>
  <c r="BW20" i="5" s="1"/>
  <c r="CO20" i="5"/>
  <c r="CG20" i="5"/>
  <c r="BG20" i="5" s="1"/>
  <c r="DA16" i="5"/>
  <c r="CA16" i="5" s="1"/>
  <c r="CS16" i="5"/>
  <c r="CK16" i="5"/>
  <c r="BK16" i="5" s="1"/>
  <c r="DD16" i="5"/>
  <c r="CD16" i="5" s="1"/>
  <c r="CV16" i="5"/>
  <c r="BV16" i="5" s="1"/>
  <c r="CF16" i="5"/>
  <c r="BF16" i="5" s="1"/>
  <c r="DC12" i="5"/>
  <c r="CC12" i="5" s="1"/>
  <c r="CZ12" i="5"/>
  <c r="BZ12" i="5" s="1"/>
  <c r="CJ12" i="5"/>
  <c r="BJ12" i="5" s="1"/>
  <c r="DA12" i="5"/>
  <c r="CA12" i="5" s="1"/>
  <c r="CS12" i="5"/>
  <c r="BS12" i="5" s="1"/>
  <c r="DC8" i="5"/>
  <c r="CW8" i="5"/>
  <c r="AW8" i="5" s="1"/>
  <c r="CO8" i="5"/>
  <c r="CG8" i="5"/>
  <c r="CZ8" i="5"/>
  <c r="CR8" i="5"/>
  <c r="AR8" i="5" s="1"/>
  <c r="CJ8" i="5"/>
  <c r="CF8" i="5"/>
  <c r="CV8" i="5"/>
  <c r="CG12" i="5"/>
  <c r="BG12" i="5" s="1"/>
  <c r="CW12" i="5"/>
  <c r="BW12" i="5" s="1"/>
  <c r="CS15" i="5"/>
  <c r="BS15" i="5" s="1"/>
  <c r="AS15" i="5"/>
  <c r="CJ16" i="5"/>
  <c r="BJ16" i="5" s="1"/>
  <c r="CZ16" i="5"/>
  <c r="BZ16" i="5" s="1"/>
  <c r="CT19" i="5"/>
  <c r="BT19" i="5" s="1"/>
  <c r="CK20" i="5"/>
  <c r="DA20" i="5"/>
  <c r="CA20" i="5" s="1"/>
  <c r="CG23" i="5"/>
  <c r="CW23" i="5"/>
  <c r="BW23" i="5" s="1"/>
  <c r="CP24" i="5"/>
  <c r="BP24" i="5" s="1"/>
  <c r="AP24" i="5"/>
  <c r="CW27" i="5"/>
  <c r="BW27" i="5" s="1"/>
  <c r="CS28" i="5"/>
  <c r="BS28" i="5" s="1"/>
  <c r="CW31" i="5"/>
  <c r="BW31" i="5" s="1"/>
  <c r="CS32" i="5"/>
  <c r="CW40" i="5"/>
  <c r="BW40" i="5" s="1"/>
  <c r="CK43" i="5"/>
  <c r="BK43" i="5" s="1"/>
  <c r="CG44" i="5"/>
  <c r="BG44" i="5" s="1"/>
  <c r="DB44" i="5"/>
  <c r="CB44" i="5" s="1"/>
  <c r="CH47" i="5"/>
  <c r="CJ52" i="5"/>
  <c r="BJ52" i="5" s="1"/>
  <c r="AJ52" i="5"/>
  <c r="DB60" i="5"/>
  <c r="CB60" i="5" s="1"/>
  <c r="CQ63" i="5"/>
  <c r="CT64" i="5"/>
  <c r="BT64" i="5" s="1"/>
  <c r="CI67" i="5"/>
  <c r="BI67" i="5" s="1"/>
  <c r="AI67" i="5"/>
  <c r="CL68" i="5"/>
  <c r="BL68" i="5" s="1"/>
  <c r="CF72" i="5"/>
  <c r="CW75" i="5"/>
  <c r="BW75" i="5" s="1"/>
  <c r="CZ76" i="5"/>
  <c r="BZ76" i="5" s="1"/>
  <c r="CO79" i="5"/>
  <c r="BO79" i="5" s="1"/>
  <c r="CK84" i="5"/>
  <c r="BK84" i="5" s="1"/>
  <c r="CF88" i="5"/>
  <c r="BF88" i="5" s="1"/>
  <c r="DB91" i="5"/>
  <c r="CB91" i="5" s="1"/>
  <c r="CL94" i="5"/>
  <c r="BL94" i="5" s="1"/>
  <c r="CW95" i="5"/>
  <c r="CU99" i="5"/>
  <c r="BU99" i="5" s="1"/>
  <c r="CI6" i="5"/>
  <c r="CY6" i="5"/>
  <c r="CM10" i="5"/>
  <c r="BM10" i="5" s="1"/>
  <c r="CU18" i="5"/>
  <c r="BU18" i="5" s="1"/>
  <c r="CI22" i="5"/>
  <c r="BI22" i="5" s="1"/>
  <c r="CY22" i="5"/>
  <c r="CL30" i="5"/>
  <c r="BL30" i="5" s="1"/>
  <c r="CM34" i="5"/>
  <c r="BM34" i="5" s="1"/>
  <c r="CV66" i="5"/>
  <c r="BV66" i="5" s="1"/>
  <c r="CM14" i="5"/>
  <c r="DC14" i="5"/>
  <c r="CC14" i="5" s="1"/>
  <c r="CQ18" i="5"/>
  <c r="CU22" i="5"/>
  <c r="BU22" i="5" s="1"/>
  <c r="CZ26" i="5"/>
  <c r="BZ26" i="5" s="1"/>
  <c r="AZ26" i="5"/>
  <c r="CF30" i="5"/>
  <c r="BF30" i="5" s="1"/>
  <c r="DB30" i="5"/>
  <c r="CB30" i="5" s="1"/>
  <c r="CH34" i="5"/>
  <c r="BH34" i="5" s="1"/>
  <c r="DC34" i="5"/>
  <c r="DC70" i="5"/>
  <c r="CC70" i="5" s="1"/>
  <c r="DB97" i="5"/>
  <c r="CB97" i="5" s="1"/>
  <c r="CX97" i="5"/>
  <c r="BX97" i="5" s="1"/>
  <c r="CT97" i="5"/>
  <c r="BT97" i="5" s="1"/>
  <c r="AT97" i="5"/>
  <c r="CP97" i="5"/>
  <c r="BP97" i="5" s="1"/>
  <c r="CL97" i="5"/>
  <c r="CH97" i="5"/>
  <c r="DD97" i="5"/>
  <c r="CD97" i="5" s="1"/>
  <c r="CY97" i="5"/>
  <c r="CS97" i="5"/>
  <c r="BS97" i="5" s="1"/>
  <c r="CN97" i="5"/>
  <c r="CI97" i="5"/>
  <c r="BI97" i="5" s="1"/>
  <c r="AI97" i="5"/>
  <c r="DB89" i="5"/>
  <c r="CX89" i="5"/>
  <c r="CT89" i="5"/>
  <c r="CP89" i="5"/>
  <c r="BP89" i="5" s="1"/>
  <c r="CL89" i="5"/>
  <c r="BL89" i="5" s="1"/>
  <c r="CH89" i="5"/>
  <c r="BH89" i="5" s="1"/>
  <c r="DA89" i="5"/>
  <c r="CA89" i="5" s="1"/>
  <c r="CV89" i="5"/>
  <c r="BV89" i="5" s="1"/>
  <c r="CQ89" i="5"/>
  <c r="BQ89" i="5" s="1"/>
  <c r="CK89" i="5"/>
  <c r="BK89" i="5" s="1"/>
  <c r="CF89" i="5"/>
  <c r="BF89" i="5" s="1"/>
  <c r="DB81" i="5"/>
  <c r="CB81" i="5" s="1"/>
  <c r="CX81" i="5"/>
  <c r="BX81" i="5" s="1"/>
  <c r="CT81" i="5"/>
  <c r="BT81" i="5" s="1"/>
  <c r="CP81" i="5"/>
  <c r="BP81" i="5" s="1"/>
  <c r="CL81" i="5"/>
  <c r="BL81" i="5" s="1"/>
  <c r="CH81" i="5"/>
  <c r="BH81" i="5" s="1"/>
  <c r="DD81" i="5"/>
  <c r="CD81" i="5" s="1"/>
  <c r="CY81" i="5"/>
  <c r="BY81" i="5" s="1"/>
  <c r="CS81" i="5"/>
  <c r="BS81" i="5" s="1"/>
  <c r="CN81" i="5"/>
  <c r="BN81" i="5" s="1"/>
  <c r="CI81" i="5"/>
  <c r="BI81" i="5" s="1"/>
  <c r="DB73" i="5"/>
  <c r="CB73" i="5" s="1"/>
  <c r="CX73" i="5"/>
  <c r="BX73" i="5" s="1"/>
  <c r="CT73" i="5"/>
  <c r="BT73" i="5" s="1"/>
  <c r="CP73" i="5"/>
  <c r="BP73" i="5" s="1"/>
  <c r="CL73" i="5"/>
  <c r="BL73" i="5" s="1"/>
  <c r="CH73" i="5"/>
  <c r="BH73" i="5" s="1"/>
  <c r="DA73" i="5"/>
  <c r="CA73" i="5" s="1"/>
  <c r="CV73" i="5"/>
  <c r="BV73" i="5" s="1"/>
  <c r="CQ73" i="5"/>
  <c r="BQ73" i="5" s="1"/>
  <c r="CK73" i="5"/>
  <c r="BK73" i="5" s="1"/>
  <c r="CF73" i="5"/>
  <c r="BF73" i="5" s="1"/>
  <c r="DB69" i="5"/>
  <c r="CB69" i="5" s="1"/>
  <c r="CX69" i="5"/>
  <c r="BX69" i="5" s="1"/>
  <c r="CT69" i="5"/>
  <c r="BT69" i="5" s="1"/>
  <c r="CP69" i="5"/>
  <c r="BP69" i="5" s="1"/>
  <c r="CL69" i="5"/>
  <c r="BL69" i="5" s="1"/>
  <c r="CH69" i="5"/>
  <c r="BH69" i="5" s="1"/>
  <c r="CZ69" i="5"/>
  <c r="BZ69" i="5" s="1"/>
  <c r="CU69" i="5"/>
  <c r="BU69" i="5" s="1"/>
  <c r="CO69" i="5"/>
  <c r="BO69" i="5" s="1"/>
  <c r="CJ69" i="5"/>
  <c r="BJ69" i="5" s="1"/>
  <c r="DB61" i="5"/>
  <c r="CB61" i="5" s="1"/>
  <c r="CX61" i="5"/>
  <c r="BX61" i="5" s="1"/>
  <c r="CT61" i="5"/>
  <c r="BT61" i="5" s="1"/>
  <c r="CP61" i="5"/>
  <c r="BP61" i="5" s="1"/>
  <c r="CL61" i="5"/>
  <c r="BL61" i="5" s="1"/>
  <c r="CH61" i="5"/>
  <c r="BH61" i="5" s="1"/>
  <c r="DC61" i="5"/>
  <c r="CC61" i="5" s="1"/>
  <c r="CW61" i="5"/>
  <c r="BW61" i="5" s="1"/>
  <c r="CR61" i="5"/>
  <c r="BR61" i="5" s="1"/>
  <c r="CM61" i="5"/>
  <c r="BM61" i="5" s="1"/>
  <c r="CG61" i="5"/>
  <c r="BG61" i="5" s="1"/>
  <c r="DB57" i="5"/>
  <c r="CB57" i="5" s="1"/>
  <c r="BB57" i="5"/>
  <c r="CX57" i="5"/>
  <c r="BX57" i="5" s="1"/>
  <c r="AX57" i="5"/>
  <c r="CT57" i="5"/>
  <c r="BT57" i="5" s="1"/>
  <c r="AT57" i="5"/>
  <c r="CP57" i="5"/>
  <c r="BP57" i="5" s="1"/>
  <c r="AP57" i="5"/>
  <c r="CL57" i="5"/>
  <c r="BL57" i="5" s="1"/>
  <c r="AL57" i="5"/>
  <c r="CH57" i="5"/>
  <c r="BH57" i="5" s="1"/>
  <c r="AH57" i="5"/>
  <c r="DA57" i="5"/>
  <c r="CA57" i="5" s="1"/>
  <c r="BA57" i="5"/>
  <c r="CV57" i="5"/>
  <c r="BV57" i="5" s="1"/>
  <c r="CQ57" i="5"/>
  <c r="BQ57" i="5" s="1"/>
  <c r="CK57" i="5"/>
  <c r="BK57" i="5" s="1"/>
  <c r="CF57" i="5"/>
  <c r="BF57" i="5" s="1"/>
  <c r="DB53" i="5"/>
  <c r="CB53" i="5" s="1"/>
  <c r="CX53" i="5"/>
  <c r="BX53" i="5" s="1"/>
  <c r="CT53" i="5"/>
  <c r="BT53" i="5" s="1"/>
  <c r="CP53" i="5"/>
  <c r="CL53" i="5"/>
  <c r="BL53" i="5" s="1"/>
  <c r="CH53" i="5"/>
  <c r="BH53" i="5" s="1"/>
  <c r="CZ53" i="5"/>
  <c r="BZ53" i="5" s="1"/>
  <c r="CU53" i="5"/>
  <c r="BU53" i="5" s="1"/>
  <c r="AU53" i="5"/>
  <c r="CO53" i="5"/>
  <c r="BO53" i="5" s="1"/>
  <c r="CJ53" i="5"/>
  <c r="BJ53" i="5" s="1"/>
  <c r="DB49" i="5"/>
  <c r="CB49" i="5" s="1"/>
  <c r="CX49" i="5"/>
  <c r="BX49" i="5" s="1"/>
  <c r="CT49" i="5"/>
  <c r="BT49" i="5" s="1"/>
  <c r="CP49" i="5"/>
  <c r="BP49" i="5" s="1"/>
  <c r="CL49" i="5"/>
  <c r="BL49" i="5" s="1"/>
  <c r="CH49" i="5"/>
  <c r="BH49" i="5" s="1"/>
  <c r="DB45" i="5"/>
  <c r="CB45" i="5" s="1"/>
  <c r="CX45" i="5"/>
  <c r="BX45" i="5" s="1"/>
  <c r="CT45" i="5"/>
  <c r="BT45" i="5" s="1"/>
  <c r="CP45" i="5"/>
  <c r="BP45" i="5" s="1"/>
  <c r="AP45" i="5"/>
  <c r="CL45" i="5"/>
  <c r="BL45" i="5" s="1"/>
  <c r="CH45" i="5"/>
  <c r="BH45" i="5" s="1"/>
  <c r="DB37" i="5"/>
  <c r="CB37" i="5" s="1"/>
  <c r="CX37" i="5"/>
  <c r="CT37" i="5"/>
  <c r="BT37" i="5" s="1"/>
  <c r="CP37" i="5"/>
  <c r="BP37" i="5" s="1"/>
  <c r="CL37" i="5"/>
  <c r="BL37" i="5" s="1"/>
  <c r="CH37" i="5"/>
  <c r="BH37" i="5" s="1"/>
  <c r="AH37" i="5"/>
  <c r="DB33" i="5"/>
  <c r="CB33" i="5" s="1"/>
  <c r="CX33" i="5"/>
  <c r="BX33" i="5" s="1"/>
  <c r="CT33" i="5"/>
  <c r="BT33" i="5" s="1"/>
  <c r="CP33" i="5"/>
  <c r="BP33" i="5" s="1"/>
  <c r="CL33" i="5"/>
  <c r="BL33" i="5" s="1"/>
  <c r="CH33" i="5"/>
  <c r="BH33" i="5" s="1"/>
  <c r="DB29" i="5"/>
  <c r="CB29" i="5" s="1"/>
  <c r="CX29" i="5"/>
  <c r="BX29" i="5" s="1"/>
  <c r="CT29" i="5"/>
  <c r="BT29" i="5" s="1"/>
  <c r="CP29" i="5"/>
  <c r="BP29" i="5" s="1"/>
  <c r="CL29" i="5"/>
  <c r="BL29" i="5" s="1"/>
  <c r="CH29" i="5"/>
  <c r="BH29" i="5" s="1"/>
  <c r="AH29" i="5"/>
  <c r="DB25" i="5"/>
  <c r="CB25" i="5" s="1"/>
  <c r="CX25" i="5"/>
  <c r="BX25" i="5" s="1"/>
  <c r="CT25" i="5"/>
  <c r="BT25" i="5" s="1"/>
  <c r="CP25" i="5"/>
  <c r="CL25" i="5"/>
  <c r="BL25" i="5" s="1"/>
  <c r="CH25" i="5"/>
  <c r="BH25" i="5" s="1"/>
  <c r="DA94" i="5"/>
  <c r="CA94" i="5" s="1"/>
  <c r="CW94" i="5"/>
  <c r="BW94" i="5" s="1"/>
  <c r="CS94" i="5"/>
  <c r="BS94" i="5" s="1"/>
  <c r="CO94" i="5"/>
  <c r="BO94" i="5" s="1"/>
  <c r="CK94" i="5"/>
  <c r="BK94" i="5" s="1"/>
  <c r="CG94" i="5"/>
  <c r="BG94" i="5" s="1"/>
  <c r="AG94" i="5"/>
  <c r="DD94" i="5"/>
  <c r="CD94" i="5" s="1"/>
  <c r="CY94" i="5"/>
  <c r="BY94" i="5" s="1"/>
  <c r="CT94" i="5"/>
  <c r="BT94" i="5" s="1"/>
  <c r="CN94" i="5"/>
  <c r="BN94" i="5" s="1"/>
  <c r="CI94" i="5"/>
  <c r="BI94" i="5" s="1"/>
  <c r="DB86" i="5"/>
  <c r="CB86" i="5" s="1"/>
  <c r="CF86" i="5"/>
  <c r="CW74" i="5"/>
  <c r="BW74" i="5" s="1"/>
  <c r="CK74" i="5"/>
  <c r="BK74" i="5" s="1"/>
  <c r="CR74" i="5"/>
  <c r="BR74" i="5" s="1"/>
  <c r="CK66" i="5"/>
  <c r="CU66" i="5"/>
  <c r="BU66" i="5" s="1"/>
  <c r="DA46" i="5"/>
  <c r="CA46" i="5" s="1"/>
  <c r="CK46" i="5"/>
  <c r="BK46" i="5" s="1"/>
  <c r="DD95" i="5"/>
  <c r="CD95" i="5" s="1"/>
  <c r="CZ95" i="5"/>
  <c r="BZ95" i="5" s="1"/>
  <c r="CV95" i="5"/>
  <c r="BV95" i="5" s="1"/>
  <c r="CR95" i="5"/>
  <c r="BR95" i="5" s="1"/>
  <c r="CN95" i="5"/>
  <c r="BN95" i="5" s="1"/>
  <c r="AN95" i="5"/>
  <c r="CJ95" i="5"/>
  <c r="BJ95" i="5" s="1"/>
  <c r="CF95" i="5"/>
  <c r="BF95" i="5" s="1"/>
  <c r="DA95" i="5"/>
  <c r="CA95" i="5" s="1"/>
  <c r="CU95" i="5"/>
  <c r="CP95" i="5"/>
  <c r="BP95" i="5" s="1"/>
  <c r="CK95" i="5"/>
  <c r="BK95" i="5" s="1"/>
  <c r="DD91" i="5"/>
  <c r="CD91" i="5" s="1"/>
  <c r="CZ91" i="5"/>
  <c r="BZ91" i="5" s="1"/>
  <c r="CV91" i="5"/>
  <c r="BV91" i="5" s="1"/>
  <c r="CR91" i="5"/>
  <c r="BR91" i="5" s="1"/>
  <c r="CN91" i="5"/>
  <c r="BN91" i="5" s="1"/>
  <c r="CJ91" i="5"/>
  <c r="BJ91" i="5" s="1"/>
  <c r="AJ91" i="5"/>
  <c r="CF91" i="5"/>
  <c r="BF91" i="5" s="1"/>
  <c r="CY91" i="5"/>
  <c r="BY91" i="5" s="1"/>
  <c r="CT91" i="5"/>
  <c r="BT91" i="5" s="1"/>
  <c r="CO91" i="5"/>
  <c r="BO91" i="5" s="1"/>
  <c r="CI91" i="5"/>
  <c r="BI91" i="5" s="1"/>
  <c r="DD83" i="5"/>
  <c r="CD83" i="5" s="1"/>
  <c r="CZ83" i="5"/>
  <c r="BZ83" i="5" s="1"/>
  <c r="CV83" i="5"/>
  <c r="BV83" i="5" s="1"/>
  <c r="AV83" i="5"/>
  <c r="CR83" i="5"/>
  <c r="BR83" i="5" s="1"/>
  <c r="CN83" i="5"/>
  <c r="BN83" i="5" s="1"/>
  <c r="CJ83" i="5"/>
  <c r="BJ83" i="5" s="1"/>
  <c r="CF83" i="5"/>
  <c r="BF83" i="5" s="1"/>
  <c r="DB83" i="5"/>
  <c r="CB83" i="5" s="1"/>
  <c r="CW83" i="5"/>
  <c r="BW83" i="5" s="1"/>
  <c r="CQ83" i="5"/>
  <c r="BQ83" i="5" s="1"/>
  <c r="CL83" i="5"/>
  <c r="CG83" i="5"/>
  <c r="BG83" i="5" s="1"/>
  <c r="DD75" i="5"/>
  <c r="CD75" i="5" s="1"/>
  <c r="CZ75" i="5"/>
  <c r="BZ75" i="5" s="1"/>
  <c r="CV75" i="5"/>
  <c r="BV75" i="5" s="1"/>
  <c r="AV75" i="5"/>
  <c r="CR75" i="5"/>
  <c r="BR75" i="5" s="1"/>
  <c r="CN75" i="5"/>
  <c r="BN75" i="5" s="1"/>
  <c r="CJ75" i="5"/>
  <c r="BJ75" i="5" s="1"/>
  <c r="CF75" i="5"/>
  <c r="BF75" i="5" s="1"/>
  <c r="CY75" i="5"/>
  <c r="BY75" i="5" s="1"/>
  <c r="CT75" i="5"/>
  <c r="BT75" i="5" s="1"/>
  <c r="CO75" i="5"/>
  <c r="BO75" i="5" s="1"/>
  <c r="CI75" i="5"/>
  <c r="BI75" i="5" s="1"/>
  <c r="DD71" i="5"/>
  <c r="CD71" i="5" s="1"/>
  <c r="CZ71" i="5"/>
  <c r="BZ71" i="5" s="1"/>
  <c r="CV71" i="5"/>
  <c r="BV71" i="5" s="1"/>
  <c r="CR71" i="5"/>
  <c r="BR71" i="5" s="1"/>
  <c r="CN71" i="5"/>
  <c r="BN71" i="5" s="1"/>
  <c r="CJ71" i="5"/>
  <c r="BJ71" i="5" s="1"/>
  <c r="CF71" i="5"/>
  <c r="BF71" i="5" s="1"/>
  <c r="DC71" i="5"/>
  <c r="CC71" i="5" s="1"/>
  <c r="BC71" i="5"/>
  <c r="CX71" i="5"/>
  <c r="BX71" i="5" s="1"/>
  <c r="CS71" i="5"/>
  <c r="BS71" i="5" s="1"/>
  <c r="CM71" i="5"/>
  <c r="BM71" i="5" s="1"/>
  <c r="CH71" i="5"/>
  <c r="DD63" i="5"/>
  <c r="CD63" i="5" s="1"/>
  <c r="CZ63" i="5"/>
  <c r="BZ63" i="5" s="1"/>
  <c r="CV63" i="5"/>
  <c r="BV63" i="5" s="1"/>
  <c r="CR63" i="5"/>
  <c r="BR63" i="5" s="1"/>
  <c r="CN63" i="5"/>
  <c r="BN63" i="5" s="1"/>
  <c r="CJ63" i="5"/>
  <c r="BJ63" i="5" s="1"/>
  <c r="CF63" i="5"/>
  <c r="BF63" i="5" s="1"/>
  <c r="DA63" i="5"/>
  <c r="CA63" i="5" s="1"/>
  <c r="CU63" i="5"/>
  <c r="BU63" i="5" s="1"/>
  <c r="CP63" i="5"/>
  <c r="BP63" i="5" s="1"/>
  <c r="CK63" i="5"/>
  <c r="BK63" i="5" s="1"/>
  <c r="DD55" i="5"/>
  <c r="CD55" i="5" s="1"/>
  <c r="BD55" i="5"/>
  <c r="CZ55" i="5"/>
  <c r="BZ55" i="5" s="1"/>
  <c r="CV55" i="5"/>
  <c r="BV55" i="5" s="1"/>
  <c r="CR55" i="5"/>
  <c r="BR55" i="5" s="1"/>
  <c r="CN55" i="5"/>
  <c r="BN55" i="5" s="1"/>
  <c r="CJ55" i="5"/>
  <c r="BJ55" i="5" s="1"/>
  <c r="CF55" i="5"/>
  <c r="BF55" i="5" s="1"/>
  <c r="DC55" i="5"/>
  <c r="CC55" i="5" s="1"/>
  <c r="CX55" i="5"/>
  <c r="BX55" i="5" s="1"/>
  <c r="CS55" i="5"/>
  <c r="BS55" i="5" s="1"/>
  <c r="CM55" i="5"/>
  <c r="BM55" i="5" s="1"/>
  <c r="CH55" i="5"/>
  <c r="BH55" i="5" s="1"/>
  <c r="DD47" i="5"/>
  <c r="CD47" i="5" s="1"/>
  <c r="CZ47" i="5"/>
  <c r="BZ47" i="5" s="1"/>
  <c r="CV47" i="5"/>
  <c r="BV47" i="5" s="1"/>
  <c r="CR47" i="5"/>
  <c r="BR47" i="5" s="1"/>
  <c r="CN47" i="5"/>
  <c r="BN47" i="5" s="1"/>
  <c r="AN47" i="5"/>
  <c r="CJ47" i="5"/>
  <c r="BJ47" i="5" s="1"/>
  <c r="CF47" i="5"/>
  <c r="BF47" i="5" s="1"/>
  <c r="DD39" i="5"/>
  <c r="CD39" i="5" s="1"/>
  <c r="CZ39" i="5"/>
  <c r="CV39" i="5"/>
  <c r="BV39" i="5" s="1"/>
  <c r="CR39" i="5"/>
  <c r="BR39" i="5" s="1"/>
  <c r="CN39" i="5"/>
  <c r="BN39" i="5" s="1"/>
  <c r="CJ39" i="5"/>
  <c r="BJ39" i="5" s="1"/>
  <c r="CF39" i="5"/>
  <c r="BF39" i="5" s="1"/>
  <c r="DD35" i="5"/>
  <c r="CD35" i="5" s="1"/>
  <c r="CZ35" i="5"/>
  <c r="BZ35" i="5" s="1"/>
  <c r="CV35" i="5"/>
  <c r="BV35" i="5" s="1"/>
  <c r="CR35" i="5"/>
  <c r="BR35" i="5" s="1"/>
  <c r="CN35" i="5"/>
  <c r="BN35" i="5" s="1"/>
  <c r="CJ35" i="5"/>
  <c r="BJ35" i="5" s="1"/>
  <c r="CF35" i="5"/>
  <c r="BF35" i="5" s="1"/>
  <c r="AF35" i="5"/>
  <c r="DD31" i="5"/>
  <c r="CD31" i="5" s="1"/>
  <c r="CZ31" i="5"/>
  <c r="BZ31" i="5" s="1"/>
  <c r="CV31" i="5"/>
  <c r="BV31" i="5" s="1"/>
  <c r="CR31" i="5"/>
  <c r="BR31" i="5" s="1"/>
  <c r="CN31" i="5"/>
  <c r="BN31" i="5" s="1"/>
  <c r="CJ31" i="5"/>
  <c r="BJ31" i="5" s="1"/>
  <c r="CF31" i="5"/>
  <c r="BF31" i="5" s="1"/>
  <c r="DC96" i="5"/>
  <c r="CC96" i="5" s="1"/>
  <c r="CY96" i="5"/>
  <c r="BY96" i="5" s="1"/>
  <c r="CU96" i="5"/>
  <c r="BU96" i="5" s="1"/>
  <c r="CQ96" i="5"/>
  <c r="BQ96" i="5" s="1"/>
  <c r="CM96" i="5"/>
  <c r="BM96" i="5" s="1"/>
  <c r="CI96" i="5"/>
  <c r="BI96" i="5" s="1"/>
  <c r="DB96" i="5"/>
  <c r="CB96" i="5" s="1"/>
  <c r="CW96" i="5"/>
  <c r="BW96" i="5" s="1"/>
  <c r="CR96" i="5"/>
  <c r="BR96" i="5" s="1"/>
  <c r="AR96" i="5"/>
  <c r="CL96" i="5"/>
  <c r="BL96" i="5" s="1"/>
  <c r="CG96" i="5"/>
  <c r="BG96" i="5" s="1"/>
  <c r="DC92" i="5"/>
  <c r="CC92" i="5" s="1"/>
  <c r="CY92" i="5"/>
  <c r="CU92" i="5"/>
  <c r="BU92" i="5" s="1"/>
  <c r="CQ92" i="5"/>
  <c r="BQ92" i="5" s="1"/>
  <c r="CM92" i="5"/>
  <c r="BM92" i="5" s="1"/>
  <c r="CI92" i="5"/>
  <c r="BI92" i="5" s="1"/>
  <c r="DA92" i="5"/>
  <c r="CA92" i="5" s="1"/>
  <c r="CV92" i="5"/>
  <c r="BV92" i="5" s="1"/>
  <c r="CP92" i="5"/>
  <c r="BP92" i="5" s="1"/>
  <c r="CK92" i="5"/>
  <c r="BK92" i="5" s="1"/>
  <c r="CF92" i="5"/>
  <c r="BF92" i="5" s="1"/>
  <c r="DC88" i="5"/>
  <c r="CC88" i="5" s="1"/>
  <c r="CY88" i="5"/>
  <c r="BY88" i="5" s="1"/>
  <c r="CU88" i="5"/>
  <c r="BU88" i="5" s="1"/>
  <c r="AU88" i="5"/>
  <c r="CQ88" i="5"/>
  <c r="BQ88" i="5" s="1"/>
  <c r="CM88" i="5"/>
  <c r="BM88" i="5" s="1"/>
  <c r="CI88" i="5"/>
  <c r="BI88" i="5" s="1"/>
  <c r="CZ88" i="5"/>
  <c r="BZ88" i="5" s="1"/>
  <c r="CT88" i="5"/>
  <c r="CO88" i="5"/>
  <c r="BO88" i="5" s="1"/>
  <c r="CJ88" i="5"/>
  <c r="DC84" i="5"/>
  <c r="CC84" i="5" s="1"/>
  <c r="CY84" i="5"/>
  <c r="CU84" i="5"/>
  <c r="CQ84" i="5"/>
  <c r="BQ84" i="5" s="1"/>
  <c r="CM84" i="5"/>
  <c r="BM84" i="5" s="1"/>
  <c r="AM84" i="5"/>
  <c r="CI84" i="5"/>
  <c r="BI84" i="5" s="1"/>
  <c r="DD84" i="5"/>
  <c r="CD84" i="5" s="1"/>
  <c r="CX84" i="5"/>
  <c r="BX84" i="5" s="1"/>
  <c r="AX84" i="5"/>
  <c r="CS84" i="5"/>
  <c r="BS84" i="5" s="1"/>
  <c r="CN84" i="5"/>
  <c r="BN84" i="5" s="1"/>
  <c r="CH84" i="5"/>
  <c r="BH84" i="5" s="1"/>
  <c r="DC80" i="5"/>
  <c r="CC80" i="5" s="1"/>
  <c r="CY80" i="5"/>
  <c r="BY80" i="5" s="1"/>
  <c r="CU80" i="5"/>
  <c r="BU80" i="5" s="1"/>
  <c r="CQ80" i="5"/>
  <c r="BQ80" i="5" s="1"/>
  <c r="CM80" i="5"/>
  <c r="BM80" i="5" s="1"/>
  <c r="CI80" i="5"/>
  <c r="BI80" i="5" s="1"/>
  <c r="DB80" i="5"/>
  <c r="CB80" i="5" s="1"/>
  <c r="CW80" i="5"/>
  <c r="BW80" i="5" s="1"/>
  <c r="CR80" i="5"/>
  <c r="BR80" i="5" s="1"/>
  <c r="CL80" i="5"/>
  <c r="BL80" i="5" s="1"/>
  <c r="CG80" i="5"/>
  <c r="BG80" i="5" s="1"/>
  <c r="DC76" i="5"/>
  <c r="CC76" i="5" s="1"/>
  <c r="CY76" i="5"/>
  <c r="BY76" i="5" s="1"/>
  <c r="CU76" i="5"/>
  <c r="BU76" i="5" s="1"/>
  <c r="CQ76" i="5"/>
  <c r="BQ76" i="5" s="1"/>
  <c r="CM76" i="5"/>
  <c r="BM76" i="5" s="1"/>
  <c r="CI76" i="5"/>
  <c r="BI76" i="5" s="1"/>
  <c r="DA76" i="5"/>
  <c r="CA76" i="5" s="1"/>
  <c r="CV76" i="5"/>
  <c r="BV76" i="5" s="1"/>
  <c r="CP76" i="5"/>
  <c r="BP76" i="5" s="1"/>
  <c r="CK76" i="5"/>
  <c r="BK76" i="5" s="1"/>
  <c r="CF76" i="5"/>
  <c r="BF76" i="5" s="1"/>
  <c r="DC72" i="5"/>
  <c r="CC72" i="5" s="1"/>
  <c r="CY72" i="5"/>
  <c r="BY72" i="5" s="1"/>
  <c r="CU72" i="5"/>
  <c r="BU72" i="5" s="1"/>
  <c r="CQ72" i="5"/>
  <c r="BQ72" i="5" s="1"/>
  <c r="CM72" i="5"/>
  <c r="BM72" i="5" s="1"/>
  <c r="CI72" i="5"/>
  <c r="BI72" i="5" s="1"/>
  <c r="CZ72" i="5"/>
  <c r="BZ72" i="5" s="1"/>
  <c r="CT72" i="5"/>
  <c r="BT72" i="5" s="1"/>
  <c r="CO72" i="5"/>
  <c r="BO72" i="5" s="1"/>
  <c r="CJ72" i="5"/>
  <c r="BJ72" i="5" s="1"/>
  <c r="DC68" i="5"/>
  <c r="CC68" i="5" s="1"/>
  <c r="CY68" i="5"/>
  <c r="BY68" i="5" s="1"/>
  <c r="CU68" i="5"/>
  <c r="BU68" i="5" s="1"/>
  <c r="CQ68" i="5"/>
  <c r="BQ68" i="5" s="1"/>
  <c r="CM68" i="5"/>
  <c r="BM68" i="5" s="1"/>
  <c r="CI68" i="5"/>
  <c r="BI68" i="5" s="1"/>
  <c r="DD68" i="5"/>
  <c r="CD68" i="5" s="1"/>
  <c r="CX68" i="5"/>
  <c r="BX68" i="5" s="1"/>
  <c r="CS68" i="5"/>
  <c r="BS68" i="5" s="1"/>
  <c r="CN68" i="5"/>
  <c r="BN68" i="5" s="1"/>
  <c r="CH68" i="5"/>
  <c r="BH68" i="5" s="1"/>
  <c r="DC64" i="5"/>
  <c r="CC64" i="5" s="1"/>
  <c r="CY64" i="5"/>
  <c r="BY64" i="5" s="1"/>
  <c r="CU64" i="5"/>
  <c r="BU64" i="5" s="1"/>
  <c r="CQ64" i="5"/>
  <c r="BQ64" i="5" s="1"/>
  <c r="CM64" i="5"/>
  <c r="BM64" i="5" s="1"/>
  <c r="CI64" i="5"/>
  <c r="BI64" i="5" s="1"/>
  <c r="DB64" i="5"/>
  <c r="CB64" i="5" s="1"/>
  <c r="CW64" i="5"/>
  <c r="BW64" i="5" s="1"/>
  <c r="CR64" i="5"/>
  <c r="BR64" i="5" s="1"/>
  <c r="CL64" i="5"/>
  <c r="BL64" i="5" s="1"/>
  <c r="CG64" i="5"/>
  <c r="BG64" i="5" s="1"/>
  <c r="DC60" i="5"/>
  <c r="CC60" i="5" s="1"/>
  <c r="CY60" i="5"/>
  <c r="BY60" i="5" s="1"/>
  <c r="CU60" i="5"/>
  <c r="BU60" i="5" s="1"/>
  <c r="CQ60" i="5"/>
  <c r="BQ60" i="5" s="1"/>
  <c r="CM60" i="5"/>
  <c r="BM60" i="5" s="1"/>
  <c r="CI60" i="5"/>
  <c r="BI60" i="5" s="1"/>
  <c r="DA60" i="5"/>
  <c r="CA60" i="5" s="1"/>
  <c r="CV60" i="5"/>
  <c r="BV60" i="5" s="1"/>
  <c r="CP60" i="5"/>
  <c r="BP60" i="5" s="1"/>
  <c r="CK60" i="5"/>
  <c r="BK60" i="5" s="1"/>
  <c r="CF60" i="5"/>
  <c r="BF60" i="5" s="1"/>
  <c r="DC56" i="5"/>
  <c r="CC56" i="5" s="1"/>
  <c r="CY56" i="5"/>
  <c r="BY56" i="5" s="1"/>
  <c r="CU56" i="5"/>
  <c r="BU56" i="5" s="1"/>
  <c r="CQ56" i="5"/>
  <c r="BQ56" i="5" s="1"/>
  <c r="CM56" i="5"/>
  <c r="BM56" i="5" s="1"/>
  <c r="CI56" i="5"/>
  <c r="BI56" i="5" s="1"/>
  <c r="CZ56" i="5"/>
  <c r="BZ56" i="5" s="1"/>
  <c r="CT56" i="5"/>
  <c r="BT56" i="5" s="1"/>
  <c r="CO56" i="5"/>
  <c r="BO56" i="5" s="1"/>
  <c r="CJ56" i="5"/>
  <c r="BJ56" i="5" s="1"/>
  <c r="DC52" i="5"/>
  <c r="CC52" i="5" s="1"/>
  <c r="CY52" i="5"/>
  <c r="BY52" i="5" s="1"/>
  <c r="CU52" i="5"/>
  <c r="BU52" i="5" s="1"/>
  <c r="CQ52" i="5"/>
  <c r="BQ52" i="5" s="1"/>
  <c r="CM52" i="5"/>
  <c r="BM52" i="5" s="1"/>
  <c r="CI52" i="5"/>
  <c r="BI52" i="5" s="1"/>
  <c r="DD52" i="5"/>
  <c r="CD52" i="5" s="1"/>
  <c r="CX52" i="5"/>
  <c r="BX52" i="5" s="1"/>
  <c r="CS52" i="5"/>
  <c r="BS52" i="5" s="1"/>
  <c r="CN52" i="5"/>
  <c r="BN52" i="5" s="1"/>
  <c r="CH52" i="5"/>
  <c r="BH52" i="5" s="1"/>
  <c r="DC48" i="5"/>
  <c r="CC48" i="5" s="1"/>
  <c r="CY48" i="5"/>
  <c r="BY48" i="5" s="1"/>
  <c r="CU48" i="5"/>
  <c r="BU48" i="5" s="1"/>
  <c r="CQ48" i="5"/>
  <c r="BQ48" i="5" s="1"/>
  <c r="CM48" i="5"/>
  <c r="BM48" i="5" s="1"/>
  <c r="CI48" i="5"/>
  <c r="BI48" i="5" s="1"/>
  <c r="DC44" i="5"/>
  <c r="CC44" i="5" s="1"/>
  <c r="CY44" i="5"/>
  <c r="BY44" i="5" s="1"/>
  <c r="CU44" i="5"/>
  <c r="BU44" i="5" s="1"/>
  <c r="CQ44" i="5"/>
  <c r="BQ44" i="5" s="1"/>
  <c r="CM44" i="5"/>
  <c r="BM44" i="5" s="1"/>
  <c r="CI44" i="5"/>
  <c r="BI44" i="5" s="1"/>
  <c r="DC40" i="5"/>
  <c r="CC40" i="5" s="1"/>
  <c r="CY40" i="5"/>
  <c r="BY40" i="5" s="1"/>
  <c r="CU40" i="5"/>
  <c r="BU40" i="5" s="1"/>
  <c r="CQ40" i="5"/>
  <c r="BQ40" i="5" s="1"/>
  <c r="CM40" i="5"/>
  <c r="BM40" i="5" s="1"/>
  <c r="CI40" i="5"/>
  <c r="BI40" i="5" s="1"/>
  <c r="DC36" i="5"/>
  <c r="CC36" i="5" s="1"/>
  <c r="CY36" i="5"/>
  <c r="BY36" i="5" s="1"/>
  <c r="CU36" i="5"/>
  <c r="BU36" i="5" s="1"/>
  <c r="CQ36" i="5"/>
  <c r="BQ36" i="5" s="1"/>
  <c r="CM36" i="5"/>
  <c r="BM36" i="5" s="1"/>
  <c r="CI36" i="5"/>
  <c r="BI36" i="5" s="1"/>
  <c r="DC32" i="5"/>
  <c r="CC32" i="5" s="1"/>
  <c r="CY32" i="5"/>
  <c r="BY32" i="5" s="1"/>
  <c r="CU32" i="5"/>
  <c r="BU32" i="5" s="1"/>
  <c r="CQ32" i="5"/>
  <c r="BQ32" i="5" s="1"/>
  <c r="CM32" i="5"/>
  <c r="BM32" i="5" s="1"/>
  <c r="CI32" i="5"/>
  <c r="BI32" i="5" s="1"/>
  <c r="DC28" i="5"/>
  <c r="CC28" i="5" s="1"/>
  <c r="CY28" i="5"/>
  <c r="BY28" i="5" s="1"/>
  <c r="CU28" i="5"/>
  <c r="BU28" i="5" s="1"/>
  <c r="CQ28" i="5"/>
  <c r="BQ28" i="5" s="1"/>
  <c r="CM28" i="5"/>
  <c r="BM28" i="5" s="1"/>
  <c r="CI28" i="5"/>
  <c r="BI28" i="5" s="1"/>
  <c r="DC24" i="5"/>
  <c r="CC24" i="5" s="1"/>
  <c r="CY24" i="5"/>
  <c r="BY24" i="5" s="1"/>
  <c r="CU24" i="5"/>
  <c r="BU24" i="5" s="1"/>
  <c r="CQ24" i="5"/>
  <c r="BQ24" i="5" s="1"/>
  <c r="CM24" i="5"/>
  <c r="BM24" i="5" s="1"/>
  <c r="CI24" i="5"/>
  <c r="BI24" i="5" s="1"/>
  <c r="CF13" i="5"/>
  <c r="BF13" i="5" s="1"/>
  <c r="CJ13" i="5"/>
  <c r="BJ13" i="5" s="1"/>
  <c r="CN13" i="5"/>
  <c r="BN13" i="5" s="1"/>
  <c r="CR13" i="5"/>
  <c r="BR13" i="5" s="1"/>
  <c r="CV13" i="5"/>
  <c r="BV13" i="5" s="1"/>
  <c r="CZ13" i="5"/>
  <c r="BZ13" i="5" s="1"/>
  <c r="DD13" i="5"/>
  <c r="CD13" i="5" s="1"/>
  <c r="CF17" i="5"/>
  <c r="BF17" i="5" s="1"/>
  <c r="CJ17" i="5"/>
  <c r="BJ17" i="5" s="1"/>
  <c r="CN17" i="5"/>
  <c r="BN17" i="5" s="1"/>
  <c r="CR17" i="5"/>
  <c r="BR17" i="5" s="1"/>
  <c r="CV17" i="5"/>
  <c r="BV17" i="5" s="1"/>
  <c r="CZ17" i="5"/>
  <c r="BZ17" i="5" s="1"/>
  <c r="DD17" i="5"/>
  <c r="CD17" i="5" s="1"/>
  <c r="CF21" i="5"/>
  <c r="BF21" i="5" s="1"/>
  <c r="CJ21" i="5"/>
  <c r="BJ21" i="5" s="1"/>
  <c r="CN21" i="5"/>
  <c r="BN21" i="5" s="1"/>
  <c r="CR21" i="5"/>
  <c r="BR21" i="5" s="1"/>
  <c r="CV21" i="5"/>
  <c r="BV21" i="5" s="1"/>
  <c r="CZ21" i="5"/>
  <c r="BZ21" i="5" s="1"/>
  <c r="DD21" i="5"/>
  <c r="CD21" i="5" s="1"/>
  <c r="CF33" i="5"/>
  <c r="BF33" i="5" s="1"/>
  <c r="CK33" i="5"/>
  <c r="BK33" i="5" s="1"/>
  <c r="CQ33" i="5"/>
  <c r="BQ33" i="5" s="1"/>
  <c r="CV33" i="5"/>
  <c r="BV33" i="5" s="1"/>
  <c r="DA33" i="5"/>
  <c r="CA33" i="5" s="1"/>
  <c r="CG37" i="5"/>
  <c r="BG37" i="5" s="1"/>
  <c r="CM37" i="5"/>
  <c r="BM37" i="5" s="1"/>
  <c r="CR37" i="5"/>
  <c r="BR37" i="5" s="1"/>
  <c r="CW37" i="5"/>
  <c r="BW37" i="5" s="1"/>
  <c r="DC37" i="5"/>
  <c r="CC37" i="5" s="1"/>
  <c r="CI41" i="5"/>
  <c r="BI41" i="5" s="1"/>
  <c r="CN41" i="5"/>
  <c r="BN41" i="5" s="1"/>
  <c r="CS41" i="5"/>
  <c r="BS41" i="5" s="1"/>
  <c r="CY41" i="5"/>
  <c r="BY41" i="5" s="1"/>
  <c r="DD41" i="5"/>
  <c r="CD41" i="5" s="1"/>
  <c r="CJ45" i="5"/>
  <c r="BJ45" i="5" s="1"/>
  <c r="CO45" i="5"/>
  <c r="BO45" i="5" s="1"/>
  <c r="CU45" i="5"/>
  <c r="BU45" i="5" s="1"/>
  <c r="CZ45" i="5"/>
  <c r="BZ45" i="5" s="1"/>
  <c r="CF49" i="5"/>
  <c r="BF49" i="5" s="1"/>
  <c r="CK49" i="5"/>
  <c r="BK49" i="5" s="1"/>
  <c r="CQ49" i="5"/>
  <c r="BQ49" i="5" s="1"/>
  <c r="CV49" i="5"/>
  <c r="BV49" i="5" s="1"/>
  <c r="DA49" i="5"/>
  <c r="CA49" i="5" s="1"/>
  <c r="CK69" i="5"/>
  <c r="BK69" i="5" s="1"/>
  <c r="CR69" i="5"/>
  <c r="BR69" i="5" s="1"/>
  <c r="CY69" i="5"/>
  <c r="BY69" i="5" s="1"/>
  <c r="CJ77" i="5"/>
  <c r="BJ77" i="5" s="1"/>
  <c r="CQ77" i="5"/>
  <c r="BQ77" i="5" s="1"/>
  <c r="CY77" i="5"/>
  <c r="BY77" i="5" s="1"/>
  <c r="CQ85" i="5"/>
  <c r="BQ85" i="5" s="1"/>
  <c r="CL10" i="5"/>
  <c r="BL10" i="5" s="1"/>
  <c r="DB10" i="5"/>
  <c r="CB10" i="5" s="1"/>
  <c r="CI17" i="5"/>
  <c r="BI17" i="5" s="1"/>
  <c r="CM17" i="5"/>
  <c r="BM17" i="5" s="1"/>
  <c r="CQ17" i="5"/>
  <c r="BQ17" i="5" s="1"/>
  <c r="CU17" i="5"/>
  <c r="BU17" i="5" s="1"/>
  <c r="CY17" i="5"/>
  <c r="BY17" i="5" s="1"/>
  <c r="DC17" i="5"/>
  <c r="CC17" i="5" s="1"/>
  <c r="CH18" i="5"/>
  <c r="BH18" i="5" s="1"/>
  <c r="CL18" i="5"/>
  <c r="BL18" i="5" s="1"/>
  <c r="CP18" i="5"/>
  <c r="BP18" i="5" s="1"/>
  <c r="CT18" i="5"/>
  <c r="BT18" i="5" s="1"/>
  <c r="CX18" i="5"/>
  <c r="BX18" i="5" s="1"/>
  <c r="DB18" i="5"/>
  <c r="CB18" i="5" s="1"/>
  <c r="CI21" i="5"/>
  <c r="BI21" i="5" s="1"/>
  <c r="CM21" i="5"/>
  <c r="BM21" i="5" s="1"/>
  <c r="CQ21" i="5"/>
  <c r="BQ21" i="5" s="1"/>
  <c r="CU21" i="5"/>
  <c r="BU21" i="5" s="1"/>
  <c r="CY21" i="5"/>
  <c r="BY21" i="5" s="1"/>
  <c r="DC21" i="5"/>
  <c r="CC21" i="5" s="1"/>
  <c r="CH22" i="5"/>
  <c r="BH22" i="5" s="1"/>
  <c r="CL22" i="5"/>
  <c r="BL22" i="5" s="1"/>
  <c r="CP22" i="5"/>
  <c r="BP22" i="5" s="1"/>
  <c r="CT22" i="5"/>
  <c r="BT22" i="5" s="1"/>
  <c r="CX22" i="5"/>
  <c r="BX22" i="5" s="1"/>
  <c r="DB22" i="5"/>
  <c r="CB22" i="5" s="1"/>
  <c r="CG25" i="5"/>
  <c r="BG25" i="5" s="1"/>
  <c r="CM25" i="5"/>
  <c r="BM25" i="5" s="1"/>
  <c r="CR25" i="5"/>
  <c r="BR25" i="5" s="1"/>
  <c r="CW25" i="5"/>
  <c r="BW25" i="5" s="1"/>
  <c r="DC25" i="5"/>
  <c r="CC25" i="5" s="1"/>
  <c r="CI26" i="5"/>
  <c r="BI26" i="5" s="1"/>
  <c r="CN26" i="5"/>
  <c r="BN26" i="5" s="1"/>
  <c r="CT26" i="5"/>
  <c r="BT26" i="5" s="1"/>
  <c r="CY26" i="5"/>
  <c r="BY26" i="5" s="1"/>
  <c r="DD26" i="5"/>
  <c r="CD26" i="5" s="1"/>
  <c r="CI29" i="5"/>
  <c r="BI29" i="5" s="1"/>
  <c r="CN29" i="5"/>
  <c r="BN29" i="5" s="1"/>
  <c r="CS29" i="5"/>
  <c r="BS29" i="5" s="1"/>
  <c r="CY29" i="5"/>
  <c r="BY29" i="5" s="1"/>
  <c r="DD29" i="5"/>
  <c r="CD29" i="5" s="1"/>
  <c r="CJ30" i="5"/>
  <c r="BJ30" i="5" s="1"/>
  <c r="CP30" i="5"/>
  <c r="BP30" i="5" s="1"/>
  <c r="CU30" i="5"/>
  <c r="BU30" i="5" s="1"/>
  <c r="CZ30" i="5"/>
  <c r="BZ30" i="5" s="1"/>
  <c r="CJ33" i="5"/>
  <c r="BJ33" i="5" s="1"/>
  <c r="CO33" i="5"/>
  <c r="BO33" i="5" s="1"/>
  <c r="CU33" i="5"/>
  <c r="BU33" i="5" s="1"/>
  <c r="CZ33" i="5"/>
  <c r="BZ33" i="5" s="1"/>
  <c r="CF34" i="5"/>
  <c r="BF34" i="5" s="1"/>
  <c r="CL34" i="5"/>
  <c r="BL34" i="5" s="1"/>
  <c r="CQ34" i="5"/>
  <c r="BQ34" i="5" s="1"/>
  <c r="CV34" i="5"/>
  <c r="BV34" i="5" s="1"/>
  <c r="DB34" i="5"/>
  <c r="CB34" i="5" s="1"/>
  <c r="CF37" i="5"/>
  <c r="BF37" i="5" s="1"/>
  <c r="CK37" i="5"/>
  <c r="BK37" i="5" s="1"/>
  <c r="CQ37" i="5"/>
  <c r="BQ37" i="5" s="1"/>
  <c r="CV37" i="5"/>
  <c r="BV37" i="5" s="1"/>
  <c r="DA37" i="5"/>
  <c r="CA37" i="5" s="1"/>
  <c r="CM38" i="5"/>
  <c r="BM38" i="5" s="1"/>
  <c r="CX38" i="5"/>
  <c r="BX38" i="5" s="1"/>
  <c r="CN45" i="5"/>
  <c r="BN45" i="5" s="1"/>
  <c r="CS45" i="5"/>
  <c r="BS45" i="5" s="1"/>
  <c r="CY45" i="5"/>
  <c r="BY45" i="5" s="1"/>
  <c r="DD45" i="5"/>
  <c r="CD45" i="5" s="1"/>
  <c r="CJ46" i="5"/>
  <c r="BJ46" i="5" s="1"/>
  <c r="CU46" i="5"/>
  <c r="BU46" i="5" s="1"/>
  <c r="CJ49" i="5"/>
  <c r="BJ49" i="5" s="1"/>
  <c r="CO49" i="5"/>
  <c r="BO49" i="5" s="1"/>
  <c r="CU49" i="5"/>
  <c r="BU49" i="5" s="1"/>
  <c r="CZ49" i="5"/>
  <c r="BZ49" i="5" s="1"/>
  <c r="CF50" i="5"/>
  <c r="BF50" i="5" s="1"/>
  <c r="CQ50" i="5"/>
  <c r="BQ50" i="5" s="1"/>
  <c r="DB50" i="5"/>
  <c r="CB50" i="5" s="1"/>
  <c r="CK53" i="5"/>
  <c r="BK53" i="5" s="1"/>
  <c r="CY53" i="5"/>
  <c r="BY53" i="5" s="1"/>
  <c r="CJ57" i="5"/>
  <c r="BJ57" i="5" s="1"/>
  <c r="CR57" i="5"/>
  <c r="BR57" i="5" s="1"/>
  <c r="CY57" i="5"/>
  <c r="BY57" i="5" s="1"/>
  <c r="CF58" i="5"/>
  <c r="BF58" i="5" s="1"/>
  <c r="CU58" i="5"/>
  <c r="BU58" i="5" s="1"/>
  <c r="CJ65" i="5"/>
  <c r="BJ65" i="5" s="1"/>
  <c r="CQ65" i="5"/>
  <c r="BQ65" i="5" s="1"/>
  <c r="CW65" i="5"/>
  <c r="BW65" i="5" s="1"/>
  <c r="CM66" i="5"/>
  <c r="BM66" i="5" s="1"/>
  <c r="DB66" i="5"/>
  <c r="CB66" i="5" s="1"/>
  <c r="CI73" i="5"/>
  <c r="BI73" i="5" s="1"/>
  <c r="CO73" i="5"/>
  <c r="BO73" i="5" s="1"/>
  <c r="CW73" i="5"/>
  <c r="BW73" i="5" s="1"/>
  <c r="DD73" i="5"/>
  <c r="CD73" i="5" s="1"/>
  <c r="CT74" i="5"/>
  <c r="BT74" i="5" s="1"/>
  <c r="CG81" i="5"/>
  <c r="BG81" i="5" s="1"/>
  <c r="CO81" i="5"/>
  <c r="BO81" i="5" s="1"/>
  <c r="CV81" i="5"/>
  <c r="BV81" i="5" s="1"/>
  <c r="DC81" i="5"/>
  <c r="CC81" i="5" s="1"/>
  <c r="CL82" i="5"/>
  <c r="BL82" i="5" s="1"/>
  <c r="CY82" i="5"/>
  <c r="BY82" i="5" s="1"/>
  <c r="CG89" i="5"/>
  <c r="BG89" i="5" s="1"/>
  <c r="CN89" i="5"/>
  <c r="BN89" i="5" s="1"/>
  <c r="CU89" i="5"/>
  <c r="BU89" i="5" s="1"/>
  <c r="DC89" i="5"/>
  <c r="CC89" i="5" s="1"/>
  <c r="CQ90" i="5"/>
  <c r="BQ90" i="5" s="1"/>
  <c r="CF6" i="5"/>
  <c r="CJ6" i="5"/>
  <c r="CN6" i="5"/>
  <c r="CR6" i="5"/>
  <c r="CV6" i="5"/>
  <c r="CZ6" i="5"/>
  <c r="DD6" i="5"/>
  <c r="CI7" i="5"/>
  <c r="BI7" i="5" s="1"/>
  <c r="CY7" i="5"/>
  <c r="BY7" i="5" s="1"/>
  <c r="CH8" i="5"/>
  <c r="CL8" i="5"/>
  <c r="CP8" i="5"/>
  <c r="AP8" i="5" s="1"/>
  <c r="CT8" i="5"/>
  <c r="CX8" i="5"/>
  <c r="DB8" i="5"/>
  <c r="CF10" i="5"/>
  <c r="BF10" i="5" s="1"/>
  <c r="CN10" i="5"/>
  <c r="BN10" i="5" s="1"/>
  <c r="CV10" i="5"/>
  <c r="BV10" i="5" s="1"/>
  <c r="DD10" i="5"/>
  <c r="CD10" i="5" s="1"/>
  <c r="CI11" i="5"/>
  <c r="BI11" i="5" s="1"/>
  <c r="CM11" i="5"/>
  <c r="BM11" i="5" s="1"/>
  <c r="CQ11" i="5"/>
  <c r="BQ11" i="5" s="1"/>
  <c r="AQ11" i="5"/>
  <c r="CU11" i="5"/>
  <c r="BU11" i="5" s="1"/>
  <c r="CY11" i="5"/>
  <c r="BY11" i="5" s="1"/>
  <c r="DC11" i="5"/>
  <c r="CC11" i="5" s="1"/>
  <c r="CH12" i="5"/>
  <c r="CL12" i="5"/>
  <c r="CP12" i="5"/>
  <c r="CT12" i="5"/>
  <c r="CX12" i="5"/>
  <c r="DB12" i="5"/>
  <c r="CG13" i="5"/>
  <c r="CK13" i="5"/>
  <c r="CO13" i="5"/>
  <c r="CS13" i="5"/>
  <c r="CW13" i="5"/>
  <c r="DA13" i="5"/>
  <c r="CF14" i="5"/>
  <c r="CJ14" i="5"/>
  <c r="CN14" i="5"/>
  <c r="CR14" i="5"/>
  <c r="CV14" i="5"/>
  <c r="CZ14" i="5"/>
  <c r="DD14" i="5"/>
  <c r="CI15" i="5"/>
  <c r="CM15" i="5"/>
  <c r="CQ15" i="5"/>
  <c r="CU15" i="5"/>
  <c r="CY15" i="5"/>
  <c r="DC15" i="5"/>
  <c r="CH16" i="5"/>
  <c r="CL16" i="5"/>
  <c r="CP16" i="5"/>
  <c r="CT16" i="5"/>
  <c r="CX16" i="5"/>
  <c r="DB16" i="5"/>
  <c r="CG17" i="5"/>
  <c r="CK17" i="5"/>
  <c r="CO17" i="5"/>
  <c r="CS17" i="5"/>
  <c r="CW17" i="5"/>
  <c r="DA17" i="5"/>
  <c r="CF18" i="5"/>
  <c r="CJ18" i="5"/>
  <c r="CN18" i="5"/>
  <c r="CR18" i="5"/>
  <c r="CV18" i="5"/>
  <c r="CZ18" i="5"/>
  <c r="DD18" i="5"/>
  <c r="CI19" i="5"/>
  <c r="CM19" i="5"/>
  <c r="CQ19" i="5"/>
  <c r="CU19" i="5"/>
  <c r="CY19" i="5"/>
  <c r="DC19" i="5"/>
  <c r="CH20" i="5"/>
  <c r="CL20" i="5"/>
  <c r="CP20" i="5"/>
  <c r="CT20" i="5"/>
  <c r="CX20" i="5"/>
  <c r="DB20" i="5"/>
  <c r="CG21" i="5"/>
  <c r="CK21" i="5"/>
  <c r="CO21" i="5"/>
  <c r="CS21" i="5"/>
  <c r="CW21" i="5"/>
  <c r="DA21" i="5"/>
  <c r="CF22" i="5"/>
  <c r="CJ22" i="5"/>
  <c r="CN22" i="5"/>
  <c r="CR22" i="5"/>
  <c r="CV22" i="5"/>
  <c r="CZ22" i="5"/>
  <c r="DD22" i="5"/>
  <c r="CI23" i="5"/>
  <c r="CM23" i="5"/>
  <c r="CQ23" i="5"/>
  <c r="CU23" i="5"/>
  <c r="CY23" i="5"/>
  <c r="DC23" i="5"/>
  <c r="CH24" i="5"/>
  <c r="BH24" i="5" s="1"/>
  <c r="CN24" i="5"/>
  <c r="CS24" i="5"/>
  <c r="BS24" i="5" s="1"/>
  <c r="AS24" i="5"/>
  <c r="CX24" i="5"/>
  <c r="DD24" i="5"/>
  <c r="CD24" i="5" s="1"/>
  <c r="BD24" i="5"/>
  <c r="CJ25" i="5"/>
  <c r="CO25" i="5"/>
  <c r="BO25" i="5" s="1"/>
  <c r="CU25" i="5"/>
  <c r="BU25" i="5" s="1"/>
  <c r="AU25" i="5"/>
  <c r="CZ25" i="5"/>
  <c r="BZ25" i="5" s="1"/>
  <c r="CF26" i="5"/>
  <c r="BF26" i="5" s="1"/>
  <c r="AF26" i="5"/>
  <c r="CL26" i="5"/>
  <c r="BL26" i="5" s="1"/>
  <c r="CQ26" i="5"/>
  <c r="BQ26" i="5" s="1"/>
  <c r="AQ26" i="5"/>
  <c r="CV26" i="5"/>
  <c r="BV26" i="5" s="1"/>
  <c r="CH27" i="5"/>
  <c r="BH27" i="5" s="1"/>
  <c r="AH27" i="5"/>
  <c r="CM27" i="5"/>
  <c r="BM27" i="5" s="1"/>
  <c r="CS27" i="5"/>
  <c r="BS27" i="5" s="1"/>
  <c r="AS27" i="5"/>
  <c r="CX27" i="5"/>
  <c r="BX27" i="5" s="1"/>
  <c r="CJ28" i="5"/>
  <c r="BJ28" i="5" s="1"/>
  <c r="AJ28" i="5"/>
  <c r="CO28" i="5"/>
  <c r="BO28" i="5" s="1"/>
  <c r="CT28" i="5"/>
  <c r="BT28" i="5" s="1"/>
  <c r="AT28" i="5"/>
  <c r="CZ28" i="5"/>
  <c r="BZ28" i="5" s="1"/>
  <c r="CF29" i="5"/>
  <c r="BF29" i="5" s="1"/>
  <c r="AF29" i="5"/>
  <c r="CK29" i="5"/>
  <c r="BK29" i="5" s="1"/>
  <c r="CQ29" i="5"/>
  <c r="BQ29" i="5" s="1"/>
  <c r="AQ29" i="5"/>
  <c r="CV29" i="5"/>
  <c r="BV29" i="5" s="1"/>
  <c r="DA29" i="5"/>
  <c r="CA29" i="5" s="1"/>
  <c r="BA29" i="5"/>
  <c r="CH30" i="5"/>
  <c r="BH30" i="5" s="1"/>
  <c r="CM30" i="5"/>
  <c r="BM30" i="5" s="1"/>
  <c r="AM30" i="5"/>
  <c r="CR30" i="5"/>
  <c r="BR30" i="5" s="1"/>
  <c r="CX30" i="5"/>
  <c r="BX30" i="5" s="1"/>
  <c r="AX30" i="5"/>
  <c r="CI31" i="5"/>
  <c r="BI31" i="5" s="1"/>
  <c r="CO31" i="5"/>
  <c r="BO31" i="5" s="1"/>
  <c r="AO31" i="5"/>
  <c r="CT31" i="5"/>
  <c r="BT31" i="5" s="1"/>
  <c r="CY31" i="5"/>
  <c r="BY31" i="5" s="1"/>
  <c r="AY31" i="5"/>
  <c r="CF32" i="5"/>
  <c r="BF32" i="5" s="1"/>
  <c r="CK32" i="5"/>
  <c r="BK32" i="5" s="1"/>
  <c r="AK32" i="5"/>
  <c r="CP32" i="5"/>
  <c r="BP32" i="5" s="1"/>
  <c r="CV32" i="5"/>
  <c r="BV32" i="5" s="1"/>
  <c r="AV32" i="5"/>
  <c r="DA32" i="5"/>
  <c r="CA32" i="5" s="1"/>
  <c r="CG33" i="5"/>
  <c r="BG33" i="5" s="1"/>
  <c r="AG33" i="5"/>
  <c r="CM33" i="5"/>
  <c r="BM33" i="5" s="1"/>
  <c r="CR33" i="5"/>
  <c r="BR33" i="5" s="1"/>
  <c r="AR33" i="5"/>
  <c r="CW33" i="5"/>
  <c r="BW33" i="5" s="1"/>
  <c r="DC33" i="5"/>
  <c r="CC33" i="5" s="1"/>
  <c r="BC33" i="5"/>
  <c r="CI34" i="5"/>
  <c r="BI34" i="5" s="1"/>
  <c r="CN34" i="5"/>
  <c r="BN34" i="5" s="1"/>
  <c r="AN34" i="5"/>
  <c r="CT34" i="5"/>
  <c r="BT34" i="5" s="1"/>
  <c r="CY34" i="5"/>
  <c r="BY34" i="5" s="1"/>
  <c r="AY34" i="5"/>
  <c r="CK35" i="5"/>
  <c r="BK35" i="5" s="1"/>
  <c r="CP35" i="5"/>
  <c r="BP35" i="5" s="1"/>
  <c r="AP35" i="5"/>
  <c r="CU35" i="5"/>
  <c r="BU35" i="5" s="1"/>
  <c r="DA35" i="5"/>
  <c r="CA35" i="5" s="1"/>
  <c r="BA35" i="5"/>
  <c r="CG36" i="5"/>
  <c r="BG36" i="5" s="1"/>
  <c r="CL36" i="5"/>
  <c r="BL36" i="5" s="1"/>
  <c r="AL36" i="5"/>
  <c r="CR36" i="5"/>
  <c r="BR36" i="5" s="1"/>
  <c r="CW36" i="5"/>
  <c r="BW36" i="5" s="1"/>
  <c r="AW36" i="5"/>
  <c r="DB36" i="5"/>
  <c r="CB36" i="5" s="1"/>
  <c r="CI37" i="5"/>
  <c r="BI37" i="5" s="1"/>
  <c r="AI37" i="5"/>
  <c r="CN37" i="5"/>
  <c r="BN37" i="5" s="1"/>
  <c r="CS37" i="5"/>
  <c r="BS37" i="5" s="1"/>
  <c r="AS37" i="5"/>
  <c r="CY37" i="5"/>
  <c r="BY37" i="5" s="1"/>
  <c r="DD37" i="5"/>
  <c r="CD37" i="5" s="1"/>
  <c r="BD37" i="5"/>
  <c r="CJ38" i="5"/>
  <c r="BJ38" i="5" s="1"/>
  <c r="CP38" i="5"/>
  <c r="BP38" i="5" s="1"/>
  <c r="AP38" i="5"/>
  <c r="CU38" i="5"/>
  <c r="BU38" i="5" s="1"/>
  <c r="CG39" i="5"/>
  <c r="BG39" i="5" s="1"/>
  <c r="AG39" i="5"/>
  <c r="CL39" i="5"/>
  <c r="BL39" i="5" s="1"/>
  <c r="CQ39" i="5"/>
  <c r="BQ39" i="5" s="1"/>
  <c r="AQ39" i="5"/>
  <c r="CW39" i="5"/>
  <c r="BW39" i="5" s="1"/>
  <c r="DB39" i="5"/>
  <c r="CB39" i="5" s="1"/>
  <c r="BB39" i="5"/>
  <c r="CH40" i="5"/>
  <c r="BH40" i="5" s="1"/>
  <c r="CN40" i="5"/>
  <c r="BN40" i="5" s="1"/>
  <c r="AN40" i="5"/>
  <c r="CS40" i="5"/>
  <c r="BS40" i="5" s="1"/>
  <c r="CX40" i="5"/>
  <c r="BX40" i="5" s="1"/>
  <c r="AX40" i="5"/>
  <c r="DD40" i="5"/>
  <c r="CD40" i="5" s="1"/>
  <c r="CJ41" i="5"/>
  <c r="BJ41" i="5" s="1"/>
  <c r="AJ41" i="5"/>
  <c r="CO41" i="5"/>
  <c r="BO41" i="5" s="1"/>
  <c r="CU41" i="5"/>
  <c r="BU41" i="5" s="1"/>
  <c r="AU41" i="5"/>
  <c r="CF42" i="5"/>
  <c r="BF42" i="5" s="1"/>
  <c r="CL42" i="5"/>
  <c r="BL42" i="5" s="1"/>
  <c r="AL42" i="5"/>
  <c r="CQ42" i="5"/>
  <c r="BQ42" i="5" s="1"/>
  <c r="CV42" i="5"/>
  <c r="BV42" i="5" s="1"/>
  <c r="AV42" i="5"/>
  <c r="CH43" i="5"/>
  <c r="BH43" i="5" s="1"/>
  <c r="CM43" i="5"/>
  <c r="BM43" i="5" s="1"/>
  <c r="AM43" i="5"/>
  <c r="CS43" i="5"/>
  <c r="BS43" i="5" s="1"/>
  <c r="CX43" i="5"/>
  <c r="BX43" i="5" s="1"/>
  <c r="AX43" i="5"/>
  <c r="CJ44" i="5"/>
  <c r="BJ44" i="5" s="1"/>
  <c r="CO44" i="5"/>
  <c r="BO44" i="5" s="1"/>
  <c r="AO44" i="5"/>
  <c r="CT44" i="5"/>
  <c r="BT44" i="5" s="1"/>
  <c r="CZ44" i="5"/>
  <c r="BZ44" i="5" s="1"/>
  <c r="AZ44" i="5"/>
  <c r="CF45" i="5"/>
  <c r="BF45" i="5" s="1"/>
  <c r="CK45" i="5"/>
  <c r="BK45" i="5" s="1"/>
  <c r="AK45" i="5"/>
  <c r="CQ45" i="5"/>
  <c r="BQ45" i="5" s="1"/>
  <c r="CV45" i="5"/>
  <c r="BV45" i="5" s="1"/>
  <c r="AV45" i="5"/>
  <c r="DA45" i="5"/>
  <c r="CA45" i="5" s="1"/>
  <c r="CH46" i="5"/>
  <c r="BH46" i="5" s="1"/>
  <c r="AH46" i="5"/>
  <c r="CM46" i="5"/>
  <c r="BM46" i="5" s="1"/>
  <c r="CR46" i="5"/>
  <c r="BR46" i="5" s="1"/>
  <c r="AR46" i="5"/>
  <c r="CX46" i="5"/>
  <c r="BX46" i="5" s="1"/>
  <c r="DC46" i="5"/>
  <c r="CC46" i="5" s="1"/>
  <c r="BC46" i="5"/>
  <c r="CI47" i="5"/>
  <c r="BI47" i="5" s="1"/>
  <c r="CO47" i="5"/>
  <c r="BO47" i="5" s="1"/>
  <c r="AO47" i="5"/>
  <c r="CT47" i="5"/>
  <c r="BT47" i="5" s="1"/>
  <c r="CY47" i="5"/>
  <c r="BY47" i="5" s="1"/>
  <c r="AY47" i="5"/>
  <c r="CF48" i="5"/>
  <c r="BF48" i="5" s="1"/>
  <c r="CK48" i="5"/>
  <c r="BK48" i="5" s="1"/>
  <c r="AK48" i="5"/>
  <c r="CP48" i="5"/>
  <c r="BP48" i="5" s="1"/>
  <c r="CV48" i="5"/>
  <c r="BV48" i="5" s="1"/>
  <c r="AV48" i="5"/>
  <c r="DA48" i="5"/>
  <c r="CA48" i="5" s="1"/>
  <c r="CG49" i="5"/>
  <c r="BG49" i="5" s="1"/>
  <c r="AG49" i="5"/>
  <c r="CM49" i="5"/>
  <c r="BM49" i="5" s="1"/>
  <c r="CR49" i="5"/>
  <c r="BR49" i="5" s="1"/>
  <c r="AR49" i="5"/>
  <c r="CW49" i="5"/>
  <c r="BW49" i="5" s="1"/>
  <c r="DC49" i="5"/>
  <c r="CC49" i="5" s="1"/>
  <c r="BC49" i="5"/>
  <c r="CI50" i="5"/>
  <c r="BI50" i="5" s="1"/>
  <c r="CN50" i="5"/>
  <c r="BN50" i="5" s="1"/>
  <c r="CT50" i="5"/>
  <c r="BT50" i="5" s="1"/>
  <c r="CY50" i="5"/>
  <c r="BY50" i="5" s="1"/>
  <c r="CK51" i="5"/>
  <c r="BK51" i="5" s="1"/>
  <c r="CP51" i="5"/>
  <c r="BP51" i="5" s="1"/>
  <c r="AP51" i="5"/>
  <c r="CU51" i="5"/>
  <c r="BU51" i="5" s="1"/>
  <c r="CK52" i="5"/>
  <c r="BK52" i="5" s="1"/>
  <c r="AK52" i="5"/>
  <c r="CR52" i="5"/>
  <c r="BR52" i="5" s="1"/>
  <c r="CZ52" i="5"/>
  <c r="BZ52" i="5" s="1"/>
  <c r="CG53" i="5"/>
  <c r="BG53" i="5" s="1"/>
  <c r="AG53" i="5"/>
  <c r="CN53" i="5"/>
  <c r="BN53" i="5" s="1"/>
  <c r="CV53" i="5"/>
  <c r="BV53" i="5" s="1"/>
  <c r="AV53" i="5"/>
  <c r="DC53" i="5"/>
  <c r="CC53" i="5" s="1"/>
  <c r="CJ54" i="5"/>
  <c r="BJ54" i="5" s="1"/>
  <c r="AJ54" i="5"/>
  <c r="CR54" i="5"/>
  <c r="BR54" i="5" s="1"/>
  <c r="CG55" i="5"/>
  <c r="BG55" i="5" s="1"/>
  <c r="CO55" i="5"/>
  <c r="BO55" i="5" s="1"/>
  <c r="CU55" i="5"/>
  <c r="BU55" i="5" s="1"/>
  <c r="DB55" i="5"/>
  <c r="CB55" i="5" s="1"/>
  <c r="CK56" i="5"/>
  <c r="BK56" i="5" s="1"/>
  <c r="CR56" i="5"/>
  <c r="BR56" i="5" s="1"/>
  <c r="CX56" i="5"/>
  <c r="BX56" i="5" s="1"/>
  <c r="CG57" i="5"/>
  <c r="BG57" i="5" s="1"/>
  <c r="CN57" i="5"/>
  <c r="BN57" i="5" s="1"/>
  <c r="CU57" i="5"/>
  <c r="BU57" i="5" s="1"/>
  <c r="DC57" i="5"/>
  <c r="CC57" i="5" s="1"/>
  <c r="CJ58" i="5"/>
  <c r="BJ58" i="5" s="1"/>
  <c r="CQ58" i="5"/>
  <c r="BQ58" i="5" s="1"/>
  <c r="CG59" i="5"/>
  <c r="BG59" i="5" s="1"/>
  <c r="CM59" i="5"/>
  <c r="BM59" i="5" s="1"/>
  <c r="CU59" i="5"/>
  <c r="BU59" i="5" s="1"/>
  <c r="CJ60" i="5"/>
  <c r="BJ60" i="5" s="1"/>
  <c r="CR60" i="5"/>
  <c r="BR60" i="5" s="1"/>
  <c r="CX60" i="5"/>
  <c r="BX60" i="5" s="1"/>
  <c r="CF61" i="5"/>
  <c r="BF61" i="5" s="1"/>
  <c r="CN61" i="5"/>
  <c r="BN61" i="5" s="1"/>
  <c r="CU61" i="5"/>
  <c r="BU61" i="5" s="1"/>
  <c r="DA61" i="5"/>
  <c r="CA61" i="5" s="1"/>
  <c r="CJ62" i="5"/>
  <c r="BJ62" i="5" s="1"/>
  <c r="CQ62" i="5"/>
  <c r="BQ62" i="5" s="1"/>
  <c r="CG63" i="5"/>
  <c r="BG63" i="5" s="1"/>
  <c r="CM63" i="5"/>
  <c r="BM63" i="5" s="1"/>
  <c r="CT63" i="5"/>
  <c r="BT63" i="5" s="1"/>
  <c r="DB63" i="5"/>
  <c r="CB63" i="5" s="1"/>
  <c r="CJ64" i="5"/>
  <c r="BJ64" i="5" s="1"/>
  <c r="CP64" i="5"/>
  <c r="BP64" i="5" s="1"/>
  <c r="CX64" i="5"/>
  <c r="BX64" i="5" s="1"/>
  <c r="CF65" i="5"/>
  <c r="BF65" i="5" s="1"/>
  <c r="CM65" i="5"/>
  <c r="BM65" i="5" s="1"/>
  <c r="CU65" i="5"/>
  <c r="BU65" i="5" s="1"/>
  <c r="CI66" i="5"/>
  <c r="BI66" i="5" s="1"/>
  <c r="CQ66" i="5"/>
  <c r="BQ66" i="5" s="1"/>
  <c r="CX66" i="5"/>
  <c r="BX66" i="5" s="1"/>
  <c r="DD66" i="5"/>
  <c r="CD66" i="5" s="1"/>
  <c r="CM67" i="5"/>
  <c r="BM67" i="5" s="1"/>
  <c r="CT67" i="5"/>
  <c r="BT67" i="5" s="1"/>
  <c r="CJ68" i="5"/>
  <c r="BJ68" i="5" s="1"/>
  <c r="CP68" i="5"/>
  <c r="BP68" i="5" s="1"/>
  <c r="CW68" i="5"/>
  <c r="BW68" i="5" s="1"/>
  <c r="CF69" i="5"/>
  <c r="BF69" i="5" s="1"/>
  <c r="CM69" i="5"/>
  <c r="BM69" i="5" s="1"/>
  <c r="CS69" i="5"/>
  <c r="BS69" i="5" s="1"/>
  <c r="DA69" i="5"/>
  <c r="CA69" i="5" s="1"/>
  <c r="CI70" i="5"/>
  <c r="BI70" i="5" s="1"/>
  <c r="CP70" i="5"/>
  <c r="BP70" i="5" s="1"/>
  <c r="CX70" i="5"/>
  <c r="BX70" i="5" s="1"/>
  <c r="CL71" i="5"/>
  <c r="BL71" i="5" s="1"/>
  <c r="CT71" i="5"/>
  <c r="BT71" i="5" s="1"/>
  <c r="DA71" i="5"/>
  <c r="CA71" i="5" s="1"/>
  <c r="CH72" i="5"/>
  <c r="BH72" i="5" s="1"/>
  <c r="CP72" i="5"/>
  <c r="BP72" i="5" s="1"/>
  <c r="CW72" i="5"/>
  <c r="BW72" i="5" s="1"/>
  <c r="DD72" i="5"/>
  <c r="CD72" i="5" s="1"/>
  <c r="CM73" i="5"/>
  <c r="BM73" i="5" s="1"/>
  <c r="CS73" i="5"/>
  <c r="BS73" i="5" s="1"/>
  <c r="CZ73" i="5"/>
  <c r="BZ73" i="5" s="1"/>
  <c r="CI74" i="5"/>
  <c r="BI74" i="5" s="1"/>
  <c r="CP74" i="5"/>
  <c r="BP74" i="5" s="1"/>
  <c r="CV74" i="5"/>
  <c r="BV74" i="5" s="1"/>
  <c r="DD74" i="5"/>
  <c r="CD74" i="5" s="1"/>
  <c r="CL75" i="5"/>
  <c r="BL75" i="5" s="1"/>
  <c r="CS75" i="5"/>
  <c r="BS75" i="5" s="1"/>
  <c r="DA75" i="5"/>
  <c r="CA75" i="5" s="1"/>
  <c r="CH76" i="5"/>
  <c r="BH76" i="5" s="1"/>
  <c r="CO76" i="5"/>
  <c r="BO76" i="5" s="1"/>
  <c r="CW76" i="5"/>
  <c r="BW76" i="5" s="1"/>
  <c r="DD76" i="5"/>
  <c r="CD76" i="5" s="1"/>
  <c r="CK77" i="5"/>
  <c r="BK77" i="5" s="1"/>
  <c r="CS77" i="5"/>
  <c r="BS77" i="5" s="1"/>
  <c r="CH78" i="5"/>
  <c r="BH78" i="5" s="1"/>
  <c r="CP78" i="5"/>
  <c r="BP78" i="5" s="1"/>
  <c r="CV78" i="5"/>
  <c r="BV78" i="5" s="1"/>
  <c r="CL79" i="5"/>
  <c r="BL79" i="5" s="1"/>
  <c r="CS79" i="5"/>
  <c r="BS79" i="5" s="1"/>
  <c r="CH80" i="5"/>
  <c r="BH80" i="5" s="1"/>
  <c r="CO80" i="5"/>
  <c r="BO80" i="5" s="1"/>
  <c r="CV80" i="5"/>
  <c r="BV80" i="5" s="1"/>
  <c r="DD80" i="5"/>
  <c r="CD80" i="5" s="1"/>
  <c r="CK81" i="5"/>
  <c r="BK81" i="5" s="1"/>
  <c r="CR81" i="5"/>
  <c r="BR81" i="5" s="1"/>
  <c r="CZ81" i="5"/>
  <c r="BZ81" i="5" s="1"/>
  <c r="CH82" i="5"/>
  <c r="BH82" i="5" s="1"/>
  <c r="CN82" i="5"/>
  <c r="BN82" i="5" s="1"/>
  <c r="CV82" i="5"/>
  <c r="BV82" i="5" s="1"/>
  <c r="CK83" i="5"/>
  <c r="BK83" i="5" s="1"/>
  <c r="CS83" i="5"/>
  <c r="BS83" i="5" s="1"/>
  <c r="CY83" i="5"/>
  <c r="BY83" i="5" s="1"/>
  <c r="CG84" i="5"/>
  <c r="BG84" i="5" s="1"/>
  <c r="CO84" i="5"/>
  <c r="BO84" i="5" s="1"/>
  <c r="CV84" i="5"/>
  <c r="BV84" i="5" s="1"/>
  <c r="DB84" i="5"/>
  <c r="CB84" i="5" s="1"/>
  <c r="CK85" i="5"/>
  <c r="BK85" i="5" s="1"/>
  <c r="CR85" i="5"/>
  <c r="BR85" i="5" s="1"/>
  <c r="CH86" i="5"/>
  <c r="BH86" i="5" s="1"/>
  <c r="CN86" i="5"/>
  <c r="BN86" i="5" s="1"/>
  <c r="CU86" i="5"/>
  <c r="BU86" i="5" s="1"/>
  <c r="DC86" i="5"/>
  <c r="CC86" i="5" s="1"/>
  <c r="CK87" i="5"/>
  <c r="BK87" i="5" s="1"/>
  <c r="CQ87" i="5"/>
  <c r="BQ87" i="5" s="1"/>
  <c r="CG88" i="5"/>
  <c r="BG88" i="5" s="1"/>
  <c r="CN88" i="5"/>
  <c r="BN88" i="5" s="1"/>
  <c r="CV88" i="5"/>
  <c r="BV88" i="5" s="1"/>
  <c r="DB88" i="5"/>
  <c r="CB88" i="5" s="1"/>
  <c r="CJ89" i="5"/>
  <c r="BJ89" i="5" s="1"/>
  <c r="CR89" i="5"/>
  <c r="BR89" i="5" s="1"/>
  <c r="CY89" i="5"/>
  <c r="BY89" i="5" s="1"/>
  <c r="CF90" i="5"/>
  <c r="BF90" i="5" s="1"/>
  <c r="CN90" i="5"/>
  <c r="BN90" i="5" s="1"/>
  <c r="CU90" i="5"/>
  <c r="BU90" i="5" s="1"/>
  <c r="CK91" i="5"/>
  <c r="BK91" i="5" s="1"/>
  <c r="CQ91" i="5"/>
  <c r="BQ91" i="5" s="1"/>
  <c r="CX91" i="5"/>
  <c r="BX91" i="5" s="1"/>
  <c r="CG92" i="5"/>
  <c r="BG92" i="5" s="1"/>
  <c r="CN92" i="5"/>
  <c r="BN92" i="5" s="1"/>
  <c r="CT92" i="5"/>
  <c r="BT92" i="5" s="1"/>
  <c r="DB92" i="5"/>
  <c r="CB92" i="5" s="1"/>
  <c r="CJ93" i="5"/>
  <c r="BJ93" i="5" s="1"/>
  <c r="CQ93" i="5"/>
  <c r="BQ93" i="5" s="1"/>
  <c r="CF94" i="5"/>
  <c r="BF94" i="5" s="1"/>
  <c r="CM94" i="5"/>
  <c r="BM94" i="5" s="1"/>
  <c r="CU94" i="5"/>
  <c r="BU94" i="5" s="1"/>
  <c r="DB94" i="5"/>
  <c r="CB94" i="5" s="1"/>
  <c r="CI95" i="5"/>
  <c r="BI95" i="5" s="1"/>
  <c r="CQ95" i="5"/>
  <c r="BQ95" i="5" s="1"/>
  <c r="CX95" i="5"/>
  <c r="BX95" i="5" s="1"/>
  <c r="CF96" i="5"/>
  <c r="BF96" i="5" s="1"/>
  <c r="CN96" i="5"/>
  <c r="BN96" i="5" s="1"/>
  <c r="CT96" i="5"/>
  <c r="BT96" i="5" s="1"/>
  <c r="DA96" i="5"/>
  <c r="CA96" i="5" s="1"/>
  <c r="CJ97" i="5"/>
  <c r="BJ97" i="5" s="1"/>
  <c r="CQ97" i="5"/>
  <c r="BQ97" i="5" s="1"/>
  <c r="CW97" i="5"/>
  <c r="BW97" i="5" s="1"/>
  <c r="CF98" i="5"/>
  <c r="BF98" i="5" s="1"/>
  <c r="CM98" i="5"/>
  <c r="BM98" i="5" s="1"/>
  <c r="CT98" i="5"/>
  <c r="BT98" i="5" s="1"/>
  <c r="CI99" i="5"/>
  <c r="BI99" i="5" s="1"/>
  <c r="CP99" i="5"/>
  <c r="BP99" i="5" s="1"/>
  <c r="DB93" i="5"/>
  <c r="CB93" i="5" s="1"/>
  <c r="CX93" i="5"/>
  <c r="BX93" i="5" s="1"/>
  <c r="CT93" i="5"/>
  <c r="BT93" i="5" s="1"/>
  <c r="CP93" i="5"/>
  <c r="BP93" i="5" s="1"/>
  <c r="CL93" i="5"/>
  <c r="BL93" i="5" s="1"/>
  <c r="CH93" i="5"/>
  <c r="BH93" i="5" s="1"/>
  <c r="DC93" i="5"/>
  <c r="CC93" i="5" s="1"/>
  <c r="CW93" i="5"/>
  <c r="BW93" i="5" s="1"/>
  <c r="CR93" i="5"/>
  <c r="BR93" i="5" s="1"/>
  <c r="CM93" i="5"/>
  <c r="BM93" i="5" s="1"/>
  <c r="CG93" i="5"/>
  <c r="BG93" i="5" s="1"/>
  <c r="DB85" i="5"/>
  <c r="CB85" i="5" s="1"/>
  <c r="CX85" i="5"/>
  <c r="BX85" i="5" s="1"/>
  <c r="CT85" i="5"/>
  <c r="BT85" i="5" s="1"/>
  <c r="CP85" i="5"/>
  <c r="BP85" i="5" s="1"/>
  <c r="CL85" i="5"/>
  <c r="BL85" i="5" s="1"/>
  <c r="CH85" i="5"/>
  <c r="BH85" i="5" s="1"/>
  <c r="CZ85" i="5"/>
  <c r="BZ85" i="5" s="1"/>
  <c r="CU85" i="5"/>
  <c r="BU85" i="5" s="1"/>
  <c r="CO85" i="5"/>
  <c r="BO85" i="5" s="1"/>
  <c r="CJ85" i="5"/>
  <c r="BJ85" i="5" s="1"/>
  <c r="DB77" i="5"/>
  <c r="CB77" i="5" s="1"/>
  <c r="CX77" i="5"/>
  <c r="BX77" i="5" s="1"/>
  <c r="CT77" i="5"/>
  <c r="BT77" i="5" s="1"/>
  <c r="CP77" i="5"/>
  <c r="BP77" i="5" s="1"/>
  <c r="CL77" i="5"/>
  <c r="BL77" i="5" s="1"/>
  <c r="CH77" i="5"/>
  <c r="BH77" i="5" s="1"/>
  <c r="DC77" i="5"/>
  <c r="CC77" i="5" s="1"/>
  <c r="CW77" i="5"/>
  <c r="BW77" i="5" s="1"/>
  <c r="CR77" i="5"/>
  <c r="BR77" i="5" s="1"/>
  <c r="CM77" i="5"/>
  <c r="BM77" i="5" s="1"/>
  <c r="CG77" i="5"/>
  <c r="BG77" i="5" s="1"/>
  <c r="DB65" i="5"/>
  <c r="CB65" i="5" s="1"/>
  <c r="CX65" i="5"/>
  <c r="BX65" i="5" s="1"/>
  <c r="CT65" i="5"/>
  <c r="BT65" i="5" s="1"/>
  <c r="CP65" i="5"/>
  <c r="BP65" i="5" s="1"/>
  <c r="CL65" i="5"/>
  <c r="BL65" i="5" s="1"/>
  <c r="CH65" i="5"/>
  <c r="BH65" i="5" s="1"/>
  <c r="DD65" i="5"/>
  <c r="CD65" i="5" s="1"/>
  <c r="CY65" i="5"/>
  <c r="BY65" i="5" s="1"/>
  <c r="CS65" i="5"/>
  <c r="BS65" i="5" s="1"/>
  <c r="CN65" i="5"/>
  <c r="BN65" i="5" s="1"/>
  <c r="CI65" i="5"/>
  <c r="BI65" i="5" s="1"/>
  <c r="DB41" i="5"/>
  <c r="CB41" i="5" s="1"/>
  <c r="CX41" i="5"/>
  <c r="BX41" i="5" s="1"/>
  <c r="CT41" i="5"/>
  <c r="BT41" i="5" s="1"/>
  <c r="CP41" i="5"/>
  <c r="BP41" i="5" s="1"/>
  <c r="CL41" i="5"/>
  <c r="BL41" i="5" s="1"/>
  <c r="CH41" i="5"/>
  <c r="BH41" i="5" s="1"/>
  <c r="DA98" i="5"/>
  <c r="CA98" i="5" s="1"/>
  <c r="CW98" i="5"/>
  <c r="BW98" i="5" s="1"/>
  <c r="CS98" i="5"/>
  <c r="BS98" i="5" s="1"/>
  <c r="CO98" i="5"/>
  <c r="BO98" i="5" s="1"/>
  <c r="CK98" i="5"/>
  <c r="BK98" i="5" s="1"/>
  <c r="CG98" i="5"/>
  <c r="BG98" i="5" s="1"/>
  <c r="CZ98" i="5"/>
  <c r="BZ98" i="5" s="1"/>
  <c r="CU98" i="5"/>
  <c r="BU98" i="5" s="1"/>
  <c r="CP98" i="5"/>
  <c r="BP98" i="5" s="1"/>
  <c r="CJ98" i="5"/>
  <c r="BJ98" i="5" s="1"/>
  <c r="DA90" i="5"/>
  <c r="CA90" i="5" s="1"/>
  <c r="CW90" i="5"/>
  <c r="BW90" i="5" s="1"/>
  <c r="CS90" i="5"/>
  <c r="BS90" i="5" s="1"/>
  <c r="CO90" i="5"/>
  <c r="BO90" i="5" s="1"/>
  <c r="CK90" i="5"/>
  <c r="BK90" i="5" s="1"/>
  <c r="CG90" i="5"/>
  <c r="BG90" i="5" s="1"/>
  <c r="DC90" i="5"/>
  <c r="CC90" i="5" s="1"/>
  <c r="CX90" i="5"/>
  <c r="BX90" i="5" s="1"/>
  <c r="CR90" i="5"/>
  <c r="BR90" i="5" s="1"/>
  <c r="CM90" i="5"/>
  <c r="BM90" i="5" s="1"/>
  <c r="CH90" i="5"/>
  <c r="BH90" i="5" s="1"/>
  <c r="DA82" i="5"/>
  <c r="CA82" i="5" s="1"/>
  <c r="CW82" i="5"/>
  <c r="BW82" i="5" s="1"/>
  <c r="CS82" i="5"/>
  <c r="BS82" i="5" s="1"/>
  <c r="CO82" i="5"/>
  <c r="BO82" i="5" s="1"/>
  <c r="CK82" i="5"/>
  <c r="BK82" i="5" s="1"/>
  <c r="CG82" i="5"/>
  <c r="BG82" i="5" s="1"/>
  <c r="CZ82" i="5"/>
  <c r="BZ82" i="5" s="1"/>
  <c r="CU82" i="5"/>
  <c r="BU82" i="5" s="1"/>
  <c r="CP82" i="5"/>
  <c r="BP82" i="5" s="1"/>
  <c r="CJ82" i="5"/>
  <c r="BJ82" i="5" s="1"/>
  <c r="DA78" i="5"/>
  <c r="CA78" i="5" s="1"/>
  <c r="CW78" i="5"/>
  <c r="BW78" i="5" s="1"/>
  <c r="CS78" i="5"/>
  <c r="BS78" i="5" s="1"/>
  <c r="CO78" i="5"/>
  <c r="BO78" i="5" s="1"/>
  <c r="CK78" i="5"/>
  <c r="BK78" i="5" s="1"/>
  <c r="CG78" i="5"/>
  <c r="BG78" i="5" s="1"/>
  <c r="DD78" i="5"/>
  <c r="CD78" i="5" s="1"/>
  <c r="CY78" i="5"/>
  <c r="BY78" i="5" s="1"/>
  <c r="CT78" i="5"/>
  <c r="BT78" i="5" s="1"/>
  <c r="CN78" i="5"/>
  <c r="BN78" i="5" s="1"/>
  <c r="CI78" i="5"/>
  <c r="BI78" i="5" s="1"/>
  <c r="DA70" i="5"/>
  <c r="CA70" i="5" s="1"/>
  <c r="CW70" i="5"/>
  <c r="BW70" i="5" s="1"/>
  <c r="CS70" i="5"/>
  <c r="BS70" i="5" s="1"/>
  <c r="CO70" i="5"/>
  <c r="BO70" i="5" s="1"/>
  <c r="CK70" i="5"/>
  <c r="BK70" i="5" s="1"/>
  <c r="CG70" i="5"/>
  <c r="BG70" i="5" s="1"/>
  <c r="DB70" i="5"/>
  <c r="CB70" i="5" s="1"/>
  <c r="CV70" i="5"/>
  <c r="BV70" i="5" s="1"/>
  <c r="CQ70" i="5"/>
  <c r="BQ70" i="5" s="1"/>
  <c r="CL70" i="5"/>
  <c r="BL70" i="5" s="1"/>
  <c r="CF70" i="5"/>
  <c r="BF70" i="5" s="1"/>
  <c r="DA62" i="5"/>
  <c r="CA62" i="5" s="1"/>
  <c r="CW62" i="5"/>
  <c r="BW62" i="5" s="1"/>
  <c r="CS62" i="5"/>
  <c r="BS62" i="5" s="1"/>
  <c r="CO62" i="5"/>
  <c r="BO62" i="5" s="1"/>
  <c r="CK62" i="5"/>
  <c r="BK62" i="5" s="1"/>
  <c r="CG62" i="5"/>
  <c r="BG62" i="5" s="1"/>
  <c r="DD62" i="5"/>
  <c r="CD62" i="5" s="1"/>
  <c r="CY62" i="5"/>
  <c r="BY62" i="5" s="1"/>
  <c r="CT62" i="5"/>
  <c r="BT62" i="5" s="1"/>
  <c r="CN62" i="5"/>
  <c r="BN62" i="5" s="1"/>
  <c r="CI62" i="5"/>
  <c r="BI62" i="5" s="1"/>
  <c r="DA58" i="5"/>
  <c r="CA58" i="5" s="1"/>
  <c r="CW58" i="5"/>
  <c r="BW58" i="5" s="1"/>
  <c r="CS58" i="5"/>
  <c r="BS58" i="5" s="1"/>
  <c r="CO58" i="5"/>
  <c r="BO58" i="5" s="1"/>
  <c r="CK58" i="5"/>
  <c r="BK58" i="5" s="1"/>
  <c r="CG58" i="5"/>
  <c r="BG58" i="5" s="1"/>
  <c r="DC58" i="5"/>
  <c r="CC58" i="5" s="1"/>
  <c r="CX58" i="5"/>
  <c r="BX58" i="5" s="1"/>
  <c r="CR58" i="5"/>
  <c r="BR58" i="5" s="1"/>
  <c r="CM58" i="5"/>
  <c r="BM58" i="5" s="1"/>
  <c r="CH58" i="5"/>
  <c r="BH58" i="5" s="1"/>
  <c r="DA54" i="5"/>
  <c r="CA54" i="5" s="1"/>
  <c r="CW54" i="5"/>
  <c r="BW54" i="5" s="1"/>
  <c r="CS54" i="5"/>
  <c r="BS54" i="5" s="1"/>
  <c r="CO54" i="5"/>
  <c r="BO54" i="5" s="1"/>
  <c r="CK54" i="5"/>
  <c r="BK54" i="5" s="1"/>
  <c r="CG54" i="5"/>
  <c r="BG54" i="5" s="1"/>
  <c r="DB54" i="5"/>
  <c r="CB54" i="5" s="1"/>
  <c r="CV54" i="5"/>
  <c r="BV54" i="5" s="1"/>
  <c r="CQ54" i="5"/>
  <c r="BQ54" i="5" s="1"/>
  <c r="CL54" i="5"/>
  <c r="BL54" i="5" s="1"/>
  <c r="CF54" i="5"/>
  <c r="BF54" i="5" s="1"/>
  <c r="DA50" i="5"/>
  <c r="CA50" i="5" s="1"/>
  <c r="CW50" i="5"/>
  <c r="BW50" i="5" s="1"/>
  <c r="CS50" i="5"/>
  <c r="BS50" i="5" s="1"/>
  <c r="CO50" i="5"/>
  <c r="BO50" i="5" s="1"/>
  <c r="CK50" i="5"/>
  <c r="BK50" i="5" s="1"/>
  <c r="CG50" i="5"/>
  <c r="BG50" i="5" s="1"/>
  <c r="DA42" i="5"/>
  <c r="CA42" i="5" s="1"/>
  <c r="CW42" i="5"/>
  <c r="BW42" i="5" s="1"/>
  <c r="CS42" i="5"/>
  <c r="BS42" i="5" s="1"/>
  <c r="CO42" i="5"/>
  <c r="BO42" i="5" s="1"/>
  <c r="CK42" i="5"/>
  <c r="BK42" i="5" s="1"/>
  <c r="CG42" i="5"/>
  <c r="BG42" i="5" s="1"/>
  <c r="DA38" i="5"/>
  <c r="CA38" i="5" s="1"/>
  <c r="CW38" i="5"/>
  <c r="BW38" i="5" s="1"/>
  <c r="CS38" i="5"/>
  <c r="BS38" i="5" s="1"/>
  <c r="CO38" i="5"/>
  <c r="BO38" i="5" s="1"/>
  <c r="CK38" i="5"/>
  <c r="BK38" i="5" s="1"/>
  <c r="CG38" i="5"/>
  <c r="BG38" i="5" s="1"/>
  <c r="DA34" i="5"/>
  <c r="CA34" i="5" s="1"/>
  <c r="CW34" i="5"/>
  <c r="BW34" i="5" s="1"/>
  <c r="CS34" i="5"/>
  <c r="BS34" i="5" s="1"/>
  <c r="CO34" i="5"/>
  <c r="BO34" i="5" s="1"/>
  <c r="CK34" i="5"/>
  <c r="BK34" i="5" s="1"/>
  <c r="CG34" i="5"/>
  <c r="BG34" i="5" s="1"/>
  <c r="DA30" i="5"/>
  <c r="CA30" i="5" s="1"/>
  <c r="CW30" i="5"/>
  <c r="BW30" i="5" s="1"/>
  <c r="CS30" i="5"/>
  <c r="BS30" i="5" s="1"/>
  <c r="CO30" i="5"/>
  <c r="BO30" i="5" s="1"/>
  <c r="CK30" i="5"/>
  <c r="BK30" i="5" s="1"/>
  <c r="CG30" i="5"/>
  <c r="BG30" i="5" s="1"/>
  <c r="DA26" i="5"/>
  <c r="CA26" i="5" s="1"/>
  <c r="CW26" i="5"/>
  <c r="BW26" i="5" s="1"/>
  <c r="CS26" i="5"/>
  <c r="BS26" i="5" s="1"/>
  <c r="CO26" i="5"/>
  <c r="BO26" i="5" s="1"/>
  <c r="CK26" i="5"/>
  <c r="BK26" i="5" s="1"/>
  <c r="CG26" i="5"/>
  <c r="BG26" i="5" s="1"/>
  <c r="DD99" i="5"/>
  <c r="CD99" i="5" s="1"/>
  <c r="CZ99" i="5"/>
  <c r="BZ99" i="5" s="1"/>
  <c r="CV99" i="5"/>
  <c r="BV99" i="5" s="1"/>
  <c r="CR99" i="5"/>
  <c r="BR99" i="5" s="1"/>
  <c r="CN99" i="5"/>
  <c r="BN99" i="5" s="1"/>
  <c r="CJ99" i="5"/>
  <c r="BJ99" i="5" s="1"/>
  <c r="CF99" i="5"/>
  <c r="BF99" i="5" s="1"/>
  <c r="DB99" i="5"/>
  <c r="CB99" i="5" s="1"/>
  <c r="CW99" i="5"/>
  <c r="BW99" i="5" s="1"/>
  <c r="CQ99" i="5"/>
  <c r="BQ99" i="5" s="1"/>
  <c r="CL99" i="5"/>
  <c r="BL99" i="5" s="1"/>
  <c r="CG99" i="5"/>
  <c r="BG99" i="5" s="1"/>
  <c r="DD87" i="5"/>
  <c r="CD87" i="5" s="1"/>
  <c r="CZ87" i="5"/>
  <c r="BZ87" i="5" s="1"/>
  <c r="CV87" i="5"/>
  <c r="BV87" i="5" s="1"/>
  <c r="CR87" i="5"/>
  <c r="BR87" i="5" s="1"/>
  <c r="CN87" i="5"/>
  <c r="BN87" i="5" s="1"/>
  <c r="CJ87" i="5"/>
  <c r="BJ87" i="5" s="1"/>
  <c r="CF87" i="5"/>
  <c r="BF87" i="5" s="1"/>
  <c r="DC87" i="5"/>
  <c r="CC87" i="5" s="1"/>
  <c r="CX87" i="5"/>
  <c r="BX87" i="5" s="1"/>
  <c r="CS87" i="5"/>
  <c r="BS87" i="5" s="1"/>
  <c r="CM87" i="5"/>
  <c r="BM87" i="5" s="1"/>
  <c r="CH87" i="5"/>
  <c r="BH87" i="5" s="1"/>
  <c r="DD79" i="5"/>
  <c r="CD79" i="5" s="1"/>
  <c r="CZ79" i="5"/>
  <c r="BZ79" i="5" s="1"/>
  <c r="CV79" i="5"/>
  <c r="BV79" i="5" s="1"/>
  <c r="CR79" i="5"/>
  <c r="BR79" i="5" s="1"/>
  <c r="CN79" i="5"/>
  <c r="BN79" i="5" s="1"/>
  <c r="CJ79" i="5"/>
  <c r="BJ79" i="5" s="1"/>
  <c r="CF79" i="5"/>
  <c r="BF79" i="5" s="1"/>
  <c r="DA79" i="5"/>
  <c r="CA79" i="5" s="1"/>
  <c r="CU79" i="5"/>
  <c r="BU79" i="5" s="1"/>
  <c r="CP79" i="5"/>
  <c r="BP79" i="5" s="1"/>
  <c r="CK79" i="5"/>
  <c r="BK79" i="5" s="1"/>
  <c r="DD67" i="5"/>
  <c r="CD67" i="5" s="1"/>
  <c r="CZ67" i="5"/>
  <c r="BZ67" i="5" s="1"/>
  <c r="CV67" i="5"/>
  <c r="BV67" i="5" s="1"/>
  <c r="CR67" i="5"/>
  <c r="BR67" i="5" s="1"/>
  <c r="CN67" i="5"/>
  <c r="BN67" i="5" s="1"/>
  <c r="CJ67" i="5"/>
  <c r="BJ67" i="5" s="1"/>
  <c r="CF67" i="5"/>
  <c r="BF67" i="5" s="1"/>
  <c r="DB67" i="5"/>
  <c r="CB67" i="5" s="1"/>
  <c r="CW67" i="5"/>
  <c r="BW67" i="5" s="1"/>
  <c r="CQ67" i="5"/>
  <c r="BQ67" i="5" s="1"/>
  <c r="CL67" i="5"/>
  <c r="BL67" i="5" s="1"/>
  <c r="CG67" i="5"/>
  <c r="BG67" i="5" s="1"/>
  <c r="DD59" i="5"/>
  <c r="CD59" i="5" s="1"/>
  <c r="CZ59" i="5"/>
  <c r="BZ59" i="5" s="1"/>
  <c r="CV59" i="5"/>
  <c r="BV59" i="5" s="1"/>
  <c r="CR59" i="5"/>
  <c r="BR59" i="5" s="1"/>
  <c r="CN59" i="5"/>
  <c r="BN59" i="5" s="1"/>
  <c r="CJ59" i="5"/>
  <c r="BJ59" i="5" s="1"/>
  <c r="CF59" i="5"/>
  <c r="BF59" i="5" s="1"/>
  <c r="CY59" i="5"/>
  <c r="BY59" i="5" s="1"/>
  <c r="CT59" i="5"/>
  <c r="BT59" i="5" s="1"/>
  <c r="CO59" i="5"/>
  <c r="BO59" i="5" s="1"/>
  <c r="CI59" i="5"/>
  <c r="BI59" i="5" s="1"/>
  <c r="DD51" i="5"/>
  <c r="CD51" i="5" s="1"/>
  <c r="CZ51" i="5"/>
  <c r="BZ51" i="5" s="1"/>
  <c r="CV51" i="5"/>
  <c r="BV51" i="5" s="1"/>
  <c r="DB51" i="5"/>
  <c r="CB51" i="5" s="1"/>
  <c r="CW51" i="5"/>
  <c r="BW51" i="5" s="1"/>
  <c r="CR51" i="5"/>
  <c r="BR51" i="5" s="1"/>
  <c r="CN51" i="5"/>
  <c r="BN51" i="5" s="1"/>
  <c r="CJ51" i="5"/>
  <c r="BJ51" i="5" s="1"/>
  <c r="CF51" i="5"/>
  <c r="BF51" i="5" s="1"/>
  <c r="DD43" i="5"/>
  <c r="CD43" i="5" s="1"/>
  <c r="CZ43" i="5"/>
  <c r="BZ43" i="5" s="1"/>
  <c r="CV43" i="5"/>
  <c r="BV43" i="5" s="1"/>
  <c r="CR43" i="5"/>
  <c r="BR43" i="5" s="1"/>
  <c r="CN43" i="5"/>
  <c r="BN43" i="5" s="1"/>
  <c r="CJ43" i="5"/>
  <c r="BJ43" i="5" s="1"/>
  <c r="CF43" i="5"/>
  <c r="BF43" i="5" s="1"/>
  <c r="DD27" i="5"/>
  <c r="CD27" i="5" s="1"/>
  <c r="CZ27" i="5"/>
  <c r="BZ27" i="5" s="1"/>
  <c r="CV27" i="5"/>
  <c r="BV27" i="5" s="1"/>
  <c r="CR27" i="5"/>
  <c r="BR27" i="5" s="1"/>
  <c r="CN27" i="5"/>
  <c r="BN27" i="5" s="1"/>
  <c r="CJ27" i="5"/>
  <c r="BJ27" i="5" s="1"/>
  <c r="CF27" i="5"/>
  <c r="BF27" i="5" s="1"/>
  <c r="CI25" i="5"/>
  <c r="BI25" i="5" s="1"/>
  <c r="CN25" i="5"/>
  <c r="BN25" i="5" s="1"/>
  <c r="CS25" i="5"/>
  <c r="BS25" i="5" s="1"/>
  <c r="CY25" i="5"/>
  <c r="BY25" i="5" s="1"/>
  <c r="DD25" i="5"/>
  <c r="CD25" i="5" s="1"/>
  <c r="CJ29" i="5"/>
  <c r="BJ29" i="5" s="1"/>
  <c r="CO29" i="5"/>
  <c r="BO29" i="5" s="1"/>
  <c r="CU29" i="5"/>
  <c r="BU29" i="5" s="1"/>
  <c r="CZ29" i="5"/>
  <c r="BZ29" i="5" s="1"/>
  <c r="CF53" i="5"/>
  <c r="BF53" i="5" s="1"/>
  <c r="CM53" i="5"/>
  <c r="BM53" i="5" s="1"/>
  <c r="CS53" i="5"/>
  <c r="BS53" i="5" s="1"/>
  <c r="DA53" i="5"/>
  <c r="CA53" i="5" s="1"/>
  <c r="CM57" i="5"/>
  <c r="BM57" i="5" s="1"/>
  <c r="CS57" i="5"/>
  <c r="BS57" i="5" s="1"/>
  <c r="CZ57" i="5"/>
  <c r="BZ57" i="5" s="1"/>
  <c r="CK61" i="5"/>
  <c r="BK61" i="5" s="1"/>
  <c r="CS61" i="5"/>
  <c r="BS61" i="5" s="1"/>
  <c r="CZ61" i="5"/>
  <c r="BZ61" i="5" s="1"/>
  <c r="CK65" i="5"/>
  <c r="BK65" i="5" s="1"/>
  <c r="CR65" i="5"/>
  <c r="BR65" i="5" s="1"/>
  <c r="CZ65" i="5"/>
  <c r="BZ65" i="5" s="1"/>
  <c r="CJ73" i="5"/>
  <c r="BJ73" i="5" s="1"/>
  <c r="CR73" i="5"/>
  <c r="BR73" i="5" s="1"/>
  <c r="CY73" i="5"/>
  <c r="BY73" i="5" s="1"/>
  <c r="CJ81" i="5"/>
  <c r="BJ81" i="5" s="1"/>
  <c r="CQ81" i="5"/>
  <c r="BQ81" i="5" s="1"/>
  <c r="CW81" i="5"/>
  <c r="BW81" i="5" s="1"/>
  <c r="CI85" i="5"/>
  <c r="BI85" i="5" s="1"/>
  <c r="CW85" i="5"/>
  <c r="BW85" i="5" s="1"/>
  <c r="DD85" i="5"/>
  <c r="CD85" i="5" s="1"/>
  <c r="CI89" i="5"/>
  <c r="BI89" i="5" s="1"/>
  <c r="CO89" i="5"/>
  <c r="BO89" i="5" s="1"/>
  <c r="CW89" i="5"/>
  <c r="BW89" i="5" s="1"/>
  <c r="DD89" i="5"/>
  <c r="CD89" i="5" s="1"/>
  <c r="CI93" i="5"/>
  <c r="BI93" i="5" s="1"/>
  <c r="CO93" i="5"/>
  <c r="BO93" i="5" s="1"/>
  <c r="CV93" i="5"/>
  <c r="BV93" i="5" s="1"/>
  <c r="DD93" i="5"/>
  <c r="CD93" i="5" s="1"/>
  <c r="CG97" i="5"/>
  <c r="BG97" i="5" s="1"/>
  <c r="CO97" i="5"/>
  <c r="BO97" i="5" s="1"/>
  <c r="CV97" i="5"/>
  <c r="BV97" i="5" s="1"/>
  <c r="DC97" i="5"/>
  <c r="CC97" i="5" s="1"/>
  <c r="CH6" i="5"/>
  <c r="CL6" i="5"/>
  <c r="CP6" i="5"/>
  <c r="CT6" i="5"/>
  <c r="CX6" i="5"/>
  <c r="DB6" i="5"/>
  <c r="CI13" i="5"/>
  <c r="BI13" i="5" s="1"/>
  <c r="CM13" i="5"/>
  <c r="BM13" i="5" s="1"/>
  <c r="CQ13" i="5"/>
  <c r="BQ13" i="5" s="1"/>
  <c r="CU13" i="5"/>
  <c r="BU13" i="5" s="1"/>
  <c r="CY13" i="5"/>
  <c r="BY13" i="5" s="1"/>
  <c r="DC13" i="5"/>
  <c r="CC13" i="5" s="1"/>
  <c r="CH14" i="5"/>
  <c r="BH14" i="5" s="1"/>
  <c r="CL14" i="5"/>
  <c r="BL14" i="5" s="1"/>
  <c r="CP14" i="5"/>
  <c r="BP14" i="5" s="1"/>
  <c r="CT14" i="5"/>
  <c r="BT14" i="5" s="1"/>
  <c r="CX14" i="5"/>
  <c r="BX14" i="5" s="1"/>
  <c r="DB14" i="5"/>
  <c r="CB14" i="5" s="1"/>
  <c r="CG41" i="5"/>
  <c r="BG41" i="5" s="1"/>
  <c r="CM41" i="5"/>
  <c r="BM41" i="5" s="1"/>
  <c r="CR41" i="5"/>
  <c r="BR41" i="5" s="1"/>
  <c r="CW41" i="5"/>
  <c r="BW41" i="5" s="1"/>
  <c r="DC41" i="5"/>
  <c r="CC41" i="5" s="1"/>
  <c r="CI42" i="5"/>
  <c r="BI42" i="5" s="1"/>
  <c r="CN42" i="5"/>
  <c r="BN42" i="5" s="1"/>
  <c r="CT42" i="5"/>
  <c r="BT42" i="5" s="1"/>
  <c r="CY42" i="5"/>
  <c r="BY42" i="5" s="1"/>
  <c r="DD42" i="5"/>
  <c r="CD42" i="5" s="1"/>
  <c r="CI45" i="5"/>
  <c r="BI45" i="5" s="1"/>
  <c r="CR53" i="5"/>
  <c r="BR53" i="5" s="1"/>
  <c r="CH54" i="5"/>
  <c r="BH54" i="5" s="1"/>
  <c r="CN54" i="5"/>
  <c r="BN54" i="5" s="1"/>
  <c r="CU54" i="5"/>
  <c r="BU54" i="5" s="1"/>
  <c r="DC54" i="5"/>
  <c r="CC54" i="5" s="1"/>
  <c r="CJ61" i="5"/>
  <c r="BJ61" i="5" s="1"/>
  <c r="CQ61" i="5"/>
  <c r="BQ61" i="5" s="1"/>
  <c r="CY61" i="5"/>
  <c r="BY61" i="5" s="1"/>
  <c r="CF62" i="5"/>
  <c r="BF62" i="5" s="1"/>
  <c r="CM62" i="5"/>
  <c r="BM62" i="5" s="1"/>
  <c r="CU62" i="5"/>
  <c r="BU62" i="5" s="1"/>
  <c r="DB62" i="5"/>
  <c r="CB62" i="5" s="1"/>
  <c r="CI69" i="5"/>
  <c r="BI69" i="5" s="1"/>
  <c r="CQ69" i="5"/>
  <c r="BQ69" i="5" s="1"/>
  <c r="CW69" i="5"/>
  <c r="BW69" i="5" s="1"/>
  <c r="DD69" i="5"/>
  <c r="CD69" i="5" s="1"/>
  <c r="CM70" i="5"/>
  <c r="BM70" i="5" s="1"/>
  <c r="CT70" i="5"/>
  <c r="BT70" i="5" s="1"/>
  <c r="CZ70" i="5"/>
  <c r="BZ70" i="5" s="1"/>
  <c r="CI77" i="5"/>
  <c r="BI77" i="5" s="1"/>
  <c r="CO77" i="5"/>
  <c r="BO77" i="5" s="1"/>
  <c r="CV77" i="5"/>
  <c r="BV77" i="5" s="1"/>
  <c r="DD77" i="5"/>
  <c r="CD77" i="5" s="1"/>
  <c r="CL78" i="5"/>
  <c r="BL78" i="5" s="1"/>
  <c r="CR78" i="5"/>
  <c r="BR78" i="5" s="1"/>
  <c r="CZ78" i="5"/>
  <c r="BZ78" i="5" s="1"/>
  <c r="CG85" i="5"/>
  <c r="BG85" i="5" s="1"/>
  <c r="CN85" i="5"/>
  <c r="BN85" i="5" s="1"/>
  <c r="CV85" i="5"/>
  <c r="BV85" i="5" s="1"/>
  <c r="DC85" i="5"/>
  <c r="CC85" i="5" s="1"/>
  <c r="CJ86" i="5"/>
  <c r="BJ86" i="5" s="1"/>
  <c r="CR86" i="5"/>
  <c r="BR86" i="5" s="1"/>
  <c r="CY86" i="5"/>
  <c r="BY86" i="5" s="1"/>
  <c r="CF93" i="5"/>
  <c r="BF93" i="5" s="1"/>
  <c r="CN93" i="5"/>
  <c r="BN93" i="5" s="1"/>
  <c r="CU93" i="5"/>
  <c r="BU93" i="5" s="1"/>
  <c r="DA93" i="5"/>
  <c r="CA93" i="5" s="1"/>
  <c r="CJ94" i="5"/>
  <c r="BJ94" i="5" s="1"/>
  <c r="CQ94" i="5"/>
  <c r="BQ94" i="5" s="1"/>
  <c r="CX94" i="5"/>
  <c r="BX94" i="5" s="1"/>
  <c r="CF97" i="5"/>
  <c r="BF97" i="5" s="1"/>
  <c r="CM97" i="5"/>
  <c r="BM97" i="5" s="1"/>
  <c r="CU97" i="5"/>
  <c r="BU97" i="5" s="1"/>
  <c r="DA97" i="5"/>
  <c r="CA97" i="5" s="1"/>
  <c r="CI98" i="5"/>
  <c r="BI98" i="5" s="1"/>
  <c r="CQ98" i="5"/>
  <c r="BQ98" i="5" s="1"/>
  <c r="CX98" i="5"/>
  <c r="BX98" i="5" s="1"/>
  <c r="DD98" i="5"/>
  <c r="CD98" i="5" s="1"/>
  <c r="CG6" i="5"/>
  <c r="CK6" i="5"/>
  <c r="CO6" i="5"/>
  <c r="CS6" i="5"/>
  <c r="CW6" i="5"/>
  <c r="CN7" i="5"/>
  <c r="BN7" i="5" s="1"/>
  <c r="CI8" i="5"/>
  <c r="AI8" i="5" s="1"/>
  <c r="CM8" i="5"/>
  <c r="AM8" i="5" s="1"/>
  <c r="CQ8" i="5"/>
  <c r="AQ8" i="5" s="1"/>
  <c r="CU8" i="5"/>
  <c r="AU8" i="5" s="1"/>
  <c r="CY8" i="5"/>
  <c r="AY8" i="5" s="1"/>
  <c r="CF11" i="5"/>
  <c r="BF11" i="5" s="1"/>
  <c r="AF11" i="5"/>
  <c r="CJ11" i="5"/>
  <c r="BJ11" i="5" s="1"/>
  <c r="AJ11" i="5"/>
  <c r="CN11" i="5"/>
  <c r="BN11" i="5" s="1"/>
  <c r="AN11" i="5"/>
  <c r="CR11" i="5"/>
  <c r="BR11" i="5" s="1"/>
  <c r="AR11" i="5"/>
  <c r="CV11" i="5"/>
  <c r="BV11" i="5" s="1"/>
  <c r="AV11" i="5"/>
  <c r="CZ11" i="5"/>
  <c r="BZ11" i="5" s="1"/>
  <c r="AZ11" i="5"/>
  <c r="CI12" i="5"/>
  <c r="BI12" i="5" s="1"/>
  <c r="AI12" i="5"/>
  <c r="CM12" i="5"/>
  <c r="BM12" i="5" s="1"/>
  <c r="AM12" i="5"/>
  <c r="CQ12" i="5"/>
  <c r="BQ12" i="5" s="1"/>
  <c r="AQ12" i="5"/>
  <c r="CU12" i="5"/>
  <c r="BU12" i="5" s="1"/>
  <c r="AU12" i="5"/>
  <c r="CY12" i="5"/>
  <c r="BY12" i="5" s="1"/>
  <c r="AY12" i="5"/>
  <c r="CH13" i="5"/>
  <c r="BH13" i="5" s="1"/>
  <c r="AH13" i="5"/>
  <c r="CL13" i="5"/>
  <c r="BL13" i="5" s="1"/>
  <c r="AL13" i="5"/>
  <c r="CP13" i="5"/>
  <c r="BP13" i="5" s="1"/>
  <c r="AP13" i="5"/>
  <c r="CT13" i="5"/>
  <c r="BT13" i="5" s="1"/>
  <c r="AT13" i="5"/>
  <c r="CX13" i="5"/>
  <c r="BX13" i="5" s="1"/>
  <c r="AX13" i="5"/>
  <c r="CG14" i="5"/>
  <c r="BG14" i="5" s="1"/>
  <c r="AG14" i="5"/>
  <c r="CK14" i="5"/>
  <c r="BK14" i="5" s="1"/>
  <c r="AK14" i="5"/>
  <c r="CO14" i="5"/>
  <c r="BO14" i="5" s="1"/>
  <c r="AO14" i="5"/>
  <c r="CS14" i="5"/>
  <c r="BS14" i="5" s="1"/>
  <c r="AS14" i="5"/>
  <c r="CW14" i="5"/>
  <c r="BW14" i="5" s="1"/>
  <c r="AW14" i="5"/>
  <c r="CF15" i="5"/>
  <c r="BF15" i="5" s="1"/>
  <c r="AF15" i="5"/>
  <c r="CJ15" i="5"/>
  <c r="BJ15" i="5" s="1"/>
  <c r="AJ15" i="5"/>
  <c r="CN15" i="5"/>
  <c r="BN15" i="5" s="1"/>
  <c r="AN15" i="5"/>
  <c r="CR15" i="5"/>
  <c r="BR15" i="5" s="1"/>
  <c r="AR15" i="5"/>
  <c r="CV15" i="5"/>
  <c r="BV15" i="5" s="1"/>
  <c r="AV15" i="5"/>
  <c r="CZ15" i="5"/>
  <c r="BZ15" i="5" s="1"/>
  <c r="AZ15" i="5"/>
  <c r="CI16" i="5"/>
  <c r="BI16" i="5" s="1"/>
  <c r="AI16" i="5"/>
  <c r="CM16" i="5"/>
  <c r="BM16" i="5" s="1"/>
  <c r="AM16" i="5"/>
  <c r="CQ16" i="5"/>
  <c r="BQ16" i="5" s="1"/>
  <c r="AQ16" i="5"/>
  <c r="CU16" i="5"/>
  <c r="BU16" i="5" s="1"/>
  <c r="AU16" i="5"/>
  <c r="CY16" i="5"/>
  <c r="BY16" i="5" s="1"/>
  <c r="AY16" i="5"/>
  <c r="CH17" i="5"/>
  <c r="BH17" i="5" s="1"/>
  <c r="AH17" i="5"/>
  <c r="CL17" i="5"/>
  <c r="BL17" i="5" s="1"/>
  <c r="AL17" i="5"/>
  <c r="CP17" i="5"/>
  <c r="BP17" i="5" s="1"/>
  <c r="AP17" i="5"/>
  <c r="CT17" i="5"/>
  <c r="BT17" i="5" s="1"/>
  <c r="AT17" i="5"/>
  <c r="CX17" i="5"/>
  <c r="BX17" i="5" s="1"/>
  <c r="AX17" i="5"/>
  <c r="CG18" i="5"/>
  <c r="BG18" i="5" s="1"/>
  <c r="AG18" i="5"/>
  <c r="CK18" i="5"/>
  <c r="BK18" i="5" s="1"/>
  <c r="AK18" i="5"/>
  <c r="CO18" i="5"/>
  <c r="BO18" i="5" s="1"/>
  <c r="AO18" i="5"/>
  <c r="CS18" i="5"/>
  <c r="BS18" i="5" s="1"/>
  <c r="AS18" i="5"/>
  <c r="CW18" i="5"/>
  <c r="BW18" i="5" s="1"/>
  <c r="AW18" i="5"/>
  <c r="CF19" i="5"/>
  <c r="BF19" i="5" s="1"/>
  <c r="AF19" i="5"/>
  <c r="CJ19" i="5"/>
  <c r="BJ19" i="5" s="1"/>
  <c r="AJ19" i="5"/>
  <c r="CN19" i="5"/>
  <c r="BN19" i="5" s="1"/>
  <c r="AN19" i="5"/>
  <c r="CR19" i="5"/>
  <c r="BR19" i="5" s="1"/>
  <c r="AR19" i="5"/>
  <c r="CV19" i="5"/>
  <c r="BV19" i="5" s="1"/>
  <c r="AV19" i="5"/>
  <c r="CZ19" i="5"/>
  <c r="BZ19" i="5" s="1"/>
  <c r="AZ19" i="5"/>
  <c r="CI20" i="5"/>
  <c r="BI20" i="5" s="1"/>
  <c r="AI20" i="5"/>
  <c r="CM20" i="5"/>
  <c r="BM20" i="5" s="1"/>
  <c r="AM20" i="5"/>
  <c r="CQ20" i="5"/>
  <c r="BQ20" i="5" s="1"/>
  <c r="AQ20" i="5"/>
  <c r="CU20" i="5"/>
  <c r="BU20" i="5" s="1"/>
  <c r="AU20" i="5"/>
  <c r="CY20" i="5"/>
  <c r="BY20" i="5" s="1"/>
  <c r="AY20" i="5"/>
  <c r="CH21" i="5"/>
  <c r="BH21" i="5" s="1"/>
  <c r="AH21" i="5"/>
  <c r="CL21" i="5"/>
  <c r="BL21" i="5" s="1"/>
  <c r="AL21" i="5"/>
  <c r="CP21" i="5"/>
  <c r="BP21" i="5" s="1"/>
  <c r="AP21" i="5"/>
  <c r="CT21" i="5"/>
  <c r="BT21" i="5" s="1"/>
  <c r="AT21" i="5"/>
  <c r="CX21" i="5"/>
  <c r="BX21" i="5" s="1"/>
  <c r="AX21" i="5"/>
  <c r="CG22" i="5"/>
  <c r="BG22" i="5" s="1"/>
  <c r="AG22" i="5"/>
  <c r="CK22" i="5"/>
  <c r="BK22" i="5" s="1"/>
  <c r="AK22" i="5"/>
  <c r="CO22" i="5"/>
  <c r="BO22" i="5" s="1"/>
  <c r="AO22" i="5"/>
  <c r="CS22" i="5"/>
  <c r="BS22" i="5" s="1"/>
  <c r="AS22" i="5"/>
  <c r="CW22" i="5"/>
  <c r="BW22" i="5" s="1"/>
  <c r="AW22" i="5"/>
  <c r="CF23" i="5"/>
  <c r="BF23" i="5" s="1"/>
  <c r="AF23" i="5"/>
  <c r="CJ23" i="5"/>
  <c r="BJ23" i="5" s="1"/>
  <c r="AJ23" i="5"/>
  <c r="CN23" i="5"/>
  <c r="BN23" i="5" s="1"/>
  <c r="AN23" i="5"/>
  <c r="CR23" i="5"/>
  <c r="BR23" i="5" s="1"/>
  <c r="AR23" i="5"/>
  <c r="CV23" i="5"/>
  <c r="BV23" i="5" s="1"/>
  <c r="AV23" i="5"/>
  <c r="CZ23" i="5"/>
  <c r="BZ23" i="5" s="1"/>
  <c r="AZ23" i="5"/>
  <c r="CJ24" i="5"/>
  <c r="BJ24" i="5" s="1"/>
  <c r="AJ24" i="5"/>
  <c r="CO24" i="5"/>
  <c r="BO24" i="5" s="1"/>
  <c r="AO24" i="5"/>
  <c r="CT24" i="5"/>
  <c r="BT24" i="5" s="1"/>
  <c r="AT24" i="5"/>
  <c r="CZ24" i="5"/>
  <c r="BZ24" i="5" s="1"/>
  <c r="AZ24" i="5"/>
  <c r="CF25" i="5"/>
  <c r="BF25" i="5" s="1"/>
  <c r="AF25" i="5"/>
  <c r="CK25" i="5"/>
  <c r="BK25" i="5" s="1"/>
  <c r="AK25" i="5"/>
  <c r="CQ25" i="5"/>
  <c r="BQ25" i="5" s="1"/>
  <c r="AQ25" i="5"/>
  <c r="CV25" i="5"/>
  <c r="BV25" i="5" s="1"/>
  <c r="AV25" i="5"/>
  <c r="DA25" i="5"/>
  <c r="CA25" i="5" s="1"/>
  <c r="BA25" i="5"/>
  <c r="CH26" i="5"/>
  <c r="BH26" i="5" s="1"/>
  <c r="AH26" i="5"/>
  <c r="CM26" i="5"/>
  <c r="BM26" i="5" s="1"/>
  <c r="AM26" i="5"/>
  <c r="CR26" i="5"/>
  <c r="BR26" i="5" s="1"/>
  <c r="AR26" i="5"/>
  <c r="CX26" i="5"/>
  <c r="BX26" i="5" s="1"/>
  <c r="AX26" i="5"/>
  <c r="DC26" i="5"/>
  <c r="CC26" i="5" s="1"/>
  <c r="BC26" i="5"/>
  <c r="CI27" i="5"/>
  <c r="BI27" i="5" s="1"/>
  <c r="AI27" i="5"/>
  <c r="CO27" i="5"/>
  <c r="BO27" i="5" s="1"/>
  <c r="AO27" i="5"/>
  <c r="CT27" i="5"/>
  <c r="BT27" i="5" s="1"/>
  <c r="AT27" i="5"/>
  <c r="CY27" i="5"/>
  <c r="BY27" i="5" s="1"/>
  <c r="AY27" i="5"/>
  <c r="CF28" i="5"/>
  <c r="BF28" i="5" s="1"/>
  <c r="AF28" i="5"/>
  <c r="CK28" i="5"/>
  <c r="BK28" i="5" s="1"/>
  <c r="AK28" i="5"/>
  <c r="CP28" i="5"/>
  <c r="BP28" i="5" s="1"/>
  <c r="AP28" i="5"/>
  <c r="CV28" i="5"/>
  <c r="BV28" i="5" s="1"/>
  <c r="AV28" i="5"/>
  <c r="DA28" i="5"/>
  <c r="CA28" i="5" s="1"/>
  <c r="BA28" i="5"/>
  <c r="CG29" i="5"/>
  <c r="BG29" i="5" s="1"/>
  <c r="AG29" i="5"/>
  <c r="CM29" i="5"/>
  <c r="BM29" i="5" s="1"/>
  <c r="AM29" i="5"/>
  <c r="CR29" i="5"/>
  <c r="BR29" i="5" s="1"/>
  <c r="AR29" i="5"/>
  <c r="CW29" i="5"/>
  <c r="BW29" i="5" s="1"/>
  <c r="AW29" i="5"/>
  <c r="DC29" i="5"/>
  <c r="CC29" i="5" s="1"/>
  <c r="BC29" i="5"/>
  <c r="CI30" i="5"/>
  <c r="BI30" i="5" s="1"/>
  <c r="AI30" i="5"/>
  <c r="CN30" i="5"/>
  <c r="BN30" i="5" s="1"/>
  <c r="AN30" i="5"/>
  <c r="CT30" i="5"/>
  <c r="BT30" i="5" s="1"/>
  <c r="AT30" i="5"/>
  <c r="CY30" i="5"/>
  <c r="BY30" i="5" s="1"/>
  <c r="AY30" i="5"/>
  <c r="DD30" i="5"/>
  <c r="CD30" i="5" s="1"/>
  <c r="BD30" i="5"/>
  <c r="CK31" i="5"/>
  <c r="BK31" i="5" s="1"/>
  <c r="AK31" i="5"/>
  <c r="CP31" i="5"/>
  <c r="BP31" i="5" s="1"/>
  <c r="AP31" i="5"/>
  <c r="CU31" i="5"/>
  <c r="BU31" i="5" s="1"/>
  <c r="AU31" i="5"/>
  <c r="DA31" i="5"/>
  <c r="CA31" i="5" s="1"/>
  <c r="BA31" i="5"/>
  <c r="CG32" i="5"/>
  <c r="BG32" i="5" s="1"/>
  <c r="AG32" i="5"/>
  <c r="CL32" i="5"/>
  <c r="BL32" i="5" s="1"/>
  <c r="AL32" i="5"/>
  <c r="CR32" i="5"/>
  <c r="BR32" i="5" s="1"/>
  <c r="AR32" i="5"/>
  <c r="CW32" i="5"/>
  <c r="BW32" i="5" s="1"/>
  <c r="AW32" i="5"/>
  <c r="DB32" i="5"/>
  <c r="CB32" i="5" s="1"/>
  <c r="BB32" i="5"/>
  <c r="CI33" i="5"/>
  <c r="BI33" i="5" s="1"/>
  <c r="AI33" i="5"/>
  <c r="CN33" i="5"/>
  <c r="BN33" i="5" s="1"/>
  <c r="AN33" i="5"/>
  <c r="CS33" i="5"/>
  <c r="BS33" i="5" s="1"/>
  <c r="AS33" i="5"/>
  <c r="CY33" i="5"/>
  <c r="BY33" i="5" s="1"/>
  <c r="AY33" i="5"/>
  <c r="DD33" i="5"/>
  <c r="CD33" i="5" s="1"/>
  <c r="BD33" i="5"/>
  <c r="CJ34" i="5"/>
  <c r="BJ34" i="5" s="1"/>
  <c r="AJ34" i="5"/>
  <c r="CP34" i="5"/>
  <c r="BP34" i="5" s="1"/>
  <c r="AP34" i="5"/>
  <c r="CU34" i="5"/>
  <c r="BU34" i="5" s="1"/>
  <c r="AU34" i="5"/>
  <c r="CZ34" i="5"/>
  <c r="BZ34" i="5" s="1"/>
  <c r="AZ34" i="5"/>
  <c r="CG35" i="5"/>
  <c r="BG35" i="5" s="1"/>
  <c r="AG35" i="5"/>
  <c r="CL35" i="5"/>
  <c r="BL35" i="5" s="1"/>
  <c r="AL35" i="5"/>
  <c r="CQ35" i="5"/>
  <c r="BQ35" i="5" s="1"/>
  <c r="AQ35" i="5"/>
  <c r="CW35" i="5"/>
  <c r="BW35" i="5" s="1"/>
  <c r="AW35" i="5"/>
  <c r="DB35" i="5"/>
  <c r="CB35" i="5" s="1"/>
  <c r="BB35" i="5"/>
  <c r="CH36" i="5"/>
  <c r="BH36" i="5" s="1"/>
  <c r="AH36" i="5"/>
  <c r="CN36" i="5"/>
  <c r="BN36" i="5" s="1"/>
  <c r="AN36" i="5"/>
  <c r="CS36" i="5"/>
  <c r="BS36" i="5" s="1"/>
  <c r="AS36" i="5"/>
  <c r="CX36" i="5"/>
  <c r="BX36" i="5" s="1"/>
  <c r="AX36" i="5"/>
  <c r="DD36" i="5"/>
  <c r="CD36" i="5" s="1"/>
  <c r="BD36" i="5"/>
  <c r="CJ37" i="5"/>
  <c r="BJ37" i="5" s="1"/>
  <c r="AJ37" i="5"/>
  <c r="CO37" i="5"/>
  <c r="BO37" i="5" s="1"/>
  <c r="AO37" i="5"/>
  <c r="CU37" i="5"/>
  <c r="BU37" i="5" s="1"/>
  <c r="AU37" i="5"/>
  <c r="CZ37" i="5"/>
  <c r="BZ37" i="5" s="1"/>
  <c r="AZ37" i="5"/>
  <c r="CF38" i="5"/>
  <c r="BF38" i="5" s="1"/>
  <c r="AF38" i="5"/>
  <c r="CL38" i="5"/>
  <c r="BL38" i="5" s="1"/>
  <c r="AL38" i="5"/>
  <c r="CQ38" i="5"/>
  <c r="BQ38" i="5" s="1"/>
  <c r="AQ38" i="5"/>
  <c r="CV38" i="5"/>
  <c r="BV38" i="5" s="1"/>
  <c r="AV38" i="5"/>
  <c r="DB38" i="5"/>
  <c r="CB38" i="5" s="1"/>
  <c r="BB38" i="5"/>
  <c r="CH39" i="5"/>
  <c r="BH39" i="5" s="1"/>
  <c r="AH39" i="5"/>
  <c r="CM39" i="5"/>
  <c r="BM39" i="5" s="1"/>
  <c r="AM39" i="5"/>
  <c r="CS39" i="5"/>
  <c r="BS39" i="5" s="1"/>
  <c r="AS39" i="5"/>
  <c r="CX39" i="5"/>
  <c r="BX39" i="5" s="1"/>
  <c r="AX39" i="5"/>
  <c r="DC39" i="5"/>
  <c r="CC39" i="5" s="1"/>
  <c r="BC39" i="5"/>
  <c r="CJ40" i="5"/>
  <c r="BJ40" i="5" s="1"/>
  <c r="AJ40" i="5"/>
  <c r="CO40" i="5"/>
  <c r="BO40" i="5" s="1"/>
  <c r="AO40" i="5"/>
  <c r="CT40" i="5"/>
  <c r="BT40" i="5" s="1"/>
  <c r="AT40" i="5"/>
  <c r="CZ40" i="5"/>
  <c r="BZ40" i="5" s="1"/>
  <c r="AZ40" i="5"/>
  <c r="CF41" i="5"/>
  <c r="BF41" i="5" s="1"/>
  <c r="AF41" i="5"/>
  <c r="CK41" i="5"/>
  <c r="BK41" i="5" s="1"/>
  <c r="AK41" i="5"/>
  <c r="CQ41" i="5"/>
  <c r="BQ41" i="5" s="1"/>
  <c r="AQ41" i="5"/>
  <c r="CV41" i="5"/>
  <c r="BV41" i="5" s="1"/>
  <c r="AV41" i="5"/>
  <c r="DA41" i="5"/>
  <c r="CA41" i="5" s="1"/>
  <c r="BA41" i="5"/>
  <c r="CH42" i="5"/>
  <c r="BH42" i="5" s="1"/>
  <c r="AH42" i="5"/>
  <c r="CM42" i="5"/>
  <c r="BM42" i="5" s="1"/>
  <c r="AM42" i="5"/>
  <c r="CR42" i="5"/>
  <c r="BR42" i="5" s="1"/>
  <c r="AR42" i="5"/>
  <c r="CX42" i="5"/>
  <c r="BX42" i="5" s="1"/>
  <c r="AX42" i="5"/>
  <c r="DC42" i="5"/>
  <c r="CC42" i="5" s="1"/>
  <c r="BC42" i="5"/>
  <c r="CI43" i="5"/>
  <c r="BI43" i="5" s="1"/>
  <c r="AI43" i="5"/>
  <c r="CO43" i="5"/>
  <c r="BO43" i="5" s="1"/>
  <c r="AO43" i="5"/>
  <c r="CT43" i="5"/>
  <c r="BT43" i="5" s="1"/>
  <c r="AT43" i="5"/>
  <c r="CY43" i="5"/>
  <c r="BY43" i="5" s="1"/>
  <c r="AY43" i="5"/>
  <c r="CF44" i="5"/>
  <c r="BF44" i="5" s="1"/>
  <c r="AF44" i="5"/>
  <c r="CK44" i="5"/>
  <c r="BK44" i="5" s="1"/>
  <c r="AK44" i="5"/>
  <c r="CP44" i="5"/>
  <c r="BP44" i="5" s="1"/>
  <c r="AP44" i="5"/>
  <c r="CV44" i="5"/>
  <c r="BV44" i="5" s="1"/>
  <c r="AV44" i="5"/>
  <c r="DA44" i="5"/>
  <c r="CA44" i="5" s="1"/>
  <c r="BA44" i="5"/>
  <c r="CG45" i="5"/>
  <c r="BG45" i="5" s="1"/>
  <c r="AG45" i="5"/>
  <c r="CM45" i="5"/>
  <c r="BM45" i="5" s="1"/>
  <c r="AM45" i="5"/>
  <c r="CR45" i="5"/>
  <c r="BR45" i="5" s="1"/>
  <c r="AR45" i="5"/>
  <c r="CW45" i="5"/>
  <c r="BW45" i="5" s="1"/>
  <c r="AW45" i="5"/>
  <c r="DC45" i="5"/>
  <c r="CC45" i="5" s="1"/>
  <c r="BC45" i="5"/>
  <c r="CI46" i="5"/>
  <c r="BI46" i="5" s="1"/>
  <c r="AI46" i="5"/>
  <c r="CN46" i="5"/>
  <c r="BN46" i="5" s="1"/>
  <c r="AN46" i="5"/>
  <c r="CT46" i="5"/>
  <c r="BT46" i="5" s="1"/>
  <c r="AT46" i="5"/>
  <c r="CY46" i="5"/>
  <c r="BY46" i="5" s="1"/>
  <c r="AY46" i="5"/>
  <c r="DD46" i="5"/>
  <c r="CD46" i="5" s="1"/>
  <c r="BD46" i="5"/>
  <c r="CK47" i="5"/>
  <c r="BK47" i="5" s="1"/>
  <c r="AK47" i="5"/>
  <c r="CP47" i="5"/>
  <c r="BP47" i="5" s="1"/>
  <c r="AP47" i="5"/>
  <c r="CU47" i="5"/>
  <c r="BU47" i="5" s="1"/>
  <c r="AU47" i="5"/>
  <c r="DA47" i="5"/>
  <c r="CA47" i="5" s="1"/>
  <c r="BA47" i="5"/>
  <c r="CG48" i="5"/>
  <c r="BG48" i="5" s="1"/>
  <c r="AG48" i="5"/>
  <c r="CL48" i="5"/>
  <c r="BL48" i="5" s="1"/>
  <c r="AL48" i="5"/>
  <c r="CR48" i="5"/>
  <c r="BR48" i="5" s="1"/>
  <c r="AR48" i="5"/>
  <c r="CW48" i="5"/>
  <c r="BW48" i="5" s="1"/>
  <c r="AW48" i="5"/>
  <c r="DB48" i="5"/>
  <c r="CB48" i="5" s="1"/>
  <c r="BB48" i="5"/>
  <c r="CI49" i="5"/>
  <c r="BI49" i="5" s="1"/>
  <c r="AI49" i="5"/>
  <c r="CN49" i="5"/>
  <c r="BN49" i="5" s="1"/>
  <c r="AN49" i="5"/>
  <c r="CS49" i="5"/>
  <c r="BS49" i="5" s="1"/>
  <c r="AS49" i="5"/>
  <c r="CY49" i="5"/>
  <c r="BY49" i="5" s="1"/>
  <c r="AY49" i="5"/>
  <c r="DD49" i="5"/>
  <c r="CD49" i="5" s="1"/>
  <c r="BD49" i="5"/>
  <c r="CJ50" i="5"/>
  <c r="BJ50" i="5" s="1"/>
  <c r="AJ50" i="5"/>
  <c r="CP50" i="5"/>
  <c r="BP50" i="5" s="1"/>
  <c r="AP50" i="5"/>
  <c r="CU50" i="5"/>
  <c r="BU50" i="5" s="1"/>
  <c r="AU50" i="5"/>
  <c r="CZ50" i="5"/>
  <c r="BZ50" i="5" s="1"/>
  <c r="AZ50" i="5"/>
  <c r="CG51" i="5"/>
  <c r="BG51" i="5" s="1"/>
  <c r="AG51" i="5"/>
  <c r="CL51" i="5"/>
  <c r="BL51" i="5" s="1"/>
  <c r="AL51" i="5"/>
  <c r="CQ51" i="5"/>
  <c r="BQ51" i="5" s="1"/>
  <c r="AQ51" i="5"/>
  <c r="CX51" i="5"/>
  <c r="BX51" i="5" s="1"/>
  <c r="AX51" i="5"/>
  <c r="CF52" i="5"/>
  <c r="BF52" i="5" s="1"/>
  <c r="AF52" i="5"/>
  <c r="CL52" i="5"/>
  <c r="BL52" i="5" s="1"/>
  <c r="AL52" i="5"/>
  <c r="CT52" i="5"/>
  <c r="BT52" i="5" s="1"/>
  <c r="AT52" i="5"/>
  <c r="DA52" i="5"/>
  <c r="CA52" i="5" s="1"/>
  <c r="BA52" i="5"/>
  <c r="CI53" i="5"/>
  <c r="BI53" i="5" s="1"/>
  <c r="AI53" i="5"/>
  <c r="CQ53" i="5"/>
  <c r="BQ53" i="5" s="1"/>
  <c r="AQ53" i="5"/>
  <c r="CW53" i="5"/>
  <c r="BW53" i="5" s="1"/>
  <c r="AW53" i="5"/>
  <c r="DD53" i="5"/>
  <c r="CD53" i="5" s="1"/>
  <c r="BD53" i="5"/>
  <c r="CM54" i="5"/>
  <c r="BM54" i="5" s="1"/>
  <c r="AM54" i="5"/>
  <c r="CT54" i="5"/>
  <c r="BT54" i="5" s="1"/>
  <c r="AT54" i="5"/>
  <c r="CZ54" i="5"/>
  <c r="BZ54" i="5" s="1"/>
  <c r="AZ54" i="5"/>
  <c r="CI55" i="5"/>
  <c r="BI55" i="5" s="1"/>
  <c r="AI55" i="5"/>
  <c r="CP55" i="5"/>
  <c r="BP55" i="5" s="1"/>
  <c r="AP55" i="5"/>
  <c r="CW55" i="5"/>
  <c r="BW55" i="5" s="1"/>
  <c r="AW55" i="5"/>
  <c r="CF56" i="5"/>
  <c r="BF56" i="5" s="1"/>
  <c r="AF56" i="5"/>
  <c r="CL56" i="5"/>
  <c r="BL56" i="5" s="1"/>
  <c r="AL56" i="5"/>
  <c r="CS56" i="5"/>
  <c r="BS56" i="5" s="1"/>
  <c r="AS56" i="5"/>
  <c r="DA56" i="5"/>
  <c r="CA56" i="5" s="1"/>
  <c r="BA56" i="5"/>
  <c r="CI57" i="5"/>
  <c r="BI57" i="5" s="1"/>
  <c r="AI57" i="5"/>
  <c r="CO57" i="5"/>
  <c r="BO57" i="5" s="1"/>
  <c r="AO57" i="5"/>
  <c r="CW57" i="5"/>
  <c r="BW57" i="5" s="1"/>
  <c r="AW57" i="5"/>
  <c r="DD57" i="5"/>
  <c r="CD57" i="5" s="1"/>
  <c r="BD57" i="5"/>
  <c r="CL58" i="5"/>
  <c r="BL58" i="5" s="1"/>
  <c r="AL58" i="5"/>
  <c r="CT58" i="5"/>
  <c r="BT58" i="5" s="1"/>
  <c r="AT58" i="5"/>
  <c r="CZ58" i="5"/>
  <c r="BZ58" i="5" s="1"/>
  <c r="AZ58" i="5"/>
  <c r="CH59" i="5"/>
  <c r="BH59" i="5" s="1"/>
  <c r="AH59" i="5"/>
  <c r="CP59" i="5"/>
  <c r="BP59" i="5" s="1"/>
  <c r="AP59" i="5"/>
  <c r="CW59" i="5"/>
  <c r="BW59" i="5" s="1"/>
  <c r="AW59" i="5"/>
  <c r="DC59" i="5"/>
  <c r="CC59" i="5" s="1"/>
  <c r="BC59" i="5"/>
  <c r="CL60" i="5"/>
  <c r="BL60" i="5" s="1"/>
  <c r="AL60" i="5"/>
  <c r="CS60" i="5"/>
  <c r="BS60" i="5" s="1"/>
  <c r="AS60" i="5"/>
  <c r="CZ60" i="5"/>
  <c r="BZ60" i="5" s="1"/>
  <c r="AZ60" i="5"/>
  <c r="CI61" i="5"/>
  <c r="BI61" i="5" s="1"/>
  <c r="AI61" i="5"/>
  <c r="CO61" i="5"/>
  <c r="BO61" i="5" s="1"/>
  <c r="AO61" i="5"/>
  <c r="CV61" i="5"/>
  <c r="BV61" i="5" s="1"/>
  <c r="AV61" i="5"/>
  <c r="DD61" i="5"/>
  <c r="CD61" i="5" s="1"/>
  <c r="BD61" i="5"/>
  <c r="CL62" i="5"/>
  <c r="BL62" i="5" s="1"/>
  <c r="AL62" i="5"/>
  <c r="CR62" i="5"/>
  <c r="BR62" i="5" s="1"/>
  <c r="AR62" i="5"/>
  <c r="CZ62" i="5"/>
  <c r="BZ62" i="5" s="1"/>
  <c r="AZ62" i="5"/>
  <c r="CH63" i="5"/>
  <c r="BH63" i="5" s="1"/>
  <c r="AH63" i="5"/>
  <c r="CO63" i="5"/>
  <c r="BO63" i="5" s="1"/>
  <c r="AO63" i="5"/>
  <c r="CW63" i="5"/>
  <c r="BW63" i="5" s="1"/>
  <c r="AW63" i="5"/>
  <c r="DC63" i="5"/>
  <c r="CC63" i="5" s="1"/>
  <c r="BC63" i="5"/>
  <c r="CK64" i="5"/>
  <c r="BK64" i="5" s="1"/>
  <c r="AK64" i="5"/>
  <c r="CS64" i="5"/>
  <c r="BS64" i="5" s="1"/>
  <c r="AS64" i="5"/>
  <c r="CZ64" i="5"/>
  <c r="BZ64" i="5" s="1"/>
  <c r="AZ64" i="5"/>
  <c r="CG65" i="5"/>
  <c r="BG65" i="5" s="1"/>
  <c r="AG65" i="5"/>
  <c r="CO65" i="5"/>
  <c r="BO65" i="5" s="1"/>
  <c r="AO65" i="5"/>
  <c r="CV65" i="5"/>
  <c r="BV65" i="5" s="1"/>
  <c r="AV65" i="5"/>
  <c r="DC65" i="5"/>
  <c r="CC65" i="5" s="1"/>
  <c r="BC65" i="5"/>
  <c r="CL66" i="5"/>
  <c r="BL66" i="5" s="1"/>
  <c r="AL66" i="5"/>
  <c r="CR66" i="5"/>
  <c r="BR66" i="5" s="1"/>
  <c r="AR66" i="5"/>
  <c r="CY66" i="5"/>
  <c r="BY66" i="5" s="1"/>
  <c r="AY66" i="5"/>
  <c r="CH67" i="5"/>
  <c r="BH67" i="5" s="1"/>
  <c r="AH67" i="5"/>
  <c r="CO67" i="5"/>
  <c r="BO67" i="5" s="1"/>
  <c r="AO67" i="5"/>
  <c r="CU67" i="5"/>
  <c r="BU67" i="5" s="1"/>
  <c r="AU67" i="5"/>
  <c r="DC67" i="5"/>
  <c r="CC67" i="5" s="1"/>
  <c r="BC67" i="5"/>
  <c r="CK68" i="5"/>
  <c r="BK68" i="5" s="1"/>
  <c r="AK68" i="5"/>
  <c r="CR68" i="5"/>
  <c r="BR68" i="5" s="1"/>
  <c r="AR68" i="5"/>
  <c r="CZ68" i="5"/>
  <c r="BZ68" i="5" s="1"/>
  <c r="AZ68" i="5"/>
  <c r="CG69" i="5"/>
  <c r="BG69" i="5" s="1"/>
  <c r="AG69" i="5"/>
  <c r="CN69" i="5"/>
  <c r="BN69" i="5" s="1"/>
  <c r="AN69" i="5"/>
  <c r="CV69" i="5"/>
  <c r="BV69" i="5" s="1"/>
  <c r="AV69" i="5"/>
  <c r="DC69" i="5"/>
  <c r="CC69" i="5" s="1"/>
  <c r="BC69" i="5"/>
  <c r="CJ70" i="5"/>
  <c r="BJ70" i="5" s="1"/>
  <c r="AJ70" i="5"/>
  <c r="CR70" i="5"/>
  <c r="BR70" i="5" s="1"/>
  <c r="AR70" i="5"/>
  <c r="CY70" i="5"/>
  <c r="BY70" i="5" s="1"/>
  <c r="AY70" i="5"/>
  <c r="CG71" i="5"/>
  <c r="BG71" i="5" s="1"/>
  <c r="AG71" i="5"/>
  <c r="CO71" i="5"/>
  <c r="BO71" i="5" s="1"/>
  <c r="AO71" i="5"/>
  <c r="CU71" i="5"/>
  <c r="BU71" i="5" s="1"/>
  <c r="AU71" i="5"/>
  <c r="DB71" i="5"/>
  <c r="CB71" i="5" s="1"/>
  <c r="BB71" i="5"/>
  <c r="CK72" i="5"/>
  <c r="BK72" i="5" s="1"/>
  <c r="AK72" i="5"/>
  <c r="CR72" i="5"/>
  <c r="BR72" i="5" s="1"/>
  <c r="AR72" i="5"/>
  <c r="CX72" i="5"/>
  <c r="BX72" i="5" s="1"/>
  <c r="AX72" i="5"/>
  <c r="CG73" i="5"/>
  <c r="BG73" i="5" s="1"/>
  <c r="AG73" i="5"/>
  <c r="CN73" i="5"/>
  <c r="BN73" i="5" s="1"/>
  <c r="AN73" i="5"/>
  <c r="CU73" i="5"/>
  <c r="BU73" i="5" s="1"/>
  <c r="AU73" i="5"/>
  <c r="DC73" i="5"/>
  <c r="CC73" i="5" s="1"/>
  <c r="BC73" i="5"/>
  <c r="CJ74" i="5"/>
  <c r="BJ74" i="5" s="1"/>
  <c r="AJ74" i="5"/>
  <c r="CQ74" i="5"/>
  <c r="BQ74" i="5" s="1"/>
  <c r="AQ74" i="5"/>
  <c r="CY74" i="5"/>
  <c r="BY74" i="5" s="1"/>
  <c r="AY74" i="5"/>
  <c r="CG75" i="5"/>
  <c r="BG75" i="5" s="1"/>
  <c r="AG75" i="5"/>
  <c r="CM75" i="5"/>
  <c r="BM75" i="5" s="1"/>
  <c r="AM75" i="5"/>
  <c r="CU75" i="5"/>
  <c r="BU75" i="5" s="1"/>
  <c r="AU75" i="5"/>
  <c r="DB75" i="5"/>
  <c r="CB75" i="5" s="1"/>
  <c r="BB75" i="5"/>
  <c r="CJ76" i="5"/>
  <c r="BJ76" i="5" s="1"/>
  <c r="AJ76" i="5"/>
  <c r="CR76" i="5"/>
  <c r="BR76" i="5" s="1"/>
  <c r="AR76" i="5"/>
  <c r="CX76" i="5"/>
  <c r="BX76" i="5" s="1"/>
  <c r="AX76" i="5"/>
  <c r="CF77" i="5"/>
  <c r="BF77" i="5" s="1"/>
  <c r="AF77" i="5"/>
  <c r="CN77" i="5"/>
  <c r="BN77" i="5" s="1"/>
  <c r="AN77" i="5"/>
  <c r="CU77" i="5"/>
  <c r="BU77" i="5" s="1"/>
  <c r="AU77" i="5"/>
  <c r="DA77" i="5"/>
  <c r="CA77" i="5" s="1"/>
  <c r="BA77" i="5"/>
  <c r="CJ78" i="5"/>
  <c r="BJ78" i="5" s="1"/>
  <c r="AJ78" i="5"/>
  <c r="CQ78" i="5"/>
  <c r="BQ78" i="5" s="1"/>
  <c r="AQ78" i="5"/>
  <c r="CX78" i="5"/>
  <c r="BX78" i="5" s="1"/>
  <c r="AX78" i="5"/>
  <c r="CG79" i="5"/>
  <c r="BG79" i="5" s="1"/>
  <c r="AG79" i="5"/>
  <c r="CM79" i="5"/>
  <c r="BM79" i="5" s="1"/>
  <c r="AM79" i="5"/>
  <c r="CT79" i="5"/>
  <c r="BT79" i="5" s="1"/>
  <c r="AT79" i="5"/>
  <c r="DB79" i="5"/>
  <c r="CB79" i="5" s="1"/>
  <c r="BB79" i="5"/>
  <c r="CJ80" i="5"/>
  <c r="BJ80" i="5" s="1"/>
  <c r="AJ80" i="5"/>
  <c r="CP80" i="5"/>
  <c r="BP80" i="5" s="1"/>
  <c r="AP80" i="5"/>
  <c r="CX80" i="5"/>
  <c r="BX80" i="5" s="1"/>
  <c r="AX80" i="5"/>
  <c r="CF81" i="5"/>
  <c r="BF81" i="5" s="1"/>
  <c r="AF81" i="5"/>
  <c r="CM81" i="5"/>
  <c r="BM81" i="5" s="1"/>
  <c r="AM81" i="5"/>
  <c r="CU81" i="5"/>
  <c r="BU81" i="5" s="1"/>
  <c r="AU81" i="5"/>
  <c r="DA81" i="5"/>
  <c r="CA81" i="5" s="1"/>
  <c r="BA81" i="5"/>
  <c r="CI82" i="5"/>
  <c r="BI82" i="5" s="1"/>
  <c r="AI82" i="5"/>
  <c r="CQ82" i="5"/>
  <c r="BQ82" i="5" s="1"/>
  <c r="AQ82" i="5"/>
  <c r="CX82" i="5"/>
  <c r="BX82" i="5" s="1"/>
  <c r="AX82" i="5"/>
  <c r="DD82" i="5"/>
  <c r="CD82" i="5" s="1"/>
  <c r="BD82" i="5"/>
  <c r="CM83" i="5"/>
  <c r="BM83" i="5" s="1"/>
  <c r="AM83" i="5"/>
  <c r="CT83" i="5"/>
  <c r="BT83" i="5" s="1"/>
  <c r="AT83" i="5"/>
  <c r="DA83" i="5"/>
  <c r="CA83" i="5" s="1"/>
  <c r="BA83" i="5"/>
  <c r="CJ84" i="5"/>
  <c r="BJ84" i="5" s="1"/>
  <c r="AJ84" i="5"/>
  <c r="CP84" i="5"/>
  <c r="BP84" i="5" s="1"/>
  <c r="AP84" i="5"/>
  <c r="CW84" i="5"/>
  <c r="BW84" i="5" s="1"/>
  <c r="AW84" i="5"/>
  <c r="CF85" i="5"/>
  <c r="BF85" i="5" s="1"/>
  <c r="AF85" i="5"/>
  <c r="CM85" i="5"/>
  <c r="BM85" i="5" s="1"/>
  <c r="AM85" i="5"/>
  <c r="CS85" i="5"/>
  <c r="BS85" i="5" s="1"/>
  <c r="AS85" i="5"/>
  <c r="DA85" i="5"/>
  <c r="CA85" i="5" s="1"/>
  <c r="BA85" i="5"/>
  <c r="CI86" i="5"/>
  <c r="BI86" i="5" s="1"/>
  <c r="AI86" i="5"/>
  <c r="CP86" i="5"/>
  <c r="BP86" i="5" s="1"/>
  <c r="AP86" i="5"/>
  <c r="CX86" i="5"/>
  <c r="BX86" i="5" s="1"/>
  <c r="AX86" i="5"/>
  <c r="DD86" i="5"/>
  <c r="CD86" i="5" s="1"/>
  <c r="BD86" i="5"/>
  <c r="CL87" i="5"/>
  <c r="BL87" i="5" s="1"/>
  <c r="AL87" i="5"/>
  <c r="CT87" i="5"/>
  <c r="BT87" i="5" s="1"/>
  <c r="AT87" i="5"/>
  <c r="DA87" i="5"/>
  <c r="CA87" i="5" s="1"/>
  <c r="BA87" i="5"/>
  <c r="CH88" i="5"/>
  <c r="BH88" i="5" s="1"/>
  <c r="AH88" i="5"/>
  <c r="CP88" i="5"/>
  <c r="BP88" i="5" s="1"/>
  <c r="AP88" i="5"/>
  <c r="CW88" i="5"/>
  <c r="BW88" i="5" s="1"/>
  <c r="AW88" i="5"/>
  <c r="DD88" i="5"/>
  <c r="CD88" i="5" s="1"/>
  <c r="BD88" i="5"/>
  <c r="CM89" i="5"/>
  <c r="BM89" i="5" s="1"/>
  <c r="AM89" i="5"/>
  <c r="CS89" i="5"/>
  <c r="BS89" i="5" s="1"/>
  <c r="AS89" i="5"/>
  <c r="CZ89" i="5"/>
  <c r="BZ89" i="5" s="1"/>
  <c r="AZ89" i="5"/>
  <c r="CI90" i="5"/>
  <c r="BI90" i="5" s="1"/>
  <c r="AI90" i="5"/>
  <c r="CP90" i="5"/>
  <c r="BP90" i="5" s="1"/>
  <c r="AP90" i="5"/>
  <c r="CV90" i="5"/>
  <c r="BV90" i="5" s="1"/>
  <c r="AV90" i="5"/>
  <c r="DD90" i="5"/>
  <c r="CD90" i="5" s="1"/>
  <c r="BD90" i="5"/>
  <c r="CL91" i="5"/>
  <c r="BL91" i="5" s="1"/>
  <c r="AL91" i="5"/>
  <c r="CS91" i="5"/>
  <c r="BS91" i="5" s="1"/>
  <c r="AS91" i="5"/>
  <c r="DA91" i="5"/>
  <c r="CA91" i="5" s="1"/>
  <c r="BA91" i="5"/>
  <c r="CH92" i="5"/>
  <c r="BH92" i="5" s="1"/>
  <c r="AH92" i="5"/>
  <c r="CO92" i="5"/>
  <c r="BO92" i="5" s="1"/>
  <c r="AO92" i="5"/>
  <c r="CW92" i="5"/>
  <c r="BW92" i="5" s="1"/>
  <c r="AW92" i="5"/>
  <c r="DD92" i="5"/>
  <c r="CD92" i="5" s="1"/>
  <c r="BD92" i="5"/>
  <c r="CK93" i="5"/>
  <c r="BK93" i="5" s="1"/>
  <c r="AK93" i="5"/>
  <c r="CS93" i="5"/>
  <c r="BS93" i="5" s="1"/>
  <c r="AS93" i="5"/>
  <c r="CZ93" i="5"/>
  <c r="BZ93" i="5" s="1"/>
  <c r="AZ93" i="5"/>
  <c r="CH94" i="5"/>
  <c r="BH94" i="5" s="1"/>
  <c r="AH94" i="5"/>
  <c r="CP94" i="5"/>
  <c r="BP94" i="5" s="1"/>
  <c r="AP94" i="5"/>
  <c r="CV94" i="5"/>
  <c r="BV94" i="5" s="1"/>
  <c r="AV94" i="5"/>
  <c r="DC94" i="5"/>
  <c r="CC94" i="5" s="1"/>
  <c r="BC94" i="5"/>
  <c r="CL95" i="5"/>
  <c r="BL95" i="5" s="1"/>
  <c r="AL95" i="5"/>
  <c r="CS95" i="5"/>
  <c r="BS95" i="5" s="1"/>
  <c r="AS95" i="5"/>
  <c r="CY95" i="5"/>
  <c r="BY95" i="5" s="1"/>
  <c r="AY95" i="5"/>
  <c r="CH96" i="5"/>
  <c r="BH96" i="5" s="1"/>
  <c r="AH96" i="5"/>
  <c r="CO96" i="5"/>
  <c r="BO96" i="5" s="1"/>
  <c r="AO96" i="5"/>
  <c r="CV96" i="5"/>
  <c r="BV96" i="5" s="1"/>
  <c r="AV96" i="5"/>
  <c r="DD96" i="5"/>
  <c r="CD96" i="5" s="1"/>
  <c r="BD96" i="5"/>
  <c r="CK97" i="5"/>
  <c r="BK97" i="5" s="1"/>
  <c r="AK97" i="5"/>
  <c r="CR97" i="5"/>
  <c r="BR97" i="5" s="1"/>
  <c r="AR97" i="5"/>
  <c r="CZ97" i="5"/>
  <c r="BZ97" i="5" s="1"/>
  <c r="AZ97" i="5"/>
  <c r="CH98" i="5"/>
  <c r="BH98" i="5" s="1"/>
  <c r="AH98" i="5"/>
  <c r="CN98" i="5"/>
  <c r="BN98" i="5" s="1"/>
  <c r="AN98" i="5"/>
  <c r="CV98" i="5"/>
  <c r="BV98" i="5" s="1"/>
  <c r="AV98" i="5"/>
  <c r="DC98" i="5"/>
  <c r="CC98" i="5" s="1"/>
  <c r="BC98" i="5"/>
  <c r="CK99" i="5"/>
  <c r="BK99" i="5" s="1"/>
  <c r="AK99" i="5"/>
  <c r="CS99" i="5"/>
  <c r="BS99" i="5" s="1"/>
  <c r="AS99" i="5"/>
  <c r="CY99" i="5"/>
  <c r="BY99" i="5" s="1"/>
  <c r="AY99" i="5"/>
  <c r="BB8" i="5"/>
  <c r="AG8" i="5"/>
  <c r="AX8" i="5"/>
  <c r="AO8" i="5"/>
  <c r="AT8" i="5"/>
  <c r="AS8" i="5"/>
  <c r="AL8" i="5"/>
  <c r="AF8" i="5"/>
  <c r="AH8" i="5"/>
  <c r="AJ8" i="5"/>
  <c r="AV8" i="5"/>
  <c r="AZ8" i="5"/>
  <c r="BC8" i="5"/>
  <c r="AK8" i="5"/>
  <c r="BD8" i="5"/>
  <c r="AN7" i="5"/>
  <c r="AI7" i="5"/>
  <c r="Z3" i="183"/>
  <c r="AA3" i="183"/>
  <c r="D3" i="183"/>
  <c r="E3" i="183"/>
  <c r="F3" i="183"/>
  <c r="G3" i="183"/>
  <c r="H3" i="183"/>
  <c r="I3" i="183"/>
  <c r="J3" i="183"/>
  <c r="K3" i="183"/>
  <c r="L3" i="183"/>
  <c r="M3" i="183"/>
  <c r="N3" i="183"/>
  <c r="O3" i="183"/>
  <c r="P3" i="183"/>
  <c r="Q3" i="183"/>
  <c r="R3" i="183"/>
  <c r="S3" i="183"/>
  <c r="T3" i="183"/>
  <c r="U3" i="183"/>
  <c r="V3" i="183"/>
  <c r="W3" i="183"/>
  <c r="X3" i="183"/>
  <c r="Y3" i="183"/>
  <c r="C3" i="183"/>
  <c r="A24" i="179"/>
  <c r="A52" i="179"/>
  <c r="A51" i="179"/>
  <c r="A50" i="179"/>
  <c r="A49" i="179"/>
  <c r="A48" i="179"/>
  <c r="A47" i="179"/>
  <c r="A46" i="179"/>
  <c r="A45" i="179"/>
  <c r="A44" i="179"/>
  <c r="A41" i="179"/>
  <c r="A40" i="179"/>
  <c r="A39" i="179"/>
  <c r="A38" i="179"/>
  <c r="A37" i="179"/>
  <c r="A36" i="179"/>
  <c r="A35" i="179"/>
  <c r="A33" i="179"/>
  <c r="A32" i="179"/>
  <c r="A31" i="179"/>
  <c r="A30" i="179"/>
  <c r="A29" i="179"/>
  <c r="A28" i="179"/>
  <c r="A27" i="179"/>
  <c r="A26" i="179"/>
  <c r="A25" i="179"/>
  <c r="A22" i="179"/>
  <c r="A21" i="179"/>
  <c r="A20" i="179"/>
  <c r="A19" i="179"/>
  <c r="A18" i="179"/>
  <c r="A17" i="179"/>
  <c r="A16" i="179"/>
  <c r="A15" i="179"/>
  <c r="A14" i="179"/>
  <c r="A13" i="179"/>
  <c r="A12" i="179"/>
  <c r="A11" i="179"/>
  <c r="A10" i="179"/>
  <c r="A9" i="179"/>
  <c r="A8" i="179"/>
  <c r="A7" i="179"/>
  <c r="A6" i="179"/>
  <c r="A5" i="179"/>
  <c r="C4" i="179"/>
  <c r="D4" i="179"/>
  <c r="E4" i="179"/>
  <c r="F4" i="179"/>
  <c r="G4" i="179"/>
  <c r="H4" i="179"/>
  <c r="I4" i="179"/>
  <c r="J4" i="179"/>
  <c r="K4" i="179"/>
  <c r="L4" i="179"/>
  <c r="M4" i="179"/>
  <c r="N4" i="179"/>
  <c r="O4" i="179"/>
  <c r="P4" i="179"/>
  <c r="Q4" i="179"/>
  <c r="R4" i="179"/>
  <c r="S4" i="179"/>
  <c r="T4" i="179"/>
  <c r="U4" i="179"/>
  <c r="V4" i="179"/>
  <c r="W4" i="179"/>
  <c r="X4" i="179"/>
  <c r="Y4" i="179"/>
  <c r="Z4" i="179"/>
  <c r="B4" i="179"/>
  <c r="DB4" i="144"/>
  <c r="DA4" i="144"/>
  <c r="CZ4" i="144"/>
  <c r="CY4" i="144"/>
  <c r="CX4" i="144"/>
  <c r="CW4" i="144"/>
  <c r="CV4" i="144"/>
  <c r="CU4" i="144"/>
  <c r="CT4" i="144"/>
  <c r="CS4" i="144"/>
  <c r="CR4" i="144"/>
  <c r="CQ4" i="144"/>
  <c r="CP4" i="144"/>
  <c r="CO4" i="144"/>
  <c r="CN4" i="144"/>
  <c r="CM4" i="144"/>
  <c r="CL4" i="144"/>
  <c r="CK4" i="144"/>
  <c r="CJ4" i="144"/>
  <c r="CI4" i="144"/>
  <c r="CH4" i="144"/>
  <c r="CG4" i="144"/>
  <c r="CF4" i="144"/>
  <c r="CE4" i="144"/>
  <c r="CD4" i="144"/>
  <c r="L4" i="160"/>
  <c r="M4" i="160"/>
  <c r="N4" i="160"/>
  <c r="O4" i="160"/>
  <c r="P4" i="160"/>
  <c r="Q4" i="160"/>
  <c r="R4" i="160"/>
  <c r="S4" i="160"/>
  <c r="T4" i="160"/>
  <c r="U4" i="160"/>
  <c r="V4" i="160"/>
  <c r="W4" i="160"/>
  <c r="X4" i="160"/>
  <c r="Y4" i="160"/>
  <c r="Z4" i="160"/>
  <c r="L4" i="144"/>
  <c r="AL4" i="144" s="1"/>
  <c r="BM4" i="144" s="1"/>
  <c r="M4" i="144"/>
  <c r="AM4" i="144" s="1"/>
  <c r="BN4" i="144" s="1"/>
  <c r="N4" i="144"/>
  <c r="AN4" i="144" s="1"/>
  <c r="BO4" i="144" s="1"/>
  <c r="O4" i="144"/>
  <c r="AO4" i="144" s="1"/>
  <c r="BP4" i="144" s="1"/>
  <c r="P4" i="144"/>
  <c r="AP4" i="144" s="1"/>
  <c r="BQ4" i="144" s="1"/>
  <c r="Q4" i="144"/>
  <c r="AQ4" i="144" s="1"/>
  <c r="BR4" i="144" s="1"/>
  <c r="R4" i="144"/>
  <c r="AR4" i="144" s="1"/>
  <c r="BS4" i="144" s="1"/>
  <c r="S4" i="144"/>
  <c r="AS4" i="144" s="1"/>
  <c r="BT4" i="144" s="1"/>
  <c r="T4" i="144"/>
  <c r="AT4" i="144" s="1"/>
  <c r="BU4" i="144" s="1"/>
  <c r="U4" i="144"/>
  <c r="AU4" i="144" s="1"/>
  <c r="BV4" i="144" s="1"/>
  <c r="V4" i="144"/>
  <c r="AV4" i="144" s="1"/>
  <c r="BW4" i="144" s="1"/>
  <c r="W4" i="144"/>
  <c r="AW4" i="144" s="1"/>
  <c r="BX4" i="144" s="1"/>
  <c r="X4" i="144"/>
  <c r="AX4" i="144" s="1"/>
  <c r="BY4" i="144" s="1"/>
  <c r="Y4" i="144"/>
  <c r="AY4" i="144" s="1"/>
  <c r="BZ4" i="144" s="1"/>
  <c r="Z4" i="144"/>
  <c r="AZ4" i="144" s="1"/>
  <c r="CA4" i="144" s="1"/>
  <c r="CD3" i="5"/>
  <c r="CC3" i="5"/>
  <c r="CB3" i="5"/>
  <c r="CA3" i="5"/>
  <c r="BZ3" i="5"/>
  <c r="BY3" i="5"/>
  <c r="BX3" i="5"/>
  <c r="BW3" i="5"/>
  <c r="BV3" i="5"/>
  <c r="BU3" i="5"/>
  <c r="BT3" i="5"/>
  <c r="BS3" i="5"/>
  <c r="BR3" i="5"/>
  <c r="BQ3" i="5"/>
  <c r="BP3" i="5"/>
  <c r="A52" i="160"/>
  <c r="A51" i="160"/>
  <c r="A50" i="160"/>
  <c r="A49" i="160"/>
  <c r="A48" i="160"/>
  <c r="A47" i="160"/>
  <c r="A46" i="160"/>
  <c r="A45" i="160"/>
  <c r="A44" i="160"/>
  <c r="A41" i="160"/>
  <c r="A40" i="160"/>
  <c r="A39" i="160"/>
  <c r="A38" i="160"/>
  <c r="A37" i="160"/>
  <c r="A36" i="160"/>
  <c r="A35" i="160"/>
  <c r="A33" i="160"/>
  <c r="A32" i="160"/>
  <c r="A31" i="160"/>
  <c r="A30" i="160"/>
  <c r="A29" i="160"/>
  <c r="A28" i="160"/>
  <c r="A27" i="160"/>
  <c r="A26" i="160"/>
  <c r="A25" i="160"/>
  <c r="A24" i="160"/>
  <c r="A11" i="160"/>
  <c r="A12" i="160"/>
  <c r="A13" i="160"/>
  <c r="A14" i="160"/>
  <c r="A15" i="160"/>
  <c r="A16" i="160"/>
  <c r="A17" i="160"/>
  <c r="A18" i="160"/>
  <c r="A19" i="160"/>
  <c r="A20" i="160"/>
  <c r="A21" i="160"/>
  <c r="A22" i="160"/>
  <c r="C4" i="160"/>
  <c r="D4" i="160"/>
  <c r="E4" i="160"/>
  <c r="F4" i="160"/>
  <c r="G4" i="160"/>
  <c r="H4" i="160"/>
  <c r="I4" i="160"/>
  <c r="J4" i="160"/>
  <c r="K4" i="160"/>
  <c r="B4" i="160"/>
  <c r="A47" i="144"/>
  <c r="A48" i="144"/>
  <c r="A49" i="144"/>
  <c r="A50" i="144"/>
  <c r="A51" i="144"/>
  <c r="C4" i="144"/>
  <c r="AC4" i="144" s="1"/>
  <c r="BD4" i="144" s="1"/>
  <c r="D4" i="144"/>
  <c r="AD4" i="144" s="1"/>
  <c r="BE4" i="144" s="1"/>
  <c r="E4" i="144"/>
  <c r="AE4" i="144" s="1"/>
  <c r="BF4" i="144" s="1"/>
  <c r="F4" i="144"/>
  <c r="AF4" i="144" s="1"/>
  <c r="BG4" i="144" s="1"/>
  <c r="G4" i="144"/>
  <c r="AG4" i="144" s="1"/>
  <c r="BH4" i="144" s="1"/>
  <c r="H4" i="144"/>
  <c r="AH4" i="144" s="1"/>
  <c r="BI4" i="144" s="1"/>
  <c r="I4" i="144"/>
  <c r="AI4" i="144" s="1"/>
  <c r="BJ4" i="144" s="1"/>
  <c r="J4" i="144"/>
  <c r="AJ4" i="144" s="1"/>
  <c r="BK4" i="144" s="1"/>
  <c r="K4" i="144"/>
  <c r="AK4" i="144" s="1"/>
  <c r="BL4" i="144" s="1"/>
  <c r="B4" i="144"/>
  <c r="AB4" i="144" s="1"/>
  <c r="BC4" i="144" s="1"/>
  <c r="A7" i="144"/>
  <c r="A8" i="144"/>
  <c r="A9" i="144"/>
  <c r="A10" i="144"/>
  <c r="A11" i="144"/>
  <c r="A12" i="144"/>
  <c r="A13" i="144"/>
  <c r="A14" i="144"/>
  <c r="A15" i="144"/>
  <c r="A16" i="144"/>
  <c r="A17" i="144"/>
  <c r="A18" i="144"/>
  <c r="A19" i="144"/>
  <c r="A20" i="144"/>
  <c r="A21" i="144"/>
  <c r="A22" i="144"/>
  <c r="A24" i="144"/>
  <c r="A25" i="144"/>
  <c r="A26" i="144"/>
  <c r="A27" i="144"/>
  <c r="A28" i="144"/>
  <c r="A29" i="144"/>
  <c r="A30" i="144"/>
  <c r="A31" i="144"/>
  <c r="A32" i="144"/>
  <c r="A33" i="144"/>
  <c r="A35" i="144"/>
  <c r="A36" i="144"/>
  <c r="A37" i="144"/>
  <c r="A38" i="144"/>
  <c r="A39" i="144"/>
  <c r="A40" i="144"/>
  <c r="A41" i="144"/>
  <c r="A44" i="144"/>
  <c r="A45" i="144"/>
  <c r="A46" i="144"/>
  <c r="A52" i="144"/>
  <c r="BG3" i="5"/>
  <c r="BH3" i="5"/>
  <c r="BI3" i="5"/>
  <c r="BJ3" i="5"/>
  <c r="BK3" i="5"/>
  <c r="BL3" i="5"/>
  <c r="BM3" i="5"/>
  <c r="BN3" i="5"/>
  <c r="BO3" i="5"/>
  <c r="BF3" i="5"/>
  <c r="C24" i="127"/>
  <c r="DC5" i="5"/>
  <c r="CY5" i="5"/>
  <c r="CU5" i="5"/>
  <c r="CF5" i="5"/>
  <c r="CN5" i="5"/>
  <c r="CQ5" i="5"/>
  <c r="AB53" i="205"/>
  <c r="BA5" i="205"/>
  <c r="AE46" i="5"/>
  <c r="AE61" i="5"/>
  <c r="AE60" i="5"/>
  <c r="AE7" i="5"/>
  <c r="AE12" i="5"/>
  <c r="AE87" i="5"/>
  <c r="AE57" i="5"/>
  <c r="AE77" i="5"/>
  <c r="AE6" i="5"/>
  <c r="AE38" i="5"/>
  <c r="AE79" i="5"/>
  <c r="AE41" i="5"/>
  <c r="AE20" i="5"/>
  <c r="AE74" i="5"/>
  <c r="AE76" i="5"/>
  <c r="AE89" i="5"/>
  <c r="AE98" i="5"/>
  <c r="AE52" i="5"/>
  <c r="AE19" i="5"/>
  <c r="AE85" i="5"/>
  <c r="AE13" i="5"/>
  <c r="AE80" i="5"/>
  <c r="AE35" i="5"/>
  <c r="AE68" i="5"/>
  <c r="AE43" i="5"/>
  <c r="AE81" i="5"/>
  <c r="AE84" i="5"/>
  <c r="AE71" i="5"/>
  <c r="AE64" i="5"/>
  <c r="AE40" i="5"/>
  <c r="AE91" i="5"/>
  <c r="AE65" i="5"/>
  <c r="AE83" i="5"/>
  <c r="AE33" i="5"/>
  <c r="AE11" i="5"/>
  <c r="AE29" i="5"/>
  <c r="AE28" i="5"/>
  <c r="AE86" i="5"/>
  <c r="AE34" i="5"/>
  <c r="AE39" i="5"/>
  <c r="AE97" i="5"/>
  <c r="AE27" i="5"/>
  <c r="AE42" i="5"/>
  <c r="AE49" i="5"/>
  <c r="AE72" i="5"/>
  <c r="AE25" i="5"/>
  <c r="AE32" i="5"/>
  <c r="AE21" i="5"/>
  <c r="AE67" i="5"/>
  <c r="BA2" i="208"/>
  <c r="AE58" i="5"/>
  <c r="AE8" i="5"/>
  <c r="AE95" i="5"/>
  <c r="AE90" i="5"/>
  <c r="AE78" i="5"/>
  <c r="AE92" i="5"/>
  <c r="AE26" i="5"/>
  <c r="AE15" i="5"/>
  <c r="AE93" i="5"/>
  <c r="AE31" i="5"/>
  <c r="AE10" i="5"/>
  <c r="AE51" i="5"/>
  <c r="AE55" i="5"/>
  <c r="AE47" i="5"/>
  <c r="AE23" i="5"/>
  <c r="AE69" i="5"/>
  <c r="AE53" i="5"/>
  <c r="AE88" i="5"/>
  <c r="AE56" i="5"/>
  <c r="AE24" i="5"/>
  <c r="AE54" i="5"/>
  <c r="AE22" i="5"/>
  <c r="AE5" i="5"/>
  <c r="AE45" i="5"/>
  <c r="AE48" i="5"/>
  <c r="AE73" i="5"/>
  <c r="AE30" i="5"/>
  <c r="AE62" i="5"/>
  <c r="AE82" i="5"/>
  <c r="AE16" i="5"/>
  <c r="AE36" i="5"/>
  <c r="AE59" i="5"/>
  <c r="AE44" i="5"/>
  <c r="AE96" i="5"/>
  <c r="AE75" i="5"/>
  <c r="AE63" i="5"/>
  <c r="AE94" i="5"/>
  <c r="AE66" i="5"/>
  <c r="AE14" i="5"/>
  <c r="AE37" i="5"/>
  <c r="AE18" i="5"/>
  <c r="AE17" i="5"/>
  <c r="AE70" i="5"/>
  <c r="AE50" i="5"/>
  <c r="AE99" i="5"/>
  <c r="BJ25" i="5" l="1"/>
  <c r="AJ25" i="5"/>
  <c r="BQ23" i="5"/>
  <c r="AQ23" i="5"/>
  <c r="BJ22" i="5"/>
  <c r="AJ22" i="5"/>
  <c r="BL20" i="5"/>
  <c r="AL20" i="5"/>
  <c r="BW17" i="5"/>
  <c r="AW17" i="5"/>
  <c r="BI15" i="5"/>
  <c r="AI15" i="5"/>
  <c r="BP25" i="5"/>
  <c r="AP25" i="5"/>
  <c r="BS92" i="5"/>
  <c r="AS92" i="5"/>
  <c r="CC23" i="5"/>
  <c r="BC23" i="5"/>
  <c r="BM23" i="5"/>
  <c r="AM23" i="5"/>
  <c r="BV22" i="5"/>
  <c r="AV22" i="5"/>
  <c r="BF22" i="5"/>
  <c r="AF22" i="5"/>
  <c r="BO21" i="5"/>
  <c r="AO21" i="5"/>
  <c r="BX20" i="5"/>
  <c r="AX20" i="5"/>
  <c r="BH20" i="5"/>
  <c r="AH20" i="5"/>
  <c r="BQ19" i="5"/>
  <c r="AQ19" i="5"/>
  <c r="BZ18" i="5"/>
  <c r="AZ18" i="5"/>
  <c r="BJ18" i="5"/>
  <c r="AJ18" i="5"/>
  <c r="BS17" i="5"/>
  <c r="AS17" i="5"/>
  <c r="CB16" i="5"/>
  <c r="BB16" i="5"/>
  <c r="BL16" i="5"/>
  <c r="AL16" i="5"/>
  <c r="BU15" i="5"/>
  <c r="AU15" i="5"/>
  <c r="CD14" i="5"/>
  <c r="BD14" i="5"/>
  <c r="BN14" i="5"/>
  <c r="AN14" i="5"/>
  <c r="BW13" i="5"/>
  <c r="AW13" i="5"/>
  <c r="BG13" i="5"/>
  <c r="AG13" i="5"/>
  <c r="BP12" i="5"/>
  <c r="AP12" i="5"/>
  <c r="BY92" i="5"/>
  <c r="AY92" i="5"/>
  <c r="BH71" i="5"/>
  <c r="AH71" i="5"/>
  <c r="BU95" i="5"/>
  <c r="AU95" i="5"/>
  <c r="BL84" i="5"/>
  <c r="AL84" i="5"/>
  <c r="BP15" i="5"/>
  <c r="AP15" i="5"/>
  <c r="BS21" i="5"/>
  <c r="AS21" i="5"/>
  <c r="CD18" i="5"/>
  <c r="BD18" i="5"/>
  <c r="BG17" i="5"/>
  <c r="AG17" i="5"/>
  <c r="BP16" i="5"/>
  <c r="AP16" i="5"/>
  <c r="BY15" i="5"/>
  <c r="AY15" i="5"/>
  <c r="CA13" i="5"/>
  <c r="BA13" i="5"/>
  <c r="BK13" i="5"/>
  <c r="AK13" i="5"/>
  <c r="BT12" i="5"/>
  <c r="AT12" i="5"/>
  <c r="BP53" i="5"/>
  <c r="AP53" i="5"/>
  <c r="DE21" i="5"/>
  <c r="AN50" i="5"/>
  <c r="AO41" i="5"/>
  <c r="BD40" i="5"/>
  <c r="AS40" i="5"/>
  <c r="AH40" i="5"/>
  <c r="AW39" i="5"/>
  <c r="AL39" i="5"/>
  <c r="AU38" i="5"/>
  <c r="AJ38" i="5"/>
  <c r="AY37" i="5"/>
  <c r="AN37" i="5"/>
  <c r="BB36" i="5"/>
  <c r="AR36" i="5"/>
  <c r="AG36" i="5"/>
  <c r="AU35" i="5"/>
  <c r="AK35" i="5"/>
  <c r="AT34" i="5"/>
  <c r="AI34" i="5"/>
  <c r="AW33" i="5"/>
  <c r="AM33" i="5"/>
  <c r="BA32" i="5"/>
  <c r="AP32" i="5"/>
  <c r="AF32" i="5"/>
  <c r="AT31" i="5"/>
  <c r="AI31" i="5"/>
  <c r="AR30" i="5"/>
  <c r="AH30" i="5"/>
  <c r="AV29" i="5"/>
  <c r="AK29" i="5"/>
  <c r="AZ28" i="5"/>
  <c r="AO28" i="5"/>
  <c r="AX27" i="5"/>
  <c r="AM27" i="5"/>
  <c r="AV26" i="5"/>
  <c r="AL26" i="5"/>
  <c r="AZ25" i="5"/>
  <c r="AO25" i="5"/>
  <c r="BN24" i="5"/>
  <c r="AN24" i="5"/>
  <c r="BY23" i="5"/>
  <c r="AY23" i="5"/>
  <c r="BI23" i="5"/>
  <c r="AI23" i="5"/>
  <c r="BR22" i="5"/>
  <c r="AR22" i="5"/>
  <c r="CA21" i="5"/>
  <c r="BA21" i="5"/>
  <c r="BK21" i="5"/>
  <c r="AK21" i="5"/>
  <c r="BT20" i="5"/>
  <c r="AT20" i="5"/>
  <c r="CC19" i="5"/>
  <c r="BC19" i="5"/>
  <c r="BM19" i="5"/>
  <c r="AM19" i="5"/>
  <c r="BV18" i="5"/>
  <c r="AV18" i="5"/>
  <c r="BF18" i="5"/>
  <c r="AF18" i="5"/>
  <c r="BO17" i="5"/>
  <c r="AO17" i="5"/>
  <c r="BX16" i="5"/>
  <c r="AX16" i="5"/>
  <c r="BH16" i="5"/>
  <c r="AH16" i="5"/>
  <c r="BQ15" i="5"/>
  <c r="AQ15" i="5"/>
  <c r="BZ14" i="5"/>
  <c r="AZ14" i="5"/>
  <c r="BJ14" i="5"/>
  <c r="AJ14" i="5"/>
  <c r="BS13" i="5"/>
  <c r="AS13" i="5"/>
  <c r="CB12" i="5"/>
  <c r="BB12" i="5"/>
  <c r="BL12" i="5"/>
  <c r="AL12" i="5"/>
  <c r="BK66" i="5"/>
  <c r="AK66" i="5"/>
  <c r="BX37" i="5"/>
  <c r="AX37" i="5"/>
  <c r="BZ22" i="5"/>
  <c r="AZ22" i="5"/>
  <c r="CB20" i="5"/>
  <c r="BB20" i="5"/>
  <c r="BU19" i="5"/>
  <c r="AU19" i="5"/>
  <c r="BN18" i="5"/>
  <c r="AN18" i="5"/>
  <c r="BR14" i="5"/>
  <c r="AR14" i="5"/>
  <c r="BH64" i="5"/>
  <c r="AH64" i="5"/>
  <c r="BY67" i="5"/>
  <c r="AY67" i="5"/>
  <c r="BV47" i="207"/>
  <c r="BQ25" i="207"/>
  <c r="BZ38" i="207"/>
  <c r="BG17" i="207"/>
  <c r="BL21" i="207"/>
  <c r="BF11" i="207"/>
  <c r="BD25" i="207"/>
  <c r="BQ12" i="207"/>
  <c r="DE23" i="5"/>
  <c r="AR54" i="5"/>
  <c r="BC53" i="5"/>
  <c r="AN53" i="5"/>
  <c r="AY50" i="5"/>
  <c r="AW49" i="5"/>
  <c r="AM49" i="5"/>
  <c r="BA48" i="5"/>
  <c r="AP48" i="5"/>
  <c r="AF48" i="5"/>
  <c r="AT47" i="5"/>
  <c r="AI47" i="5"/>
  <c r="AX46" i="5"/>
  <c r="AM46" i="5"/>
  <c r="BA45" i="5"/>
  <c r="AQ45" i="5"/>
  <c r="AF45" i="5"/>
  <c r="AT44" i="5"/>
  <c r="AJ44" i="5"/>
  <c r="AS43" i="5"/>
  <c r="AH43" i="5"/>
  <c r="AQ42" i="5"/>
  <c r="BX24" i="5"/>
  <c r="AX24" i="5"/>
  <c r="AH24" i="5"/>
  <c r="BU23" i="5"/>
  <c r="AU23" i="5"/>
  <c r="CD22" i="5"/>
  <c r="BD22" i="5"/>
  <c r="BN22" i="5"/>
  <c r="AN22" i="5"/>
  <c r="BW21" i="5"/>
  <c r="AW21" i="5"/>
  <c r="BG21" i="5"/>
  <c r="CE21" i="5" s="1"/>
  <c r="AG21" i="5"/>
  <c r="BP20" i="5"/>
  <c r="AP20" i="5"/>
  <c r="BY19" i="5"/>
  <c r="AY19" i="5"/>
  <c r="BI19" i="5"/>
  <c r="AI19" i="5"/>
  <c r="BR18" i="5"/>
  <c r="AR18" i="5"/>
  <c r="CA17" i="5"/>
  <c r="BA17" i="5"/>
  <c r="BK17" i="5"/>
  <c r="AK17" i="5"/>
  <c r="BT16" i="5"/>
  <c r="AT16" i="5"/>
  <c r="CC15" i="5"/>
  <c r="BC15" i="5"/>
  <c r="BM15" i="5"/>
  <c r="AM15" i="5"/>
  <c r="BV14" i="5"/>
  <c r="AV14" i="5"/>
  <c r="BF14" i="5"/>
  <c r="AF14" i="5"/>
  <c r="BO13" i="5"/>
  <c r="AO13" i="5"/>
  <c r="BX12" i="5"/>
  <c r="AX12" i="5"/>
  <c r="BH12" i="5"/>
  <c r="AH12" i="5"/>
  <c r="BZ39" i="5"/>
  <c r="AZ39" i="5"/>
  <c r="BL83" i="5"/>
  <c r="AL83" i="5"/>
  <c r="BF86" i="5"/>
  <c r="AF86" i="5"/>
  <c r="BR24" i="5"/>
  <c r="AR24" i="5"/>
  <c r="BJ32" i="5"/>
  <c r="AJ32" i="5"/>
  <c r="BS20" i="5"/>
  <c r="AS20" i="5"/>
  <c r="CT90" i="5"/>
  <c r="BT90" i="5" s="1"/>
  <c r="CZ90" i="5"/>
  <c r="BZ90" i="5" s="1"/>
  <c r="CY90" i="5"/>
  <c r="BY90" i="5" s="1"/>
  <c r="CJ90" i="5"/>
  <c r="BJ90" i="5" s="1"/>
  <c r="DA86" i="5"/>
  <c r="CA86" i="5" s="1"/>
  <c r="CO86" i="5"/>
  <c r="BO86" i="5" s="1"/>
  <c r="CV86" i="5"/>
  <c r="BV86" i="5" s="1"/>
  <c r="CW86" i="5"/>
  <c r="BW86" i="5" s="1"/>
  <c r="CK86" i="5"/>
  <c r="BK86" i="5" s="1"/>
  <c r="CQ86" i="5"/>
  <c r="BQ86" i="5" s="1"/>
  <c r="CS86" i="5"/>
  <c r="CG86" i="5"/>
  <c r="BG86" i="5" s="1"/>
  <c r="CL86" i="5"/>
  <c r="BL86" i="5" s="1"/>
  <c r="DB78" i="5"/>
  <c r="CF78" i="5"/>
  <c r="CN74" i="5"/>
  <c r="CU74" i="5"/>
  <c r="BU74" i="5" s="1"/>
  <c r="CS74" i="5"/>
  <c r="BS74" i="5" s="1"/>
  <c r="CG74" i="5"/>
  <c r="BG74" i="5" s="1"/>
  <c r="CM74" i="5"/>
  <c r="BM74" i="5" s="1"/>
  <c r="CL74" i="5"/>
  <c r="BL74" i="5" s="1"/>
  <c r="DA74" i="5"/>
  <c r="CO74" i="5"/>
  <c r="DC74" i="5"/>
  <c r="CC74" i="5" s="1"/>
  <c r="CH74" i="5"/>
  <c r="BH74" i="5" s="1"/>
  <c r="CX74" i="5"/>
  <c r="BX74" i="5" s="1"/>
  <c r="CZ74" i="5"/>
  <c r="BZ74" i="5" s="1"/>
  <c r="DD70" i="5"/>
  <c r="CN70" i="5"/>
  <c r="DC66" i="5"/>
  <c r="CC66" i="5" s="1"/>
  <c r="CW66" i="5"/>
  <c r="BW66" i="5" s="1"/>
  <c r="CP66" i="5"/>
  <c r="CF66" i="5"/>
  <c r="BF66" i="5" s="1"/>
  <c r="CS66" i="5"/>
  <c r="BS66" i="5" s="1"/>
  <c r="CG66" i="5"/>
  <c r="BG66" i="5" s="1"/>
  <c r="DA66" i="5"/>
  <c r="CO66" i="5"/>
  <c r="BO66" i="5" s="1"/>
  <c r="CZ66" i="5"/>
  <c r="BZ66" i="5" s="1"/>
  <c r="CJ66" i="5"/>
  <c r="BJ66" i="5" s="1"/>
  <c r="CT66" i="5"/>
  <c r="BT66" i="5" s="1"/>
  <c r="CP62" i="5"/>
  <c r="CV62" i="5"/>
  <c r="BV62" i="5" s="1"/>
  <c r="DB58" i="5"/>
  <c r="CB58" i="5" s="1"/>
  <c r="CP58" i="5"/>
  <c r="BP58" i="5" s="1"/>
  <c r="CN58" i="5"/>
  <c r="BN58" i="5" s="1"/>
  <c r="BI54" i="5"/>
  <c r="AI54" i="5"/>
  <c r="CM50" i="5"/>
  <c r="BM50" i="5" s="1"/>
  <c r="CL50" i="5"/>
  <c r="BL50" i="5" s="1"/>
  <c r="CH50" i="5"/>
  <c r="CV50" i="5"/>
  <c r="BV50" i="5" s="1"/>
  <c r="DB46" i="5"/>
  <c r="CB46" i="5" s="1"/>
  <c r="CW46" i="5"/>
  <c r="BW46" i="5" s="1"/>
  <c r="CG46" i="5"/>
  <c r="BG46" i="5" s="1"/>
  <c r="CP46" i="5"/>
  <c r="BP46" i="5" s="1"/>
  <c r="CS46" i="5"/>
  <c r="BS46" i="5" s="1"/>
  <c r="CO46" i="5"/>
  <c r="BO46" i="5" s="1"/>
  <c r="CZ46" i="5"/>
  <c r="BZ46" i="5" s="1"/>
  <c r="CZ42" i="5"/>
  <c r="BZ42" i="5" s="1"/>
  <c r="CU42" i="5"/>
  <c r="CZ38" i="5"/>
  <c r="CR38" i="5"/>
  <c r="BR38" i="5" s="1"/>
  <c r="CH38" i="5"/>
  <c r="BH38" i="5" s="1"/>
  <c r="DC38" i="5"/>
  <c r="CC38" i="5" s="1"/>
  <c r="BT7" i="207"/>
  <c r="AZ88" i="5"/>
  <c r="AR31" i="5"/>
  <c r="AN55" i="5"/>
  <c r="AF75" i="5"/>
  <c r="AO91" i="5"/>
  <c r="BD95" i="5"/>
  <c r="AN94" i="5"/>
  <c r="AX29" i="5"/>
  <c r="AX49" i="5"/>
  <c r="BD97" i="5"/>
  <c r="BB97" i="5"/>
  <c r="AL30" i="5"/>
  <c r="AF88" i="5"/>
  <c r="AW40" i="5"/>
  <c r="AP40" i="5"/>
  <c r="BG72" i="5"/>
  <c r="AG72" i="5"/>
  <c r="BZ80" i="5"/>
  <c r="AZ80" i="5"/>
  <c r="BX23" i="5"/>
  <c r="AX23" i="5"/>
  <c r="CB95" i="5"/>
  <c r="BB95" i="5"/>
  <c r="CJ26" i="5"/>
  <c r="BJ26" i="5" s="1"/>
  <c r="CU26" i="5"/>
  <c r="BU26" i="5" s="1"/>
  <c r="DC22" i="5"/>
  <c r="CC22" i="5" s="1"/>
  <c r="CQ22" i="5"/>
  <c r="BQ22" i="5" s="1"/>
  <c r="CM22" i="5"/>
  <c r="DA18" i="5"/>
  <c r="CY18" i="5"/>
  <c r="CU14" i="5"/>
  <c r="CQ14" i="5"/>
  <c r="BQ14" i="5" s="1"/>
  <c r="DA14" i="5"/>
  <c r="CA14" i="5" s="1"/>
  <c r="CO7" i="5"/>
  <c r="CH7" i="5"/>
  <c r="BH7" i="5" s="1"/>
  <c r="BN28" i="5"/>
  <c r="AN28" i="5"/>
  <c r="BG95" i="5"/>
  <c r="AG95" i="5"/>
  <c r="BW91" i="5"/>
  <c r="AW91" i="5"/>
  <c r="BM91" i="5"/>
  <c r="AM91" i="5"/>
  <c r="DA88" i="5"/>
  <c r="CA88" i="5" s="1"/>
  <c r="CR88" i="5"/>
  <c r="CS88" i="5"/>
  <c r="CK88" i="5"/>
  <c r="CT84" i="5"/>
  <c r="BT84" i="5" s="1"/>
  <c r="DA84" i="5"/>
  <c r="CA84" i="5" s="1"/>
  <c r="CN80" i="5"/>
  <c r="DA80" i="5"/>
  <c r="CF80" i="5"/>
  <c r="BF80" i="5" s="1"/>
  <c r="CS80" i="5"/>
  <c r="CT80" i="5"/>
  <c r="CL76" i="5"/>
  <c r="DB76" i="5"/>
  <c r="CG76" i="5"/>
  <c r="CT76" i="5"/>
  <c r="BT76" i="5" s="1"/>
  <c r="CS76" i="5"/>
  <c r="CS72" i="5"/>
  <c r="CV72" i="5"/>
  <c r="BV72" i="5" s="1"/>
  <c r="CL72" i="5"/>
  <c r="CG68" i="5"/>
  <c r="CT68" i="5"/>
  <c r="BT68" i="5" s="1"/>
  <c r="DB68" i="5"/>
  <c r="CB68" i="5" s="1"/>
  <c r="CO64" i="5"/>
  <c r="DD64" i="5"/>
  <c r="CD64" i="5" s="1"/>
  <c r="CF64" i="5"/>
  <c r="BF64" i="5" s="1"/>
  <c r="CV64" i="5"/>
  <c r="BV64" i="5" s="1"/>
  <c r="CN64" i="5"/>
  <c r="CN60" i="5"/>
  <c r="DD60" i="5"/>
  <c r="CD60" i="5" s="1"/>
  <c r="DD56" i="5"/>
  <c r="DB56" i="5"/>
  <c r="CB56" i="5" s="1"/>
  <c r="CG56" i="5"/>
  <c r="BG56" i="5" s="1"/>
  <c r="CP56" i="5"/>
  <c r="BP56" i="5" s="1"/>
  <c r="CV56" i="5"/>
  <c r="BV56" i="5" s="1"/>
  <c r="CG52" i="5"/>
  <c r="CW52" i="5"/>
  <c r="BW52" i="5" s="1"/>
  <c r="CO52" i="5"/>
  <c r="CX48" i="5"/>
  <c r="CS48" i="5"/>
  <c r="BS48" i="5" s="1"/>
  <c r="CZ48" i="5"/>
  <c r="DD44" i="5"/>
  <c r="CD44" i="5" s="1"/>
  <c r="CL44" i="5"/>
  <c r="BL44" i="5" s="1"/>
  <c r="CN44" i="5"/>
  <c r="CL40" i="5"/>
  <c r="CK40" i="5"/>
  <c r="BK40" i="5" s="1"/>
  <c r="CF40" i="5"/>
  <c r="BF40" i="5" s="1"/>
  <c r="CV40" i="5"/>
  <c r="CP36" i="5"/>
  <c r="BP36" i="5" s="1"/>
  <c r="CV36" i="5"/>
  <c r="BV36" i="5" s="1"/>
  <c r="CO36" i="5"/>
  <c r="CT36" i="5"/>
  <c r="BQ18" i="5"/>
  <c r="AQ18" i="5"/>
  <c r="BF72" i="5"/>
  <c r="AF72" i="5"/>
  <c r="BG23" i="5"/>
  <c r="AG23" i="5"/>
  <c r="BS16" i="5"/>
  <c r="AS16" i="5"/>
  <c r="BG60" i="5"/>
  <c r="AG60" i="5"/>
  <c r="BH31" i="5"/>
  <c r="AH31" i="5"/>
  <c r="BL23" i="5"/>
  <c r="AL23" i="5"/>
  <c r="BI87" i="5"/>
  <c r="AI87" i="5"/>
  <c r="BY87" i="5"/>
  <c r="AY87" i="5"/>
  <c r="BR94" i="5"/>
  <c r="AR94" i="5"/>
  <c r="CB72" i="5"/>
  <c r="BB72" i="5"/>
  <c r="CN72" i="5"/>
  <c r="BN72" i="5" s="1"/>
  <c r="CB28" i="5"/>
  <c r="BB28" i="5"/>
  <c r="CV52" i="5"/>
  <c r="BT23" i="5"/>
  <c r="AT23" i="5"/>
  <c r="BZ41" i="5"/>
  <c r="AZ41" i="5"/>
  <c r="DB98" i="5"/>
  <c r="CB98" i="5" s="1"/>
  <c r="CR98" i="5"/>
  <c r="BR98" i="5" s="1"/>
  <c r="DD32" i="5"/>
  <c r="CD32" i="5" s="1"/>
  <c r="CZ32" i="5"/>
  <c r="BZ32" i="5" s="1"/>
  <c r="CH28" i="5"/>
  <c r="BH28" i="5" s="1"/>
  <c r="DD28" i="5"/>
  <c r="CG28" i="5"/>
  <c r="CL28" i="5"/>
  <c r="CR28" i="5"/>
  <c r="BR28" i="5" s="1"/>
  <c r="CF24" i="5"/>
  <c r="CG24" i="5"/>
  <c r="BG24" i="5" s="1"/>
  <c r="CJ20" i="5"/>
  <c r="CZ20" i="5"/>
  <c r="DD20" i="5"/>
  <c r="CD20" i="5" s="1"/>
  <c r="CF20" i="5"/>
  <c r="BF20" i="5" s="1"/>
  <c r="CR20" i="5"/>
  <c r="CG16" i="5"/>
  <c r="CR16" i="5"/>
  <c r="CO16" i="5"/>
  <c r="BO16" i="5" s="1"/>
  <c r="DC16" i="5"/>
  <c r="CN16" i="5"/>
  <c r="BN16" i="5" s="1"/>
  <c r="CW16" i="5"/>
  <c r="CO12" i="5"/>
  <c r="CF12" i="5"/>
  <c r="BF12" i="5" s="1"/>
  <c r="CR12" i="5"/>
  <c r="CK12" i="5"/>
  <c r="BK12" i="5" s="1"/>
  <c r="DA6" i="5"/>
  <c r="CU6" i="5"/>
  <c r="CM6" i="5"/>
  <c r="CW87" i="5"/>
  <c r="CB78" i="5"/>
  <c r="BB78" i="5"/>
  <c r="BP96" i="5"/>
  <c r="AP96" i="5"/>
  <c r="BI35" i="5"/>
  <c r="AI35" i="5"/>
  <c r="BY93" i="5"/>
  <c r="CE93" i="5" s="1"/>
  <c r="AY93" i="5"/>
  <c r="BG52" i="207"/>
  <c r="BM51" i="207"/>
  <c r="BS50" i="207"/>
  <c r="BU49" i="207"/>
  <c r="CA48" i="207"/>
  <c r="BG48" i="207"/>
  <c r="BI47" i="207"/>
  <c r="BO46" i="207"/>
  <c r="BU45" i="207"/>
  <c r="BW44" i="207"/>
  <c r="BC44" i="207"/>
  <c r="BI41" i="207"/>
  <c r="BK40" i="207"/>
  <c r="BQ39" i="207"/>
  <c r="BW38" i="207"/>
  <c r="BY37" i="207"/>
  <c r="BE37" i="207"/>
  <c r="BK36" i="207"/>
  <c r="BM35" i="207"/>
  <c r="BS33" i="207"/>
  <c r="BY32" i="207"/>
  <c r="CA31" i="207"/>
  <c r="BG31" i="207"/>
  <c r="BM30" i="207"/>
  <c r="BO29" i="207"/>
  <c r="BU28" i="207"/>
  <c r="CA27" i="207"/>
  <c r="BC27" i="207"/>
  <c r="BI26" i="207"/>
  <c r="BO25" i="207"/>
  <c r="BQ24" i="207"/>
  <c r="BW22" i="207"/>
  <c r="BC22" i="207"/>
  <c r="BE21" i="207"/>
  <c r="BK20" i="207"/>
  <c r="BQ19" i="207"/>
  <c r="BS18" i="207"/>
  <c r="BY17" i="207"/>
  <c r="BE17" i="207"/>
  <c r="BG16" i="207"/>
  <c r="BM15" i="207"/>
  <c r="BS14" i="207"/>
  <c r="BU13" i="207"/>
  <c r="CA12" i="207"/>
  <c r="BG12" i="207"/>
  <c r="BI11" i="207"/>
  <c r="BO10" i="207"/>
  <c r="BU9" i="207"/>
  <c r="BW8" i="207"/>
  <c r="BC8" i="207"/>
  <c r="BI7" i="207"/>
  <c r="BK6" i="207"/>
  <c r="BQ5" i="207"/>
  <c r="BT52" i="207"/>
  <c r="BV51" i="207"/>
  <c r="BX50" i="207"/>
  <c r="BD50" i="207"/>
  <c r="BD48" i="207"/>
  <c r="BJ47" i="207"/>
  <c r="BL46" i="207"/>
  <c r="BL44" i="207"/>
  <c r="BR41" i="207"/>
  <c r="BT40" i="207"/>
  <c r="BV39" i="207"/>
  <c r="BX38" i="207"/>
  <c r="BD38" i="207"/>
  <c r="BJ37" i="207"/>
  <c r="BP36" i="207"/>
  <c r="BZ35" i="207"/>
  <c r="BJ35" i="207"/>
  <c r="BR32" i="207"/>
  <c r="BX31" i="207"/>
  <c r="BH31" i="207"/>
  <c r="BW52" i="207"/>
  <c r="BC52" i="207"/>
  <c r="BI51" i="207"/>
  <c r="BK50" i="207"/>
  <c r="BQ49" i="207"/>
  <c r="BW48" i="207"/>
  <c r="BY47" i="207"/>
  <c r="BE47" i="207"/>
  <c r="BK46" i="207"/>
  <c r="BM45" i="207"/>
  <c r="BS44" i="207"/>
  <c r="BY41" i="207"/>
  <c r="CA40" i="207"/>
  <c r="BG40" i="207"/>
  <c r="BM39" i="207"/>
  <c r="BO38" i="207"/>
  <c r="BU37" i="207"/>
  <c r="CA36" i="207"/>
  <c r="BC36" i="207"/>
  <c r="BI35" i="207"/>
  <c r="BO33" i="207"/>
  <c r="BQ32" i="207"/>
  <c r="BW31" i="207"/>
  <c r="BC31" i="207"/>
  <c r="BE30" i="207"/>
  <c r="BK29" i="207"/>
  <c r="BQ28" i="207"/>
  <c r="BS27" i="207"/>
  <c r="BY26" i="207"/>
  <c r="BE26" i="207"/>
  <c r="BG25" i="207"/>
  <c r="BM24" i="207"/>
  <c r="BS22" i="207"/>
  <c r="BU21" i="207"/>
  <c r="CA20" i="207"/>
  <c r="BG20" i="207"/>
  <c r="BI19" i="207"/>
  <c r="BO18" i="207"/>
  <c r="BU17" i="207"/>
  <c r="BW16" i="207"/>
  <c r="BC16" i="207"/>
  <c r="BI15" i="207"/>
  <c r="BK14" i="207"/>
  <c r="BQ13" i="207"/>
  <c r="BW12" i="207"/>
  <c r="BY11" i="207"/>
  <c r="BE11" i="207"/>
  <c r="BK10" i="207"/>
  <c r="BM9" i="207"/>
  <c r="BS8" i="207"/>
  <c r="BY7" i="207"/>
  <c r="CA6" i="207"/>
  <c r="BG6" i="207"/>
  <c r="BM5" i="207"/>
  <c r="BL52" i="207"/>
  <c r="BR51" i="207"/>
  <c r="BT50" i="207"/>
  <c r="BT48" i="207"/>
  <c r="BZ47" i="207"/>
  <c r="BF47" i="207"/>
  <c r="BD46" i="207"/>
  <c r="BH44" i="207"/>
  <c r="BN41" i="207"/>
  <c r="BL40" i="207"/>
  <c r="BR39" i="207"/>
  <c r="BT38" i="207"/>
  <c r="BV37" i="207"/>
  <c r="BF37" i="207"/>
  <c r="BL36" i="207"/>
  <c r="BV35" i="207"/>
  <c r="BF35" i="207"/>
  <c r="BN32" i="207"/>
  <c r="BT31" i="207"/>
  <c r="BD31" i="207"/>
  <c r="BY51" i="207"/>
  <c r="BG50" i="207"/>
  <c r="BO48" i="207"/>
  <c r="CA46" i="207"/>
  <c r="BI45" i="207"/>
  <c r="BQ41" i="207"/>
  <c r="BC40" i="207"/>
  <c r="BK38" i="207"/>
  <c r="BS36" i="207"/>
  <c r="BE35" i="207"/>
  <c r="BM32" i="207"/>
  <c r="BU30" i="207"/>
  <c r="BG29" i="207"/>
  <c r="BO27" i="207"/>
  <c r="BW25" i="207"/>
  <c r="BI24" i="207"/>
  <c r="BQ21" i="207"/>
  <c r="BY19" i="207"/>
  <c r="BK18" i="207"/>
  <c r="BS16" i="207"/>
  <c r="CA14" i="207"/>
  <c r="BM13" i="207"/>
  <c r="BU11" i="207"/>
  <c r="BC10" i="207"/>
  <c r="BO8" i="207"/>
  <c r="BW6" i="207"/>
  <c r="BE5" i="207"/>
  <c r="BN51" i="207"/>
  <c r="BP48" i="207"/>
  <c r="BT46" i="207"/>
  <c r="BD44" i="207"/>
  <c r="BH40" i="207"/>
  <c r="BL38" i="207"/>
  <c r="BX36" i="207"/>
  <c r="BR35" i="207"/>
  <c r="BJ32" i="207"/>
  <c r="BZ30" i="207"/>
  <c r="BJ30" i="207"/>
  <c r="BR28" i="207"/>
  <c r="BX27" i="207"/>
  <c r="BH27" i="207"/>
  <c r="BR26" i="207"/>
  <c r="BZ24" i="207"/>
  <c r="BJ24" i="207"/>
  <c r="BP22" i="207"/>
  <c r="BX20" i="207"/>
  <c r="BH20" i="207"/>
  <c r="BR19" i="207"/>
  <c r="BX18" i="207"/>
  <c r="BH18" i="207"/>
  <c r="BX16" i="207"/>
  <c r="BH16" i="207"/>
  <c r="BR15" i="207"/>
  <c r="BX14" i="207"/>
  <c r="BH14" i="207"/>
  <c r="BP12" i="207"/>
  <c r="BZ11" i="207"/>
  <c r="BJ11" i="207"/>
  <c r="BR9" i="207"/>
  <c r="BX8" i="207"/>
  <c r="BH8" i="207"/>
  <c r="BR7" i="207"/>
  <c r="BZ5" i="207"/>
  <c r="BJ5" i="207"/>
  <c r="BS51" i="207"/>
  <c r="BC51" i="207"/>
  <c r="BM50" i="207"/>
  <c r="BK49" i="207"/>
  <c r="BQ46" i="207"/>
  <c r="CA45" i="207"/>
  <c r="BK45" i="207"/>
  <c r="BY38" i="207"/>
  <c r="BI38" i="207"/>
  <c r="BS37" i="207"/>
  <c r="BC37" i="207"/>
  <c r="BQ31" i="207"/>
  <c r="CA30" i="207"/>
  <c r="BK30" i="207"/>
  <c r="BI29" i="207"/>
  <c r="BS52" i="207"/>
  <c r="BW50" i="207"/>
  <c r="BK48" i="207"/>
  <c r="BC46" i="207"/>
  <c r="BG44" i="207"/>
  <c r="BU39" i="207"/>
  <c r="BQ37" i="207"/>
  <c r="BU35" i="207"/>
  <c r="T35" i="207" s="1"/>
  <c r="BI32" i="207"/>
  <c r="H32" i="207" s="1"/>
  <c r="CA29" i="207"/>
  <c r="BE28" i="207"/>
  <c r="BS25" i="207"/>
  <c r="BK22" i="207"/>
  <c r="BO20" i="207"/>
  <c r="BC18" i="207"/>
  <c r="BY15" i="207"/>
  <c r="BC14" i="207"/>
  <c r="BQ11" i="207"/>
  <c r="P11" i="207" s="1"/>
  <c r="BI9" i="207"/>
  <c r="BM7" i="207"/>
  <c r="BX52" i="207"/>
  <c r="BL50" i="207"/>
  <c r="BN47" i="207"/>
  <c r="BV41" i="207"/>
  <c r="BN39" i="207"/>
  <c r="BN37" i="207"/>
  <c r="BN35" i="207"/>
  <c r="M35" i="207" s="1"/>
  <c r="BP31" i="207"/>
  <c r="BN30" i="207"/>
  <c r="BN28" i="207"/>
  <c r="M28" i="207" s="1"/>
  <c r="BP27" i="207"/>
  <c r="BV26" i="207"/>
  <c r="BV24" i="207"/>
  <c r="U24" i="207" s="1"/>
  <c r="BX22" i="207"/>
  <c r="BD22" i="207"/>
  <c r="BD20" i="207"/>
  <c r="C20" i="207" s="1"/>
  <c r="BJ19" i="207"/>
  <c r="BL18" i="207"/>
  <c r="BT16" i="207"/>
  <c r="S16" i="207" s="1"/>
  <c r="BZ15" i="207"/>
  <c r="BF15" i="207"/>
  <c r="BD14" i="207"/>
  <c r="C14" i="207" s="1"/>
  <c r="BH12" i="207"/>
  <c r="BN11" i="207"/>
  <c r="BN9" i="207"/>
  <c r="M9" i="207" s="1"/>
  <c r="BP8" i="207"/>
  <c r="BV7" i="207"/>
  <c r="BV5" i="207"/>
  <c r="U5" i="207" s="1"/>
  <c r="CA51" i="207"/>
  <c r="BG51" i="207"/>
  <c r="BI50" i="207"/>
  <c r="H50" i="207" s="1"/>
  <c r="BY46" i="207"/>
  <c r="BE46" i="207"/>
  <c r="BG45" i="207"/>
  <c r="F45" i="207" s="1"/>
  <c r="BQ38" i="207"/>
  <c r="BW37" i="207"/>
  <c r="BI36" i="207"/>
  <c r="CJ36" i="207" s="1"/>
  <c r="BI31" i="207"/>
  <c r="BO30" i="207"/>
  <c r="CA21" i="207"/>
  <c r="Z21" i="207" s="1"/>
  <c r="BK21" i="207"/>
  <c r="J21" i="207" s="1"/>
  <c r="BU20" i="207"/>
  <c r="BE20" i="207"/>
  <c r="D20" i="207" s="1"/>
  <c r="BC19" i="207"/>
  <c r="B19" i="207" s="1"/>
  <c r="BO17" i="207"/>
  <c r="BY16" i="207"/>
  <c r="X16" i="207" s="1"/>
  <c r="BI16" i="207"/>
  <c r="H16" i="207" s="1"/>
  <c r="BQ14" i="207"/>
  <c r="P14" i="207" s="1"/>
  <c r="CA13" i="207"/>
  <c r="BK13" i="207"/>
  <c r="J13" i="207" s="1"/>
  <c r="BW5" i="207"/>
  <c r="BG5" i="207"/>
  <c r="F5" i="207" s="1"/>
  <c r="BT51" i="207"/>
  <c r="BD51" i="207"/>
  <c r="BD49" i="207"/>
  <c r="C49" i="207" s="1"/>
  <c r="BN48" i="207"/>
  <c r="M48" i="207" s="1"/>
  <c r="BT47" i="207"/>
  <c r="BD47" i="207"/>
  <c r="BL45" i="207"/>
  <c r="K45" i="207" s="1"/>
  <c r="BR49" i="207"/>
  <c r="Q49" i="207" s="1"/>
  <c r="BZ45" i="207"/>
  <c r="BJ45" i="207"/>
  <c r="I45" i="207" s="1"/>
  <c r="BP33" i="207"/>
  <c r="O33" i="207" s="1"/>
  <c r="BX29" i="207"/>
  <c r="W29" i="207" s="1"/>
  <c r="BH29" i="207"/>
  <c r="BP25" i="207"/>
  <c r="O25" i="207" s="1"/>
  <c r="BZ21" i="207"/>
  <c r="Y21" i="207" s="1"/>
  <c r="BJ21" i="207"/>
  <c r="I21" i="207" s="1"/>
  <c r="BN17" i="207"/>
  <c r="BR13" i="207"/>
  <c r="Q13" i="207" s="1"/>
  <c r="BX10" i="207"/>
  <c r="W10" i="207" s="1"/>
  <c r="BH10" i="207"/>
  <c r="G10" i="207" s="1"/>
  <c r="BP6" i="207"/>
  <c r="BY52" i="207"/>
  <c r="X52" i="207" s="1"/>
  <c r="BI52" i="207"/>
  <c r="H52" i="207" s="1"/>
  <c r="BQ44" i="207"/>
  <c r="P44" i="207" s="1"/>
  <c r="BW41" i="207"/>
  <c r="BG41" i="207"/>
  <c r="F41" i="207" s="1"/>
  <c r="BQ40" i="207"/>
  <c r="P40" i="207" s="1"/>
  <c r="CA39" i="207"/>
  <c r="DB39" i="207" s="1"/>
  <c r="BK39" i="207"/>
  <c r="BU29" i="207"/>
  <c r="BW28" i="207"/>
  <c r="V28" i="207" s="1"/>
  <c r="BG28" i="207"/>
  <c r="F28" i="207" s="1"/>
  <c r="BQ27" i="207"/>
  <c r="CA26" i="207"/>
  <c r="Z26" i="207" s="1"/>
  <c r="BK26" i="207"/>
  <c r="J26" i="207" s="1"/>
  <c r="BU25" i="207"/>
  <c r="T25" i="207" s="1"/>
  <c r="BE25" i="207"/>
  <c r="BO24" i="207"/>
  <c r="N24" i="207" s="1"/>
  <c r="BY22" i="207"/>
  <c r="X22" i="207" s="1"/>
  <c r="BI22" i="207"/>
  <c r="H22" i="207" s="1"/>
  <c r="BR50" i="207"/>
  <c r="BT49" i="207"/>
  <c r="S49" i="207" s="1"/>
  <c r="BO49" i="207"/>
  <c r="N49" i="207" s="1"/>
  <c r="BQ48" i="207"/>
  <c r="P48" i="207" s="1"/>
  <c r="CA47" i="207"/>
  <c r="BK47" i="207"/>
  <c r="BU36" i="207"/>
  <c r="T36" i="207" s="1"/>
  <c r="CA35" i="207"/>
  <c r="Z35" i="207" s="1"/>
  <c r="BK35" i="207"/>
  <c r="BU33" i="207"/>
  <c r="T33" i="207" s="1"/>
  <c r="BE33" i="207"/>
  <c r="D33" i="207" s="1"/>
  <c r="BO32" i="207"/>
  <c r="N32" i="207" s="1"/>
  <c r="CA19" i="207"/>
  <c r="BU18" i="207"/>
  <c r="T18" i="207" s="1"/>
  <c r="BE18" i="207"/>
  <c r="D18" i="207" s="1"/>
  <c r="BO15" i="207"/>
  <c r="N15" i="207" s="1"/>
  <c r="BY12" i="207"/>
  <c r="BI12" i="207"/>
  <c r="H12" i="207" s="1"/>
  <c r="BS11" i="207"/>
  <c r="R11" i="207" s="1"/>
  <c r="BC11" i="207"/>
  <c r="BM10" i="207"/>
  <c r="L10" i="207" s="1"/>
  <c r="BW9" i="207"/>
  <c r="V9" i="207" s="1"/>
  <c r="BG9" i="207"/>
  <c r="F9" i="207" s="1"/>
  <c r="BQ8" i="207"/>
  <c r="CA7" i="207"/>
  <c r="Z7" i="207" s="1"/>
  <c r="BK7" i="207"/>
  <c r="J7" i="207" s="1"/>
  <c r="BU6" i="207"/>
  <c r="T6" i="207" s="1"/>
  <c r="BE6" i="207"/>
  <c r="BN52" i="207"/>
  <c r="M52" i="207" s="1"/>
  <c r="BR46" i="207"/>
  <c r="Q46" i="207" s="1"/>
  <c r="BH45" i="207"/>
  <c r="G45" i="207" s="1"/>
  <c r="BH41" i="207"/>
  <c r="BN38" i="207"/>
  <c r="M38" i="207" s="1"/>
  <c r="BD35" i="207"/>
  <c r="BH32" i="207"/>
  <c r="G32" i="207" s="1"/>
  <c r="BN29" i="207"/>
  <c r="BD26" i="207"/>
  <c r="C26" i="207" s="1"/>
  <c r="BH24" i="207"/>
  <c r="G24" i="207" s="1"/>
  <c r="BN20" i="207"/>
  <c r="M20" i="207" s="1"/>
  <c r="BD17" i="207"/>
  <c r="BH15" i="207"/>
  <c r="G15" i="207" s="1"/>
  <c r="BN12" i="207"/>
  <c r="M12" i="207" s="1"/>
  <c r="BD9" i="207"/>
  <c r="C9" i="207" s="1"/>
  <c r="BH7" i="207"/>
  <c r="BP5" i="207"/>
  <c r="O5" i="207" s="1"/>
  <c r="BF6" i="207"/>
  <c r="BN40" i="207"/>
  <c r="M40" i="207" s="1"/>
  <c r="BD37" i="207"/>
  <c r="C37" i="207" s="1"/>
  <c r="BH35" i="207"/>
  <c r="CI35" i="207" s="1"/>
  <c r="BN31" i="207"/>
  <c r="BD28" i="207"/>
  <c r="C28" i="207" s="1"/>
  <c r="BH26" i="207"/>
  <c r="G26" i="207" s="1"/>
  <c r="BN22" i="207"/>
  <c r="M22" i="207" s="1"/>
  <c r="BD19" i="207"/>
  <c r="BH17" i="207"/>
  <c r="G17" i="207" s="1"/>
  <c r="BN14" i="207"/>
  <c r="M14" i="207" s="1"/>
  <c r="CA50" i="207"/>
  <c r="BU47" i="207"/>
  <c r="BE45" i="207"/>
  <c r="D45" i="207" s="1"/>
  <c r="BS40" i="207"/>
  <c r="R40" i="207" s="1"/>
  <c r="BI37" i="207"/>
  <c r="BG33" i="207"/>
  <c r="BQ30" i="207"/>
  <c r="BK27" i="207"/>
  <c r="J27" i="207" s="1"/>
  <c r="BY24" i="207"/>
  <c r="X24" i="207" s="1"/>
  <c r="BW20" i="207"/>
  <c r="BM17" i="207"/>
  <c r="BW14" i="207"/>
  <c r="BK12" i="207"/>
  <c r="BE9" i="207"/>
  <c r="D9" i="207" s="1"/>
  <c r="BC6" i="207"/>
  <c r="BF51" i="207"/>
  <c r="BP46" i="207"/>
  <c r="BX40" i="207"/>
  <c r="BR37" i="207"/>
  <c r="BZ32" i="207"/>
  <c r="BV30" i="207"/>
  <c r="U30" i="207" s="1"/>
  <c r="BV28" i="207"/>
  <c r="BL27" i="207"/>
  <c r="BJ26" i="207"/>
  <c r="BF24" i="207"/>
  <c r="E24" i="207" s="1"/>
  <c r="BT20" i="207"/>
  <c r="BV19" i="207"/>
  <c r="BP18" i="207"/>
  <c r="BP16" i="207"/>
  <c r="BN15" i="207"/>
  <c r="M15" i="207" s="1"/>
  <c r="BL14" i="207"/>
  <c r="BD12" i="207"/>
  <c r="BZ9" i="207"/>
  <c r="BT8" i="207"/>
  <c r="BN7" i="207"/>
  <c r="BN5" i="207"/>
  <c r="BK51" i="207"/>
  <c r="BE50" i="207"/>
  <c r="BM46" i="207"/>
  <c r="BO45" i="207"/>
  <c r="BM38" i="207"/>
  <c r="BK37" i="207"/>
  <c r="BM31" i="207"/>
  <c r="L31" i="207" s="1"/>
  <c r="BG30" i="207"/>
  <c r="F30" i="207" s="1"/>
  <c r="BS21" i="207"/>
  <c r="BY20" i="207"/>
  <c r="BW19" i="207"/>
  <c r="BW17" i="207"/>
  <c r="BC17" i="207"/>
  <c r="BE16" i="207"/>
  <c r="BI14" i="207"/>
  <c r="BO13" i="207"/>
  <c r="BS5" i="207"/>
  <c r="BJ52" i="207"/>
  <c r="BH51" i="207"/>
  <c r="BZ48" i="207"/>
  <c r="BF48" i="207"/>
  <c r="BH47" i="207"/>
  <c r="BD45" i="207"/>
  <c r="BJ49" i="207"/>
  <c r="BN45" i="207"/>
  <c r="BL33" i="207"/>
  <c r="BP29" i="207"/>
  <c r="BT25" i="207"/>
  <c r="BV21" i="207"/>
  <c r="BZ17" i="207"/>
  <c r="BV13" i="207"/>
  <c r="BT10" i="207"/>
  <c r="BX6" i="207"/>
  <c r="BD6" i="207"/>
  <c r="BE52" i="207"/>
  <c r="BI44" i="207"/>
  <c r="BK41" i="207"/>
  <c r="BM40" i="207"/>
  <c r="BS39" i="207"/>
  <c r="BY29" i="207"/>
  <c r="BS28" i="207"/>
  <c r="BY27" i="207"/>
  <c r="BE27" i="207"/>
  <c r="BG26" i="207"/>
  <c r="BM25" i="207"/>
  <c r="BS24" i="207"/>
  <c r="BU22" i="207"/>
  <c r="BZ50" i="207"/>
  <c r="BF50" i="207"/>
  <c r="BG49" i="207"/>
  <c r="BI48" i="207"/>
  <c r="BO47" i="207"/>
  <c r="BQ36" i="207"/>
  <c r="BS35" i="207"/>
  <c r="BY33" i="207"/>
  <c r="CA32" i="207"/>
  <c r="BG32" i="207"/>
  <c r="BY18" i="207"/>
  <c r="CA15" i="207"/>
  <c r="BG15" i="207"/>
  <c r="BM12" i="207"/>
  <c r="BO11" i="207"/>
  <c r="BU10" i="207"/>
  <c r="CA9" i="207"/>
  <c r="BC9" i="207"/>
  <c r="BI8" i="207"/>
  <c r="BO7" i="207"/>
  <c r="BQ6" i="207"/>
  <c r="BV52" i="207"/>
  <c r="BV46" i="207"/>
  <c r="BV44" i="207"/>
  <c r="BJ40" i="207"/>
  <c r="BT35" i="207"/>
  <c r="BZ31" i="207"/>
  <c r="BR27" i="207"/>
  <c r="BX24" i="207"/>
  <c r="BP19" i="207"/>
  <c r="BF16" i="207"/>
  <c r="BL13" i="207"/>
  <c r="BV8" i="207"/>
  <c r="BJ6" i="207"/>
  <c r="BV6" i="207"/>
  <c r="BP39" i="207"/>
  <c r="BF36" i="207"/>
  <c r="BL32" i="207"/>
  <c r="BV27" i="207"/>
  <c r="BJ25" i="207"/>
  <c r="BT19" i="207"/>
  <c r="BZ16" i="207"/>
  <c r="BR12" i="207"/>
  <c r="BF10" i="207"/>
  <c r="BJ8" i="207"/>
  <c r="BD7" i="207"/>
  <c r="BP41" i="207"/>
  <c r="BV38" i="207"/>
  <c r="BZ36" i="207"/>
  <c r="BP32" i="207"/>
  <c r="BV29" i="207"/>
  <c r="BZ27" i="207"/>
  <c r="BP24" i="207"/>
  <c r="BV20" i="207"/>
  <c r="BZ18" i="207"/>
  <c r="BP15" i="207"/>
  <c r="BV12" i="207"/>
  <c r="BZ10" i="207"/>
  <c r="BP7" i="207"/>
  <c r="BR44" i="207"/>
  <c r="BF40" i="207"/>
  <c r="BJ38" i="207"/>
  <c r="BR33" i="207"/>
  <c r="BF31" i="207"/>
  <c r="BJ29" i="207"/>
  <c r="BR25" i="207"/>
  <c r="BF22" i="207"/>
  <c r="BJ20" i="207"/>
  <c r="BR16" i="207"/>
  <c r="BF14" i="207"/>
  <c r="BJ12" i="207"/>
  <c r="BC50" i="207"/>
  <c r="BQ47" i="207"/>
  <c r="P47" i="207" s="1"/>
  <c r="BO44" i="207"/>
  <c r="BE39" i="207"/>
  <c r="BO36" i="207"/>
  <c r="BC33" i="207"/>
  <c r="BW29" i="207"/>
  <c r="V29" i="207" s="1"/>
  <c r="BU26" i="207"/>
  <c r="CA22" i="207"/>
  <c r="BU19" i="207"/>
  <c r="BI17" i="207"/>
  <c r="BG14" i="207"/>
  <c r="CA10" i="207"/>
  <c r="BG8" i="207"/>
  <c r="BU5" i="207"/>
  <c r="CV5" i="207" s="1"/>
  <c r="BH50" i="207"/>
  <c r="BX44" i="207"/>
  <c r="BD40" i="207"/>
  <c r="BT36" i="207"/>
  <c r="S36" i="207" s="1"/>
  <c r="BV32" i="207"/>
  <c r="BR30" i="207"/>
  <c r="BJ28" i="207"/>
  <c r="BD27" i="207"/>
  <c r="BF26" i="207"/>
  <c r="BT22" i="207"/>
  <c r="BP20" i="207"/>
  <c r="BN19" i="207"/>
  <c r="M19" i="207" s="1"/>
  <c r="BD18" i="207"/>
  <c r="BL16" i="207"/>
  <c r="BJ15" i="207"/>
  <c r="BX12" i="207"/>
  <c r="BV11" i="207"/>
  <c r="BV9" i="207"/>
  <c r="BL8" i="207"/>
  <c r="BJ7" i="207"/>
  <c r="BF5" i="207"/>
  <c r="BY50" i="207"/>
  <c r="BS49" i="207"/>
  <c r="BI46" i="207"/>
  <c r="BC45" i="207"/>
  <c r="BE38" i="207"/>
  <c r="BG37" i="207"/>
  <c r="BE31" i="207"/>
  <c r="BC30" i="207"/>
  <c r="BO21" i="207"/>
  <c r="BQ20" i="207"/>
  <c r="BO19" i="207"/>
  <c r="BS17" i="207"/>
  <c r="BU16" i="207"/>
  <c r="BY14" i="207"/>
  <c r="BE14" i="207"/>
  <c r="BG13" i="207"/>
  <c r="BO5" i="207"/>
  <c r="BX51" i="207"/>
  <c r="BX49" i="207"/>
  <c r="BV48" i="207"/>
  <c r="BX47" i="207"/>
  <c r="BX45" i="207"/>
  <c r="BZ49" i="207"/>
  <c r="BF49" i="207"/>
  <c r="BF45" i="207"/>
  <c r="BH33" i="207"/>
  <c r="BL29" i="207"/>
  <c r="BL25" i="207"/>
  <c r="BR21" i="207"/>
  <c r="BV17" i="207"/>
  <c r="BN13" i="207"/>
  <c r="BP10" i="207"/>
  <c r="BT6" i="207"/>
  <c r="BU52" i="207"/>
  <c r="BY44" i="207"/>
  <c r="CA41" i="207"/>
  <c r="BC41" i="207"/>
  <c r="BI40" i="207"/>
  <c r="BO39" i="207"/>
  <c r="BM29" i="207"/>
  <c r="BO28" i="207"/>
  <c r="BU27" i="207"/>
  <c r="BW26" i="207"/>
  <c r="BC26" i="207"/>
  <c r="BI25" i="207"/>
  <c r="BK24" i="207"/>
  <c r="BQ22" i="207"/>
  <c r="BV50" i="207"/>
  <c r="BH49" i="207"/>
  <c r="BY48" i="207"/>
  <c r="BE48" i="207"/>
  <c r="BG47" i="207"/>
  <c r="BM36" i="207"/>
  <c r="BO35" i="207"/>
  <c r="BQ33" i="207"/>
  <c r="BW32" i="207"/>
  <c r="BC32" i="207"/>
  <c r="BQ18" i="207"/>
  <c r="BW15" i="207"/>
  <c r="BC15" i="207"/>
  <c r="BE12" i="207"/>
  <c r="BK11" i="207"/>
  <c r="BQ10" i="207"/>
  <c r="BS9" i="207"/>
  <c r="BY8" i="207"/>
  <c r="BE8" i="207"/>
  <c r="BG7" i="207"/>
  <c r="BM6" i="207"/>
  <c r="BR52" i="207"/>
  <c r="BN46" i="207"/>
  <c r="BF44" i="207"/>
  <c r="BL39" i="207"/>
  <c r="BV33" i="207"/>
  <c r="BJ31" i="207"/>
  <c r="BT26" i="207"/>
  <c r="BZ22" i="207"/>
  <c r="BR18" i="207"/>
  <c r="BX15" i="207"/>
  <c r="BP11" i="207"/>
  <c r="BF8" i="207"/>
  <c r="BL5" i="207"/>
  <c r="BZ44" i="207"/>
  <c r="BR38" i="207"/>
  <c r="BX35" i="207"/>
  <c r="BP30" i="207"/>
  <c r="BF27" i="207"/>
  <c r="BL24" i="207"/>
  <c r="BV18" i="207"/>
  <c r="BJ16" i="207"/>
  <c r="BT11" i="207"/>
  <c r="BX9" i="207"/>
  <c r="BL7" i="207"/>
  <c r="BX5" i="207"/>
  <c r="BR40" i="207"/>
  <c r="BF38" i="207"/>
  <c r="BJ36" i="207"/>
  <c r="BR31" i="207"/>
  <c r="BF29" i="207"/>
  <c r="BJ27" i="207"/>
  <c r="BR22" i="207"/>
  <c r="BF20" i="207"/>
  <c r="BJ18" i="207"/>
  <c r="BR14" i="207"/>
  <c r="BF12" i="207"/>
  <c r="BJ10" i="207"/>
  <c r="BR6" i="207"/>
  <c r="BT41" i="207"/>
  <c r="BX39" i="207"/>
  <c r="BL37" i="207"/>
  <c r="BT32" i="207"/>
  <c r="BX30" i="207"/>
  <c r="BL28" i="207"/>
  <c r="BT24" i="207"/>
  <c r="BX21" i="207"/>
  <c r="BL19" i="207"/>
  <c r="BT15" i="207"/>
  <c r="BX13" i="207"/>
  <c r="BL11" i="207"/>
  <c r="BE49" i="207"/>
  <c r="BW40" i="207"/>
  <c r="BW33" i="207"/>
  <c r="BI28" i="207"/>
  <c r="BM21" i="207"/>
  <c r="BQ15" i="207"/>
  <c r="BY9" i="207"/>
  <c r="BD52" i="207"/>
  <c r="BF41" i="207"/>
  <c r="BD36" i="207"/>
  <c r="C36" i="207" s="1"/>
  <c r="BZ28" i="207"/>
  <c r="BN26" i="207"/>
  <c r="BH22" i="207"/>
  <c r="BT18" i="207"/>
  <c r="S18" i="207" s="1"/>
  <c r="BV15" i="207"/>
  <c r="BL12" i="207"/>
  <c r="K12" i="207" s="1"/>
  <c r="BF9" i="207"/>
  <c r="BR5" i="207"/>
  <c r="BQ50" i="207"/>
  <c r="BS45" i="207"/>
  <c r="BO37" i="207"/>
  <c r="BS30" i="207"/>
  <c r="BC21" i="207"/>
  <c r="CA17" i="207"/>
  <c r="BM16" i="207"/>
  <c r="BS13" i="207"/>
  <c r="BC5" i="207"/>
  <c r="BL49" i="207"/>
  <c r="BL47" i="207"/>
  <c r="BN49" i="207"/>
  <c r="BT33" i="207"/>
  <c r="BX25" i="207"/>
  <c r="BF21" i="207"/>
  <c r="BF13" i="207"/>
  <c r="BH6" i="207"/>
  <c r="BM44" i="207"/>
  <c r="BU40" i="207"/>
  <c r="BC39" i="207"/>
  <c r="BC28" i="207"/>
  <c r="BO26" i="207"/>
  <c r="BW24" i="207"/>
  <c r="BE22" i="207"/>
  <c r="BW49" i="207"/>
  <c r="BS47" i="207"/>
  <c r="BW35" i="207"/>
  <c r="BI33" i="207"/>
  <c r="BK19" i="207"/>
  <c r="BK15" i="207"/>
  <c r="BW11" i="207"/>
  <c r="BE10" i="207"/>
  <c r="BM8" i="207"/>
  <c r="BY6" i="207"/>
  <c r="BZ46" i="207"/>
  <c r="BZ40" i="207"/>
  <c r="BX32" i="207"/>
  <c r="BF25" i="207"/>
  <c r="BV16" i="207"/>
  <c r="BT9" i="207"/>
  <c r="BP9" i="207"/>
  <c r="BV36" i="207"/>
  <c r="BT28" i="207"/>
  <c r="BR20" i="207"/>
  <c r="BP13" i="207"/>
  <c r="BZ8" i="207"/>
  <c r="BN44" i="207"/>
  <c r="BH37" i="207"/>
  <c r="BD30" i="207"/>
  <c r="BN25" i="207"/>
  <c r="BH19" i="207"/>
  <c r="BD13" i="207"/>
  <c r="BN8" i="207"/>
  <c r="BV40" i="207"/>
  <c r="BP35" i="207"/>
  <c r="BZ29" i="207"/>
  <c r="BV22" i="207"/>
  <c r="BP17" i="207"/>
  <c r="BZ12" i="207"/>
  <c r="BO52" i="207"/>
  <c r="BS46" i="207"/>
  <c r="CA38" i="207"/>
  <c r="BS31" i="207"/>
  <c r="BM26" i="207"/>
  <c r="BE19" i="207"/>
  <c r="BE13" i="207"/>
  <c r="BQ7" i="207"/>
  <c r="BL48" i="207"/>
  <c r="BF39" i="207"/>
  <c r="BF32" i="207"/>
  <c r="E32" i="207" s="1"/>
  <c r="BF28" i="207"/>
  <c r="BR24" i="207"/>
  <c r="BL20" i="207"/>
  <c r="BR17" i="207"/>
  <c r="BT14" i="207"/>
  <c r="BR11" i="207"/>
  <c r="BD8" i="207"/>
  <c r="C8" i="207" s="1"/>
  <c r="BW51" i="207"/>
  <c r="BC49" i="207"/>
  <c r="BE44" i="207"/>
  <c r="BY31" i="207"/>
  <c r="BQ29" i="207"/>
  <c r="BM20" i="207"/>
  <c r="BK17" i="207"/>
  <c r="BU14" i="207"/>
  <c r="BC13" i="207"/>
  <c r="BP51" i="207"/>
  <c r="BR48" i="207"/>
  <c r="BT45" i="207"/>
  <c r="BV45" i="207"/>
  <c r="BD33" i="207"/>
  <c r="BH25" i="207"/>
  <c r="BF17" i="207"/>
  <c r="BL10" i="207"/>
  <c r="BQ52" i="207"/>
  <c r="BS41" i="207"/>
  <c r="BE40" i="207"/>
  <c r="BE29" i="207"/>
  <c r="BM27" i="207"/>
  <c r="BY25" i="207"/>
  <c r="BG24" i="207"/>
  <c r="BN50" i="207"/>
  <c r="BU48" i="207"/>
  <c r="BC47" i="207"/>
  <c r="BG35" i="207"/>
  <c r="BS32" i="207"/>
  <c r="BM18" i="207"/>
  <c r="BU12" i="207"/>
  <c r="BG11" i="207"/>
  <c r="BO9" i="207"/>
  <c r="BW7" i="207"/>
  <c r="BI6" i="207"/>
  <c r="BJ46" i="207"/>
  <c r="BP37" i="207"/>
  <c r="BL30" i="207"/>
  <c r="BJ22" i="207"/>
  <c r="BZ14" i="207"/>
  <c r="BX7" i="207"/>
  <c r="BJ44" i="207"/>
  <c r="BZ33" i="207"/>
  <c r="BX26" i="207"/>
  <c r="BF18" i="207"/>
  <c r="BD11" i="207"/>
  <c r="C11" i="207" s="1"/>
  <c r="BN6" i="207"/>
  <c r="M6" i="207" s="1"/>
  <c r="BT39" i="207"/>
  <c r="S39" i="207" s="1"/>
  <c r="BL35" i="207"/>
  <c r="CM35" i="207" s="1"/>
  <c r="BX28" i="207"/>
  <c r="W28" i="207" s="1"/>
  <c r="BT21" i="207"/>
  <c r="S21" i="207" s="1"/>
  <c r="BL17" i="207"/>
  <c r="K17" i="207" s="1"/>
  <c r="BX11" i="207"/>
  <c r="W11" i="207" s="1"/>
  <c r="BT5" i="207"/>
  <c r="BH39" i="207"/>
  <c r="G39" i="207" s="1"/>
  <c r="BD32" i="207"/>
  <c r="C32" i="207" s="1"/>
  <c r="BN27" i="207"/>
  <c r="M27" i="207" s="1"/>
  <c r="BH21" i="207"/>
  <c r="G21" i="207" s="1"/>
  <c r="BD15" i="207"/>
  <c r="C15" i="207" s="1"/>
  <c r="BR8" i="207"/>
  <c r="Q8" i="207" s="1"/>
  <c r="BM49" i="207"/>
  <c r="BY35" i="207"/>
  <c r="BG22" i="207"/>
  <c r="BS10" i="207"/>
  <c r="BT44" i="207"/>
  <c r="BF30" i="207"/>
  <c r="BL22" i="207"/>
  <c r="K22" i="207" s="1"/>
  <c r="BD16" i="207"/>
  <c r="C16" i="207" s="1"/>
  <c r="BJ9" i="207"/>
  <c r="BU50" i="207"/>
  <c r="CA37" i="207"/>
  <c r="BG21" i="207"/>
  <c r="BQ16" i="207"/>
  <c r="BK5" i="207"/>
  <c r="BP47" i="207"/>
  <c r="BX33" i="207"/>
  <c r="BN21" i="207"/>
  <c r="BL6" i="207"/>
  <c r="BY40" i="207"/>
  <c r="BK28" i="207"/>
  <c r="CA24" i="207"/>
  <c r="CA49" i="207"/>
  <c r="BE36" i="207"/>
  <c r="BS19" i="207"/>
  <c r="CA11" i="207"/>
  <c r="BU8" i="207"/>
  <c r="BF52" i="207"/>
  <c r="BF33" i="207"/>
  <c r="BT17" i="207"/>
  <c r="BN10" i="207"/>
  <c r="BR29" i="207"/>
  <c r="BL15" i="207"/>
  <c r="BH5" i="207"/>
  <c r="BT30" i="207"/>
  <c r="BX19" i="207"/>
  <c r="BL9" i="207"/>
  <c r="BN36" i="207"/>
  <c r="M36" i="207" s="1"/>
  <c r="BD24" i="207"/>
  <c r="C24" i="207" s="1"/>
  <c r="BH13" i="207"/>
  <c r="G13" i="207" s="1"/>
  <c r="BY45" i="207"/>
  <c r="BK31" i="207"/>
  <c r="CA18" i="207"/>
  <c r="BS6" i="207"/>
  <c r="BH38" i="207"/>
  <c r="BT27" i="207"/>
  <c r="S27" i="207" s="1"/>
  <c r="BZ19" i="207"/>
  <c r="BP14" i="207"/>
  <c r="BZ7" i="207"/>
  <c r="BU46" i="207"/>
  <c r="BU31" i="207"/>
  <c r="BI20" i="207"/>
  <c r="BM14" i="207"/>
  <c r="BL51" i="207"/>
  <c r="BP45" i="207"/>
  <c r="BT29" i="207"/>
  <c r="BZ13" i="207"/>
  <c r="BM52" i="207"/>
  <c r="BW39" i="207"/>
  <c r="BI27" i="207"/>
  <c r="BC24" i="207"/>
  <c r="BM48" i="207"/>
  <c r="BC35" i="207"/>
  <c r="BI18" i="207"/>
  <c r="BY10" i="207"/>
  <c r="BS7" i="207"/>
  <c r="BF46" i="207"/>
  <c r="BP28" i="207"/>
  <c r="BJ14" i="207"/>
  <c r="BL41" i="207"/>
  <c r="BZ25" i="207"/>
  <c r="BV10" i="207"/>
  <c r="BD39" i="207"/>
  <c r="BH28" i="207"/>
  <c r="BN16" i="207"/>
  <c r="BD5" i="207"/>
  <c r="BV31" i="207"/>
  <c r="BZ20" i="207"/>
  <c r="BM41" i="207"/>
  <c r="BY28" i="207"/>
  <c r="BO16" i="207"/>
  <c r="BH52" i="207"/>
  <c r="BH36" i="207"/>
  <c r="BZ26" i="207"/>
  <c r="BF19" i="207"/>
  <c r="BT12" i="207"/>
  <c r="BF7" i="207"/>
  <c r="BW45" i="207"/>
  <c r="V45" i="207" s="1"/>
  <c r="BW30" i="207"/>
  <c r="BG19" i="207"/>
  <c r="BW13" i="207"/>
  <c r="BP49" i="207"/>
  <c r="BV49" i="207"/>
  <c r="BD29" i="207"/>
  <c r="BJ13" i="207"/>
  <c r="BU44" i="207"/>
  <c r="BG39" i="207"/>
  <c r="BS26" i="207"/>
  <c r="BM22" i="207"/>
  <c r="BW47" i="207"/>
  <c r="BM33" i="207"/>
  <c r="BS15" i="207"/>
  <c r="BI10" i="207"/>
  <c r="BC7" i="207"/>
  <c r="BX41" i="207"/>
  <c r="BV25" i="207"/>
  <c r="BR10" i="207"/>
  <c r="BT37" i="207"/>
  <c r="BP21" i="207"/>
  <c r="BH9" i="207"/>
  <c r="BX37" i="207"/>
  <c r="CY37" i="207" s="1"/>
  <c r="BL26" i="207"/>
  <c r="K26" i="207" s="1"/>
  <c r="BT13" i="207"/>
  <c r="S13" i="207" s="1"/>
  <c r="BD41" i="207"/>
  <c r="BH30" i="207"/>
  <c r="BN18" i="207"/>
  <c r="DE24" i="5"/>
  <c r="BL97" i="5"/>
  <c r="AL97" i="5"/>
  <c r="BW95" i="5"/>
  <c r="AW95" i="5"/>
  <c r="BS80" i="5"/>
  <c r="AS80" i="5"/>
  <c r="BN32" i="5"/>
  <c r="AN32" i="5"/>
  <c r="CB76" i="5"/>
  <c r="BB76" i="5"/>
  <c r="BS67" i="5"/>
  <c r="AS67" i="5"/>
  <c r="BH35" i="5"/>
  <c r="AH35" i="5"/>
  <c r="CC43" i="5"/>
  <c r="BC43" i="5"/>
  <c r="CB59" i="5"/>
  <c r="BB59" i="5"/>
  <c r="BW79" i="5"/>
  <c r="AW79" i="5"/>
  <c r="CC83" i="5"/>
  <c r="BC83" i="5"/>
  <c r="BU87" i="5"/>
  <c r="AU87" i="5"/>
  <c r="BX99" i="5"/>
  <c r="AX99" i="5"/>
  <c r="BG47" i="5"/>
  <c r="AG47" i="5"/>
  <c r="BX11" i="5"/>
  <c r="AX11" i="5"/>
  <c r="BM22" i="5"/>
  <c r="AM22" i="5"/>
  <c r="CD70" i="5"/>
  <c r="BD70" i="5"/>
  <c r="BH60" i="5"/>
  <c r="AH60" i="5"/>
  <c r="BJ96" i="5"/>
  <c r="AJ96" i="5"/>
  <c r="BL63" i="5"/>
  <c r="AL63" i="5"/>
  <c r="BH11" i="207"/>
  <c r="BX17" i="207"/>
  <c r="BR36" i="207"/>
  <c r="BK32" i="207"/>
  <c r="CA28" i="207"/>
  <c r="BR45" i="207"/>
  <c r="BW21" i="207"/>
  <c r="BJ17" i="207"/>
  <c r="BO12" i="207"/>
  <c r="BM14" i="5"/>
  <c r="AM14" i="5"/>
  <c r="BO20" i="5"/>
  <c r="AO20" i="5"/>
  <c r="BO52" i="5"/>
  <c r="AO52" i="5"/>
  <c r="CA15" i="5"/>
  <c r="BA15" i="5"/>
  <c r="K21" i="207"/>
  <c r="CM21" i="207"/>
  <c r="P25" i="207"/>
  <c r="CR25" i="207"/>
  <c r="F17" i="207"/>
  <c r="CH17" i="207"/>
  <c r="U47" i="207"/>
  <c r="CW47" i="207"/>
  <c r="DE49" i="5"/>
  <c r="DE15" i="5"/>
  <c r="DE56" i="5"/>
  <c r="DE17" i="5"/>
  <c r="DE68" i="5"/>
  <c r="DE22" i="5"/>
  <c r="DE37" i="5"/>
  <c r="DE88" i="5"/>
  <c r="DE36" i="5"/>
  <c r="DE81" i="5"/>
  <c r="DE33" i="5"/>
  <c r="AH7" i="5"/>
  <c r="AU51" i="5"/>
  <c r="AK51" i="5"/>
  <c r="AT50" i="5"/>
  <c r="AI50" i="5"/>
  <c r="AF42" i="5"/>
  <c r="AK92" i="5"/>
  <c r="AM96" i="5"/>
  <c r="AV35" i="5"/>
  <c r="BD47" i="5"/>
  <c r="BA63" i="5"/>
  <c r="AR71" i="5"/>
  <c r="BX89" i="5"/>
  <c r="AX89" i="5"/>
  <c r="CC34" i="5"/>
  <c r="BC34" i="5"/>
  <c r="BF78" i="5"/>
  <c r="AF78" i="5"/>
  <c r="BH47" i="5"/>
  <c r="AH47" i="5"/>
  <c r="BS32" i="5"/>
  <c r="AS32" i="5"/>
  <c r="BR12" i="5"/>
  <c r="AR12" i="5"/>
  <c r="BV24" i="5"/>
  <c r="AV24" i="5"/>
  <c r="BH44" i="5"/>
  <c r="AH44" i="5"/>
  <c r="BO68" i="5"/>
  <c r="AO68" i="5"/>
  <c r="BG31" i="5"/>
  <c r="AG31" i="5"/>
  <c r="BW87" i="5"/>
  <c r="AW87" i="5"/>
  <c r="BS88" i="5"/>
  <c r="AS88" i="5"/>
  <c r="BN74" i="5"/>
  <c r="AN74" i="5"/>
  <c r="BT95" i="5"/>
  <c r="AT95" i="5"/>
  <c r="BZ20" i="5"/>
  <c r="AZ20" i="5"/>
  <c r="CU83" i="5"/>
  <c r="CP83" i="5"/>
  <c r="BP83" i="5" s="1"/>
  <c r="CI83" i="5"/>
  <c r="CO83" i="5"/>
  <c r="CH83" i="5"/>
  <c r="AH83" i="5" s="1"/>
  <c r="DC79" i="5"/>
  <c r="CI79" i="5"/>
  <c r="BI79" i="5" s="1"/>
  <c r="CQ79" i="5"/>
  <c r="CH79" i="5"/>
  <c r="CQ75" i="5"/>
  <c r="CH75" i="5"/>
  <c r="BH75" i="5" s="1"/>
  <c r="CK75" i="5"/>
  <c r="BK75" i="5" s="1"/>
  <c r="DC75" i="5"/>
  <c r="CP71" i="5"/>
  <c r="CY71" i="5"/>
  <c r="CQ71" i="5"/>
  <c r="CK71" i="5"/>
  <c r="BK71" i="5" s="1"/>
  <c r="CK67" i="5"/>
  <c r="BK67" i="5" s="1"/>
  <c r="CX67" i="5"/>
  <c r="DA67" i="5"/>
  <c r="CP67" i="5"/>
  <c r="DE67" i="5" s="1"/>
  <c r="BX63" i="5"/>
  <c r="AX63" i="5"/>
  <c r="CS59" i="5"/>
  <c r="CQ59" i="5"/>
  <c r="CX59" i="5"/>
  <c r="DA59" i="5"/>
  <c r="CA59" i="5" s="1"/>
  <c r="DA55" i="5"/>
  <c r="CA55" i="5" s="1"/>
  <c r="CK55" i="5"/>
  <c r="CL55" i="5"/>
  <c r="CQ55" i="5"/>
  <c r="CT55" i="5"/>
  <c r="CT51" i="5"/>
  <c r="BT51" i="5" s="1"/>
  <c r="CH51" i="5"/>
  <c r="CO51" i="5"/>
  <c r="BO51" i="5" s="1"/>
  <c r="CI51" i="5"/>
  <c r="CM51" i="5"/>
  <c r="DE51" i="5" s="1"/>
  <c r="DB47" i="5"/>
  <c r="CS47" i="5"/>
  <c r="BS47" i="5" s="1"/>
  <c r="CX47" i="5"/>
  <c r="CW47" i="5"/>
  <c r="CQ47" i="5"/>
  <c r="DC47" i="5"/>
  <c r="CC47" i="5" s="1"/>
  <c r="CU43" i="5"/>
  <c r="BU43" i="5" s="1"/>
  <c r="CP43" i="5"/>
  <c r="CQ43" i="5"/>
  <c r="BQ43" i="5" s="1"/>
  <c r="DB43" i="5"/>
  <c r="CB43" i="5" s="1"/>
  <c r="CW43" i="5"/>
  <c r="BW43" i="5" s="1"/>
  <c r="CP39" i="5"/>
  <c r="BP39" i="5" s="1"/>
  <c r="CY39" i="5"/>
  <c r="CK39" i="5"/>
  <c r="DA39" i="5"/>
  <c r="CT39" i="5"/>
  <c r="CT35" i="5"/>
  <c r="DC35" i="5"/>
  <c r="CX35" i="5"/>
  <c r="BX35" i="5" s="1"/>
  <c r="CR51" i="207"/>
  <c r="BV14" i="207"/>
  <c r="BD21" i="207"/>
  <c r="BJ33" i="207"/>
  <c r="BZ52" i="207"/>
  <c r="BY36" i="207"/>
  <c r="BO41" i="207"/>
  <c r="BJ48" i="207"/>
  <c r="BU38" i="207"/>
  <c r="BN24" i="207"/>
  <c r="BC25" i="207"/>
  <c r="BH50" i="5"/>
  <c r="AH50" i="5"/>
  <c r="BY22" i="5"/>
  <c r="AY22" i="5"/>
  <c r="BK20" i="5"/>
  <c r="AK20" i="5"/>
  <c r="BG40" i="5"/>
  <c r="AG40" i="5"/>
  <c r="BL88" i="5"/>
  <c r="AL88" i="5"/>
  <c r="BG91" i="5"/>
  <c r="AG91" i="5"/>
  <c r="CD28" i="5"/>
  <c r="BD28" i="5"/>
  <c r="BZ38" i="5"/>
  <c r="AZ38" i="5"/>
  <c r="Y38" i="207"/>
  <c r="DA38" i="207"/>
  <c r="S7" i="207"/>
  <c r="CU7" i="207"/>
  <c r="P12" i="207"/>
  <c r="CR12" i="207"/>
  <c r="C25" i="207"/>
  <c r="CE25" i="207"/>
  <c r="E11" i="207"/>
  <c r="CG11" i="207"/>
  <c r="BW10" i="208"/>
  <c r="V10" i="208" s="1"/>
  <c r="BT11" i="208"/>
  <c r="S11" i="208" s="1"/>
  <c r="BP22" i="208"/>
  <c r="O22" i="208" s="1"/>
  <c r="BL19" i="208"/>
  <c r="BZ20" i="208"/>
  <c r="Y20" i="208" s="1"/>
  <c r="BP11" i="208"/>
  <c r="BP50" i="208"/>
  <c r="O50" i="208" s="1"/>
  <c r="BL25" i="208"/>
  <c r="K25" i="208" s="1"/>
  <c r="BO25" i="208"/>
  <c r="N25" i="208" s="1"/>
  <c r="BQ8" i="208"/>
  <c r="CR8" i="208" s="1"/>
  <c r="BZ13" i="208"/>
  <c r="BN6" i="208"/>
  <c r="M6" i="208" s="1"/>
  <c r="BK29" i="208"/>
  <c r="J29" i="208" s="1"/>
  <c r="BS9" i="208"/>
  <c r="BT30" i="208"/>
  <c r="BY14" i="208"/>
  <c r="BQ52" i="208"/>
  <c r="P52" i="208" s="1"/>
  <c r="BM30" i="208"/>
  <c r="L30" i="208" s="1"/>
  <c r="BP29" i="208"/>
  <c r="O29" i="208" s="1"/>
  <c r="BF36" i="208"/>
  <c r="E36" i="208" s="1"/>
  <c r="BK10" i="208"/>
  <c r="BN31" i="208"/>
  <c r="M31" i="208" s="1"/>
  <c r="BQ37" i="208"/>
  <c r="BX46" i="208"/>
  <c r="BP33" i="208"/>
  <c r="O33" i="208" s="1"/>
  <c r="BI32" i="208"/>
  <c r="H32" i="208" s="1"/>
  <c r="BV51" i="208"/>
  <c r="U51" i="208" s="1"/>
  <c r="BE47" i="208"/>
  <c r="BT22" i="208"/>
  <c r="S22" i="208" s="1"/>
  <c r="BS13" i="208"/>
  <c r="BT18" i="208"/>
  <c r="BG12" i="208"/>
  <c r="F12" i="208" s="1"/>
  <c r="BN7" i="208"/>
  <c r="M7" i="208" s="1"/>
  <c r="BK18" i="208"/>
  <c r="BG24" i="208"/>
  <c r="F24" i="208" s="1"/>
  <c r="BZ31" i="208"/>
  <c r="Y31" i="208" s="1"/>
  <c r="DE91" i="5"/>
  <c r="DE60" i="5"/>
  <c r="DE31" i="5"/>
  <c r="DE80" i="5"/>
  <c r="DE19" i="5"/>
  <c r="DE32" i="5"/>
  <c r="DE16" i="5"/>
  <c r="DE64" i="5"/>
  <c r="DE48" i="5"/>
  <c r="AU57" i="5"/>
  <c r="AQ84" i="5"/>
  <c r="BC84" i="5"/>
  <c r="AI92" i="5"/>
  <c r="BC96" i="5"/>
  <c r="AJ39" i="5"/>
  <c r="AX55" i="5"/>
  <c r="AR63" i="5"/>
  <c r="AI75" i="5"/>
  <c r="AF83" i="5"/>
  <c r="AZ91" i="5"/>
  <c r="AS46" i="5"/>
  <c r="AX74" i="5"/>
  <c r="BB86" i="5"/>
  <c r="AW94" i="5"/>
  <c r="AP33" i="5"/>
  <c r="AH49" i="5"/>
  <c r="AF57" i="5"/>
  <c r="AS97" i="5"/>
  <c r="AU99" i="5"/>
  <c r="AK84" i="5"/>
  <c r="BQ63" i="5"/>
  <c r="AQ63" i="5"/>
  <c r="AG12" i="5"/>
  <c r="BC20" i="5"/>
  <c r="AL44" i="5"/>
  <c r="BO60" i="5"/>
  <c r="AO60" i="5"/>
  <c r="AF68" i="5"/>
  <c r="AX79" i="5"/>
  <c r="BK19" i="5"/>
  <c r="AK19" i="5"/>
  <c r="BA27" i="5"/>
  <c r="BY51" i="5"/>
  <c r="AY51" i="5"/>
  <c r="AL59" i="5"/>
  <c r="BI71" i="5"/>
  <c r="AI71" i="5"/>
  <c r="AX75" i="5"/>
  <c r="BY79" i="5"/>
  <c r="AY79" i="5"/>
  <c r="BX83" i="5"/>
  <c r="AX83" i="5"/>
  <c r="BL98" i="5"/>
  <c r="AL98" i="5"/>
  <c r="CD34" i="5"/>
  <c r="BD34" i="5"/>
  <c r="CK59" i="5"/>
  <c r="BK59" i="5" s="1"/>
  <c r="CX96" i="5"/>
  <c r="BX96" i="5" s="1"/>
  <c r="CK96" i="5"/>
  <c r="CS96" i="5"/>
  <c r="BS96" i="5" s="1"/>
  <c r="CZ96" i="5"/>
  <c r="BZ96" i="5" s="1"/>
  <c r="CZ92" i="5"/>
  <c r="CL92" i="5"/>
  <c r="CX92" i="5"/>
  <c r="BX92" i="5" s="1"/>
  <c r="CJ92" i="5"/>
  <c r="CL90" i="5"/>
  <c r="BL90" i="5" s="1"/>
  <c r="DB90" i="5"/>
  <c r="DE90" i="5" s="1"/>
  <c r="CT86" i="5"/>
  <c r="CM86" i="5"/>
  <c r="BM86" i="5" s="1"/>
  <c r="CZ86" i="5"/>
  <c r="BZ86" i="5" s="1"/>
  <c r="CF82" i="5"/>
  <c r="BF82" i="5" s="1"/>
  <c r="DB82" i="5"/>
  <c r="DC82" i="5"/>
  <c r="CT82" i="5"/>
  <c r="BT82" i="5" s="1"/>
  <c r="CM82" i="5"/>
  <c r="BM82" i="5" s="1"/>
  <c r="CU78" i="5"/>
  <c r="DC78" i="5"/>
  <c r="CC78" i="5" s="1"/>
  <c r="CM78" i="5"/>
  <c r="CF74" i="5"/>
  <c r="BF74" i="5" s="1"/>
  <c r="DB74" i="5"/>
  <c r="CU70" i="5"/>
  <c r="BU70" i="5" s="1"/>
  <c r="CH70" i="5"/>
  <c r="CH66" i="5"/>
  <c r="CN66" i="5"/>
  <c r="CX62" i="5"/>
  <c r="DC62" i="5"/>
  <c r="CH62" i="5"/>
  <c r="CI58" i="5"/>
  <c r="AI58" i="5" s="1"/>
  <c r="DD58" i="5"/>
  <c r="CD58" i="5" s="1"/>
  <c r="CY58" i="5"/>
  <c r="CV58" i="5"/>
  <c r="BV58" i="5" s="1"/>
  <c r="CP54" i="5"/>
  <c r="BP54" i="5" s="1"/>
  <c r="CY54" i="5"/>
  <c r="CX54" i="5"/>
  <c r="DD54" i="5"/>
  <c r="CR50" i="5"/>
  <c r="BR50" i="5" s="1"/>
  <c r="CX50" i="5"/>
  <c r="BX50" i="5" s="1"/>
  <c r="DD50" i="5"/>
  <c r="DC50" i="5"/>
  <c r="CC50" i="5" s="1"/>
  <c r="CQ46" i="5"/>
  <c r="AQ46" i="5" s="1"/>
  <c r="CV46" i="5"/>
  <c r="CL46" i="5"/>
  <c r="BL46" i="5" s="1"/>
  <c r="CF46" i="5"/>
  <c r="CJ42" i="5"/>
  <c r="AJ42" i="5" s="1"/>
  <c r="DB42" i="5"/>
  <c r="CP42" i="5"/>
  <c r="BP42" i="5" s="1"/>
  <c r="CI38" i="5"/>
  <c r="DD38" i="5"/>
  <c r="CY38" i="5"/>
  <c r="BY38" i="5" s="1"/>
  <c r="CT38" i="5"/>
  <c r="CN38" i="5"/>
  <c r="BN38" i="5" s="1"/>
  <c r="BP26" i="207"/>
  <c r="BN33" i="207"/>
  <c r="BZ6" i="207"/>
  <c r="BK9" i="207"/>
  <c r="BJ50" i="207"/>
  <c r="BD10" i="207"/>
  <c r="CA5" i="207"/>
  <c r="BO51" i="207"/>
  <c r="N51" i="207" s="1"/>
  <c r="BL31" i="207"/>
  <c r="K31" i="207" s="1"/>
  <c r="BG38" i="207"/>
  <c r="CH38" i="207" s="1"/>
  <c r="Q7" i="115"/>
  <c r="U7" i="115" s="1"/>
  <c r="P7" i="115"/>
  <c r="BB30" i="5"/>
  <c r="AU18" i="5"/>
  <c r="BB91" i="5"/>
  <c r="AZ76" i="5"/>
  <c r="AG44" i="5"/>
  <c r="AS28" i="5"/>
  <c r="AZ16" i="5"/>
  <c r="BC12" i="5"/>
  <c r="AF20" i="5"/>
  <c r="BB40" i="5"/>
  <c r="BD44" i="5"/>
  <c r="BC95" i="5"/>
  <c r="AW60" i="5"/>
  <c r="CA22" i="5"/>
  <c r="BA22" i="5"/>
  <c r="CH99" i="5"/>
  <c r="CT99" i="5"/>
  <c r="DA99" i="5"/>
  <c r="CA99" i="5" s="1"/>
  <c r="CO99" i="5"/>
  <c r="CH95" i="5"/>
  <c r="CM95" i="5"/>
  <c r="CO95" i="5"/>
  <c r="BZ77" i="5"/>
  <c r="CE77" i="5" s="1"/>
  <c r="AZ77" i="5"/>
  <c r="BP91" i="5"/>
  <c r="AP91" i="5"/>
  <c r="BO48" i="5"/>
  <c r="AO48" i="5"/>
  <c r="CD12" i="5"/>
  <c r="BD12" i="5"/>
  <c r="CV30" i="5"/>
  <c r="DC30" i="5"/>
  <c r="CP26" i="5"/>
  <c r="AP26" i="5" s="1"/>
  <c r="DB26" i="5"/>
  <c r="CI18" i="5"/>
  <c r="BI18" i="5" s="1"/>
  <c r="DC18" i="5"/>
  <c r="BU14" i="5"/>
  <c r="AU14" i="5"/>
  <c r="DA10" i="5"/>
  <c r="CU10" i="5"/>
  <c r="CV12" i="5"/>
  <c r="B17" i="127"/>
  <c r="B21" i="127"/>
  <c r="DE77" i="5"/>
  <c r="AO88" i="5"/>
  <c r="BC88" i="5"/>
  <c r="AQ92" i="5"/>
  <c r="BB96" i="5"/>
  <c r="AJ31" i="5"/>
  <c r="AN35" i="5"/>
  <c r="AR39" i="5"/>
  <c r="AV47" i="5"/>
  <c r="AF55" i="5"/>
  <c r="AP63" i="5"/>
  <c r="AZ63" i="5"/>
  <c r="AJ71" i="5"/>
  <c r="AT75" i="5"/>
  <c r="BD75" i="5"/>
  <c r="AN83" i="5"/>
  <c r="AY91" i="5"/>
  <c r="AK95" i="5"/>
  <c r="AV95" i="5"/>
  <c r="BA46" i="5"/>
  <c r="AS66" i="5"/>
  <c r="AG74" i="5"/>
  <c r="AQ86" i="5"/>
  <c r="BA86" i="5"/>
  <c r="AO94" i="5"/>
  <c r="AX25" i="5"/>
  <c r="AH33" i="5"/>
  <c r="AP37" i="5"/>
  <c r="AX45" i="5"/>
  <c r="AJ53" i="5"/>
  <c r="AX53" i="5"/>
  <c r="AM61" i="5"/>
  <c r="AW61" i="5"/>
  <c r="AH61" i="5"/>
  <c r="AP61" i="5"/>
  <c r="AX61" i="5"/>
  <c r="AJ69" i="5"/>
  <c r="AU69" i="5"/>
  <c r="AH69" i="5"/>
  <c r="AP69" i="5"/>
  <c r="AX69" i="5"/>
  <c r="AF73" i="5"/>
  <c r="AQ73" i="5"/>
  <c r="BA73" i="5"/>
  <c r="AL73" i="5"/>
  <c r="AT73" i="5"/>
  <c r="BB73" i="5"/>
  <c r="AN81" i="5"/>
  <c r="AY81" i="5"/>
  <c r="AH81" i="5"/>
  <c r="AP81" i="5"/>
  <c r="AX81" i="5"/>
  <c r="AF89" i="5"/>
  <c r="AQ89" i="5"/>
  <c r="BA89" i="5"/>
  <c r="AL89" i="5"/>
  <c r="BT89" i="5"/>
  <c r="AT89" i="5"/>
  <c r="BH97" i="5"/>
  <c r="AH97" i="5"/>
  <c r="BI58" i="5"/>
  <c r="DE98" i="5"/>
  <c r="DE63" i="5"/>
  <c r="AJ58" i="5"/>
  <c r="AR56" i="5"/>
  <c r="AI11" i="5"/>
  <c r="BY97" i="5"/>
  <c r="AY97" i="5"/>
  <c r="AM88" i="5"/>
  <c r="AV92" i="5"/>
  <c r="AG96" i="5"/>
  <c r="AU96" i="5"/>
  <c r="AZ31" i="5"/>
  <c r="BD35" i="5"/>
  <c r="AF47" i="5"/>
  <c r="AM55" i="5"/>
  <c r="AV55" i="5"/>
  <c r="AJ63" i="5"/>
  <c r="AS71" i="5"/>
  <c r="AZ71" i="5"/>
  <c r="AN75" i="5"/>
  <c r="AW83" i="5"/>
  <c r="BD83" i="5"/>
  <c r="AR91" i="5"/>
  <c r="AF95" i="5"/>
  <c r="AK46" i="5"/>
  <c r="AZ66" i="5"/>
  <c r="AM74" i="5"/>
  <c r="AK86" i="5"/>
  <c r="AY94" i="5"/>
  <c r="AH25" i="5"/>
  <c r="AP29" i="5"/>
  <c r="AX33" i="5"/>
  <c r="AH45" i="5"/>
  <c r="AP49" i="5"/>
  <c r="AH53" i="5"/>
  <c r="AQ57" i="5"/>
  <c r="AR61" i="5"/>
  <c r="BC61" i="5"/>
  <c r="AL61" i="5"/>
  <c r="AT61" i="5"/>
  <c r="BB61" i="5"/>
  <c r="AO69" i="5"/>
  <c r="AZ69" i="5"/>
  <c r="AL69" i="5"/>
  <c r="AT69" i="5"/>
  <c r="BB69" i="5"/>
  <c r="AK73" i="5"/>
  <c r="AV73" i="5"/>
  <c r="AH73" i="5"/>
  <c r="AP73" i="5"/>
  <c r="AX73" i="5"/>
  <c r="AI81" i="5"/>
  <c r="AS81" i="5"/>
  <c r="BD81" i="5"/>
  <c r="AL81" i="5"/>
  <c r="AT81" i="5"/>
  <c r="BB81" i="5"/>
  <c r="AK89" i="5"/>
  <c r="AV89" i="5"/>
  <c r="AH89" i="5"/>
  <c r="AP89" i="5"/>
  <c r="BN97" i="5"/>
  <c r="AN97" i="5"/>
  <c r="BL76" i="5"/>
  <c r="AL76" i="5"/>
  <c r="BG68" i="5"/>
  <c r="AG68" i="5"/>
  <c r="BN60" i="5"/>
  <c r="AN60" i="5"/>
  <c r="CD56" i="5"/>
  <c r="BD56" i="5"/>
  <c r="BG52" i="5"/>
  <c r="AG52" i="5"/>
  <c r="BO23" i="5"/>
  <c r="AO23" i="5"/>
  <c r="CB19" i="5"/>
  <c r="BB19" i="5"/>
  <c r="BK15" i="5"/>
  <c r="AK15" i="5"/>
  <c r="DE72" i="5"/>
  <c r="DE84" i="5"/>
  <c r="DE52" i="5"/>
  <c r="AK56" i="5"/>
  <c r="AO55" i="5"/>
  <c r="AY11" i="5"/>
  <c r="CB89" i="5"/>
  <c r="BB89" i="5"/>
  <c r="AT76" i="5"/>
  <c r="AR28" i="5"/>
  <c r="BA36" i="5"/>
  <c r="AV68" i="5"/>
  <c r="BA65" i="5"/>
  <c r="AS19" i="5"/>
  <c r="AK59" i="5"/>
  <c r="AP97" i="5"/>
  <c r="AX97" i="5"/>
  <c r="BC70" i="5"/>
  <c r="AP58" i="5"/>
  <c r="AX50" i="5"/>
  <c r="AH34" i="5"/>
  <c r="AF30" i="5"/>
  <c r="AU22" i="5"/>
  <c r="BC14" i="5"/>
  <c r="AZ96" i="5"/>
  <c r="AL94" i="5"/>
  <c r="AT90" i="5"/>
  <c r="AZ86" i="5"/>
  <c r="AO79" i="5"/>
  <c r="AW75" i="5"/>
  <c r="AL68" i="5"/>
  <c r="AT64" i="5"/>
  <c r="BB60" i="5"/>
  <c r="AG56" i="5"/>
  <c r="BC47" i="5"/>
  <c r="BB44" i="5"/>
  <c r="AK43" i="5"/>
  <c r="AX35" i="5"/>
  <c r="AW31" i="5"/>
  <c r="AW27" i="5"/>
  <c r="AW23" i="5"/>
  <c r="BA20" i="5"/>
  <c r="AT19" i="5"/>
  <c r="AJ16" i="5"/>
  <c r="AW12" i="5"/>
  <c r="BA12" i="5"/>
  <c r="BD16" i="5"/>
  <c r="AW44" i="5"/>
  <c r="AS44" i="5"/>
  <c r="AS48" i="5"/>
  <c r="AP52" i="5"/>
  <c r="BB52" i="5"/>
  <c r="BB56" i="5"/>
  <c r="AW56" i="5"/>
  <c r="AT60" i="5"/>
  <c r="BD60" i="5"/>
  <c r="BA64" i="5"/>
  <c r="AV64" i="5"/>
  <c r="AT68" i="5"/>
  <c r="BB68" i="5"/>
  <c r="BA72" i="5"/>
  <c r="AV72" i="5"/>
  <c r="AN76" i="5"/>
  <c r="AK80" i="5"/>
  <c r="AF80" i="5"/>
  <c r="AR84" i="5"/>
  <c r="BA84" i="5"/>
  <c r="BA88" i="5"/>
  <c r="AX88" i="5"/>
  <c r="AS96" i="5"/>
  <c r="AY98" i="5"/>
  <c r="AH91" i="5"/>
  <c r="AP83" i="5"/>
  <c r="AK71" i="5"/>
  <c r="AY63" i="5"/>
  <c r="AS51" i="5"/>
  <c r="AQ43" i="5"/>
  <c r="AF36" i="5"/>
  <c r="BC31" i="5"/>
  <c r="AG28" i="5"/>
  <c r="BB23" i="5"/>
  <c r="BA19" i="5"/>
  <c r="AX15" i="5"/>
  <c r="AN12" i="5"/>
  <c r="BB27" i="5"/>
  <c r="AQ31" i="5"/>
  <c r="D10" i="204"/>
  <c r="AT82" i="5"/>
  <c r="AU74" i="5"/>
  <c r="AV66" i="5"/>
  <c r="BB46" i="5"/>
  <c r="AZ42" i="5"/>
  <c r="AM34" i="5"/>
  <c r="AJ26" i="5"/>
  <c r="AI22" i="5"/>
  <c r="AQ14" i="5"/>
  <c r="AK12" i="5"/>
  <c r="AN16" i="5"/>
  <c r="BA16" i="5"/>
  <c r="AG20" i="5"/>
  <c r="AW20" i="5"/>
  <c r="AN20" i="5"/>
  <c r="BD20" i="5"/>
  <c r="AK24" i="5"/>
  <c r="AG24" i="5"/>
  <c r="BB24" i="5"/>
  <c r="AX28" i="5"/>
  <c r="AW28" i="5"/>
  <c r="AX32" i="5"/>
  <c r="AT32" i="5"/>
  <c r="AZ36" i="5"/>
  <c r="AV36" i="5"/>
  <c r="AR40" i="5"/>
  <c r="AF40" i="5"/>
  <c r="AT48" i="5"/>
  <c r="AG27" i="5"/>
  <c r="AM47" i="5"/>
  <c r="AL47" i="5"/>
  <c r="AO51" i="5"/>
  <c r="BC51" i="5"/>
  <c r="AY55" i="5"/>
  <c r="AI63" i="5"/>
  <c r="AS63" i="5"/>
  <c r="AK67" i="5"/>
  <c r="AW71" i="5"/>
  <c r="AP75" i="5"/>
  <c r="AM86" i="5"/>
  <c r="AH32" i="5"/>
  <c r="AP36" i="5"/>
  <c r="AX34" i="5"/>
  <c r="BD32" i="5"/>
  <c r="D19" i="204"/>
  <c r="BA53" i="206"/>
  <c r="BJ39" i="206" s="1"/>
  <c r="AB13" i="183"/>
  <c r="Z15" i="183" s="1"/>
  <c r="W15" i="115"/>
  <c r="CA10" i="5"/>
  <c r="BA10" i="5"/>
  <c r="BO7" i="5"/>
  <c r="AO7" i="5"/>
  <c r="BO11" i="5"/>
  <c r="CE11" i="5" s="1"/>
  <c r="AO11" i="5"/>
  <c r="DE11" i="5"/>
  <c r="BT7" i="5"/>
  <c r="CS10" i="5"/>
  <c r="CK10" i="5"/>
  <c r="CZ7" i="5"/>
  <c r="AZ7" i="5" s="1"/>
  <c r="CJ7" i="5"/>
  <c r="AJ7" i="5" s="1"/>
  <c r="CU7" i="5"/>
  <c r="CX10" i="5"/>
  <c r="BX10" i="5" s="1"/>
  <c r="CH10" i="5"/>
  <c r="BH10" i="5" s="1"/>
  <c r="CI10" i="5"/>
  <c r="AG11" i="5"/>
  <c r="CK7" i="5"/>
  <c r="CP7" i="5"/>
  <c r="CL7" i="5"/>
  <c r="CQ10" i="5"/>
  <c r="CV7" i="5"/>
  <c r="CF7" i="5"/>
  <c r="CZ10" i="5"/>
  <c r="CR10" i="5"/>
  <c r="CJ10" i="5"/>
  <c r="CQ7" i="5"/>
  <c r="CT10" i="5"/>
  <c r="BT10" i="5" s="1"/>
  <c r="DC10" i="5"/>
  <c r="CS7" i="5"/>
  <c r="CX7" i="5"/>
  <c r="CW7" i="5"/>
  <c r="DB7" i="5"/>
  <c r="CG7" i="5"/>
  <c r="AY7" i="5"/>
  <c r="CW10" i="5"/>
  <c r="CO10" i="5"/>
  <c r="CG10" i="5"/>
  <c r="CR7" i="5"/>
  <c r="BC11" i="5"/>
  <c r="AU11" i="5"/>
  <c r="AM11" i="5"/>
  <c r="BD10" i="5"/>
  <c r="AV10" i="5"/>
  <c r="AN10" i="5"/>
  <c r="AF10" i="5"/>
  <c r="DC7" i="5"/>
  <c r="CM7" i="5"/>
  <c r="CP10" i="5"/>
  <c r="CY10" i="5"/>
  <c r="AM10" i="5"/>
  <c r="AW11" i="5"/>
  <c r="DA7" i="5"/>
  <c r="BA7" i="5" s="1"/>
  <c r="DD7" i="5"/>
  <c r="BD7" i="5" s="1"/>
  <c r="AD8" i="120"/>
  <c r="B5" i="127"/>
  <c r="X17" i="115"/>
  <c r="BA58" i="206"/>
  <c r="C11" i="127"/>
  <c r="P8" i="208"/>
  <c r="BG31" i="208"/>
  <c r="BQ21" i="208"/>
  <c r="BT44" i="208"/>
  <c r="S44" i="208" s="1"/>
  <c r="BX27" i="208"/>
  <c r="W27" i="208" s="1"/>
  <c r="BK38" i="208"/>
  <c r="BS47" i="208"/>
  <c r="BO46" i="208"/>
  <c r="BC37" i="208"/>
  <c r="BP19" i="208"/>
  <c r="BX52" i="208"/>
  <c r="BW40" i="208"/>
  <c r="BX49" i="208"/>
  <c r="W49" i="208" s="1"/>
  <c r="BN26" i="208"/>
  <c r="BS33" i="208"/>
  <c r="BW44" i="208"/>
  <c r="BM35" i="208"/>
  <c r="BS27" i="208"/>
  <c r="BY19" i="208"/>
  <c r="CA14" i="208"/>
  <c r="BS10" i="208"/>
  <c r="BK6" i="208"/>
  <c r="BP49" i="208"/>
  <c r="BO41" i="208"/>
  <c r="BQ33" i="208"/>
  <c r="BP27" i="208"/>
  <c r="BH22" i="208"/>
  <c r="G22" i="208" s="1"/>
  <c r="BP13" i="208"/>
  <c r="BO7" i="208"/>
  <c r="BX24" i="208"/>
  <c r="BR49" i="208"/>
  <c r="BE38" i="208"/>
  <c r="D38" i="208" s="1"/>
  <c r="BY31" i="208"/>
  <c r="X31" i="208" s="1"/>
  <c r="BQ27" i="208"/>
  <c r="BL21" i="208"/>
  <c r="BH16" i="208"/>
  <c r="BX11" i="208"/>
  <c r="BW5" i="208"/>
  <c r="BE16" i="208"/>
  <c r="BL48" i="208"/>
  <c r="K48" i="208" s="1"/>
  <c r="BN39" i="208"/>
  <c r="BZ28" i="208"/>
  <c r="BU22" i="208"/>
  <c r="BM18" i="208"/>
  <c r="L18" i="208" s="1"/>
  <c r="BH13" i="208"/>
  <c r="BV9" i="208"/>
  <c r="U9" i="208" s="1"/>
  <c r="BJ6" i="208"/>
  <c r="BM48" i="208"/>
  <c r="BR38" i="208"/>
  <c r="BM29" i="208"/>
  <c r="L29" i="208" s="1"/>
  <c r="BR20" i="208"/>
  <c r="BD18" i="208"/>
  <c r="BF11" i="208"/>
  <c r="BY51" i="208"/>
  <c r="BC50" i="208"/>
  <c r="BQ47" i="208"/>
  <c r="BE45" i="208"/>
  <c r="BK52" i="208"/>
  <c r="J52" i="208" s="1"/>
  <c r="BY49" i="208"/>
  <c r="BM47" i="208"/>
  <c r="L47" i="208" s="1"/>
  <c r="BQ45" i="208"/>
  <c r="BU41" i="208"/>
  <c r="BI39" i="208"/>
  <c r="BW36" i="208"/>
  <c r="CA33" i="208"/>
  <c r="BO31" i="208"/>
  <c r="BC29" i="208"/>
  <c r="BQ26" i="208"/>
  <c r="P26" i="208" s="1"/>
  <c r="BU24" i="208"/>
  <c r="BY21" i="208"/>
  <c r="BM19" i="208"/>
  <c r="CA16" i="208"/>
  <c r="BO14" i="208"/>
  <c r="BS12" i="208"/>
  <c r="BG10" i="208"/>
  <c r="BU7" i="208"/>
  <c r="T7" i="208" s="1"/>
  <c r="BI5" i="208"/>
  <c r="BR50" i="208"/>
  <c r="BG47" i="208"/>
  <c r="BQ44" i="208"/>
  <c r="CA39" i="208"/>
  <c r="BP36" i="208"/>
  <c r="BD32" i="208"/>
  <c r="C32" i="208" s="1"/>
  <c r="BR28" i="208"/>
  <c r="BC26" i="208"/>
  <c r="B26" i="208" s="1"/>
  <c r="BW37" i="208"/>
  <c r="BQ29" i="208"/>
  <c r="BI14" i="208"/>
  <c r="CJ14" i="208" s="1"/>
  <c r="BD30" i="208"/>
  <c r="CE30" i="208" s="1"/>
  <c r="BG28" i="208"/>
  <c r="BP9" i="208"/>
  <c r="BU46" i="208"/>
  <c r="CV46" i="208" s="1"/>
  <c r="BM46" i="208"/>
  <c r="CA21" i="208"/>
  <c r="BP52" i="208"/>
  <c r="BT17" i="208"/>
  <c r="BJ41" i="208"/>
  <c r="CA50" i="208"/>
  <c r="BU39" i="208"/>
  <c r="BQ32" i="208"/>
  <c r="P32" i="208" s="1"/>
  <c r="BM26" i="208"/>
  <c r="CN26" i="208" s="1"/>
  <c r="BS18" i="208"/>
  <c r="BE13" i="208"/>
  <c r="BM9" i="208"/>
  <c r="L9" i="208" s="1"/>
  <c r="BW47" i="208"/>
  <c r="BR40" i="208"/>
  <c r="BT32" i="208"/>
  <c r="BS26" i="208"/>
  <c r="CT26" i="208" s="1"/>
  <c r="BN20" i="208"/>
  <c r="M20" i="208" s="1"/>
  <c r="BZ10" i="208"/>
  <c r="BV5" i="208"/>
  <c r="BZ39" i="208"/>
  <c r="BF14" i="208"/>
  <c r="E14" i="208" s="1"/>
  <c r="BC47" i="208"/>
  <c r="B47" i="208" s="1"/>
  <c r="BH37" i="208"/>
  <c r="BD31" i="208"/>
  <c r="C31" i="208" s="1"/>
  <c r="BX25" i="208"/>
  <c r="BP20" i="208"/>
  <c r="BK15" i="208"/>
  <c r="CL15" i="208" s="1"/>
  <c r="BF10" i="208"/>
  <c r="BP8" i="208"/>
  <c r="O8" i="208" s="1"/>
  <c r="BR46" i="208"/>
  <c r="Q46" i="208" s="1"/>
  <c r="BI33" i="208"/>
  <c r="H33" i="208" s="1"/>
  <c r="BD28" i="208"/>
  <c r="BC21" i="208"/>
  <c r="BP17" i="208"/>
  <c r="BL12" i="208"/>
  <c r="BD8" i="208"/>
  <c r="BN5" i="208"/>
  <c r="BX32" i="208"/>
  <c r="BP28" i="208"/>
  <c r="BG17" i="208"/>
  <c r="BL9" i="208"/>
  <c r="CM9" i="208" s="1"/>
  <c r="BI51" i="208"/>
  <c r="BM49" i="208"/>
  <c r="CA46" i="208"/>
  <c r="BO44" i="208"/>
  <c r="BU51" i="208"/>
  <c r="BI49" i="208"/>
  <c r="BW46" i="208"/>
  <c r="BE41" i="208"/>
  <c r="D41" i="208" s="1"/>
  <c r="BS38" i="208"/>
  <c r="R38" i="208" s="1"/>
  <c r="BG36" i="208"/>
  <c r="BK33" i="208"/>
  <c r="BY30" i="208"/>
  <c r="BM28" i="208"/>
  <c r="CA25" i="208"/>
  <c r="BI21" i="208"/>
  <c r="BW18" i="208"/>
  <c r="BK16" i="208"/>
  <c r="J16" i="208" s="1"/>
  <c r="BY13" i="208"/>
  <c r="BC12" i="208"/>
  <c r="BQ9" i="208"/>
  <c r="BE7" i="208"/>
  <c r="BL52" i="208"/>
  <c r="BV49" i="208"/>
  <c r="BJ46" i="208"/>
  <c r="BT24" i="208"/>
  <c r="BU38" i="208"/>
  <c r="BW6" i="208"/>
  <c r="CX6" i="208" s="1"/>
  <c r="BO27" i="208"/>
  <c r="BC45" i="208"/>
  <c r="BN40" i="208"/>
  <c r="BY47" i="208"/>
  <c r="X47" i="208" s="1"/>
  <c r="BU30" i="208"/>
  <c r="T30" i="208" s="1"/>
  <c r="BW16" i="208"/>
  <c r="BW8" i="208"/>
  <c r="BE46" i="208"/>
  <c r="BF30" i="208"/>
  <c r="BX17" i="208"/>
  <c r="W17" i="208" s="1"/>
  <c r="BX51" i="208"/>
  <c r="BL6" i="208"/>
  <c r="BO35" i="208"/>
  <c r="BN14" i="208"/>
  <c r="M14" i="208" s="1"/>
  <c r="BN36" i="208"/>
  <c r="BV45" i="208"/>
  <c r="BL32" i="208"/>
  <c r="BF20" i="208"/>
  <c r="BO11" i="208"/>
  <c r="BU52" i="208"/>
  <c r="T52" i="208" s="1"/>
  <c r="BF31" i="208"/>
  <c r="BV19" i="208"/>
  <c r="BO5" i="208"/>
  <c r="N5" i="208" s="1"/>
  <c r="BW48" i="208"/>
  <c r="CA52" i="208"/>
  <c r="BS48" i="208"/>
  <c r="CA44" i="208"/>
  <c r="BC38" i="208"/>
  <c r="B38" i="208" s="1"/>
  <c r="BU32" i="208"/>
  <c r="BW27" i="208"/>
  <c r="BE24" i="208"/>
  <c r="BG18" i="208"/>
  <c r="BI13" i="208"/>
  <c r="CA8" i="208"/>
  <c r="BO51" i="208"/>
  <c r="BF39" i="208"/>
  <c r="BV33" i="208"/>
  <c r="BN29" i="208"/>
  <c r="M29" i="208" s="1"/>
  <c r="BF25" i="208"/>
  <c r="E25" i="208" s="1"/>
  <c r="BT20" i="208"/>
  <c r="S20" i="208" s="1"/>
  <c r="BH17" i="208"/>
  <c r="BV13" i="208"/>
  <c r="BJ10" i="208"/>
  <c r="I10" i="208" s="1"/>
  <c r="BT7" i="208"/>
  <c r="BC51" i="208"/>
  <c r="BJ39" i="208"/>
  <c r="I39" i="208" s="1"/>
  <c r="BL31" i="208"/>
  <c r="BM52" i="208"/>
  <c r="BZ48" i="208"/>
  <c r="BL46" i="208"/>
  <c r="BY40" i="208"/>
  <c r="X40" i="208" s="1"/>
  <c r="BN37" i="208"/>
  <c r="CO37" i="208" s="1"/>
  <c r="CA32" i="208"/>
  <c r="BL30" i="208"/>
  <c r="K30" i="208" s="1"/>
  <c r="BZ26" i="208"/>
  <c r="BN22" i="208"/>
  <c r="BC19" i="208"/>
  <c r="B19" i="208" s="1"/>
  <c r="BP15" i="208"/>
  <c r="O15" i="208" s="1"/>
  <c r="BE12" i="208"/>
  <c r="D12" i="208" s="1"/>
  <c r="BR8" i="208"/>
  <c r="BD6" i="208"/>
  <c r="BZ25" i="208"/>
  <c r="BY52" i="208"/>
  <c r="BN49" i="208"/>
  <c r="M49" i="208" s="1"/>
  <c r="CA45" i="208"/>
  <c r="BL41" i="208"/>
  <c r="K41" i="208" s="1"/>
  <c r="BZ37" i="208"/>
  <c r="BK35" i="208"/>
  <c r="CL35" i="208" s="1"/>
  <c r="BU31" i="208"/>
  <c r="T31" i="208" s="1"/>
  <c r="BF29" i="208"/>
  <c r="BP26" i="208"/>
  <c r="BZ22" i="208"/>
  <c r="Y22" i="208" s="1"/>
  <c r="BO19" i="208"/>
  <c r="BD16" i="208"/>
  <c r="C16" i="208" s="1"/>
  <c r="BQ12" i="208"/>
  <c r="BI8" i="208"/>
  <c r="BS5" i="208"/>
  <c r="BZ44" i="208"/>
  <c r="BX38" i="208"/>
  <c r="BQ31" i="208"/>
  <c r="P31" i="208" s="1"/>
  <c r="BY27" i="208"/>
  <c r="BT21" i="208"/>
  <c r="BF19" i="208"/>
  <c r="BC15" i="208"/>
  <c r="BK11" i="208"/>
  <c r="BT5" i="208"/>
  <c r="BK19" i="208"/>
  <c r="CA17" i="208"/>
  <c r="BR27" i="208"/>
  <c r="BC39" i="208"/>
  <c r="BP16" i="208"/>
  <c r="BJ12" i="208"/>
  <c r="BM25" i="208"/>
  <c r="BI40" i="208"/>
  <c r="BV31" i="208"/>
  <c r="BZ27" i="208"/>
  <c r="BK39" i="208"/>
  <c r="BT51" i="208"/>
  <c r="S51" i="208" s="1"/>
  <c r="BF6" i="208"/>
  <c r="BF22" i="208"/>
  <c r="BP37" i="208"/>
  <c r="BZ49" i="208"/>
  <c r="BM10" i="208"/>
  <c r="L10" i="208" s="1"/>
  <c r="BK17" i="208"/>
  <c r="BI25" i="208"/>
  <c r="BG32" i="208"/>
  <c r="BL38" i="208"/>
  <c r="BP45" i="208"/>
  <c r="BF50" i="208"/>
  <c r="BS11" i="208"/>
  <c r="BQ18" i="208"/>
  <c r="BV24" i="208"/>
  <c r="BZ29" i="208"/>
  <c r="Y29" i="208" s="1"/>
  <c r="BI50" i="208"/>
  <c r="BL50" i="208"/>
  <c r="BH14" i="208"/>
  <c r="BF21" i="208"/>
  <c r="BJ27" i="208"/>
  <c r="BH35" i="208"/>
  <c r="BM40" i="208"/>
  <c r="BR47" i="208"/>
  <c r="Q47" i="208" s="1"/>
  <c r="BV52" i="208"/>
  <c r="BY9" i="208"/>
  <c r="X9" i="208" s="1"/>
  <c r="BQ13" i="208"/>
  <c r="BO18" i="208"/>
  <c r="BG22" i="208"/>
  <c r="BY26" i="208"/>
  <c r="X26" i="208" s="1"/>
  <c r="BW31" i="208"/>
  <c r="BU37" i="208"/>
  <c r="T37" i="208" s="1"/>
  <c r="BS52" i="208"/>
  <c r="BD21" i="208"/>
  <c r="BJ52" i="208"/>
  <c r="I52" i="208" s="1"/>
  <c r="BU40" i="208"/>
  <c r="BL26" i="208"/>
  <c r="K26" i="208" s="1"/>
  <c r="BO17" i="208"/>
  <c r="BR30" i="208"/>
  <c r="Q30" i="208" s="1"/>
  <c r="BN47" i="208"/>
  <c r="BG35" i="208"/>
  <c r="BF13" i="208"/>
  <c r="BT29" i="208"/>
  <c r="BP46" i="208"/>
  <c r="O46" i="208" s="1"/>
  <c r="BM21" i="208"/>
  <c r="L21" i="208" s="1"/>
  <c r="BK27" i="208"/>
  <c r="BO33" i="208"/>
  <c r="CP33" i="208" s="1"/>
  <c r="BM39" i="208"/>
  <c r="BE29" i="208"/>
  <c r="BO10" i="208"/>
  <c r="BM15" i="208"/>
  <c r="BS7" i="208"/>
  <c r="R7" i="208" s="1"/>
  <c r="BI26" i="208"/>
  <c r="BS51" i="208"/>
  <c r="BC46" i="208"/>
  <c r="BO29" i="208"/>
  <c r="N29" i="208" s="1"/>
  <c r="BQ15" i="208"/>
  <c r="BG8" i="208"/>
  <c r="BH45" i="208"/>
  <c r="G45" i="208" s="1"/>
  <c r="BI29" i="208"/>
  <c r="H29" i="208" s="1"/>
  <c r="BM14" i="208"/>
  <c r="BR45" i="208"/>
  <c r="BN50" i="208"/>
  <c r="BI22" i="208"/>
  <c r="H22" i="208" s="1"/>
  <c r="BR13" i="208"/>
  <c r="BU25" i="208"/>
  <c r="BD44" i="208"/>
  <c r="BS30" i="208"/>
  <c r="BJ19" i="208"/>
  <c r="BR10" i="208"/>
  <c r="BJ49" i="208"/>
  <c r="BJ30" i="208"/>
  <c r="I30" i="208" s="1"/>
  <c r="BY18" i="208"/>
  <c r="BO52" i="208"/>
  <c r="BG48" i="208"/>
  <c r="BC48" i="208"/>
  <c r="B48" i="208" s="1"/>
  <c r="BK44" i="208"/>
  <c r="BM37" i="208"/>
  <c r="L37" i="208" s="1"/>
  <c r="BE32" i="208"/>
  <c r="BG27" i="208"/>
  <c r="BO22" i="208"/>
  <c r="BY10" i="208"/>
  <c r="BR51" i="208"/>
  <c r="CS51" i="208" s="1"/>
  <c r="BJ11" i="208"/>
  <c r="BO38" i="208"/>
  <c r="BO12" i="208"/>
  <c r="BD38" i="208"/>
  <c r="BE10" i="208"/>
  <c r="CF10" i="208" s="1"/>
  <c r="BJ45" i="208"/>
  <c r="BV18" i="208"/>
  <c r="U18" i="208" s="1"/>
  <c r="BW51" i="208"/>
  <c r="CX51" i="208" s="1"/>
  <c r="BK26" i="208"/>
  <c r="BW26" i="208"/>
  <c r="BS50" i="208"/>
  <c r="BE51" i="208"/>
  <c r="CF51" i="208" s="1"/>
  <c r="BO40" i="208"/>
  <c r="BI30" i="208"/>
  <c r="BS20" i="208"/>
  <c r="CT20" i="208" s="1"/>
  <c r="BE15" i="208"/>
  <c r="BK8" i="208"/>
  <c r="J8" i="208" s="1"/>
  <c r="BY48" i="208"/>
  <c r="BX40" i="208"/>
  <c r="BZ32" i="208"/>
  <c r="Y32" i="208" s="1"/>
  <c r="BU27" i="208"/>
  <c r="BP21" i="208"/>
  <c r="O21" i="208" s="1"/>
  <c r="BL16" i="208"/>
  <c r="BD12" i="208"/>
  <c r="C12" i="208" s="1"/>
  <c r="BT46" i="208"/>
  <c r="BZ33" i="208"/>
  <c r="BV6" i="208"/>
  <c r="CW6" i="208" s="1"/>
  <c r="BE48" i="208"/>
  <c r="D48" i="208" s="1"/>
  <c r="BR44" i="208"/>
  <c r="BJ38" i="208"/>
  <c r="BF32" i="208"/>
  <c r="BS28" i="208"/>
  <c r="BK24" i="208"/>
  <c r="BF18" i="208"/>
  <c r="BW13" i="208"/>
  <c r="BO9" i="208"/>
  <c r="N9" i="208" s="1"/>
  <c r="BJ16" i="208"/>
  <c r="BJ50" i="208"/>
  <c r="BF45" i="208"/>
  <c r="E45" i="208" s="1"/>
  <c r="BS39" i="208"/>
  <c r="R39" i="208" s="1"/>
  <c r="BX30" i="208"/>
  <c r="BW24" i="208"/>
  <c r="V24" i="208" s="1"/>
  <c r="BR18" i="208"/>
  <c r="BJ14" i="208"/>
  <c r="BX10" i="208"/>
  <c r="BL7" i="208"/>
  <c r="K7" i="208" s="1"/>
  <c r="BE52" i="208"/>
  <c r="D52" i="208" s="1"/>
  <c r="CA37" i="208"/>
  <c r="BR29" i="208"/>
  <c r="BC24" i="208"/>
  <c r="BI18" i="208"/>
  <c r="BD13" i="208"/>
  <c r="C13" i="208" s="1"/>
  <c r="BC7" i="208"/>
  <c r="BG26" i="208"/>
  <c r="BX48" i="208"/>
  <c r="W48" i="208" s="1"/>
  <c r="BP14" i="208"/>
  <c r="O14" i="208" s="1"/>
  <c r="BE31" i="208"/>
  <c r="D31" i="208" s="1"/>
  <c r="BZ47" i="208"/>
  <c r="DA47" i="208" s="1"/>
  <c r="BX28" i="208"/>
  <c r="BG49" i="208"/>
  <c r="BZ7" i="208"/>
  <c r="BV21" i="208"/>
  <c r="U21" i="208" s="1"/>
  <c r="BX35" i="208"/>
  <c r="BI48" i="208"/>
  <c r="BI15" i="208"/>
  <c r="BV11" i="208"/>
  <c r="BM20" i="208"/>
  <c r="BV40" i="208"/>
  <c r="U40" i="208" s="1"/>
  <c r="BZ6" i="208"/>
  <c r="BR15" i="208"/>
  <c r="CA26" i="208"/>
  <c r="BW41" i="208"/>
  <c r="BN52" i="208"/>
  <c r="BH8" i="208"/>
  <c r="BX16" i="208"/>
  <c r="W16" i="208" s="1"/>
  <c r="BO26" i="208"/>
  <c r="BM33" i="208"/>
  <c r="BK41" i="208"/>
  <c r="CA51" i="208"/>
  <c r="BY36" i="208"/>
  <c r="BC9" i="208"/>
  <c r="BZ15" i="208"/>
  <c r="BQ25" i="208"/>
  <c r="BO32" i="208"/>
  <c r="N32" i="208" s="1"/>
  <c r="BF44" i="208"/>
  <c r="BS8" i="208"/>
  <c r="BW14" i="208"/>
  <c r="CX14" i="208" s="1"/>
  <c r="BC33" i="208"/>
  <c r="BG40" i="208"/>
  <c r="BG50" i="208"/>
  <c r="BF28" i="208"/>
  <c r="BD11" i="208"/>
  <c r="CE11" i="208" s="1"/>
  <c r="BL29" i="208"/>
  <c r="BH46" i="208"/>
  <c r="BQ10" i="208"/>
  <c r="BF27" i="208"/>
  <c r="BH6" i="208"/>
  <c r="BH26" i="208"/>
  <c r="CA49" i="208"/>
  <c r="BW12" i="208"/>
  <c r="CA18" i="208"/>
  <c r="Z18" i="208" s="1"/>
  <c r="BQ28" i="208"/>
  <c r="CA36" i="208"/>
  <c r="BY45" i="208"/>
  <c r="BW9" i="208"/>
  <c r="BH15" i="208"/>
  <c r="BZ21" i="208"/>
  <c r="BK37" i="208"/>
  <c r="J37" i="208" s="1"/>
  <c r="BT49" i="208"/>
  <c r="BH10" i="208"/>
  <c r="G10" i="208" s="1"/>
  <c r="BF17" i="208"/>
  <c r="BD25" i="208"/>
  <c r="BH30" i="208"/>
  <c r="BM36" i="208"/>
  <c r="BK45" i="208"/>
  <c r="BI52" i="208"/>
  <c r="BF40" i="208"/>
  <c r="BN11" i="208"/>
  <c r="BR16" i="208"/>
  <c r="BW21" i="208"/>
  <c r="BU29" i="208"/>
  <c r="BS37" i="208"/>
  <c r="BQ46" i="208"/>
  <c r="BH7" i="208"/>
  <c r="BI36" i="208"/>
  <c r="BD7" i="208"/>
  <c r="BI12" i="208"/>
  <c r="BN17" i="208"/>
  <c r="BU36" i="208"/>
  <c r="BZ41" i="208"/>
  <c r="BX50" i="208"/>
  <c r="BO8" i="208"/>
  <c r="CP8" i="208" s="1"/>
  <c r="BM13" i="208"/>
  <c r="BC22" i="208"/>
  <c r="BU26" i="208"/>
  <c r="BS31" i="208"/>
  <c r="R31" i="208" s="1"/>
  <c r="BK36" i="208"/>
  <c r="J36" i="208" s="1"/>
  <c r="BI41" i="208"/>
  <c r="BQ49" i="208"/>
  <c r="BK47" i="208"/>
  <c r="BY22" i="208"/>
  <c r="X22" i="208" s="1"/>
  <c r="BD33" i="208"/>
  <c r="BI37" i="208"/>
  <c r="BI11" i="208"/>
  <c r="BG37" i="208"/>
  <c r="F37" i="208" s="1"/>
  <c r="BL8" i="208"/>
  <c r="BT40" i="208"/>
  <c r="BZ17" i="208"/>
  <c r="BH49" i="208"/>
  <c r="BR24" i="208"/>
  <c r="Q24" i="208" s="1"/>
  <c r="BG7" i="208"/>
  <c r="BQ22" i="208"/>
  <c r="BO50" i="208"/>
  <c r="BY39" i="208"/>
  <c r="X39" i="208" s="1"/>
  <c r="BS29" i="208"/>
  <c r="R29" i="208" s="1"/>
  <c r="BC20" i="208"/>
  <c r="BO6" i="208"/>
  <c r="BD48" i="208"/>
  <c r="C48" i="208" s="1"/>
  <c r="BI38" i="208"/>
  <c r="BH31" i="208"/>
  <c r="BX26" i="208"/>
  <c r="BW19" i="208"/>
  <c r="BO15" i="208"/>
  <c r="BG11" i="208"/>
  <c r="F11" i="208" s="1"/>
  <c r="BX6" i="208"/>
  <c r="BW45" i="208"/>
  <c r="BE33" i="208"/>
  <c r="BP51" i="208"/>
  <c r="BH47" i="208"/>
  <c r="BV41" i="208"/>
  <c r="BQ36" i="208"/>
  <c r="P36" i="208" s="1"/>
  <c r="BI31" i="208"/>
  <c r="BV27" i="208"/>
  <c r="BR21" i="208"/>
  <c r="BJ17" i="208"/>
  <c r="I17" i="208" s="1"/>
  <c r="BZ12" i="208"/>
  <c r="Y12" i="208" s="1"/>
  <c r="BV7" i="208"/>
  <c r="BG5" i="208"/>
  <c r="BU8" i="208"/>
  <c r="BQ48" i="208"/>
  <c r="P48" i="208" s="1"/>
  <c r="BI44" i="208"/>
  <c r="BV38" i="208"/>
  <c r="BN33" i="208"/>
  <c r="BM27" i="208"/>
  <c r="BE22" i="208"/>
  <c r="BV17" i="208"/>
  <c r="BN13" i="208"/>
  <c r="M13" i="208" s="1"/>
  <c r="CA9" i="208"/>
  <c r="BP6" i="208"/>
  <c r="BO49" i="208"/>
  <c r="BE44" i="208"/>
  <c r="D44" i="208" s="1"/>
  <c r="BV28" i="208"/>
  <c r="U28" i="208" s="1"/>
  <c r="BX20" i="208"/>
  <c r="BH12" i="208"/>
  <c r="BD5" i="208"/>
  <c r="BX29" i="208"/>
  <c r="BX5" i="208"/>
  <c r="BP35" i="208"/>
  <c r="BL51" i="208"/>
  <c r="K51" i="208" s="1"/>
  <c r="BV15" i="208"/>
  <c r="BK32" i="208"/>
  <c r="BR52" i="208"/>
  <c r="BL11" i="208"/>
  <c r="K11" i="208" s="1"/>
  <c r="BO24" i="208"/>
  <c r="BS6" i="208"/>
  <c r="BG20" i="208"/>
  <c r="BO13" i="208"/>
  <c r="BN27" i="208"/>
  <c r="M27" i="208" s="1"/>
  <c r="BP44" i="208"/>
  <c r="BT8" i="208"/>
  <c r="BD19" i="208"/>
  <c r="BT28" i="208"/>
  <c r="BR36" i="208"/>
  <c r="Q36" i="208" s="1"/>
  <c r="BJ47" i="208"/>
  <c r="BG9" i="208"/>
  <c r="BZ9" i="208"/>
  <c r="BJ20" i="208"/>
  <c r="I20" i="208" s="1"/>
  <c r="BW7" i="208"/>
  <c r="BG21" i="208"/>
  <c r="BC8" i="208"/>
  <c r="BQ24" i="208"/>
  <c r="BU5" i="208"/>
  <c r="BV25" i="208"/>
  <c r="U25" i="208" s="1"/>
  <c r="BK7" i="208"/>
  <c r="BJ51" i="208"/>
  <c r="BG30" i="208"/>
  <c r="F30" i="208" s="1"/>
  <c r="BQ38" i="208"/>
  <c r="BU44" i="208"/>
  <c r="BK46" i="208"/>
  <c r="BQ35" i="208"/>
  <c r="BQ17" i="208"/>
  <c r="P17" i="208" s="1"/>
  <c r="BY5" i="208"/>
  <c r="BL37" i="208"/>
  <c r="BJ24" i="208"/>
  <c r="BR14" i="208"/>
  <c r="Q14" i="208" s="1"/>
  <c r="CA5" i="208"/>
  <c r="BH24" i="208"/>
  <c r="BT35" i="208"/>
  <c r="BD26" i="208"/>
  <c r="BM16" i="208"/>
  <c r="BD52" i="208"/>
  <c r="BR32" i="208"/>
  <c r="BY16" i="208"/>
  <c r="BF9" i="208"/>
  <c r="BR48" i="208"/>
  <c r="BF37" i="208"/>
  <c r="BN10" i="208"/>
  <c r="BC32" i="208"/>
  <c r="BN21" i="208"/>
  <c r="BL5" i="208"/>
  <c r="BV36" i="208"/>
  <c r="BX14" i="208"/>
  <c r="W14" i="208" s="1"/>
  <c r="BV44" i="208"/>
  <c r="BC31" i="208"/>
  <c r="BH44" i="208"/>
  <c r="BZ24" i="208"/>
  <c r="BN28" i="208"/>
  <c r="CA35" i="208"/>
  <c r="BC41" i="208"/>
  <c r="BU45" i="208"/>
  <c r="T45" i="208" s="1"/>
  <c r="BU15" i="208"/>
  <c r="CV15" i="208" s="1"/>
  <c r="BS35" i="208"/>
  <c r="R35" i="208" s="1"/>
  <c r="BM22" i="208"/>
  <c r="L22" i="208" s="1"/>
  <c r="BY12" i="208"/>
  <c r="BF5" i="208"/>
  <c r="BN15" i="208"/>
  <c r="BO45" i="208"/>
  <c r="BX33" i="208"/>
  <c r="W33" i="208" s="1"/>
  <c r="BH25" i="208"/>
  <c r="BT14" i="208"/>
  <c r="BY6" i="208"/>
  <c r="BG51" i="208"/>
  <c r="BP40" i="208"/>
  <c r="O40" i="208" s="1"/>
  <c r="BT25" i="208"/>
  <c r="BG15" i="208"/>
  <c r="BV47" i="208"/>
  <c r="BO30" i="208"/>
  <c r="N30" i="208" s="1"/>
  <c r="CA19" i="208"/>
  <c r="Z19" i="208" s="1"/>
  <c r="BR9" i="208"/>
  <c r="BN41" i="208"/>
  <c r="BY25" i="208"/>
  <c r="BX8" i="208"/>
  <c r="BT45" i="208"/>
  <c r="S45" i="208" s="1"/>
  <c r="BJ18" i="208"/>
  <c r="BD10" i="208"/>
  <c r="C10" i="208" s="1"/>
  <c r="BZ30" i="208"/>
  <c r="BX13" i="208"/>
  <c r="BY33" i="208"/>
  <c r="BU50" i="208"/>
  <c r="BF15" i="208"/>
  <c r="E15" i="208" s="1"/>
  <c r="BR39" i="208"/>
  <c r="BX7" i="208"/>
  <c r="BP5" i="208"/>
  <c r="O5" i="208" s="1"/>
  <c r="BK49" i="208"/>
  <c r="BE11" i="208"/>
  <c r="BI17" i="208"/>
  <c r="BS25" i="208"/>
  <c r="BI35" i="208"/>
  <c r="BI45" i="208"/>
  <c r="H45" i="208" s="1"/>
  <c r="BR17" i="208"/>
  <c r="BI16" i="208"/>
  <c r="BJ37" i="208"/>
  <c r="BF7" i="208"/>
  <c r="BD35" i="208"/>
  <c r="BX15" i="208"/>
  <c r="W15" i="208" s="1"/>
  <c r="BD20" i="208"/>
  <c r="CE20" i="208" s="1"/>
  <c r="BM5" i="208"/>
  <c r="L5" i="208" s="1"/>
  <c r="BO16" i="208"/>
  <c r="BE26" i="208"/>
  <c r="D26" i="208" s="1"/>
  <c r="BG38" i="208"/>
  <c r="BW50" i="208"/>
  <c r="BI27" i="208"/>
  <c r="BJ44" i="208"/>
  <c r="BN8" i="208"/>
  <c r="BX18" i="208"/>
  <c r="BV26" i="208"/>
  <c r="BT33" i="208"/>
  <c r="BD47" i="208"/>
  <c r="BJ25" i="208"/>
  <c r="BT9" i="208"/>
  <c r="BL18" i="208"/>
  <c r="BJ26" i="208"/>
  <c r="BZ35" i="208"/>
  <c r="BJ48" i="208"/>
  <c r="BK5" i="208"/>
  <c r="CA13" i="208"/>
  <c r="BY20" i="208"/>
  <c r="BW28" i="208"/>
  <c r="BN38" i="208"/>
  <c r="BL47" i="208"/>
  <c r="BI7" i="208"/>
  <c r="BW22" i="208"/>
  <c r="CX22" i="208" s="1"/>
  <c r="BR35" i="208"/>
  <c r="Q35" i="208" s="1"/>
  <c r="BJ9" i="208"/>
  <c r="BW15" i="208"/>
  <c r="BT13" i="208"/>
  <c r="S13" i="208" s="1"/>
  <c r="BM11" i="208"/>
  <c r="BN45" i="208"/>
  <c r="M45" i="208" s="1"/>
  <c r="BK30" i="208"/>
  <c r="BZ18" i="208"/>
  <c r="BN9" i="208"/>
  <c r="M9" i="208" s="1"/>
  <c r="BL40" i="208"/>
  <c r="BT50" i="208"/>
  <c r="BD40" i="208"/>
  <c r="BU20" i="208"/>
  <c r="BH11" i="208"/>
  <c r="BT36" i="208"/>
  <c r="S36" i="208" s="1"/>
  <c r="BT47" i="208"/>
  <c r="S47" i="208" s="1"/>
  <c r="BD37" i="208"/>
  <c r="BC30" i="208"/>
  <c r="BH21" i="208"/>
  <c r="G21" i="208" s="1"/>
  <c r="BH41" i="208"/>
  <c r="BD27" i="208"/>
  <c r="BL17" i="208"/>
  <c r="BT10" i="208"/>
  <c r="BK9" i="208"/>
  <c r="J9" i="208" s="1"/>
  <c r="BH19" i="208"/>
  <c r="BO39" i="208"/>
  <c r="N39" i="208" s="1"/>
  <c r="BE9" i="208"/>
  <c r="BS15" i="208"/>
  <c r="R15" i="208" s="1"/>
  <c r="BH48" i="208"/>
  <c r="BV20" i="208"/>
  <c r="BP25" i="208"/>
  <c r="BD22" i="208"/>
  <c r="BT31" i="208"/>
  <c r="S31" i="208" s="1"/>
  <c r="BD45" i="208"/>
  <c r="BS24" i="208"/>
  <c r="BJ7" i="208"/>
  <c r="BS17" i="208"/>
  <c r="BD29" i="208"/>
  <c r="BT38" i="208"/>
  <c r="BD51" i="208"/>
  <c r="BK12" i="208"/>
  <c r="BU19" i="208"/>
  <c r="BE28" i="208"/>
  <c r="BO36" i="208"/>
  <c r="BU47" i="208"/>
  <c r="T47" i="208" s="1"/>
  <c r="BH38" i="208"/>
  <c r="G38" i="208" s="1"/>
  <c r="BT19" i="208"/>
  <c r="BD14" i="208"/>
  <c r="BP38" i="208"/>
  <c r="BD46" i="208"/>
  <c r="C46" i="208" s="1"/>
  <c r="BF33" i="208"/>
  <c r="BY7" i="208"/>
  <c r="BU17" i="208"/>
  <c r="BW29" i="208"/>
  <c r="BS40" i="208"/>
  <c r="BZ5" i="208"/>
  <c r="BN18" i="208"/>
  <c r="M18" i="208" s="1"/>
  <c r="CA28" i="208"/>
  <c r="CA47" i="208"/>
  <c r="BZ11" i="208"/>
  <c r="BQ20" i="208"/>
  <c r="BO28" i="208"/>
  <c r="N28" i="208" s="1"/>
  <c r="BF38" i="208"/>
  <c r="BV48" i="208"/>
  <c r="BG13" i="208"/>
  <c r="F13" i="208" s="1"/>
  <c r="BC28" i="208"/>
  <c r="B28" i="208" s="1"/>
  <c r="BL39" i="208"/>
  <c r="K39" i="208" s="1"/>
  <c r="BD50" i="208"/>
  <c r="BJ33" i="208"/>
  <c r="I33" i="208" s="1"/>
  <c r="BV8" i="208"/>
  <c r="BR22" i="208"/>
  <c r="BP30" i="208"/>
  <c r="O30" i="208" s="1"/>
  <c r="BS44" i="208"/>
  <c r="BE35" i="208"/>
  <c r="BG29" i="208"/>
  <c r="F29" i="208" s="1"/>
  <c r="BI24" i="208"/>
  <c r="BE17" i="208"/>
  <c r="CA10" i="208"/>
  <c r="Z10" i="208" s="1"/>
  <c r="BF49" i="208"/>
  <c r="BC35" i="208"/>
  <c r="CD35" i="208" s="1"/>
  <c r="BG19" i="208"/>
  <c r="F19" i="208" s="1"/>
  <c r="BY46" i="208"/>
  <c r="BX44" i="208"/>
  <c r="BP24" i="208"/>
  <c r="CA7" i="208"/>
  <c r="BR41" i="208"/>
  <c r="Q41" i="208" s="1"/>
  <c r="BU6" i="208"/>
  <c r="BK48" i="208"/>
  <c r="BY24" i="208"/>
  <c r="X24" i="208" s="1"/>
  <c r="BD41" i="208"/>
  <c r="C41" i="208" s="1"/>
  <c r="BY50" i="208"/>
  <c r="BE8" i="208"/>
  <c r="BR7" i="208"/>
  <c r="Q7" i="208" s="1"/>
  <c r="BM41" i="208"/>
  <c r="BM24" i="208"/>
  <c r="BM7" i="208"/>
  <c r="CN7" i="208" s="1"/>
  <c r="BZ36" i="208"/>
  <c r="BN12" i="208"/>
  <c r="BP48" i="208"/>
  <c r="BH28" i="208"/>
  <c r="BC49" i="208"/>
  <c r="BF12" i="208"/>
  <c r="BQ11" i="208"/>
  <c r="BN44" i="208"/>
  <c r="BL20" i="208"/>
  <c r="BE25" i="208"/>
  <c r="BG39" i="208"/>
  <c r="BE18" i="208"/>
  <c r="BK25" i="208"/>
  <c r="J25" i="208" s="1"/>
  <c r="BM8" i="208"/>
  <c r="CU22" i="208"/>
  <c r="CH24" i="208"/>
  <c r="CQ29" i="208"/>
  <c r="CJ32" i="208"/>
  <c r="BC52" i="208"/>
  <c r="BC40" i="208"/>
  <c r="CA27" i="208"/>
  <c r="Z27" i="208" s="1"/>
  <c r="BW20" i="208"/>
  <c r="BY15" i="208"/>
  <c r="CZ15" i="208" s="1"/>
  <c r="BU9" i="208"/>
  <c r="BS45" i="208"/>
  <c r="BJ32" i="208"/>
  <c r="BT15" i="208"/>
  <c r="S15" i="208" s="1"/>
  <c r="BG45" i="208"/>
  <c r="BF41" i="208"/>
  <c r="E41" i="208" s="1"/>
  <c r="BE20" i="208"/>
  <c r="D20" i="208" s="1"/>
  <c r="BI6" i="208"/>
  <c r="BX39" i="208"/>
  <c r="W39" i="208" s="1"/>
  <c r="BJ22" i="208"/>
  <c r="BC5" i="208"/>
  <c r="BH20" i="208"/>
  <c r="BY41" i="208"/>
  <c r="BS22" i="208"/>
  <c r="BR37" i="208"/>
  <c r="CA41" i="208"/>
  <c r="BS49" i="208"/>
  <c r="R49" i="208" s="1"/>
  <c r="BF47" i="208"/>
  <c r="CA38" i="208"/>
  <c r="CA20" i="208"/>
  <c r="BG6" i="208"/>
  <c r="F6" i="208" s="1"/>
  <c r="BV30" i="208"/>
  <c r="BU10" i="208"/>
  <c r="BV46" i="208"/>
  <c r="BE40" i="208"/>
  <c r="BH5" i="208"/>
  <c r="BM31" i="208"/>
  <c r="BV12" i="208"/>
  <c r="BJ28" i="208"/>
  <c r="BL10" i="208"/>
  <c r="BW49" i="208"/>
  <c r="BG46" i="208"/>
  <c r="CH46" i="208" s="1"/>
  <c r="BU33" i="208"/>
  <c r="CL29" i="208"/>
  <c r="CW51" i="208"/>
  <c r="CX10" i="208"/>
  <c r="CO7" i="208"/>
  <c r="BW38" i="208"/>
  <c r="BY32" i="208"/>
  <c r="CP25" i="208"/>
  <c r="BQ19" i="208"/>
  <c r="BS14" i="208"/>
  <c r="BC6" i="208"/>
  <c r="BH40" i="208"/>
  <c r="BE27" i="208"/>
  <c r="BP10" i="208"/>
  <c r="BN24" i="208"/>
  <c r="BH33" i="208"/>
  <c r="BZ8" i="208"/>
  <c r="BL15" i="208"/>
  <c r="BQ40" i="208"/>
  <c r="BJ13" i="208"/>
  <c r="BU35" i="208"/>
  <c r="T35" i="208" s="1"/>
  <c r="BC14" i="208"/>
  <c r="BQ16" i="208"/>
  <c r="DA20" i="208"/>
  <c r="BW32" i="208"/>
  <c r="V32" i="208" s="1"/>
  <c r="BM12" i="208"/>
  <c r="BQ30" i="208"/>
  <c r="P30" i="208" s="1"/>
  <c r="BC16" i="208"/>
  <c r="BX45" i="208"/>
  <c r="W45" i="208" s="1"/>
  <c r="BX22" i="208"/>
  <c r="BL45" i="208"/>
  <c r="BX37" i="208"/>
  <c r="BL13" i="208"/>
  <c r="BN30" i="208"/>
  <c r="BH29" i="208"/>
  <c r="BN51" i="208"/>
  <c r="M51" i="208" s="1"/>
  <c r="BL14" i="208"/>
  <c r="BZ52" i="208"/>
  <c r="Y52" i="208" s="1"/>
  <c r="BH36" i="208"/>
  <c r="BX19" i="208"/>
  <c r="BW35" i="208"/>
  <c r="BT41" i="208"/>
  <c r="S41" i="208" s="1"/>
  <c r="CA11" i="208"/>
  <c r="BU21" i="208"/>
  <c r="T21" i="208" s="1"/>
  <c r="BA59" i="206"/>
  <c r="BA63" i="206"/>
  <c r="BA64" i="206"/>
  <c r="BA59" i="207"/>
  <c r="BA63" i="207"/>
  <c r="BA64" i="207"/>
  <c r="BA58" i="208"/>
  <c r="BA59" i="208"/>
  <c r="BA60" i="208"/>
  <c r="BA61" i="208"/>
  <c r="BA62" i="208"/>
  <c r="BA63" i="208"/>
  <c r="BA64" i="208"/>
  <c r="X20" i="115"/>
  <c r="DE53" i="5"/>
  <c r="DE14" i="5"/>
  <c r="DE62" i="5"/>
  <c r="DE69" i="5"/>
  <c r="DE87" i="5"/>
  <c r="DE25" i="5"/>
  <c r="DE89" i="5"/>
  <c r="DE94" i="5"/>
  <c r="DE97" i="5"/>
  <c r="AY90" i="5"/>
  <c r="AJ90" i="5"/>
  <c r="AU89" i="5"/>
  <c r="AG89" i="5"/>
  <c r="AR82" i="5"/>
  <c r="BC81" i="5"/>
  <c r="AO81" i="5"/>
  <c r="AZ74" i="5"/>
  <c r="AL74" i="5"/>
  <c r="AW73" i="5"/>
  <c r="AI73" i="5"/>
  <c r="AT66" i="5"/>
  <c r="AF66" i="5"/>
  <c r="AQ65" i="5"/>
  <c r="BB58" i="5"/>
  <c r="AN58" i="5"/>
  <c r="AY57" i="5"/>
  <c r="AJ57" i="5"/>
  <c r="AK53" i="5"/>
  <c r="AV50" i="5"/>
  <c r="AL50" i="5"/>
  <c r="AZ49" i="5"/>
  <c r="AO49" i="5"/>
  <c r="AZ46" i="5"/>
  <c r="AP46" i="5"/>
  <c r="BD45" i="5"/>
  <c r="AS45" i="5"/>
  <c r="BC38" i="5"/>
  <c r="AR38" i="5"/>
  <c r="AH38" i="5"/>
  <c r="AV37" i="5"/>
  <c r="AK37" i="5"/>
  <c r="BB34" i="5"/>
  <c r="AQ34" i="5"/>
  <c r="AF34" i="5"/>
  <c r="AU33" i="5"/>
  <c r="AJ33" i="5"/>
  <c r="AU30" i="5"/>
  <c r="AJ30" i="5"/>
  <c r="AY29" i="5"/>
  <c r="AN29" i="5"/>
  <c r="BD26" i="5"/>
  <c r="AT26" i="5"/>
  <c r="AI26" i="5"/>
  <c r="AW25" i="5"/>
  <c r="AM25" i="5"/>
  <c r="BB22" i="5"/>
  <c r="AT22" i="5"/>
  <c r="AL22" i="5"/>
  <c r="BC21" i="5"/>
  <c r="AU21" i="5"/>
  <c r="AM21" i="5"/>
  <c r="BB18" i="5"/>
  <c r="AT18" i="5"/>
  <c r="AL18" i="5"/>
  <c r="BC17" i="5"/>
  <c r="AU17" i="5"/>
  <c r="AM17" i="5"/>
  <c r="BB10" i="5"/>
  <c r="AL10" i="5"/>
  <c r="AQ85" i="5"/>
  <c r="AQ77" i="5"/>
  <c r="AY69" i="5"/>
  <c r="AK69" i="5"/>
  <c r="AV49" i="5"/>
  <c r="AK49" i="5"/>
  <c r="AZ45" i="5"/>
  <c r="AO45" i="5"/>
  <c r="BD41" i="5"/>
  <c r="AS41" i="5"/>
  <c r="AI41" i="5"/>
  <c r="AW37" i="5"/>
  <c r="AM37" i="5"/>
  <c r="BA33" i="5"/>
  <c r="AQ33" i="5"/>
  <c r="AF33" i="5"/>
  <c r="AZ21" i="5"/>
  <c r="AR21" i="5"/>
  <c r="AJ21" i="5"/>
  <c r="BD17" i="5"/>
  <c r="AV17" i="5"/>
  <c r="AN17" i="5"/>
  <c r="AF17" i="5"/>
  <c r="AZ13" i="5"/>
  <c r="AR13" i="5"/>
  <c r="AJ13" i="5"/>
  <c r="AM24" i="5"/>
  <c r="AU24" i="5"/>
  <c r="BC24" i="5"/>
  <c r="AM28" i="5"/>
  <c r="AU28" i="5"/>
  <c r="BC28" i="5"/>
  <c r="AM32" i="5"/>
  <c r="AU32" i="5"/>
  <c r="BC32" i="5"/>
  <c r="AM36" i="5"/>
  <c r="AU36" i="5"/>
  <c r="BC36" i="5"/>
  <c r="AM40" i="5"/>
  <c r="AU40" i="5"/>
  <c r="BC40" i="5"/>
  <c r="AM44" i="5"/>
  <c r="AU44" i="5"/>
  <c r="BC44" i="5"/>
  <c r="AM48" i="5"/>
  <c r="AU48" i="5"/>
  <c r="BC48" i="5"/>
  <c r="AN52" i="5"/>
  <c r="AX52" i="5"/>
  <c r="AI52" i="5"/>
  <c r="AQ52" i="5"/>
  <c r="AY52" i="5"/>
  <c r="AJ56" i="5"/>
  <c r="AT56" i="5"/>
  <c r="AI56" i="5"/>
  <c r="AQ56" i="5"/>
  <c r="AY56" i="5"/>
  <c r="AF60" i="5"/>
  <c r="AP60" i="5"/>
  <c r="BA60" i="5"/>
  <c r="AM60" i="5"/>
  <c r="AU60" i="5"/>
  <c r="BC60" i="5"/>
  <c r="AL64" i="5"/>
  <c r="AW64" i="5"/>
  <c r="AI64" i="5"/>
  <c r="AQ64" i="5"/>
  <c r="AY64" i="5"/>
  <c r="AH68" i="5"/>
  <c r="AS68" i="5"/>
  <c r="BD68" i="5"/>
  <c r="AM68" i="5"/>
  <c r="AU68" i="5"/>
  <c r="BC68" i="5"/>
  <c r="AO72" i="5"/>
  <c r="AZ72" i="5"/>
  <c r="AM72" i="5"/>
  <c r="AU72" i="5"/>
  <c r="BC72" i="5"/>
  <c r="AK76" i="5"/>
  <c r="AV76" i="5"/>
  <c r="AI76" i="5"/>
  <c r="AQ76" i="5"/>
  <c r="AY76" i="5"/>
  <c r="AG80" i="5"/>
  <c r="AR80" i="5"/>
  <c r="BB80" i="5"/>
  <c r="AM80" i="5"/>
  <c r="AU80" i="5"/>
  <c r="BC80" i="5"/>
  <c r="AN84" i="5"/>
  <c r="AI84" i="5"/>
  <c r="BP87" i="5"/>
  <c r="AP87" i="5"/>
  <c r="DE61" i="5"/>
  <c r="DE29" i="5"/>
  <c r="DE45" i="5"/>
  <c r="DE27" i="5"/>
  <c r="DE85" i="5"/>
  <c r="DE73" i="5"/>
  <c r="BD98" i="5"/>
  <c r="AQ98" i="5"/>
  <c r="BA97" i="5"/>
  <c r="AM97" i="5"/>
  <c r="AX94" i="5"/>
  <c r="AJ94" i="5"/>
  <c r="AU93" i="5"/>
  <c r="AF93" i="5"/>
  <c r="AR86" i="5"/>
  <c r="BC85" i="5"/>
  <c r="AN85" i="5"/>
  <c r="AZ78" i="5"/>
  <c r="AL78" i="5"/>
  <c r="AV77" i="5"/>
  <c r="AI77" i="5"/>
  <c r="AT70" i="5"/>
  <c r="BD69" i="5"/>
  <c r="AQ69" i="5"/>
  <c r="BB62" i="5"/>
  <c r="AM62" i="5"/>
  <c r="AY61" i="5"/>
  <c r="AJ61" i="5"/>
  <c r="AU54" i="5"/>
  <c r="AH54" i="5"/>
  <c r="AI45" i="5"/>
  <c r="AY42" i="5"/>
  <c r="AN42" i="5"/>
  <c r="BC41" i="5"/>
  <c r="AR41" i="5"/>
  <c r="AG41" i="5"/>
  <c r="AX14" i="5"/>
  <c r="AP14" i="5"/>
  <c r="AH14" i="5"/>
  <c r="AY13" i="5"/>
  <c r="AQ13" i="5"/>
  <c r="AI13" i="5"/>
  <c r="BC97" i="5"/>
  <c r="AO97" i="5"/>
  <c r="BD93" i="5"/>
  <c r="AO93" i="5"/>
  <c r="BD89" i="5"/>
  <c r="AO89" i="5"/>
  <c r="BD85" i="5"/>
  <c r="AI85" i="5"/>
  <c r="AQ81" i="5"/>
  <c r="AY73" i="5"/>
  <c r="AJ73" i="5"/>
  <c r="AR65" i="5"/>
  <c r="AZ61" i="5"/>
  <c r="AK61" i="5"/>
  <c r="AS57" i="5"/>
  <c r="BA53" i="5"/>
  <c r="AM53" i="5"/>
  <c r="AZ29" i="5"/>
  <c r="AO29" i="5"/>
  <c r="BD25" i="5"/>
  <c r="AS25" i="5"/>
  <c r="AI25" i="5"/>
  <c r="AJ27" i="5"/>
  <c r="AR27" i="5"/>
  <c r="AZ27" i="5"/>
  <c r="AF43" i="5"/>
  <c r="AN43" i="5"/>
  <c r="AV43" i="5"/>
  <c r="BD43" i="5"/>
  <c r="AJ51" i="5"/>
  <c r="AR51" i="5"/>
  <c r="BB51" i="5"/>
  <c r="AZ51" i="5"/>
  <c r="AI59" i="5"/>
  <c r="AT59" i="5"/>
  <c r="AF59" i="5"/>
  <c r="AN59" i="5"/>
  <c r="AV59" i="5"/>
  <c r="BD59" i="5"/>
  <c r="AL67" i="5"/>
  <c r="AW67" i="5"/>
  <c r="AF67" i="5"/>
  <c r="AN67" i="5"/>
  <c r="AV67" i="5"/>
  <c r="BD67" i="5"/>
  <c r="AP79" i="5"/>
  <c r="BA79" i="5"/>
  <c r="AJ79" i="5"/>
  <c r="AR79" i="5"/>
  <c r="AZ79" i="5"/>
  <c r="AH87" i="5"/>
  <c r="AS87" i="5"/>
  <c r="BC87" i="5"/>
  <c r="AJ87" i="5"/>
  <c r="AR87" i="5"/>
  <c r="AZ87" i="5"/>
  <c r="AG99" i="5"/>
  <c r="AQ99" i="5"/>
  <c r="BB99" i="5"/>
  <c r="AJ99" i="5"/>
  <c r="AR99" i="5"/>
  <c r="AZ99" i="5"/>
  <c r="AG26" i="5"/>
  <c r="AO26" i="5"/>
  <c r="AW26" i="5"/>
  <c r="AG30" i="5"/>
  <c r="AO30" i="5"/>
  <c r="AW30" i="5"/>
  <c r="AG34" i="5"/>
  <c r="AO34" i="5"/>
  <c r="AW34" i="5"/>
  <c r="AG38" i="5"/>
  <c r="AO38" i="5"/>
  <c r="AW38" i="5"/>
  <c r="AG42" i="5"/>
  <c r="AO42" i="5"/>
  <c r="AW42" i="5"/>
  <c r="AG50" i="5"/>
  <c r="AO50" i="5"/>
  <c r="AW50" i="5"/>
  <c r="AF54" i="5"/>
  <c r="AQ54" i="5"/>
  <c r="BB54" i="5"/>
  <c r="AK54" i="5"/>
  <c r="AS54" i="5"/>
  <c r="BA54" i="5"/>
  <c r="AM58" i="5"/>
  <c r="AX58" i="5"/>
  <c r="AG58" i="5"/>
  <c r="AO58" i="5"/>
  <c r="AW58" i="5"/>
  <c r="AI62" i="5"/>
  <c r="AT62" i="5"/>
  <c r="BD62" i="5"/>
  <c r="AK62" i="5"/>
  <c r="AS62" i="5"/>
  <c r="BA62" i="5"/>
  <c r="AL70" i="5"/>
  <c r="AV70" i="5"/>
  <c r="AG70" i="5"/>
  <c r="AO70" i="5"/>
  <c r="AW70" i="5"/>
  <c r="AI78" i="5"/>
  <c r="AT78" i="5"/>
  <c r="BD78" i="5"/>
  <c r="AK78" i="5"/>
  <c r="AS78" i="5"/>
  <c r="BA78" i="5"/>
  <c r="AP82" i="5"/>
  <c r="AZ82" i="5"/>
  <c r="AK82" i="5"/>
  <c r="AS82" i="5"/>
  <c r="BA82" i="5"/>
  <c r="AM90" i="5"/>
  <c r="AX90" i="5"/>
  <c r="AG90" i="5"/>
  <c r="AO90" i="5"/>
  <c r="AW90" i="5"/>
  <c r="AJ98" i="5"/>
  <c r="AU98" i="5"/>
  <c r="AG98" i="5"/>
  <c r="AO98" i="5"/>
  <c r="AW98" i="5"/>
  <c r="AH41" i="5"/>
  <c r="AP41" i="5"/>
  <c r="AX41" i="5"/>
  <c r="AI65" i="5"/>
  <c r="AS65" i="5"/>
  <c r="BD65" i="5"/>
  <c r="AL65" i="5"/>
  <c r="AT65" i="5"/>
  <c r="BB65" i="5"/>
  <c r="AM77" i="5"/>
  <c r="AW77" i="5"/>
  <c r="AH77" i="5"/>
  <c r="AP77" i="5"/>
  <c r="AX77" i="5"/>
  <c r="AJ85" i="5"/>
  <c r="AU85" i="5"/>
  <c r="AH85" i="5"/>
  <c r="AP85" i="5"/>
  <c r="AX85" i="5"/>
  <c r="AG93" i="5"/>
  <c r="AR93" i="5"/>
  <c r="BC93" i="5"/>
  <c r="AL93" i="5"/>
  <c r="AT93" i="5"/>
  <c r="BB93" i="5"/>
  <c r="AI99" i="5"/>
  <c r="AM98" i="5"/>
  <c r="AW97" i="5"/>
  <c r="AJ97" i="5"/>
  <c r="AT96" i="5"/>
  <c r="AF96" i="5"/>
  <c r="AQ95" i="5"/>
  <c r="BB94" i="5"/>
  <c r="AM94" i="5"/>
  <c r="AQ93" i="5"/>
  <c r="BB92" i="5"/>
  <c r="AN92" i="5"/>
  <c r="AX91" i="5"/>
  <c r="AK91" i="5"/>
  <c r="AN90" i="5"/>
  <c r="AY89" i="5"/>
  <c r="AJ89" i="5"/>
  <c r="AV88" i="5"/>
  <c r="AG88" i="5"/>
  <c r="AK87" i="5"/>
  <c r="AU86" i="5"/>
  <c r="AH86" i="5"/>
  <c r="AK85" i="5"/>
  <c r="AV84" i="5"/>
  <c r="AG84" i="5"/>
  <c r="AS83" i="5"/>
  <c r="AV82" i="5"/>
  <c r="AH82" i="5"/>
  <c r="AR81" i="5"/>
  <c r="BD80" i="5"/>
  <c r="AO80" i="5"/>
  <c r="AS79" i="5"/>
  <c r="AV78" i="5"/>
  <c r="AH78" i="5"/>
  <c r="AK77" i="5"/>
  <c r="AW76" i="5"/>
  <c r="AH76" i="5"/>
  <c r="AS75" i="5"/>
  <c r="BD74" i="5"/>
  <c r="AP74" i="5"/>
  <c r="AZ73" i="5"/>
  <c r="AM73" i="5"/>
  <c r="AW72" i="5"/>
  <c r="AH72" i="5"/>
  <c r="AT71" i="5"/>
  <c r="AX70" i="5"/>
  <c r="AI70" i="5"/>
  <c r="AS69" i="5"/>
  <c r="AF69" i="5"/>
  <c r="AP68" i="5"/>
  <c r="AT67" i="5"/>
  <c r="BD66" i="5"/>
  <c r="AQ66" i="5"/>
  <c r="AU65" i="5"/>
  <c r="AF65" i="5"/>
  <c r="AP64" i="5"/>
  <c r="BB63" i="5"/>
  <c r="AM63" i="5"/>
  <c r="AQ62" i="5"/>
  <c r="BA61" i="5"/>
  <c r="AN61" i="5"/>
  <c r="AX60" i="5"/>
  <c r="AJ60" i="5"/>
  <c r="AM59" i="5"/>
  <c r="AQ58" i="5"/>
  <c r="BC57" i="5"/>
  <c r="AN57" i="5"/>
  <c r="AX56" i="5"/>
  <c r="AU55" i="5"/>
  <c r="AG55" i="5"/>
  <c r="AR52" i="5"/>
  <c r="BT88" i="5"/>
  <c r="AT88" i="5"/>
  <c r="AQ90" i="5"/>
  <c r="BC89" i="5"/>
  <c r="AN89" i="5"/>
  <c r="AY82" i="5"/>
  <c r="AL82" i="5"/>
  <c r="AV81" i="5"/>
  <c r="AG81" i="5"/>
  <c r="AT74" i="5"/>
  <c r="BD73" i="5"/>
  <c r="AO73" i="5"/>
  <c r="BB66" i="5"/>
  <c r="AM66" i="5"/>
  <c r="AW65" i="5"/>
  <c r="AJ65" i="5"/>
  <c r="AU58" i="5"/>
  <c r="AF58" i="5"/>
  <c r="AR57" i="5"/>
  <c r="AY53" i="5"/>
  <c r="BB50" i="5"/>
  <c r="AQ50" i="5"/>
  <c r="AF50" i="5"/>
  <c r="AU49" i="5"/>
  <c r="AJ49" i="5"/>
  <c r="AU46" i="5"/>
  <c r="AJ46" i="5"/>
  <c r="AY45" i="5"/>
  <c r="AN45" i="5"/>
  <c r="AX38" i="5"/>
  <c r="AM38" i="5"/>
  <c r="BA37" i="5"/>
  <c r="AQ37" i="5"/>
  <c r="AF37" i="5"/>
  <c r="AV34" i="5"/>
  <c r="AL34" i="5"/>
  <c r="AZ33" i="5"/>
  <c r="AO33" i="5"/>
  <c r="AZ30" i="5"/>
  <c r="AP30" i="5"/>
  <c r="BD29" i="5"/>
  <c r="AS29" i="5"/>
  <c r="AI29" i="5"/>
  <c r="AY26" i="5"/>
  <c r="AN26" i="5"/>
  <c r="BC25" i="5"/>
  <c r="AR25" i="5"/>
  <c r="AG25" i="5"/>
  <c r="AX22" i="5"/>
  <c r="AP22" i="5"/>
  <c r="AH22" i="5"/>
  <c r="AY21" i="5"/>
  <c r="AQ21" i="5"/>
  <c r="AI21" i="5"/>
  <c r="AX18" i="5"/>
  <c r="AP18" i="5"/>
  <c r="AH18" i="5"/>
  <c r="AY17" i="5"/>
  <c r="AQ17" i="5"/>
  <c r="AI17" i="5"/>
  <c r="AH10" i="5"/>
  <c r="AY77" i="5"/>
  <c r="AJ77" i="5"/>
  <c r="AR69" i="5"/>
  <c r="BA49" i="5"/>
  <c r="AQ49" i="5"/>
  <c r="AF49" i="5"/>
  <c r="AU45" i="5"/>
  <c r="AJ45" i="5"/>
  <c r="AY41" i="5"/>
  <c r="AN41" i="5"/>
  <c r="BC37" i="5"/>
  <c r="AR37" i="5"/>
  <c r="AG37" i="5"/>
  <c r="AV33" i="5"/>
  <c r="AK33" i="5"/>
  <c r="BD21" i="5"/>
  <c r="AV21" i="5"/>
  <c r="AN21" i="5"/>
  <c r="AF21" i="5"/>
  <c r="AZ17" i="5"/>
  <c r="AR17" i="5"/>
  <c r="AJ17" i="5"/>
  <c r="BD13" i="5"/>
  <c r="AV13" i="5"/>
  <c r="AN13" i="5"/>
  <c r="AF13" i="5"/>
  <c r="AI24" i="5"/>
  <c r="AQ24" i="5"/>
  <c r="AY24" i="5"/>
  <c r="AI28" i="5"/>
  <c r="AQ28" i="5"/>
  <c r="AY28" i="5"/>
  <c r="AI32" i="5"/>
  <c r="AQ32" i="5"/>
  <c r="AY32" i="5"/>
  <c r="AI36" i="5"/>
  <c r="AQ36" i="5"/>
  <c r="AY36" i="5"/>
  <c r="AI40" i="5"/>
  <c r="AQ40" i="5"/>
  <c r="AY40" i="5"/>
  <c r="AI44" i="5"/>
  <c r="AQ44" i="5"/>
  <c r="AY44" i="5"/>
  <c r="AI48" i="5"/>
  <c r="AQ48" i="5"/>
  <c r="AY48" i="5"/>
  <c r="AH52" i="5"/>
  <c r="AS52" i="5"/>
  <c r="BD52" i="5"/>
  <c r="AM52" i="5"/>
  <c r="AU52" i="5"/>
  <c r="BC52" i="5"/>
  <c r="AO56" i="5"/>
  <c r="AZ56" i="5"/>
  <c r="AM56" i="5"/>
  <c r="AU56" i="5"/>
  <c r="BC56" i="5"/>
  <c r="AK60" i="5"/>
  <c r="AV60" i="5"/>
  <c r="AI60" i="5"/>
  <c r="AQ60" i="5"/>
  <c r="AY60" i="5"/>
  <c r="AG64" i="5"/>
  <c r="AR64" i="5"/>
  <c r="BB64" i="5"/>
  <c r="AM64" i="5"/>
  <c r="AU64" i="5"/>
  <c r="BC64" i="5"/>
  <c r="AN68" i="5"/>
  <c r="AX68" i="5"/>
  <c r="AI68" i="5"/>
  <c r="AQ68" i="5"/>
  <c r="AY68" i="5"/>
  <c r="AJ72" i="5"/>
  <c r="AT72" i="5"/>
  <c r="AI72" i="5"/>
  <c r="AQ72" i="5"/>
  <c r="AY72" i="5"/>
  <c r="AF76" i="5"/>
  <c r="AP76" i="5"/>
  <c r="BA76" i="5"/>
  <c r="AM76" i="5"/>
  <c r="AU76" i="5"/>
  <c r="BC76" i="5"/>
  <c r="AL80" i="5"/>
  <c r="AW80" i="5"/>
  <c r="AI80" i="5"/>
  <c r="AQ80" i="5"/>
  <c r="AY80" i="5"/>
  <c r="AH84" i="5"/>
  <c r="AS84" i="5"/>
  <c r="BD84" i="5"/>
  <c r="BU84" i="5"/>
  <c r="AU84" i="5"/>
  <c r="BJ88" i="5"/>
  <c r="AJ88" i="5"/>
  <c r="BL31" i="5"/>
  <c r="AL31" i="5"/>
  <c r="DE13" i="5"/>
  <c r="DE57" i="5"/>
  <c r="DE34" i="5"/>
  <c r="DE70" i="5"/>
  <c r="DE86" i="5"/>
  <c r="DE41" i="5"/>
  <c r="DE93" i="5"/>
  <c r="DE65" i="5"/>
  <c r="AX98" i="5"/>
  <c r="AI98" i="5"/>
  <c r="AU97" i="5"/>
  <c r="AF97" i="5"/>
  <c r="AQ94" i="5"/>
  <c r="BA93" i="5"/>
  <c r="AN93" i="5"/>
  <c r="AY86" i="5"/>
  <c r="AJ86" i="5"/>
  <c r="AV85" i="5"/>
  <c r="AG85" i="5"/>
  <c r="AR78" i="5"/>
  <c r="BD77" i="5"/>
  <c r="AO77" i="5"/>
  <c r="AZ70" i="5"/>
  <c r="AM70" i="5"/>
  <c r="AW69" i="5"/>
  <c r="AI69" i="5"/>
  <c r="AU62" i="5"/>
  <c r="AF62" i="5"/>
  <c r="AQ61" i="5"/>
  <c r="BC54" i="5"/>
  <c r="AN54" i="5"/>
  <c r="AR53" i="5"/>
  <c r="BD42" i="5"/>
  <c r="AT42" i="5"/>
  <c r="AI42" i="5"/>
  <c r="AW41" i="5"/>
  <c r="AM41" i="5"/>
  <c r="BB14" i="5"/>
  <c r="AT14" i="5"/>
  <c r="AL14" i="5"/>
  <c r="BC13" i="5"/>
  <c r="AU13" i="5"/>
  <c r="AM13" i="5"/>
  <c r="AV97" i="5"/>
  <c r="AG97" i="5"/>
  <c r="AV93" i="5"/>
  <c r="AI93" i="5"/>
  <c r="AW89" i="5"/>
  <c r="AI89" i="5"/>
  <c r="AW85" i="5"/>
  <c r="AW81" i="5"/>
  <c r="AJ81" i="5"/>
  <c r="AR73" i="5"/>
  <c r="AZ65" i="5"/>
  <c r="AK65" i="5"/>
  <c r="AS61" i="5"/>
  <c r="AZ57" i="5"/>
  <c r="AM57" i="5"/>
  <c r="AS53" i="5"/>
  <c r="AF53" i="5"/>
  <c r="AU29" i="5"/>
  <c r="AJ29" i="5"/>
  <c r="AY25" i="5"/>
  <c r="AN25" i="5"/>
  <c r="AF27" i="5"/>
  <c r="AN27" i="5"/>
  <c r="AV27" i="5"/>
  <c r="BD27" i="5"/>
  <c r="AJ43" i="5"/>
  <c r="AR43" i="5"/>
  <c r="AZ43" i="5"/>
  <c r="AF51" i="5"/>
  <c r="AN51" i="5"/>
  <c r="AW51" i="5"/>
  <c r="AV51" i="5"/>
  <c r="BD51" i="5"/>
  <c r="AO59" i="5"/>
  <c r="AY59" i="5"/>
  <c r="AJ59" i="5"/>
  <c r="AR59" i="5"/>
  <c r="AZ59" i="5"/>
  <c r="AG67" i="5"/>
  <c r="AQ67" i="5"/>
  <c r="BB67" i="5"/>
  <c r="AJ67" i="5"/>
  <c r="AR67" i="5"/>
  <c r="AZ67" i="5"/>
  <c r="AK79" i="5"/>
  <c r="AU79" i="5"/>
  <c r="AF79" i="5"/>
  <c r="AN79" i="5"/>
  <c r="AV79" i="5"/>
  <c r="BD79" i="5"/>
  <c r="AM87" i="5"/>
  <c r="AX87" i="5"/>
  <c r="AF87" i="5"/>
  <c r="AN87" i="5"/>
  <c r="AV87" i="5"/>
  <c r="BD87" i="5"/>
  <c r="AL99" i="5"/>
  <c r="AW99" i="5"/>
  <c r="AF99" i="5"/>
  <c r="AN99" i="5"/>
  <c r="AV99" i="5"/>
  <c r="BD99" i="5"/>
  <c r="AK26" i="5"/>
  <c r="AS26" i="5"/>
  <c r="BA26" i="5"/>
  <c r="AK30" i="5"/>
  <c r="AS30" i="5"/>
  <c r="BA30" i="5"/>
  <c r="AK34" i="5"/>
  <c r="AS34" i="5"/>
  <c r="BA34" i="5"/>
  <c r="AK38" i="5"/>
  <c r="AS38" i="5"/>
  <c r="BA38" i="5"/>
  <c r="AK42" i="5"/>
  <c r="AS42" i="5"/>
  <c r="BA42" i="5"/>
  <c r="AK50" i="5"/>
  <c r="AS50" i="5"/>
  <c r="BA50" i="5"/>
  <c r="AL54" i="5"/>
  <c r="AV54" i="5"/>
  <c r="AG54" i="5"/>
  <c r="AO54" i="5"/>
  <c r="AW54" i="5"/>
  <c r="AH58" i="5"/>
  <c r="AR58" i="5"/>
  <c r="BC58" i="5"/>
  <c r="AK58" i="5"/>
  <c r="AS58" i="5"/>
  <c r="BA58" i="5"/>
  <c r="AN62" i="5"/>
  <c r="AY62" i="5"/>
  <c r="AG62" i="5"/>
  <c r="AO62" i="5"/>
  <c r="AW62" i="5"/>
  <c r="AF70" i="5"/>
  <c r="AQ70" i="5"/>
  <c r="BB70" i="5"/>
  <c r="AK70" i="5"/>
  <c r="AS70" i="5"/>
  <c r="BA70" i="5"/>
  <c r="AN78" i="5"/>
  <c r="AY78" i="5"/>
  <c r="AG78" i="5"/>
  <c r="AO78" i="5"/>
  <c r="AW78" i="5"/>
  <c r="AJ82" i="5"/>
  <c r="AU82" i="5"/>
  <c r="AG82" i="5"/>
  <c r="AO82" i="5"/>
  <c r="AW82" i="5"/>
  <c r="AH90" i="5"/>
  <c r="AR90" i="5"/>
  <c r="BC90" i="5"/>
  <c r="AK90" i="5"/>
  <c r="AS90" i="5"/>
  <c r="BA90" i="5"/>
  <c r="AP98" i="5"/>
  <c r="AZ98" i="5"/>
  <c r="AK98" i="5"/>
  <c r="AS98" i="5"/>
  <c r="BA98" i="5"/>
  <c r="AL41" i="5"/>
  <c r="AT41" i="5"/>
  <c r="BB41" i="5"/>
  <c r="AN65" i="5"/>
  <c r="AY65" i="5"/>
  <c r="AH65" i="5"/>
  <c r="AP65" i="5"/>
  <c r="AX65" i="5"/>
  <c r="AG77" i="5"/>
  <c r="AR77" i="5"/>
  <c r="BC77" i="5"/>
  <c r="AL77" i="5"/>
  <c r="AT77" i="5"/>
  <c r="BB77" i="5"/>
  <c r="AO85" i="5"/>
  <c r="AZ85" i="5"/>
  <c r="AL85" i="5"/>
  <c r="AT85" i="5"/>
  <c r="BB85" i="5"/>
  <c r="AM93" i="5"/>
  <c r="AW93" i="5"/>
  <c r="AH93" i="5"/>
  <c r="AP93" i="5"/>
  <c r="AX93" i="5"/>
  <c r="AP99" i="5"/>
  <c r="AT98" i="5"/>
  <c r="AF98" i="5"/>
  <c r="AQ97" i="5"/>
  <c r="BA96" i="5"/>
  <c r="AN96" i="5"/>
  <c r="AX95" i="5"/>
  <c r="AI95" i="5"/>
  <c r="AU94" i="5"/>
  <c r="AF94" i="5"/>
  <c r="AJ93" i="5"/>
  <c r="AT92" i="5"/>
  <c r="AG92" i="5"/>
  <c r="AQ91" i="5"/>
  <c r="AU90" i="5"/>
  <c r="AF90" i="5"/>
  <c r="AR89" i="5"/>
  <c r="BB88" i="5"/>
  <c r="AN88" i="5"/>
  <c r="AQ87" i="5"/>
  <c r="BC86" i="5"/>
  <c r="AN86" i="5"/>
  <c r="AR85" i="5"/>
  <c r="BB84" i="5"/>
  <c r="AO84" i="5"/>
  <c r="AY83" i="5"/>
  <c r="AK83" i="5"/>
  <c r="AN82" i="5"/>
  <c r="AZ81" i="5"/>
  <c r="AK81" i="5"/>
  <c r="AV80" i="5"/>
  <c r="AH80" i="5"/>
  <c r="AL79" i="5"/>
  <c r="AP78" i="5"/>
  <c r="AS77" i="5"/>
  <c r="BD76" i="5"/>
  <c r="AO76" i="5"/>
  <c r="BA75" i="5"/>
  <c r="AL75" i="5"/>
  <c r="AV74" i="5"/>
  <c r="AI74" i="5"/>
  <c r="AS73" i="5"/>
  <c r="BD72" i="5"/>
  <c r="AP72" i="5"/>
  <c r="BA71" i="5"/>
  <c r="AL71" i="5"/>
  <c r="AP70" i="5"/>
  <c r="BA69" i="5"/>
  <c r="AM69" i="5"/>
  <c r="AW68" i="5"/>
  <c r="AJ68" i="5"/>
  <c r="AM67" i="5"/>
  <c r="AX66" i="5"/>
  <c r="AI66" i="5"/>
  <c r="AM65" i="5"/>
  <c r="AX64" i="5"/>
  <c r="AJ64" i="5"/>
  <c r="AT63" i="5"/>
  <c r="AG63" i="5"/>
  <c r="AJ62" i="5"/>
  <c r="AU61" i="5"/>
  <c r="AF61" i="5"/>
  <c r="AR60" i="5"/>
  <c r="AU59" i="5"/>
  <c r="AG59" i="5"/>
  <c r="AG57" i="5"/>
  <c r="BB55" i="5"/>
  <c r="AZ52" i="5"/>
  <c r="BY84" i="5"/>
  <c r="AY84" i="5"/>
  <c r="AI88" i="5"/>
  <c r="AQ88" i="5"/>
  <c r="AY88" i="5"/>
  <c r="AF92" i="5"/>
  <c r="AP92" i="5"/>
  <c r="BA92" i="5"/>
  <c r="AM92" i="5"/>
  <c r="AU92" i="5"/>
  <c r="BC92" i="5"/>
  <c r="AL96" i="5"/>
  <c r="AW96" i="5"/>
  <c r="AI96" i="5"/>
  <c r="AQ96" i="5"/>
  <c r="AY96" i="5"/>
  <c r="AF31" i="5"/>
  <c r="AN31" i="5"/>
  <c r="AV31" i="5"/>
  <c r="BD31" i="5"/>
  <c r="AJ35" i="5"/>
  <c r="AR35" i="5"/>
  <c r="AZ35" i="5"/>
  <c r="AF39" i="5"/>
  <c r="AN39" i="5"/>
  <c r="AV39" i="5"/>
  <c r="BD39" i="5"/>
  <c r="AJ47" i="5"/>
  <c r="AR47" i="5"/>
  <c r="AZ47" i="5"/>
  <c r="AH55" i="5"/>
  <c r="AS55" i="5"/>
  <c r="BC55" i="5"/>
  <c r="AJ55" i="5"/>
  <c r="AR55" i="5"/>
  <c r="AZ55" i="5"/>
  <c r="AK63" i="5"/>
  <c r="AU63" i="5"/>
  <c r="AF63" i="5"/>
  <c r="AN63" i="5"/>
  <c r="AV63" i="5"/>
  <c r="BD63" i="5"/>
  <c r="AM71" i="5"/>
  <c r="AX71" i="5"/>
  <c r="AF71" i="5"/>
  <c r="AN71" i="5"/>
  <c r="AV71" i="5"/>
  <c r="BD71" i="5"/>
  <c r="AO75" i="5"/>
  <c r="AY75" i="5"/>
  <c r="AJ75" i="5"/>
  <c r="AR75" i="5"/>
  <c r="AZ75" i="5"/>
  <c r="AG83" i="5"/>
  <c r="AQ83" i="5"/>
  <c r="BB83" i="5"/>
  <c r="AJ83" i="5"/>
  <c r="AR83" i="5"/>
  <c r="AZ83" i="5"/>
  <c r="AI91" i="5"/>
  <c r="AT91" i="5"/>
  <c r="AF91" i="5"/>
  <c r="AN91" i="5"/>
  <c r="AV91" i="5"/>
  <c r="BD91" i="5"/>
  <c r="AP95" i="5"/>
  <c r="BA95" i="5"/>
  <c r="AJ95" i="5"/>
  <c r="AR95" i="5"/>
  <c r="AZ95" i="5"/>
  <c r="AG46" i="5"/>
  <c r="AO46" i="5"/>
  <c r="AW46" i="5"/>
  <c r="AJ66" i="5"/>
  <c r="AU66" i="5"/>
  <c r="AG66" i="5"/>
  <c r="AO66" i="5"/>
  <c r="AW66" i="5"/>
  <c r="AH74" i="5"/>
  <c r="AR74" i="5"/>
  <c r="BC74" i="5"/>
  <c r="AK74" i="5"/>
  <c r="AS74" i="5"/>
  <c r="AL86" i="5"/>
  <c r="AV86" i="5"/>
  <c r="AG86" i="5"/>
  <c r="AO86" i="5"/>
  <c r="AW86" i="5"/>
  <c r="AI94" i="5"/>
  <c r="AT94" i="5"/>
  <c r="BD94" i="5"/>
  <c r="AK94" i="5"/>
  <c r="AS94" i="5"/>
  <c r="BA94" i="5"/>
  <c r="AL25" i="5"/>
  <c r="AT25" i="5"/>
  <c r="BB25" i="5"/>
  <c r="AL29" i="5"/>
  <c r="AT29" i="5"/>
  <c r="BB29" i="5"/>
  <c r="AL33" i="5"/>
  <c r="AT33" i="5"/>
  <c r="BB33" i="5"/>
  <c r="AL37" i="5"/>
  <c r="AT37" i="5"/>
  <c r="BB37" i="5"/>
  <c r="AL45" i="5"/>
  <c r="AT45" i="5"/>
  <c r="BB45" i="5"/>
  <c r="AL49" i="5"/>
  <c r="AT49" i="5"/>
  <c r="BB49" i="5"/>
  <c r="AO53" i="5"/>
  <c r="AZ53" i="5"/>
  <c r="AL53" i="5"/>
  <c r="AT53" i="5"/>
  <c r="BB53" i="5"/>
  <c r="AK57" i="5"/>
  <c r="AV57" i="5"/>
  <c r="AG61" i="5"/>
  <c r="AS12" i="5"/>
  <c r="AJ12" i="5"/>
  <c r="AZ12" i="5"/>
  <c r="AF16" i="5"/>
  <c r="AV16" i="5"/>
  <c r="AK16" i="5"/>
  <c r="BA40" i="5"/>
  <c r="AJ48" i="5"/>
  <c r="AH48" i="5"/>
  <c r="DE8" i="5"/>
  <c r="AH75" i="5"/>
  <c r="AM50" i="5"/>
  <c r="BB43" i="5"/>
  <c r="AM35" i="5"/>
  <c r="AY14" i="5"/>
  <c r="BA14" i="5"/>
  <c r="AI18" i="5"/>
  <c r="BC22" i="5"/>
  <c r="AU26" i="5"/>
  <c r="AQ30" i="5"/>
  <c r="AR34" i="5"/>
  <c r="AP42" i="5"/>
  <c r="AL46" i="5"/>
  <c r="BD58" i="5"/>
  <c r="AV62" i="5"/>
  <c r="BC66" i="5"/>
  <c r="AU70" i="5"/>
  <c r="AM78" i="5"/>
  <c r="BC78" i="5"/>
  <c r="AF82" i="5"/>
  <c r="AN72" i="5"/>
  <c r="AF84" i="5"/>
  <c r="BA68" i="5"/>
  <c r="AV56" i="5"/>
  <c r="AG43" i="5"/>
  <c r="AO32" i="5"/>
  <c r="BA24" i="5"/>
  <c r="AM18" i="5"/>
  <c r="AP11" i="5"/>
  <c r="AS31" i="5"/>
  <c r="AT51" i="5"/>
  <c r="BY54" i="5"/>
  <c r="AY54" i="5"/>
  <c r="AW16" i="5"/>
  <c r="BW16" i="5"/>
  <c r="AH28" i="5"/>
  <c r="C10" i="204"/>
  <c r="AL11" i="5"/>
  <c r="BB11" i="5"/>
  <c r="AS11" i="5"/>
  <c r="BD11" i="5"/>
  <c r="AO15" i="5"/>
  <c r="AL15" i="5"/>
  <c r="BB15" i="5"/>
  <c r="AH19" i="5"/>
  <c r="AX19" i="5"/>
  <c r="AO19" i="5"/>
  <c r="BD19" i="5"/>
  <c r="AS23" i="5"/>
  <c r="AX31" i="5"/>
  <c r="AS35" i="5"/>
  <c r="AO35" i="5"/>
  <c r="AI39" i="5"/>
  <c r="AL43" i="5"/>
  <c r="AU43" i="5"/>
  <c r="BQ75" i="5"/>
  <c r="AQ75" i="5"/>
  <c r="BZ92" i="5"/>
  <c r="AZ92" i="5"/>
  <c r="AL90" i="5"/>
  <c r="BS72" i="5"/>
  <c r="AS72" i="5"/>
  <c r="BX48" i="5"/>
  <c r="AX48" i="5"/>
  <c r="CR44" i="5"/>
  <c r="CX44" i="5"/>
  <c r="BL40" i="5"/>
  <c r="AL40" i="5"/>
  <c r="AJ20" i="5"/>
  <c r="BJ20" i="5"/>
  <c r="BO12" i="5"/>
  <c r="AO12" i="5"/>
  <c r="E19" i="204"/>
  <c r="B24" i="204" s="1"/>
  <c r="AW74" i="5"/>
  <c r="BT35" i="5"/>
  <c r="AT35" i="5"/>
  <c r="BH95" i="5"/>
  <c r="CB17" i="5"/>
  <c r="BB17" i="5"/>
  <c r="AT11" i="5"/>
  <c r="AK11" i="5"/>
  <c r="BA11" i="5"/>
  <c r="AG15" i="5"/>
  <c r="AW15" i="5"/>
  <c r="AT15" i="5"/>
  <c r="BD15" i="5"/>
  <c r="AP19" i="5"/>
  <c r="AG19" i="5"/>
  <c r="AW19" i="5"/>
  <c r="AK23" i="5"/>
  <c r="BA23" i="5"/>
  <c r="AP23" i="5"/>
  <c r="BD23" i="5"/>
  <c r="AQ27" i="5"/>
  <c r="AP27" i="5"/>
  <c r="BC27" i="5"/>
  <c r="AY35" i="5"/>
  <c r="AU39" i="5"/>
  <c r="BA43" i="5"/>
  <c r="AW43" i="5"/>
  <c r="BC91" i="5"/>
  <c r="BC99" i="5"/>
  <c r="BA99" i="5"/>
  <c r="AZ90" i="5"/>
  <c r="AZ94" i="5"/>
  <c r="AR98" i="5"/>
  <c r="BB98" i="5"/>
  <c r="AR92" i="5"/>
  <c r="AZ84" i="5"/>
  <c r="AF64" i="5"/>
  <c r="AW52" i="5"/>
  <c r="AJ36" i="5"/>
  <c r="AL24" i="5"/>
  <c r="AF12" i="5"/>
  <c r="AH11" i="5"/>
  <c r="BA55" i="5"/>
  <c r="BB87" i="5"/>
  <c r="AS47" i="5"/>
  <c r="AI14" i="5"/>
  <c r="AO16" i="5"/>
  <c r="AW24" i="5"/>
  <c r="AZ32" i="5"/>
  <c r="AK40" i="5"/>
  <c r="AN48" i="5"/>
  <c r="AP56" i="5"/>
  <c r="BD64" i="5"/>
  <c r="AG76" i="5"/>
  <c r="AT84" i="5"/>
  <c r="BB21" i="5"/>
  <c r="AY85" i="5"/>
  <c r="AI79" i="5"/>
  <c r="AY38" i="5"/>
  <c r="AQ22" i="5"/>
  <c r="AF74" i="5"/>
  <c r="AL19" i="5"/>
  <c r="BL27" i="5"/>
  <c r="AL27" i="5"/>
  <c r="BX67" i="5"/>
  <c r="AX67" i="5"/>
  <c r="BB13" i="5"/>
  <c r="AX96" i="5"/>
  <c r="BN80" i="5"/>
  <c r="AN80" i="5"/>
  <c r="BO64" i="5"/>
  <c r="AO64" i="5"/>
  <c r="BJ42" i="5"/>
  <c r="BU27" i="5"/>
  <c r="AU27" i="5"/>
  <c r="BF24" i="5"/>
  <c r="AF24" i="5"/>
  <c r="BG16" i="5"/>
  <c r="AG16" i="5"/>
  <c r="CV37" i="208"/>
  <c r="CU36" i="208"/>
  <c r="CK17" i="208"/>
  <c r="CE12" i="208"/>
  <c r="CS14" i="208"/>
  <c r="CH47" i="208"/>
  <c r="F47" i="208"/>
  <c r="CR17" i="208"/>
  <c r="CZ39" i="208"/>
  <c r="CP5" i="208"/>
  <c r="CD47" i="208"/>
  <c r="CY17" i="208"/>
  <c r="BA84" i="144"/>
  <c r="BA85" i="144"/>
  <c r="BA87" i="144"/>
  <c r="BA89" i="144"/>
  <c r="CY39" i="208"/>
  <c r="CP28" i="208"/>
  <c r="CL37" i="208"/>
  <c r="CS30" i="208"/>
  <c r="CI38" i="208"/>
  <c r="CZ9" i="208"/>
  <c r="CG15" i="208"/>
  <c r="CQ22" i="208"/>
  <c r="CP39" i="208"/>
  <c r="CW28" i="208"/>
  <c r="CR31" i="208"/>
  <c r="DA52" i="208"/>
  <c r="CI21" i="208"/>
  <c r="CX24" i="208"/>
  <c r="CR48" i="208"/>
  <c r="CP9" i="208"/>
  <c r="CF12" i="208"/>
  <c r="CK10" i="208"/>
  <c r="CQ21" i="208"/>
  <c r="CG25" i="208"/>
  <c r="CE48" i="208"/>
  <c r="CV7" i="208"/>
  <c r="CL16" i="208"/>
  <c r="CT29" i="208"/>
  <c r="CT38" i="208"/>
  <c r="DA14" i="208"/>
  <c r="CN18" i="208"/>
  <c r="CO36" i="208"/>
  <c r="M36" i="208"/>
  <c r="CW18" i="208"/>
  <c r="CV44" i="208"/>
  <c r="T44" i="208"/>
  <c r="BF6" i="5"/>
  <c r="CD39" i="208"/>
  <c r="B39" i="208"/>
  <c r="CO49" i="208"/>
  <c r="AD6" i="120"/>
  <c r="Z6" i="120" s="1"/>
  <c r="AD5" i="120"/>
  <c r="Z5" i="120" s="1"/>
  <c r="BA60" i="206"/>
  <c r="BA62" i="207"/>
  <c r="BA64" i="205"/>
  <c r="BA63" i="205"/>
  <c r="BA59" i="205"/>
  <c r="BA58" i="207"/>
  <c r="X13" i="115"/>
  <c r="X15" i="115"/>
  <c r="Y15" i="115"/>
  <c r="V13" i="115"/>
  <c r="Y13" i="115" s="1"/>
  <c r="AF13" i="115" s="1"/>
  <c r="X21" i="115"/>
  <c r="CE25" i="5"/>
  <c r="CE41" i="5"/>
  <c r="CE49" i="5"/>
  <c r="CE57" i="5"/>
  <c r="CE61" i="5"/>
  <c r="AD4" i="120"/>
  <c r="Z4" i="120" s="1"/>
  <c r="AR6" i="5"/>
  <c r="CE29" i="5"/>
  <c r="CE45" i="5"/>
  <c r="CE53" i="5"/>
  <c r="CE65" i="5"/>
  <c r="CE69" i="5"/>
  <c r="CE73" i="5"/>
  <c r="CE81" i="5"/>
  <c r="CE85" i="5"/>
  <c r="CE94" i="5"/>
  <c r="CE98" i="5"/>
  <c r="U9" i="115"/>
  <c r="W9" i="115" s="1"/>
  <c r="X9" i="115" s="1"/>
  <c r="H41" i="208"/>
  <c r="CJ41" i="208"/>
  <c r="J18" i="208"/>
  <c r="CL18" i="208"/>
  <c r="X41" i="208"/>
  <c r="CZ41" i="208"/>
  <c r="F50" i="208"/>
  <c r="CH50" i="208"/>
  <c r="P13" i="208"/>
  <c r="CR13" i="208"/>
  <c r="CT15" i="208"/>
  <c r="K17" i="208"/>
  <c r="CM17" i="208"/>
  <c r="CD24" i="208"/>
  <c r="B24" i="208"/>
  <c r="M37" i="208"/>
  <c r="CZ40" i="208"/>
  <c r="CQ33" i="208"/>
  <c r="CM11" i="208"/>
  <c r="B22" i="208"/>
  <c r="CD22" i="208"/>
  <c r="N8" i="208"/>
  <c r="P46" i="208"/>
  <c r="CR46" i="208"/>
  <c r="Q16" i="208"/>
  <c r="CS16" i="208"/>
  <c r="G15" i="208"/>
  <c r="CI15" i="208"/>
  <c r="P28" i="208"/>
  <c r="CR28" i="208"/>
  <c r="C20" i="208"/>
  <c r="L12" i="208"/>
  <c r="CN12" i="208"/>
  <c r="I27" i="208"/>
  <c r="CK27" i="208"/>
  <c r="D40" i="208"/>
  <c r="CF40" i="208"/>
  <c r="S8" i="208"/>
  <c r="CU8" i="208"/>
  <c r="K5" i="208"/>
  <c r="CM5" i="208"/>
  <c r="CE13" i="208"/>
  <c r="Y44" i="208"/>
  <c r="DA44" i="208"/>
  <c r="B30" i="208"/>
  <c r="CD30" i="208"/>
  <c r="F5" i="208"/>
  <c r="CH5" i="208"/>
  <c r="CY33" i="208"/>
  <c r="K40" i="208"/>
  <c r="CM40" i="208"/>
  <c r="J30" i="208"/>
  <c r="CL30" i="208"/>
  <c r="D24" i="208"/>
  <c r="CF24" i="208"/>
  <c r="N31" i="208"/>
  <c r="CP31" i="208"/>
  <c r="K9" i="208"/>
  <c r="V51" i="208"/>
  <c r="K21" i="208"/>
  <c r="CM21" i="208"/>
  <c r="P27" i="208"/>
  <c r="CR27" i="208"/>
  <c r="K8" i="208"/>
  <c r="CM8" i="208"/>
  <c r="R26" i="208"/>
  <c r="S32" i="208"/>
  <c r="CU32" i="208"/>
  <c r="Q40" i="208"/>
  <c r="CS40" i="208"/>
  <c r="R18" i="208"/>
  <c r="CT18" i="208"/>
  <c r="M40" i="208"/>
  <c r="CO40" i="208"/>
  <c r="C30" i="208"/>
  <c r="V37" i="208"/>
  <c r="CX37" i="208"/>
  <c r="CM25" i="208"/>
  <c r="Z51" i="208"/>
  <c r="DB51" i="208"/>
  <c r="I14" i="208"/>
  <c r="CK14" i="208"/>
  <c r="J35" i="208"/>
  <c r="DA37" i="208"/>
  <c r="Y37" i="208"/>
  <c r="K46" i="208"/>
  <c r="CM46" i="208"/>
  <c r="CS50" i="208"/>
  <c r="Q50" i="208"/>
  <c r="X13" i="208"/>
  <c r="CZ13" i="208"/>
  <c r="CL25" i="208"/>
  <c r="CH36" i="208"/>
  <c r="F36" i="208"/>
  <c r="CV52" i="208"/>
  <c r="Q49" i="208"/>
  <c r="CS49" i="208"/>
  <c r="CR52" i="208"/>
  <c r="CE31" i="208"/>
  <c r="DA32" i="208"/>
  <c r="CO31" i="208"/>
  <c r="CH12" i="208"/>
  <c r="CI40" i="208"/>
  <c r="G40" i="208"/>
  <c r="B35" i="208"/>
  <c r="R13" i="208"/>
  <c r="CT13" i="208"/>
  <c r="S30" i="208"/>
  <c r="CU30" i="208"/>
  <c r="E28" i="208"/>
  <c r="CG28" i="208"/>
  <c r="CY45" i="208"/>
  <c r="CP32" i="208"/>
  <c r="U24" i="208"/>
  <c r="CW24" i="208"/>
  <c r="I47" i="208"/>
  <c r="CK47" i="208"/>
  <c r="U20" i="208"/>
  <c r="CW20" i="208"/>
  <c r="H48" i="208"/>
  <c r="CJ48" i="208"/>
  <c r="I12" i="208"/>
  <c r="CK12" i="208"/>
  <c r="C5" i="208"/>
  <c r="CE5" i="208"/>
  <c r="M10" i="208"/>
  <c r="CO10" i="208"/>
  <c r="CG37" i="208"/>
  <c r="E37" i="208"/>
  <c r="S25" i="208"/>
  <c r="CU25" i="208"/>
  <c r="Y25" i="208"/>
  <c r="DA25" i="208"/>
  <c r="Y33" i="208"/>
  <c r="DA33" i="208"/>
  <c r="U13" i="208"/>
  <c r="CW13" i="208"/>
  <c r="K16" i="208"/>
  <c r="CM16" i="208"/>
  <c r="CD26" i="208"/>
  <c r="H30" i="208"/>
  <c r="CJ30" i="208"/>
  <c r="CF41" i="208"/>
  <c r="D51" i="208"/>
  <c r="F48" i="208"/>
  <c r="CH48" i="208"/>
  <c r="N52" i="208"/>
  <c r="CP52" i="208"/>
  <c r="CS35" i="208"/>
  <c r="W51" i="208"/>
  <c r="CY51" i="208"/>
  <c r="CR32" i="208"/>
  <c r="O52" i="208"/>
  <c r="CQ52" i="208"/>
  <c r="B45" i="208"/>
  <c r="CD45" i="208"/>
  <c r="R47" i="208"/>
  <c r="CT47" i="208"/>
  <c r="CU44" i="208"/>
  <c r="R9" i="208"/>
  <c r="CT9" i="208"/>
  <c r="X6" i="208"/>
  <c r="CZ6" i="208"/>
  <c r="C28" i="208"/>
  <c r="CE28" i="208"/>
  <c r="H37" i="208"/>
  <c r="CJ37" i="208"/>
  <c r="Z50" i="208"/>
  <c r="DB50" i="208"/>
  <c r="B8" i="208"/>
  <c r="CD8" i="208"/>
  <c r="T46" i="208"/>
  <c r="V6" i="208"/>
  <c r="DB19" i="208"/>
  <c r="CO27" i="208"/>
  <c r="CM39" i="208"/>
  <c r="X15" i="208"/>
  <c r="CM47" i="208"/>
  <c r="K47" i="208"/>
  <c r="X46" i="208"/>
  <c r="CZ46" i="208"/>
  <c r="I26" i="208"/>
  <c r="CK26" i="208"/>
  <c r="W18" i="208"/>
  <c r="CY18" i="208"/>
  <c r="F38" i="208"/>
  <c r="CH38" i="208"/>
  <c r="P10" i="208"/>
  <c r="CR10" i="208"/>
  <c r="L7" i="208"/>
  <c r="R11" i="208"/>
  <c r="CT11" i="208"/>
  <c r="F32" i="208"/>
  <c r="CH32" i="208"/>
  <c r="D9" i="208"/>
  <c r="CF9" i="208"/>
  <c r="Q52" i="208"/>
  <c r="CS52" i="208"/>
  <c r="CP30" i="208"/>
  <c r="X16" i="208"/>
  <c r="CZ16" i="208"/>
  <c r="DA22" i="208"/>
  <c r="I50" i="208"/>
  <c r="CK50" i="208"/>
  <c r="CF48" i="208"/>
  <c r="I24" i="208"/>
  <c r="CK24" i="208"/>
  <c r="K52" i="208"/>
  <c r="CM52" i="208"/>
  <c r="L19" i="208"/>
  <c r="CN19" i="208"/>
  <c r="CR26" i="208"/>
  <c r="B29" i="208"/>
  <c r="CD29" i="208"/>
  <c r="CD38" i="208"/>
  <c r="H49" i="208"/>
  <c r="CJ49" i="208"/>
  <c r="CM48" i="208"/>
  <c r="Y10" i="208"/>
  <c r="DA10" i="208"/>
  <c r="F8" i="208"/>
  <c r="CH8" i="208"/>
  <c r="CV21" i="208"/>
  <c r="CZ47" i="208"/>
  <c r="CY49" i="208"/>
  <c r="N10" i="208"/>
  <c r="CP10" i="208"/>
  <c r="F31" i="208"/>
  <c r="CH31" i="208"/>
  <c r="Y47" i="208"/>
  <c r="J15" i="208"/>
  <c r="N33" i="208"/>
  <c r="N11" i="208"/>
  <c r="CP11" i="208"/>
  <c r="CJ22" i="208"/>
  <c r="U5" i="208"/>
  <c r="CW5" i="208"/>
  <c r="V8" i="208"/>
  <c r="CX8" i="208"/>
  <c r="V16" i="208"/>
  <c r="CX16" i="208"/>
  <c r="X19" i="208"/>
  <c r="CZ19" i="208"/>
  <c r="C33" i="208"/>
  <c r="CE33" i="208"/>
  <c r="H26" i="208"/>
  <c r="CJ26" i="208"/>
  <c r="Q51" i="208"/>
  <c r="J38" i="208"/>
  <c r="CL38" i="208"/>
  <c r="H14" i="208"/>
  <c r="J47" i="208"/>
  <c r="CL47" i="208"/>
  <c r="F46" i="208"/>
  <c r="V14" i="208"/>
  <c r="U6" i="208"/>
  <c r="R20" i="208"/>
  <c r="C11" i="208"/>
  <c r="DB10" i="208"/>
  <c r="CH29" i="208"/>
  <c r="CQ50" i="208"/>
  <c r="CT49" i="208"/>
  <c r="CH6" i="208"/>
  <c r="CT31" i="208"/>
  <c r="DB27" i="208"/>
  <c r="CQ30" i="208"/>
  <c r="CG41" i="208"/>
  <c r="CD28" i="208"/>
  <c r="CS41" i="208"/>
  <c r="CI10" i="208"/>
  <c r="CV35" i="208"/>
  <c r="CN21" i="208"/>
  <c r="CN5" i="208"/>
  <c r="CE41" i="208"/>
  <c r="CE46" i="208"/>
  <c r="CM26" i="208"/>
  <c r="CX32" i="208"/>
  <c r="CK52" i="208"/>
  <c r="CJ45" i="208"/>
  <c r="CR30" i="208"/>
  <c r="CZ26" i="208"/>
  <c r="CS47" i="208"/>
  <c r="CY16" i="208"/>
  <c r="CN10" i="208"/>
  <c r="CW40" i="208"/>
  <c r="CU51" i="208"/>
  <c r="CW21" i="208"/>
  <c r="CY14" i="208"/>
  <c r="CU45" i="208"/>
  <c r="CM51" i="208"/>
  <c r="CQ14" i="208"/>
  <c r="CL9" i="208"/>
  <c r="CY48" i="208"/>
  <c r="CF44" i="208"/>
  <c r="CF52" i="208"/>
  <c r="CM7" i="208"/>
  <c r="CU11" i="208"/>
  <c r="CO13" i="208"/>
  <c r="CE16" i="208"/>
  <c r="CT39" i="208"/>
  <c r="CM41" i="208"/>
  <c r="CG45" i="208"/>
  <c r="CU47" i="208"/>
  <c r="DA12" i="208"/>
  <c r="CQ15" i="208"/>
  <c r="CM30" i="208"/>
  <c r="CR36" i="208"/>
  <c r="CK39" i="208"/>
  <c r="CH11" i="208"/>
  <c r="CU20" i="208"/>
  <c r="CN22" i="208"/>
  <c r="CO29" i="208"/>
  <c r="CE32" i="208"/>
  <c r="CT35" i="208"/>
  <c r="CU41" i="208"/>
  <c r="CO45" i="208"/>
  <c r="CN37" i="208"/>
  <c r="CN47" i="208"/>
  <c r="CL52" i="208"/>
  <c r="CV45" i="208"/>
  <c r="CN29" i="208"/>
  <c r="CW9" i="208"/>
  <c r="I19" i="208"/>
  <c r="CK19" i="208"/>
  <c r="CS24" i="208"/>
  <c r="BV29" i="208"/>
  <c r="CJ33" i="208"/>
  <c r="BX36" i="208"/>
  <c r="BG41" i="208"/>
  <c r="CS46" i="208"/>
  <c r="BE50" i="208"/>
  <c r="BT6" i="208"/>
  <c r="CO14" i="208"/>
  <c r="BD17" i="208"/>
  <c r="BS19" i="208"/>
  <c r="BF24" i="208"/>
  <c r="CH30" i="208"/>
  <c r="BV32" i="208"/>
  <c r="BL36" i="208"/>
  <c r="BW39" i="208"/>
  <c r="BM44" i="208"/>
  <c r="BX47" i="208"/>
  <c r="BH52" i="208"/>
  <c r="BS32" i="208"/>
  <c r="BD39" i="208"/>
  <c r="BV50" i="208"/>
  <c r="BR6" i="208"/>
  <c r="BH9" i="208"/>
  <c r="BT12" i="208"/>
  <c r="BF16" i="208"/>
  <c r="BU18" i="208"/>
  <c r="CI22" i="208"/>
  <c r="CW25" i="208"/>
  <c r="BX31" i="208"/>
  <c r="BN35" i="208"/>
  <c r="BY38" i="208"/>
  <c r="CI45" i="208"/>
  <c r="BT48" i="208"/>
  <c r="BF52" i="208"/>
  <c r="BQ7" i="208"/>
  <c r="CN9" i="208"/>
  <c r="BK14" i="208"/>
  <c r="BO20" i="208"/>
  <c r="BG25" i="208"/>
  <c r="BI28" i="208"/>
  <c r="BQ41" i="208"/>
  <c r="BU49" i="208"/>
  <c r="BW52" i="208"/>
  <c r="BY17" i="208"/>
  <c r="BH32" i="208"/>
  <c r="BV10" i="208"/>
  <c r="BF26" i="208"/>
  <c r="BQ14" i="208"/>
  <c r="BE19" i="208"/>
  <c r="BK13" i="208"/>
  <c r="BU14" i="208"/>
  <c r="BS16" i="208"/>
  <c r="BM6" i="208"/>
  <c r="BO37" i="208"/>
  <c r="BD15" i="208"/>
  <c r="BF48" i="208"/>
  <c r="CA29" i="208"/>
  <c r="BI20" i="208"/>
  <c r="BJ8" i="208"/>
  <c r="BJ21" i="208"/>
  <c r="BK28" i="208"/>
  <c r="BZ45" i="208"/>
  <c r="U19" i="208"/>
  <c r="CW19" i="208"/>
  <c r="F7" i="208"/>
  <c r="CH7" i="208"/>
  <c r="Y17" i="208"/>
  <c r="DA17" i="208"/>
  <c r="G37" i="208"/>
  <c r="CI37" i="208"/>
  <c r="Y39" i="208"/>
  <c r="DA39" i="208"/>
  <c r="CV39" i="208"/>
  <c r="T39" i="208"/>
  <c r="V44" i="208"/>
  <c r="CX44" i="208"/>
  <c r="M26" i="208"/>
  <c r="CO26" i="208"/>
  <c r="W52" i="208"/>
  <c r="CY52" i="208"/>
  <c r="O9" i="208"/>
  <c r="CQ9" i="208"/>
  <c r="CA48" i="208"/>
  <c r="BG14" i="208"/>
  <c r="BX9" i="208"/>
  <c r="CA15" i="208"/>
  <c r="BN16" i="208"/>
  <c r="BL22" i="208"/>
  <c r="BE36" i="208"/>
  <c r="BK20" i="208"/>
  <c r="BZ19" i="208"/>
  <c r="BN19" i="208"/>
  <c r="BT39" i="208"/>
  <c r="BP39" i="208"/>
  <c r="BC25" i="208"/>
  <c r="BW17" i="208"/>
  <c r="BF51" i="208"/>
  <c r="BV16" i="208"/>
  <c r="BI9" i="208"/>
  <c r="BE37" i="208"/>
  <c r="BN32" i="208"/>
  <c r="BL24" i="208"/>
  <c r="BU16" i="208"/>
  <c r="BW30" i="208"/>
  <c r="BR31" i="208"/>
  <c r="BQ5" i="208"/>
  <c r="BJ5" i="208"/>
  <c r="BR26" i="208"/>
  <c r="BH18" i="208"/>
  <c r="BD36" i="208"/>
  <c r="BR25" i="208"/>
  <c r="BL49" i="208"/>
  <c r="BR11" i="208"/>
  <c r="BH50" i="208"/>
  <c r="BQ39" i="208"/>
  <c r="BG52" i="208"/>
  <c r="BK50" i="208"/>
  <c r="BE49" i="208"/>
  <c r="BI47" i="208"/>
  <c r="CA40" i="208"/>
  <c r="BY37" i="208"/>
  <c r="BS36" i="208"/>
  <c r="BW33" i="208"/>
  <c r="CA31" i="208"/>
  <c r="BC27" i="208"/>
  <c r="BW25" i="208"/>
  <c r="CA22" i="208"/>
  <c r="BE21" i="208"/>
  <c r="BC18" i="208"/>
  <c r="BC44" i="208"/>
  <c r="BZ51" i="208"/>
  <c r="BL35" i="208"/>
  <c r="BR5" i="208"/>
  <c r="BD49" i="208"/>
  <c r="BC13" i="208"/>
  <c r="BH39" i="208"/>
  <c r="BL27" i="208"/>
  <c r="BF8" i="208"/>
  <c r="BN48" i="208"/>
  <c r="BR12" i="208"/>
  <c r="BJ31" i="208"/>
  <c r="BJ35" i="208"/>
  <c r="BY35" i="208"/>
  <c r="BS41" i="208"/>
  <c r="BS21" i="208"/>
  <c r="BD9" i="208"/>
  <c r="BY29" i="208"/>
  <c r="BM51" i="208"/>
  <c r="BE6" i="208"/>
  <c r="BV35" i="208"/>
  <c r="BP12" i="208"/>
  <c r="BI46" i="208"/>
  <c r="BU11" i="208"/>
  <c r="BM32" i="208"/>
  <c r="BM38" i="208"/>
  <c r="BZ40" i="208"/>
  <c r="BP32" i="208"/>
  <c r="BP18" i="208"/>
  <c r="BL33" i="208"/>
  <c r="CA12" i="208"/>
  <c r="BU28" i="208"/>
  <c r="BQ51" i="208"/>
  <c r="BO48" i="208"/>
  <c r="BS46" i="208"/>
  <c r="BM45" i="208"/>
  <c r="BG44" i="208"/>
  <c r="BK40" i="208"/>
  <c r="BE39" i="208"/>
  <c r="BC36" i="208"/>
  <c r="BG33" i="208"/>
  <c r="BK31" i="208"/>
  <c r="BE30" i="208"/>
  <c r="BY28" i="208"/>
  <c r="BK22" i="208"/>
  <c r="BI19" i="208"/>
  <c r="BM17" i="208"/>
  <c r="BG16" i="208"/>
  <c r="BU13" i="208"/>
  <c r="BY11" i="208"/>
  <c r="BC10" i="208"/>
  <c r="CA6" i="208"/>
  <c r="BE5" i="208"/>
  <c r="BM50" i="208"/>
  <c r="BZ46" i="208"/>
  <c r="BL44" i="208"/>
  <c r="BV39" i="208"/>
  <c r="BJ36" i="208"/>
  <c r="CA30" i="208"/>
  <c r="BL28" i="208"/>
  <c r="BD24" i="208"/>
  <c r="BK21" i="208"/>
  <c r="BR19" i="208"/>
  <c r="BC17" i="208"/>
  <c r="BJ15" i="208"/>
  <c r="BW11" i="208"/>
  <c r="BN46" i="208"/>
  <c r="BV22" i="208"/>
  <c r="BK51" i="208"/>
  <c r="BU48" i="208"/>
  <c r="BF46" i="208"/>
  <c r="BP41" i="208"/>
  <c r="BZ38" i="208"/>
  <c r="BR33" i="208"/>
  <c r="BJ29" i="208"/>
  <c r="BT26" i="208"/>
  <c r="CA24" i="208"/>
  <c r="BU12" i="208"/>
  <c r="BC11" i="208"/>
  <c r="BP7" i="208"/>
  <c r="BQ50" i="208"/>
  <c r="BZ16" i="208"/>
  <c r="BT52" i="208"/>
  <c r="BZ50" i="208"/>
  <c r="BO47" i="208"/>
  <c r="BY44" i="208"/>
  <c r="BJ40" i="208"/>
  <c r="BT37" i="208"/>
  <c r="BF35" i="208"/>
  <c r="BP31" i="208"/>
  <c r="BH27" i="208"/>
  <c r="BN25" i="208"/>
  <c r="BX21" i="208"/>
  <c r="BT16" i="208"/>
  <c r="BE14" i="208"/>
  <c r="BY8" i="208"/>
  <c r="BH51" i="208"/>
  <c r="BP47" i="208"/>
  <c r="BX41" i="208"/>
  <c r="BV37" i="208"/>
  <c r="BT27" i="208"/>
  <c r="BO21" i="208"/>
  <c r="BV14" i="208"/>
  <c r="BX12" i="208"/>
  <c r="BI10" i="208"/>
  <c r="BQ6" i="208"/>
  <c r="V22" i="208"/>
  <c r="G35" i="207"/>
  <c r="Z39" i="207"/>
  <c r="C51" i="207"/>
  <c r="CR47" i="207"/>
  <c r="CF45" i="207"/>
  <c r="CT40" i="207"/>
  <c r="CR11" i="207"/>
  <c r="CF9" i="207"/>
  <c r="CU36" i="207"/>
  <c r="CG32" i="207"/>
  <c r="CO28" i="207"/>
  <c r="CW24" i="207"/>
  <c r="CE20" i="207"/>
  <c r="CU16" i="207"/>
  <c r="CE14" i="207"/>
  <c r="CO9" i="207"/>
  <c r="CW5" i="207"/>
  <c r="CJ50" i="207"/>
  <c r="CH30" i="207"/>
  <c r="CF20" i="207"/>
  <c r="CZ16" i="207"/>
  <c r="CL13" i="207"/>
  <c r="CE51" i="207"/>
  <c r="CE47" i="207"/>
  <c r="CK45" i="207"/>
  <c r="CQ25" i="207"/>
  <c r="CS13" i="207"/>
  <c r="CZ52" i="207"/>
  <c r="CP24" i="207"/>
  <c r="CJ12" i="207"/>
  <c r="CN10" i="207"/>
  <c r="DB7" i="207"/>
  <c r="CO52" i="207"/>
  <c r="CO38" i="207"/>
  <c r="CI15" i="207"/>
  <c r="CO40" i="207"/>
  <c r="CE28" i="207"/>
  <c r="CI17" i="207"/>
  <c r="CU39" i="207"/>
  <c r="CY28" i="207"/>
  <c r="CM17" i="207"/>
  <c r="CO27" i="207"/>
  <c r="CA52" i="207"/>
  <c r="BK52" i="207"/>
  <c r="BU51" i="207"/>
  <c r="BE51" i="207"/>
  <c r="BO50" i="207"/>
  <c r="BY49" i="207"/>
  <c r="BI49" i="207"/>
  <c r="BS48" i="207"/>
  <c r="BC48" i="207"/>
  <c r="BM47" i="207"/>
  <c r="BW46" i="207"/>
  <c r="BG46" i="207"/>
  <c r="BQ45" i="207"/>
  <c r="CA44" i="207"/>
  <c r="BK44" i="207"/>
  <c r="BU41" i="207"/>
  <c r="BE41" i="207"/>
  <c r="BO40" i="207"/>
  <c r="BY39" i="207"/>
  <c r="BI39" i="207"/>
  <c r="BS38" i="207"/>
  <c r="BC38" i="207"/>
  <c r="BM37" i="207"/>
  <c r="BW36" i="207"/>
  <c r="BG36" i="207"/>
  <c r="BQ35" i="207"/>
  <c r="CA33" i="207"/>
  <c r="BK33" i="207"/>
  <c r="BU32" i="207"/>
  <c r="BE32" i="207"/>
  <c r="BO31" i="207"/>
  <c r="BY30" i="207"/>
  <c r="BI30" i="207"/>
  <c r="BS29" i="207"/>
  <c r="BC29" i="207"/>
  <c r="BM28" i="207"/>
  <c r="BW27" i="207"/>
  <c r="BG27" i="207"/>
  <c r="BQ26" i="207"/>
  <c r="CA25" i="207"/>
  <c r="BK25" i="207"/>
  <c r="BU24" i="207"/>
  <c r="BE24" i="207"/>
  <c r="BO22" i="207"/>
  <c r="BY21" i="207"/>
  <c r="BI21" i="207"/>
  <c r="BS20" i="207"/>
  <c r="BC20" i="207"/>
  <c r="BM19" i="207"/>
  <c r="BW18" i="207"/>
  <c r="BG18" i="207"/>
  <c r="BQ17" i="207"/>
  <c r="CA16" i="207"/>
  <c r="BK16" i="207"/>
  <c r="BU15" i="207"/>
  <c r="BE15" i="207"/>
  <c r="BO14" i="207"/>
  <c r="BY13" i="207"/>
  <c r="BI13" i="207"/>
  <c r="BS12" i="207"/>
  <c r="BC12" i="207"/>
  <c r="BM11" i="207"/>
  <c r="BW10" i="207"/>
  <c r="BG10" i="207"/>
  <c r="BQ9" i="207"/>
  <c r="CA8" i="207"/>
  <c r="BK8" i="207"/>
  <c r="BU7" i="207"/>
  <c r="BE7" i="207"/>
  <c r="BO6" i="207"/>
  <c r="BY5" i="207"/>
  <c r="BI5" i="207"/>
  <c r="BP52" i="207"/>
  <c r="BZ51" i="207"/>
  <c r="BJ51" i="207"/>
  <c r="BP50" i="207"/>
  <c r="BX48" i="207"/>
  <c r="BH48" i="207"/>
  <c r="BR47" i="207"/>
  <c r="BX46" i="207"/>
  <c r="BH46" i="207"/>
  <c r="BP44" i="207"/>
  <c r="BZ41" i="207"/>
  <c r="BJ41" i="207"/>
  <c r="BP40" i="207"/>
  <c r="BZ39" i="207"/>
  <c r="BJ39" i="207"/>
  <c r="BP38" i="207"/>
  <c r="BZ37" i="207"/>
  <c r="H36" i="207"/>
  <c r="W37" i="207"/>
  <c r="F38" i="207"/>
  <c r="CB9" i="207"/>
  <c r="CV35" i="207"/>
  <c r="CJ32" i="207"/>
  <c r="CE36" i="207"/>
  <c r="CU27" i="207"/>
  <c r="CO19" i="207"/>
  <c r="CE16" i="207"/>
  <c r="CM12" i="207"/>
  <c r="CH45" i="207"/>
  <c r="DB21" i="207"/>
  <c r="CJ16" i="207"/>
  <c r="CE49" i="207"/>
  <c r="CM45" i="207"/>
  <c r="CQ33" i="207"/>
  <c r="DA21" i="207"/>
  <c r="CY10" i="207"/>
  <c r="CJ52" i="207"/>
  <c r="CR40" i="207"/>
  <c r="CX28" i="207"/>
  <c r="CL26" i="207"/>
  <c r="CZ22" i="207"/>
  <c r="CP49" i="207"/>
  <c r="CV36" i="207"/>
  <c r="CF33" i="207"/>
  <c r="CF18" i="207"/>
  <c r="CT11" i="207"/>
  <c r="CI24" i="207"/>
  <c r="CE37" i="207"/>
  <c r="CI26" i="207"/>
  <c r="CO14" i="207"/>
  <c r="CU13" i="207"/>
  <c r="CO36" i="207"/>
  <c r="CE24" i="207"/>
  <c r="K35" i="207"/>
  <c r="C47" i="207"/>
  <c r="T5" i="207"/>
  <c r="CX29" i="207"/>
  <c r="CL27" i="207"/>
  <c r="CZ24" i="207"/>
  <c r="CO35" i="207"/>
  <c r="CW30" i="207"/>
  <c r="CM22" i="207"/>
  <c r="CE8" i="207"/>
  <c r="BV53" i="207"/>
  <c r="CW53" i="207" s="1"/>
  <c r="CP51" i="207"/>
  <c r="CN31" i="207"/>
  <c r="CL21" i="207"/>
  <c r="CD19" i="207"/>
  <c r="CR14" i="207"/>
  <c r="CH5" i="207"/>
  <c r="CO48" i="207"/>
  <c r="CS49" i="207"/>
  <c r="CY29" i="207"/>
  <c r="CK21" i="207"/>
  <c r="CI10" i="207"/>
  <c r="CR44" i="207"/>
  <c r="CH28" i="207"/>
  <c r="CV25" i="207"/>
  <c r="CJ22" i="207"/>
  <c r="CR48" i="207"/>
  <c r="DB35" i="207"/>
  <c r="CP32" i="207"/>
  <c r="CP15" i="207"/>
  <c r="CH9" i="207"/>
  <c r="CV6" i="207"/>
  <c r="CI45" i="207"/>
  <c r="CI32" i="207"/>
  <c r="CO20" i="207"/>
  <c r="CE9" i="207"/>
  <c r="CQ5" i="207"/>
  <c r="CO22" i="207"/>
  <c r="CE11" i="207"/>
  <c r="CY11" i="207"/>
  <c r="CU5" i="207"/>
  <c r="CE32" i="207"/>
  <c r="CI21" i="207"/>
  <c r="CS8" i="207"/>
  <c r="BO49" i="206"/>
  <c r="BW16" i="206"/>
  <c r="BV37" i="206"/>
  <c r="BI47" i="206"/>
  <c r="BG39" i="206"/>
  <c r="BN16" i="206"/>
  <c r="BA53" i="205"/>
  <c r="BA88" i="144"/>
  <c r="CZ5" i="5"/>
  <c r="AZ5" i="5" s="1"/>
  <c r="DA5" i="5"/>
  <c r="BA5" i="5" s="1"/>
  <c r="CS5" i="5"/>
  <c r="AS5" i="5" s="1"/>
  <c r="CJ5" i="5"/>
  <c r="BJ5" i="5" s="1"/>
  <c r="CI5" i="5"/>
  <c r="BI5" i="5" s="1"/>
  <c r="CM5" i="5"/>
  <c r="AM5" i="5" s="1"/>
  <c r="DE6" i="5"/>
  <c r="CA7" i="5"/>
  <c r="CD7" i="5"/>
  <c r="BZ7" i="5"/>
  <c r="BA62" i="205"/>
  <c r="BA61" i="205"/>
  <c r="BA60" i="205"/>
  <c r="BA61" i="206"/>
  <c r="BA62" i="206"/>
  <c r="BA60" i="207"/>
  <c r="BA61" i="207"/>
  <c r="BA86" i="144"/>
  <c r="CG5" i="5"/>
  <c r="AG5" i="5" s="1"/>
  <c r="CK5" i="5"/>
  <c r="BK5" i="5" s="1"/>
  <c r="CX5" i="5"/>
  <c r="AX5" i="5" s="1"/>
  <c r="CW5" i="5"/>
  <c r="BW5" i="5" s="1"/>
  <c r="DD5" i="5"/>
  <c r="BD5" i="5" s="1"/>
  <c r="CR5" i="5"/>
  <c r="BR5" i="5" s="1"/>
  <c r="DE7" i="5"/>
  <c r="BG8" i="5"/>
  <c r="BG5" i="5"/>
  <c r="CT5" i="5"/>
  <c r="BT5" i="5" s="1"/>
  <c r="CL5" i="5"/>
  <c r="AL5" i="5" s="1"/>
  <c r="CV5" i="5"/>
  <c r="AV5" i="5" s="1"/>
  <c r="CH5" i="5"/>
  <c r="BH5" i="5" s="1"/>
  <c r="DB5" i="5"/>
  <c r="BB5" i="5" s="1"/>
  <c r="CP5" i="5"/>
  <c r="AP5" i="5" s="1"/>
  <c r="AD11" i="120"/>
  <c r="CE13" i="5"/>
  <c r="CE33" i="5"/>
  <c r="CE37" i="5"/>
  <c r="V7" i="115"/>
  <c r="W7" i="115"/>
  <c r="X7" i="115" s="1"/>
  <c r="V11" i="115"/>
  <c r="W11" i="115"/>
  <c r="X11" i="115" s="1"/>
  <c r="V6" i="115"/>
  <c r="W6" i="115"/>
  <c r="AT5" i="5"/>
  <c r="AR5" i="5"/>
  <c r="BC5" i="5"/>
  <c r="AY5" i="5"/>
  <c r="AU5" i="5"/>
  <c r="AF5" i="5"/>
  <c r="AN5" i="5"/>
  <c r="AQ5" i="5"/>
  <c r="BV5" i="5"/>
  <c r="BN5" i="5"/>
  <c r="BF5" i="5"/>
  <c r="U8" i="115"/>
  <c r="V8" i="115" s="1"/>
  <c r="CC6" i="5"/>
  <c r="BY6" i="5"/>
  <c r="BU6" i="5"/>
  <c r="BQ6" i="5"/>
  <c r="BM6" i="5"/>
  <c r="BI6" i="5"/>
  <c r="CD8" i="5"/>
  <c r="CB8" i="5"/>
  <c r="BZ8" i="5"/>
  <c r="BX8" i="5"/>
  <c r="BV8" i="5"/>
  <c r="BT8" i="5"/>
  <c r="BR8" i="5"/>
  <c r="BP8" i="5"/>
  <c r="BN8" i="5"/>
  <c r="BL8" i="5"/>
  <c r="BJ8" i="5"/>
  <c r="BH8" i="5"/>
  <c r="BF8" i="5"/>
  <c r="CB6" i="5"/>
  <c r="BX6" i="5"/>
  <c r="BT6" i="5"/>
  <c r="BP6" i="5"/>
  <c r="BL6" i="5"/>
  <c r="BH6" i="5"/>
  <c r="BA58" i="205"/>
  <c r="CC5" i="5"/>
  <c r="BY5" i="5"/>
  <c r="BU5" i="5"/>
  <c r="BQ5" i="5"/>
  <c r="BM5" i="5"/>
  <c r="CA6" i="5"/>
  <c r="BW6" i="5"/>
  <c r="BS6" i="5"/>
  <c r="BO6" i="5"/>
  <c r="BK6" i="5"/>
  <c r="BG6" i="5"/>
  <c r="CC8" i="5"/>
  <c r="CA8" i="5"/>
  <c r="BY8" i="5"/>
  <c r="BW8" i="5"/>
  <c r="BU8" i="5"/>
  <c r="BS8" i="5"/>
  <c r="BQ8" i="5"/>
  <c r="BO8" i="5"/>
  <c r="BM8" i="5"/>
  <c r="BK8" i="5"/>
  <c r="BI8" i="5"/>
  <c r="CD6" i="5"/>
  <c r="BZ6" i="5"/>
  <c r="BV6" i="5"/>
  <c r="BR6" i="5"/>
  <c r="BN6" i="5"/>
  <c r="BJ6" i="5"/>
  <c r="W10" i="115"/>
  <c r="Y10" i="115" s="1"/>
  <c r="AG10" i="115" s="1"/>
  <c r="V17" i="115"/>
  <c r="W12" i="115"/>
  <c r="X12" i="115" s="1"/>
  <c r="W18" i="115"/>
  <c r="Y18" i="115" s="1"/>
  <c r="W19" i="115"/>
  <c r="Y19" i="115" s="1"/>
  <c r="AG19" i="115" s="1"/>
  <c r="V21" i="115"/>
  <c r="Y21" i="115" s="1"/>
  <c r="BE8" i="5"/>
  <c r="V20" i="115"/>
  <c r="Y20" i="115" s="1"/>
  <c r="V14" i="115"/>
  <c r="W14" i="115"/>
  <c r="X14" i="115" s="1"/>
  <c r="V16" i="115"/>
  <c r="W16" i="115"/>
  <c r="X16" i="115" s="1"/>
  <c r="AC15" i="115"/>
  <c r="AD15" i="115" s="1"/>
  <c r="AE15" i="115" s="1"/>
  <c r="AC19" i="115"/>
  <c r="AD19" i="115" s="1"/>
  <c r="AE19" i="115" s="1"/>
  <c r="AC14" i="115"/>
  <c r="AD14" i="115" s="1"/>
  <c r="AC11" i="115"/>
  <c r="AD11" i="115" s="1"/>
  <c r="AC13" i="115"/>
  <c r="AD13" i="115" s="1"/>
  <c r="AC17" i="115"/>
  <c r="AD17" i="115" s="1"/>
  <c r="AC21" i="115"/>
  <c r="AD21" i="115" s="1"/>
  <c r="AC6" i="115"/>
  <c r="AD6" i="115" s="1"/>
  <c r="AC10" i="115"/>
  <c r="AD10" i="115" s="1"/>
  <c r="AE10" i="115" s="1"/>
  <c r="AC12" i="115"/>
  <c r="AD12" i="115" s="1"/>
  <c r="AE12" i="115" s="1"/>
  <c r="AC16" i="115"/>
  <c r="AD16" i="115" s="1"/>
  <c r="AC20" i="115"/>
  <c r="AD20" i="115" s="1"/>
  <c r="AC9" i="115"/>
  <c r="AD9" i="115" s="1"/>
  <c r="AC7" i="115"/>
  <c r="AD7" i="115" s="1"/>
  <c r="BA2" i="205"/>
  <c r="BA2" i="207"/>
  <c r="B25" i="127" l="1"/>
  <c r="CE15" i="5"/>
  <c r="CE23" i="5"/>
  <c r="CE22" i="5"/>
  <c r="CE56" i="5"/>
  <c r="CE17" i="5"/>
  <c r="CE24" i="5"/>
  <c r="CE91" i="5"/>
  <c r="CE14" i="5"/>
  <c r="CE34" i="5"/>
  <c r="CE63" i="5"/>
  <c r="CE32" i="5"/>
  <c r="BD53" i="207"/>
  <c r="CE53" i="207" s="1"/>
  <c r="CB26" i="207"/>
  <c r="BF53" i="207"/>
  <c r="CG53" i="207" s="1"/>
  <c r="D47" i="208"/>
  <c r="CF47" i="208"/>
  <c r="BH79" i="5"/>
  <c r="AH79" i="5"/>
  <c r="DE79" i="5"/>
  <c r="BU83" i="5"/>
  <c r="AU83" i="5"/>
  <c r="CB19" i="207"/>
  <c r="CE35" i="207"/>
  <c r="C35" i="207"/>
  <c r="T29" i="207"/>
  <c r="CV29" i="207"/>
  <c r="BQ46" i="5"/>
  <c r="DE26" i="5"/>
  <c r="K13" i="208"/>
  <c r="CM13" i="208"/>
  <c r="DA31" i="208"/>
  <c r="DB7" i="208"/>
  <c r="Z7" i="208"/>
  <c r="M21" i="208"/>
  <c r="CO21" i="208"/>
  <c r="I51" i="208"/>
  <c r="CK51" i="208"/>
  <c r="S49" i="208"/>
  <c r="CU49" i="208"/>
  <c r="J26" i="208"/>
  <c r="CL26" i="208"/>
  <c r="L25" i="208"/>
  <c r="CN25" i="208"/>
  <c r="P33" i="208"/>
  <c r="CR33" i="208"/>
  <c r="AX92" i="5"/>
  <c r="BU10" i="5"/>
  <c r="AU10" i="5"/>
  <c r="DE95" i="5"/>
  <c r="BH66" i="5"/>
  <c r="AH66" i="5"/>
  <c r="BL92" i="5"/>
  <c r="AL92" i="5"/>
  <c r="S18" i="208"/>
  <c r="CU18" i="208"/>
  <c r="P37" i="208"/>
  <c r="CR37" i="208"/>
  <c r="Y13" i="208"/>
  <c r="DA13" i="208"/>
  <c r="CA39" i="5"/>
  <c r="BA39" i="5"/>
  <c r="BI51" i="5"/>
  <c r="AI51" i="5"/>
  <c r="BS59" i="5"/>
  <c r="AS59" i="5"/>
  <c r="CA67" i="5"/>
  <c r="BA67" i="5"/>
  <c r="BL53" i="207"/>
  <c r="CM53" i="207" s="1"/>
  <c r="S5" i="207"/>
  <c r="BT53" i="207"/>
  <c r="CU53" i="207" s="1"/>
  <c r="B49" i="207"/>
  <c r="CD49" i="207"/>
  <c r="N37" i="207"/>
  <c r="CP37" i="207"/>
  <c r="C27" i="207"/>
  <c r="CE27" i="207"/>
  <c r="B6" i="208"/>
  <c r="CD6" i="208"/>
  <c r="CB74" i="5"/>
  <c r="BB74" i="5"/>
  <c r="CV38" i="207"/>
  <c r="T38" i="207"/>
  <c r="BT39" i="5"/>
  <c r="AT39" i="5"/>
  <c r="BP43" i="5"/>
  <c r="CE43" i="5" s="1"/>
  <c r="DE43" i="5"/>
  <c r="BM51" i="5"/>
  <c r="AM51" i="5"/>
  <c r="BQ59" i="5"/>
  <c r="AQ59" i="5"/>
  <c r="R6" i="207"/>
  <c r="CT6" i="207"/>
  <c r="CB45" i="207"/>
  <c r="U11" i="207"/>
  <c r="CW11" i="207"/>
  <c r="S8" i="207"/>
  <c r="CU8" i="207"/>
  <c r="J47" i="207"/>
  <c r="CL47" i="207"/>
  <c r="CA6" i="206"/>
  <c r="DB6" i="206" s="1"/>
  <c r="BX15" i="206"/>
  <c r="BE6" i="206"/>
  <c r="BD19" i="206"/>
  <c r="BZ51" i="206"/>
  <c r="Y51" i="206" s="1"/>
  <c r="CS46" i="207"/>
  <c r="CB22" i="207"/>
  <c r="CE15" i="207"/>
  <c r="CV18" i="207"/>
  <c r="DB26" i="207"/>
  <c r="CX45" i="207"/>
  <c r="BW29" i="206"/>
  <c r="BH32" i="206"/>
  <c r="G32" i="206" s="1"/>
  <c r="BT7" i="206"/>
  <c r="CV33" i="207"/>
  <c r="CH41" i="207"/>
  <c r="CO6" i="208"/>
  <c r="AP39" i="5"/>
  <c r="CE31" i="5"/>
  <c r="DE42" i="5"/>
  <c r="CL48" i="208"/>
  <c r="J48" i="208"/>
  <c r="U48" i="208"/>
  <c r="CW48" i="208"/>
  <c r="N36" i="208"/>
  <c r="CP36" i="208"/>
  <c r="DA18" i="208"/>
  <c r="Y18" i="208"/>
  <c r="CW26" i="208"/>
  <c r="U26" i="208"/>
  <c r="X12" i="208"/>
  <c r="CZ12" i="208"/>
  <c r="CD46" i="208"/>
  <c r="B46" i="208"/>
  <c r="M22" i="208"/>
  <c r="CO22" i="208"/>
  <c r="CF46" i="208"/>
  <c r="D46" i="208"/>
  <c r="P47" i="208"/>
  <c r="CR47" i="208"/>
  <c r="CG36" i="208"/>
  <c r="CD38" i="5"/>
  <c r="BD38" i="5"/>
  <c r="X14" i="208"/>
  <c r="CZ14" i="208"/>
  <c r="BV50" i="206"/>
  <c r="BP26" i="5"/>
  <c r="AP43" i="5"/>
  <c r="BE43" i="5" s="1"/>
  <c r="CA47" i="206"/>
  <c r="BJ24" i="206"/>
  <c r="CO15" i="207"/>
  <c r="CL7" i="207"/>
  <c r="CF20" i="208"/>
  <c r="BO44" i="206"/>
  <c r="BK36" i="206"/>
  <c r="BD40" i="206"/>
  <c r="CE40" i="206" s="1"/>
  <c r="BC51" i="206"/>
  <c r="BZ30" i="206"/>
  <c r="CU21" i="207"/>
  <c r="CU18" i="207"/>
  <c r="BN53" i="207"/>
  <c r="CO53" i="207" s="1"/>
  <c r="CI13" i="207"/>
  <c r="CM26" i="207"/>
  <c r="CO12" i="207"/>
  <c r="CX9" i="207"/>
  <c r="CM31" i="207"/>
  <c r="BH53" i="207"/>
  <c r="CI53" i="207" s="1"/>
  <c r="CB6" i="207"/>
  <c r="CB11" i="207"/>
  <c r="CB24" i="207"/>
  <c r="CB27" i="207"/>
  <c r="CI39" i="207"/>
  <c r="CO6" i="207"/>
  <c r="CU49" i="207"/>
  <c r="AH95" i="5"/>
  <c r="AR50" i="5"/>
  <c r="AK75" i="5"/>
  <c r="AP54" i="5"/>
  <c r="CG24" i="207"/>
  <c r="CB14" i="207"/>
  <c r="CE26" i="207"/>
  <c r="CC16" i="5"/>
  <c r="BC16" i="5"/>
  <c r="BR20" i="5"/>
  <c r="CE20" i="5" s="1"/>
  <c r="AR20" i="5"/>
  <c r="BL28" i="5"/>
  <c r="AL28" i="5"/>
  <c r="BE28" i="5" s="1"/>
  <c r="BV52" i="5"/>
  <c r="CE52" i="5" s="1"/>
  <c r="AV52" i="5"/>
  <c r="CA18" i="5"/>
  <c r="BA18" i="5"/>
  <c r="BO74" i="5"/>
  <c r="AO74" i="5"/>
  <c r="BS86" i="5"/>
  <c r="AS86" i="5"/>
  <c r="CE19" i="5"/>
  <c r="CE60" i="5"/>
  <c r="BG28" i="5"/>
  <c r="DE28" i="5"/>
  <c r="BZ48" i="5"/>
  <c r="CE48" i="5" s="1"/>
  <c r="AZ48" i="5"/>
  <c r="BS76" i="5"/>
  <c r="AS76" i="5"/>
  <c r="BE76" i="5" s="1"/>
  <c r="CA80" i="5"/>
  <c r="BA80" i="5"/>
  <c r="BK88" i="5"/>
  <c r="AK88" i="5"/>
  <c r="CA74" i="5"/>
  <c r="BA74" i="5"/>
  <c r="BR16" i="5"/>
  <c r="AR16" i="5"/>
  <c r="BT36" i="5"/>
  <c r="AT36" i="5"/>
  <c r="BV40" i="5"/>
  <c r="CE40" i="5" s="1"/>
  <c r="AV40" i="5"/>
  <c r="BE40" i="5" s="1"/>
  <c r="BN44" i="5"/>
  <c r="AN44" i="5"/>
  <c r="BN64" i="5"/>
  <c r="CE64" i="5" s="1"/>
  <c r="AN64" i="5"/>
  <c r="BE64" i="5" s="1"/>
  <c r="BL72" i="5"/>
  <c r="CE72" i="5" s="1"/>
  <c r="AL72" i="5"/>
  <c r="BT80" i="5"/>
  <c r="AT80" i="5"/>
  <c r="BP62" i="5"/>
  <c r="AP62" i="5"/>
  <c r="BN70" i="5"/>
  <c r="AN70" i="5"/>
  <c r="BO36" i="5"/>
  <c r="CE36" i="5" s="1"/>
  <c r="AO36" i="5"/>
  <c r="BG76" i="5"/>
  <c r="DE76" i="5"/>
  <c r="BR88" i="5"/>
  <c r="AR88" i="5"/>
  <c r="DE40" i="5"/>
  <c r="BY18" i="5"/>
  <c r="AY18" i="5"/>
  <c r="DE20" i="5"/>
  <c r="BU42" i="5"/>
  <c r="AU42" i="5"/>
  <c r="CA66" i="5"/>
  <c r="BA66" i="5"/>
  <c r="BP66" i="5"/>
  <c r="AP66" i="5"/>
  <c r="CC18" i="5"/>
  <c r="BC18" i="5"/>
  <c r="CC30" i="5"/>
  <c r="BC30" i="5"/>
  <c r="BH99" i="5"/>
  <c r="AH99" i="5"/>
  <c r="J9" i="207"/>
  <c r="CL9" i="207"/>
  <c r="BI38" i="5"/>
  <c r="AI38" i="5"/>
  <c r="BF46" i="5"/>
  <c r="DE46" i="5"/>
  <c r="CD54" i="5"/>
  <c r="BD54" i="5"/>
  <c r="BH62" i="5"/>
  <c r="AH62" i="5"/>
  <c r="CB90" i="5"/>
  <c r="CE90" i="5" s="1"/>
  <c r="BB90" i="5"/>
  <c r="BK96" i="5"/>
  <c r="CE96" i="5" s="1"/>
  <c r="AK96" i="5"/>
  <c r="DE96" i="5"/>
  <c r="O11" i="208"/>
  <c r="CQ11" i="208"/>
  <c r="B25" i="207"/>
  <c r="CD25" i="207"/>
  <c r="N41" i="207"/>
  <c r="CP41" i="207"/>
  <c r="C21" i="207"/>
  <c r="CE21" i="207"/>
  <c r="CC35" i="5"/>
  <c r="BC35" i="5"/>
  <c r="BE35" i="5" s="1"/>
  <c r="BK39" i="5"/>
  <c r="AK39" i="5"/>
  <c r="BQ55" i="5"/>
  <c r="AQ55" i="5"/>
  <c r="BY71" i="5"/>
  <c r="AY71" i="5"/>
  <c r="BI83" i="5"/>
  <c r="AI83" i="5"/>
  <c r="DE35" i="5"/>
  <c r="Q45" i="207"/>
  <c r="CS45" i="207"/>
  <c r="W17" i="207"/>
  <c r="CY17" i="207"/>
  <c r="M18" i="207"/>
  <c r="CO18" i="207"/>
  <c r="S37" i="207"/>
  <c r="CU37" i="207"/>
  <c r="B7" i="207"/>
  <c r="CD7" i="207"/>
  <c r="V47" i="207"/>
  <c r="CX47" i="207"/>
  <c r="T44" i="207"/>
  <c r="CV44" i="207"/>
  <c r="O49" i="207"/>
  <c r="CQ49" i="207"/>
  <c r="Y26" i="207"/>
  <c r="DA26" i="207"/>
  <c r="X28" i="207"/>
  <c r="CZ28" i="207"/>
  <c r="C5" i="207"/>
  <c r="CE5" i="207"/>
  <c r="U10" i="207"/>
  <c r="CW10" i="207"/>
  <c r="O28" i="207"/>
  <c r="CQ28" i="207"/>
  <c r="H18" i="207"/>
  <c r="CJ18" i="207"/>
  <c r="H27" i="207"/>
  <c r="CJ27" i="207"/>
  <c r="S29" i="207"/>
  <c r="CU29" i="207"/>
  <c r="H20" i="207"/>
  <c r="CJ20" i="207"/>
  <c r="O14" i="207"/>
  <c r="CQ14" i="207"/>
  <c r="W19" i="207"/>
  <c r="CY19" i="207"/>
  <c r="Q29" i="207"/>
  <c r="CS29" i="207"/>
  <c r="E52" i="207"/>
  <c r="CG52" i="207"/>
  <c r="D36" i="207"/>
  <c r="CF36" i="207"/>
  <c r="X40" i="207"/>
  <c r="CZ40" i="207"/>
  <c r="O47" i="207"/>
  <c r="CQ47" i="207"/>
  <c r="Z37" i="207"/>
  <c r="DB37" i="207"/>
  <c r="F22" i="207"/>
  <c r="CH22" i="207"/>
  <c r="Y33" i="207"/>
  <c r="DA33" i="207"/>
  <c r="I22" i="207"/>
  <c r="CK22" i="207"/>
  <c r="H6" i="207"/>
  <c r="CJ6" i="207"/>
  <c r="T12" i="207"/>
  <c r="CV12" i="207"/>
  <c r="B47" i="207"/>
  <c r="CD47" i="207"/>
  <c r="X25" i="207"/>
  <c r="CZ25" i="207"/>
  <c r="R41" i="207"/>
  <c r="CT41" i="207"/>
  <c r="G25" i="207"/>
  <c r="CI25" i="207"/>
  <c r="Q48" i="207"/>
  <c r="CS48" i="207"/>
  <c r="J17" i="207"/>
  <c r="CL17" i="207"/>
  <c r="D44" i="207"/>
  <c r="CF44" i="207"/>
  <c r="Q11" i="207"/>
  <c r="CS11" i="207"/>
  <c r="Q24" i="207"/>
  <c r="CS24" i="207"/>
  <c r="K48" i="207"/>
  <c r="CM48" i="207"/>
  <c r="L26" i="207"/>
  <c r="CN26" i="207"/>
  <c r="N52" i="207"/>
  <c r="CP52" i="207"/>
  <c r="Y29" i="207"/>
  <c r="DA29" i="207"/>
  <c r="C13" i="207"/>
  <c r="CE13" i="207"/>
  <c r="G37" i="207"/>
  <c r="CI37" i="207"/>
  <c r="Q20" i="207"/>
  <c r="CS20" i="207"/>
  <c r="S9" i="207"/>
  <c r="CU9" i="207"/>
  <c r="Y40" i="207"/>
  <c r="DA40" i="207"/>
  <c r="D10" i="207"/>
  <c r="CF10" i="207"/>
  <c r="H33" i="207"/>
  <c r="CJ33" i="207"/>
  <c r="D22" i="207"/>
  <c r="CF22" i="207"/>
  <c r="B39" i="207"/>
  <c r="CD39" i="207"/>
  <c r="E13" i="207"/>
  <c r="CG13" i="207"/>
  <c r="M49" i="207"/>
  <c r="CO49" i="207"/>
  <c r="R13" i="207"/>
  <c r="CT13" i="207"/>
  <c r="R30" i="207"/>
  <c r="CT30" i="207"/>
  <c r="Q5" i="207"/>
  <c r="CS5" i="207"/>
  <c r="P15" i="207"/>
  <c r="CR15" i="207"/>
  <c r="V40" i="207"/>
  <c r="CX40" i="207"/>
  <c r="S15" i="207"/>
  <c r="CU15" i="207"/>
  <c r="K28" i="207"/>
  <c r="CM28" i="207"/>
  <c r="W39" i="207"/>
  <c r="CY39" i="207"/>
  <c r="E12" i="207"/>
  <c r="CG12" i="207"/>
  <c r="Q22" i="207"/>
  <c r="CS22" i="207"/>
  <c r="I36" i="207"/>
  <c r="CK36" i="207"/>
  <c r="K7" i="207"/>
  <c r="CM7" i="207"/>
  <c r="U18" i="207"/>
  <c r="CW18" i="207"/>
  <c r="W35" i="207"/>
  <c r="CY35" i="207"/>
  <c r="E8" i="207"/>
  <c r="CG8" i="207"/>
  <c r="Y22" i="207"/>
  <c r="DA22" i="207"/>
  <c r="K39" i="207"/>
  <c r="CM39" i="207"/>
  <c r="L6" i="207"/>
  <c r="CN6" i="207"/>
  <c r="R9" i="207"/>
  <c r="CT9" i="207"/>
  <c r="B15" i="207"/>
  <c r="CD15" i="207"/>
  <c r="V32" i="207"/>
  <c r="CX32" i="207"/>
  <c r="F47" i="207"/>
  <c r="CH47" i="207"/>
  <c r="U50" i="207"/>
  <c r="CW50" i="207"/>
  <c r="B26" i="207"/>
  <c r="CD26" i="207"/>
  <c r="L29" i="207"/>
  <c r="CN29" i="207"/>
  <c r="Z41" i="207"/>
  <c r="DB41" i="207"/>
  <c r="O10" i="207"/>
  <c r="CQ10" i="207"/>
  <c r="K25" i="207"/>
  <c r="CM25" i="207"/>
  <c r="E49" i="207"/>
  <c r="CG49" i="207"/>
  <c r="U48" i="207"/>
  <c r="CW48" i="207"/>
  <c r="F13" i="207"/>
  <c r="CH13" i="207"/>
  <c r="R17" i="207"/>
  <c r="CT17" i="207"/>
  <c r="B30" i="207"/>
  <c r="CD30" i="207"/>
  <c r="B45" i="207"/>
  <c r="CD45" i="207"/>
  <c r="E5" i="207"/>
  <c r="CG5" i="207"/>
  <c r="C18" i="207"/>
  <c r="CE18" i="207"/>
  <c r="E26" i="207"/>
  <c r="CG26" i="207"/>
  <c r="U32" i="207"/>
  <c r="CW32" i="207"/>
  <c r="G50" i="207"/>
  <c r="CI50" i="207"/>
  <c r="F14" i="207"/>
  <c r="CH14" i="207"/>
  <c r="T26" i="207"/>
  <c r="CV26" i="207"/>
  <c r="D39" i="207"/>
  <c r="CF39" i="207"/>
  <c r="I12" i="207"/>
  <c r="CK12" i="207"/>
  <c r="E22" i="207"/>
  <c r="CG22" i="207"/>
  <c r="Q33" i="207"/>
  <c r="CS33" i="207"/>
  <c r="O7" i="207"/>
  <c r="CQ7" i="207"/>
  <c r="Y18" i="207"/>
  <c r="DA18" i="207"/>
  <c r="U29" i="207"/>
  <c r="CW29" i="207"/>
  <c r="O41" i="207"/>
  <c r="CQ41" i="207"/>
  <c r="Q12" i="207"/>
  <c r="CS12" i="207"/>
  <c r="U27" i="207"/>
  <c r="CW27" i="207"/>
  <c r="U6" i="207"/>
  <c r="CW6" i="207"/>
  <c r="E16" i="207"/>
  <c r="CG16" i="207"/>
  <c r="Y31" i="207"/>
  <c r="DA31" i="207"/>
  <c r="U46" i="207"/>
  <c r="CW46" i="207"/>
  <c r="H8" i="207"/>
  <c r="CJ8" i="207"/>
  <c r="N11" i="207"/>
  <c r="CP11" i="207"/>
  <c r="X18" i="207"/>
  <c r="CZ18" i="207"/>
  <c r="R35" i="207"/>
  <c r="CT35" i="207"/>
  <c r="F49" i="207"/>
  <c r="CH49" i="207"/>
  <c r="R24" i="207"/>
  <c r="CT24" i="207"/>
  <c r="X27" i="207"/>
  <c r="CZ27" i="207"/>
  <c r="L40" i="207"/>
  <c r="CN40" i="207"/>
  <c r="C6" i="207"/>
  <c r="CE6" i="207"/>
  <c r="Y17" i="207"/>
  <c r="DA17" i="207"/>
  <c r="K33" i="207"/>
  <c r="CM33" i="207"/>
  <c r="G47" i="207"/>
  <c r="CI47" i="207"/>
  <c r="I52" i="207"/>
  <c r="CK52" i="207"/>
  <c r="D16" i="207"/>
  <c r="CF16" i="207"/>
  <c r="X20" i="207"/>
  <c r="CZ20" i="207"/>
  <c r="J37" i="207"/>
  <c r="CL37" i="207"/>
  <c r="D50" i="207"/>
  <c r="CF50" i="207"/>
  <c r="S20" i="207"/>
  <c r="CU20" i="207"/>
  <c r="U28" i="207"/>
  <c r="CW28" i="207"/>
  <c r="W40" i="207"/>
  <c r="CY40" i="207"/>
  <c r="V20" i="207"/>
  <c r="CX20" i="207"/>
  <c r="F33" i="207"/>
  <c r="CH33" i="207"/>
  <c r="T47" i="207"/>
  <c r="CV47" i="207"/>
  <c r="C19" i="207"/>
  <c r="CE19" i="207"/>
  <c r="M31" i="207"/>
  <c r="CO31" i="207"/>
  <c r="E6" i="207"/>
  <c r="CG6" i="207"/>
  <c r="T20" i="207"/>
  <c r="CV20" i="207"/>
  <c r="H31" i="207"/>
  <c r="CJ31" i="207"/>
  <c r="F51" i="207"/>
  <c r="CH51" i="207"/>
  <c r="O8" i="207"/>
  <c r="CQ8" i="207"/>
  <c r="K18" i="207"/>
  <c r="CM18" i="207"/>
  <c r="W22" i="207"/>
  <c r="CY22" i="207"/>
  <c r="M37" i="207"/>
  <c r="CO37" i="207"/>
  <c r="K50" i="207"/>
  <c r="CM50" i="207"/>
  <c r="N20" i="207"/>
  <c r="CP20" i="207"/>
  <c r="Z29" i="207"/>
  <c r="DB29" i="207"/>
  <c r="T39" i="207"/>
  <c r="CV39" i="207"/>
  <c r="V50" i="207"/>
  <c r="CX50" i="207"/>
  <c r="Z30" i="207"/>
  <c r="DB30" i="207"/>
  <c r="H38" i="207"/>
  <c r="CJ38" i="207"/>
  <c r="P46" i="207"/>
  <c r="CR46" i="207"/>
  <c r="R51" i="207"/>
  <c r="CT51" i="207"/>
  <c r="G8" i="207"/>
  <c r="CI8" i="207"/>
  <c r="Y11" i="207"/>
  <c r="DA11" i="207"/>
  <c r="Q15" i="207"/>
  <c r="CS15" i="207"/>
  <c r="W18" i="207"/>
  <c r="CY18" i="207"/>
  <c r="O22" i="207"/>
  <c r="CQ22" i="207"/>
  <c r="G27" i="207"/>
  <c r="CI27" i="207"/>
  <c r="Y30" i="207"/>
  <c r="DA30" i="207"/>
  <c r="K38" i="207"/>
  <c r="CM38" i="207"/>
  <c r="O48" i="207"/>
  <c r="CQ48" i="207"/>
  <c r="N8" i="207"/>
  <c r="CP8" i="207"/>
  <c r="Z14" i="207"/>
  <c r="DB14" i="207"/>
  <c r="P21" i="207"/>
  <c r="CR21" i="207"/>
  <c r="F29" i="207"/>
  <c r="CH29" i="207"/>
  <c r="R36" i="207"/>
  <c r="CT36" i="207"/>
  <c r="H45" i="207"/>
  <c r="CJ45" i="207"/>
  <c r="X51" i="207"/>
  <c r="CZ51" i="207"/>
  <c r="E35" i="207"/>
  <c r="CG35" i="207"/>
  <c r="U37" i="207"/>
  <c r="CW37" i="207"/>
  <c r="M41" i="207"/>
  <c r="CO41" i="207"/>
  <c r="Y47" i="207"/>
  <c r="DA47" i="207"/>
  <c r="K52" i="207"/>
  <c r="CM52" i="207"/>
  <c r="X7" i="207"/>
  <c r="CZ7" i="207"/>
  <c r="D11" i="207"/>
  <c r="CF11" i="207"/>
  <c r="J14" i="207"/>
  <c r="CL14" i="207"/>
  <c r="T17" i="207"/>
  <c r="CV17" i="207"/>
  <c r="Z20" i="207"/>
  <c r="DB20" i="207"/>
  <c r="F25" i="207"/>
  <c r="CH25" i="207"/>
  <c r="P28" i="207"/>
  <c r="CR28" i="207"/>
  <c r="V31" i="207"/>
  <c r="CX31" i="207"/>
  <c r="B36" i="207"/>
  <c r="CD36" i="207"/>
  <c r="L39" i="207"/>
  <c r="CN39" i="207"/>
  <c r="R44" i="207"/>
  <c r="CT44" i="207"/>
  <c r="X47" i="207"/>
  <c r="CZ47" i="207"/>
  <c r="H51" i="207"/>
  <c r="CJ51" i="207"/>
  <c r="W31" i="207"/>
  <c r="CY31" i="207"/>
  <c r="O36" i="207"/>
  <c r="CQ36" i="207"/>
  <c r="U39" i="207"/>
  <c r="CW39" i="207"/>
  <c r="K46" i="207"/>
  <c r="CM46" i="207"/>
  <c r="W50" i="207"/>
  <c r="CY50" i="207"/>
  <c r="J6" i="207"/>
  <c r="CL6" i="207"/>
  <c r="T9" i="207"/>
  <c r="CV9" i="207"/>
  <c r="Z12" i="207"/>
  <c r="DB12" i="207"/>
  <c r="F16" i="207"/>
  <c r="CH16" i="207"/>
  <c r="P19" i="207"/>
  <c r="CR19" i="207"/>
  <c r="V22" i="207"/>
  <c r="CX22" i="207"/>
  <c r="B27" i="207"/>
  <c r="CD27" i="207"/>
  <c r="L30" i="207"/>
  <c r="CN30" i="207"/>
  <c r="R33" i="207"/>
  <c r="CT33" i="207"/>
  <c r="X37" i="207"/>
  <c r="CZ37" i="207"/>
  <c r="H41" i="207"/>
  <c r="CJ41" i="207"/>
  <c r="N46" i="207"/>
  <c r="CP46" i="207"/>
  <c r="T49" i="207"/>
  <c r="CV49" i="207"/>
  <c r="CE35" i="5"/>
  <c r="CE87" i="5"/>
  <c r="CN30" i="208"/>
  <c r="BC50" i="5"/>
  <c r="AN38" i="5"/>
  <c r="AM82" i="5"/>
  <c r="DE82" i="5"/>
  <c r="DE75" i="5"/>
  <c r="DE74" i="5"/>
  <c r="DE66" i="5"/>
  <c r="BV30" i="5"/>
  <c r="CE30" i="5" s="1"/>
  <c r="AV30" i="5"/>
  <c r="BO99" i="5"/>
  <c r="AO99" i="5"/>
  <c r="Z5" i="207"/>
  <c r="DB5" i="207"/>
  <c r="Y6" i="207"/>
  <c r="DA6" i="207"/>
  <c r="BT38" i="5"/>
  <c r="AT38" i="5"/>
  <c r="CD50" i="5"/>
  <c r="CE50" i="5" s="1"/>
  <c r="BD50" i="5"/>
  <c r="BX54" i="5"/>
  <c r="AX54" i="5"/>
  <c r="BE54" i="5" s="1"/>
  <c r="BY58" i="5"/>
  <c r="CE58" i="5" s="1"/>
  <c r="AY58" i="5"/>
  <c r="CC62" i="5"/>
  <c r="BC62" i="5"/>
  <c r="BH70" i="5"/>
  <c r="CE70" i="5" s="1"/>
  <c r="AH70" i="5"/>
  <c r="BM78" i="5"/>
  <c r="DE78" i="5"/>
  <c r="DE18" i="5"/>
  <c r="J10" i="208"/>
  <c r="CL10" i="208"/>
  <c r="M24" i="207"/>
  <c r="CO24" i="207"/>
  <c r="X36" i="207"/>
  <c r="CZ36" i="207"/>
  <c r="U14" i="207"/>
  <c r="CW14" i="207"/>
  <c r="BY39" i="5"/>
  <c r="AY39" i="5"/>
  <c r="BQ47" i="5"/>
  <c r="DE47" i="5"/>
  <c r="AQ47" i="5"/>
  <c r="CB47" i="5"/>
  <c r="BB47" i="5"/>
  <c r="BH51" i="5"/>
  <c r="AH51" i="5"/>
  <c r="BL55" i="5"/>
  <c r="AL55" i="5"/>
  <c r="BX59" i="5"/>
  <c r="AX59" i="5"/>
  <c r="BP71" i="5"/>
  <c r="AP71" i="5"/>
  <c r="CC79" i="5"/>
  <c r="BC79" i="5"/>
  <c r="N12" i="207"/>
  <c r="CP12" i="207"/>
  <c r="Z28" i="207"/>
  <c r="DB28" i="207"/>
  <c r="G11" i="207"/>
  <c r="CI11" i="207"/>
  <c r="G30" i="207"/>
  <c r="CI30" i="207"/>
  <c r="Q10" i="207"/>
  <c r="CS10" i="207"/>
  <c r="H10" i="207"/>
  <c r="CJ10" i="207"/>
  <c r="L22" i="207"/>
  <c r="CN22" i="207"/>
  <c r="I13" i="207"/>
  <c r="CK13" i="207"/>
  <c r="V13" i="207"/>
  <c r="CX13" i="207"/>
  <c r="E7" i="207"/>
  <c r="CG7" i="207"/>
  <c r="G36" i="207"/>
  <c r="CI36" i="207"/>
  <c r="L41" i="207"/>
  <c r="CN41" i="207"/>
  <c r="M16" i="207"/>
  <c r="CO16" i="207"/>
  <c r="Y25" i="207"/>
  <c r="DA25" i="207"/>
  <c r="E46" i="207"/>
  <c r="CG46" i="207"/>
  <c r="B35" i="207"/>
  <c r="CD35" i="207"/>
  <c r="V39" i="207"/>
  <c r="CX39" i="207"/>
  <c r="O45" i="207"/>
  <c r="CQ45" i="207"/>
  <c r="T31" i="207"/>
  <c r="CV31" i="207"/>
  <c r="Y19" i="207"/>
  <c r="DA19" i="207"/>
  <c r="Z18" i="207"/>
  <c r="DB18" i="207"/>
  <c r="S30" i="207"/>
  <c r="CU30" i="207"/>
  <c r="M10" i="207"/>
  <c r="CO10" i="207"/>
  <c r="T8" i="207"/>
  <c r="CV8" i="207"/>
  <c r="Z49" i="207"/>
  <c r="DB49" i="207"/>
  <c r="K6" i="207"/>
  <c r="CM6" i="207"/>
  <c r="J5" i="207"/>
  <c r="CL5" i="207"/>
  <c r="T50" i="207"/>
  <c r="CV50" i="207"/>
  <c r="E30" i="207"/>
  <c r="CG30" i="207"/>
  <c r="X35" i="207"/>
  <c r="CZ35" i="207"/>
  <c r="I44" i="207"/>
  <c r="CK44" i="207"/>
  <c r="K30" i="207"/>
  <c r="CM30" i="207"/>
  <c r="V7" i="207"/>
  <c r="CX7" i="207"/>
  <c r="L18" i="207"/>
  <c r="CN18" i="207"/>
  <c r="T48" i="207"/>
  <c r="CV48" i="207"/>
  <c r="L27" i="207"/>
  <c r="CN27" i="207"/>
  <c r="P52" i="207"/>
  <c r="CR52" i="207"/>
  <c r="C33" i="207"/>
  <c r="CE33" i="207"/>
  <c r="O51" i="207"/>
  <c r="CQ51" i="207"/>
  <c r="L20" i="207"/>
  <c r="CN20" i="207"/>
  <c r="S14" i="207"/>
  <c r="CU14" i="207"/>
  <c r="E28" i="207"/>
  <c r="CG28" i="207"/>
  <c r="P7" i="207"/>
  <c r="CR7" i="207"/>
  <c r="R31" i="207"/>
  <c r="CT31" i="207"/>
  <c r="Y12" i="207"/>
  <c r="DA12" i="207"/>
  <c r="O35" i="207"/>
  <c r="CQ35" i="207"/>
  <c r="G19" i="207"/>
  <c r="CI19" i="207"/>
  <c r="M44" i="207"/>
  <c r="CO44" i="207"/>
  <c r="S28" i="207"/>
  <c r="CU28" i="207"/>
  <c r="U16" i="207"/>
  <c r="CW16" i="207"/>
  <c r="Y46" i="207"/>
  <c r="DA46" i="207"/>
  <c r="V11" i="207"/>
  <c r="CX11" i="207"/>
  <c r="V35" i="207"/>
  <c r="CX35" i="207"/>
  <c r="V24" i="207"/>
  <c r="CX24" i="207"/>
  <c r="T40" i="207"/>
  <c r="CV40" i="207"/>
  <c r="E21" i="207"/>
  <c r="CG21" i="207"/>
  <c r="K47" i="207"/>
  <c r="CM47" i="207"/>
  <c r="L16" i="207"/>
  <c r="CN16" i="207"/>
  <c r="E9" i="207"/>
  <c r="CG9" i="207"/>
  <c r="G22" i="207"/>
  <c r="CI22" i="207"/>
  <c r="E41" i="207"/>
  <c r="CG41" i="207"/>
  <c r="L21" i="207"/>
  <c r="CN21" i="207"/>
  <c r="D49" i="207"/>
  <c r="CF49" i="207"/>
  <c r="K19" i="207"/>
  <c r="CM19" i="207"/>
  <c r="W30" i="207"/>
  <c r="CY30" i="207"/>
  <c r="S41" i="207"/>
  <c r="CU41" i="207"/>
  <c r="Q14" i="207"/>
  <c r="CS14" i="207"/>
  <c r="I27" i="207"/>
  <c r="CK27" i="207"/>
  <c r="E38" i="207"/>
  <c r="CG38" i="207"/>
  <c r="W9" i="207"/>
  <c r="CY9" i="207"/>
  <c r="K24" i="207"/>
  <c r="CM24" i="207"/>
  <c r="Q38" i="207"/>
  <c r="CS38" i="207"/>
  <c r="O11" i="207"/>
  <c r="CQ11" i="207"/>
  <c r="S26" i="207"/>
  <c r="CU26" i="207"/>
  <c r="E44" i="207"/>
  <c r="CG44" i="207"/>
  <c r="F7" i="207"/>
  <c r="CH7" i="207"/>
  <c r="P10" i="207"/>
  <c r="CR10" i="207"/>
  <c r="V15" i="207"/>
  <c r="CX15" i="207"/>
  <c r="P33" i="207"/>
  <c r="CR33" i="207"/>
  <c r="D48" i="207"/>
  <c r="CF48" i="207"/>
  <c r="P22" i="207"/>
  <c r="CR22" i="207"/>
  <c r="V26" i="207"/>
  <c r="CX26" i="207"/>
  <c r="N39" i="207"/>
  <c r="CP39" i="207"/>
  <c r="X44" i="207"/>
  <c r="CZ44" i="207"/>
  <c r="M13" i="207"/>
  <c r="CO13" i="207"/>
  <c r="K29" i="207"/>
  <c r="CM29" i="207"/>
  <c r="Y49" i="207"/>
  <c r="DA49" i="207"/>
  <c r="W49" i="207"/>
  <c r="CY49" i="207"/>
  <c r="D14" i="207"/>
  <c r="CF14" i="207"/>
  <c r="N19" i="207"/>
  <c r="CP19" i="207"/>
  <c r="D31" i="207"/>
  <c r="CF31" i="207"/>
  <c r="H46" i="207"/>
  <c r="CJ46" i="207"/>
  <c r="I7" i="207"/>
  <c r="CK7" i="207"/>
  <c r="W12" i="207"/>
  <c r="CY12" i="207"/>
  <c r="H17" i="207"/>
  <c r="CJ17" i="207"/>
  <c r="N44" i="207"/>
  <c r="CP44" i="207"/>
  <c r="E14" i="207"/>
  <c r="CG14" i="207"/>
  <c r="Q25" i="207"/>
  <c r="CS25" i="207"/>
  <c r="I38" i="207"/>
  <c r="CK38" i="207"/>
  <c r="Y10" i="207"/>
  <c r="DA10" i="207"/>
  <c r="U20" i="207"/>
  <c r="CW20" i="207"/>
  <c r="O32" i="207"/>
  <c r="CQ32" i="207"/>
  <c r="C7" i="207"/>
  <c r="CE7" i="207"/>
  <c r="Y16" i="207"/>
  <c r="DA16" i="207"/>
  <c r="K32" i="207"/>
  <c r="CM32" i="207"/>
  <c r="I6" i="207"/>
  <c r="CK6" i="207"/>
  <c r="O19" i="207"/>
  <c r="CQ19" i="207"/>
  <c r="S35" i="207"/>
  <c r="CU35" i="207"/>
  <c r="U52" i="207"/>
  <c r="CW52" i="207"/>
  <c r="B9" i="207"/>
  <c r="CD9" i="207"/>
  <c r="L12" i="207"/>
  <c r="CN12" i="207"/>
  <c r="F32" i="207"/>
  <c r="CH32" i="207"/>
  <c r="P36" i="207"/>
  <c r="CR36" i="207"/>
  <c r="E50" i="207"/>
  <c r="CG50" i="207"/>
  <c r="L25" i="207"/>
  <c r="CN25" i="207"/>
  <c r="R28" i="207"/>
  <c r="CT28" i="207"/>
  <c r="J41" i="207"/>
  <c r="CL41" i="207"/>
  <c r="W6" i="207"/>
  <c r="CY6" i="207"/>
  <c r="U21" i="207"/>
  <c r="CW21" i="207"/>
  <c r="M45" i="207"/>
  <c r="CO45" i="207"/>
  <c r="E48" i="207"/>
  <c r="CG48" i="207"/>
  <c r="R5" i="207"/>
  <c r="CT5" i="207"/>
  <c r="B17" i="207"/>
  <c r="CD17" i="207"/>
  <c r="R21" i="207"/>
  <c r="CT21" i="207"/>
  <c r="L38" i="207"/>
  <c r="CN38" i="207"/>
  <c r="J51" i="207"/>
  <c r="CL51" i="207"/>
  <c r="Y9" i="207"/>
  <c r="DA9" i="207"/>
  <c r="O16" i="207"/>
  <c r="CQ16" i="207"/>
  <c r="O46" i="207"/>
  <c r="CQ46" i="207"/>
  <c r="J12" i="207"/>
  <c r="CL12" i="207"/>
  <c r="H37" i="207"/>
  <c r="CJ37" i="207"/>
  <c r="Z50" i="207"/>
  <c r="DB50" i="207"/>
  <c r="X12" i="207"/>
  <c r="CZ12" i="207"/>
  <c r="Z19" i="207"/>
  <c r="DB19" i="207"/>
  <c r="J35" i="207"/>
  <c r="CL35" i="207"/>
  <c r="Z47" i="207"/>
  <c r="DB47" i="207"/>
  <c r="Q50" i="207"/>
  <c r="CS50" i="207"/>
  <c r="D25" i="207"/>
  <c r="CF25" i="207"/>
  <c r="P27" i="207"/>
  <c r="CR27" i="207"/>
  <c r="J39" i="207"/>
  <c r="CL39" i="207"/>
  <c r="V41" i="207"/>
  <c r="CX41" i="207"/>
  <c r="O6" i="207"/>
  <c r="CQ6" i="207"/>
  <c r="M17" i="207"/>
  <c r="CO17" i="207"/>
  <c r="G29" i="207"/>
  <c r="CI29" i="207"/>
  <c r="Y45" i="207"/>
  <c r="DA45" i="207"/>
  <c r="S47" i="207"/>
  <c r="CU47" i="207"/>
  <c r="S51" i="207"/>
  <c r="CU51" i="207"/>
  <c r="Z13" i="207"/>
  <c r="DB13" i="207"/>
  <c r="N17" i="207"/>
  <c r="CP17" i="207"/>
  <c r="D46" i="207"/>
  <c r="CF46" i="207"/>
  <c r="Z51" i="207"/>
  <c r="DB51" i="207"/>
  <c r="E15" i="207"/>
  <c r="CG15" i="207"/>
  <c r="I19" i="207"/>
  <c r="CK19" i="207"/>
  <c r="M30" i="207"/>
  <c r="CO30" i="207"/>
  <c r="M39" i="207"/>
  <c r="CO39" i="207"/>
  <c r="W52" i="207"/>
  <c r="CY52" i="207"/>
  <c r="B14" i="207"/>
  <c r="CD14" i="207"/>
  <c r="J22" i="207"/>
  <c r="CL22" i="207"/>
  <c r="F44" i="207"/>
  <c r="CH44" i="207"/>
  <c r="R52" i="207"/>
  <c r="CT52" i="207"/>
  <c r="P31" i="207"/>
  <c r="CR31" i="207"/>
  <c r="X38" i="207"/>
  <c r="CZ38" i="207"/>
  <c r="J49" i="207"/>
  <c r="CL49" i="207"/>
  <c r="I5" i="207"/>
  <c r="CK5" i="207"/>
  <c r="W8" i="207"/>
  <c r="CY8" i="207"/>
  <c r="O12" i="207"/>
  <c r="CQ12" i="207"/>
  <c r="G16" i="207"/>
  <c r="CI16" i="207"/>
  <c r="Q19" i="207"/>
  <c r="CS19" i="207"/>
  <c r="I24" i="207"/>
  <c r="CK24" i="207"/>
  <c r="W27" i="207"/>
  <c r="CY27" i="207"/>
  <c r="I32" i="207"/>
  <c r="CK32" i="207"/>
  <c r="G40" i="207"/>
  <c r="CI40" i="207"/>
  <c r="M51" i="207"/>
  <c r="CO51" i="207"/>
  <c r="B10" i="207"/>
  <c r="CD10" i="207"/>
  <c r="R16" i="207"/>
  <c r="CT16" i="207"/>
  <c r="H24" i="207"/>
  <c r="CJ24" i="207"/>
  <c r="T30" i="207"/>
  <c r="CV30" i="207"/>
  <c r="J38" i="207"/>
  <c r="CL38" i="207"/>
  <c r="Z46" i="207"/>
  <c r="DB46" i="207"/>
  <c r="C31" i="207"/>
  <c r="CE31" i="207"/>
  <c r="U35" i="207"/>
  <c r="CW35" i="207"/>
  <c r="S38" i="207"/>
  <c r="CU38" i="207"/>
  <c r="G44" i="207"/>
  <c r="CI44" i="207"/>
  <c r="S48" i="207"/>
  <c r="CU48" i="207"/>
  <c r="L5" i="207"/>
  <c r="CN5" i="207"/>
  <c r="R8" i="207"/>
  <c r="CT8" i="207"/>
  <c r="X11" i="207"/>
  <c r="CZ11" i="207"/>
  <c r="H15" i="207"/>
  <c r="CJ15" i="207"/>
  <c r="N18" i="207"/>
  <c r="CP18" i="207"/>
  <c r="T21" i="207"/>
  <c r="CV21" i="207"/>
  <c r="D26" i="207"/>
  <c r="CF26" i="207"/>
  <c r="J29" i="207"/>
  <c r="CL29" i="207"/>
  <c r="P32" i="207"/>
  <c r="CR32" i="207"/>
  <c r="Z36" i="207"/>
  <c r="DB36" i="207"/>
  <c r="F40" i="207"/>
  <c r="CH40" i="207"/>
  <c r="L45" i="207"/>
  <c r="CN45" i="207"/>
  <c r="V48" i="207"/>
  <c r="CX48" i="207"/>
  <c r="B52" i="207"/>
  <c r="CD52" i="207"/>
  <c r="Q32" i="207"/>
  <c r="CS32" i="207"/>
  <c r="I37" i="207"/>
  <c r="CK37" i="207"/>
  <c r="S40" i="207"/>
  <c r="CU40" i="207"/>
  <c r="I47" i="207"/>
  <c r="CK47" i="207"/>
  <c r="U51" i="207"/>
  <c r="CW51" i="207"/>
  <c r="H7" i="207"/>
  <c r="CJ7" i="207"/>
  <c r="N10" i="207"/>
  <c r="CP10" i="207"/>
  <c r="T13" i="207"/>
  <c r="CV13" i="207"/>
  <c r="D17" i="207"/>
  <c r="CF17" i="207"/>
  <c r="J20" i="207"/>
  <c r="CL20" i="207"/>
  <c r="P24" i="207"/>
  <c r="CR24" i="207"/>
  <c r="Z27" i="207"/>
  <c r="DB27" i="207"/>
  <c r="F31" i="207"/>
  <c r="CH31" i="207"/>
  <c r="L35" i="207"/>
  <c r="CN35" i="207"/>
  <c r="V38" i="207"/>
  <c r="CX38" i="207"/>
  <c r="B44" i="207"/>
  <c r="CD44" i="207"/>
  <c r="H47" i="207"/>
  <c r="CJ47" i="207"/>
  <c r="R50" i="207"/>
  <c r="CT50" i="207"/>
  <c r="CB40" i="207"/>
  <c r="AX10" i="5"/>
  <c r="DE59" i="5"/>
  <c r="DE30" i="5"/>
  <c r="AV58" i="5"/>
  <c r="DE54" i="5"/>
  <c r="DE38" i="5"/>
  <c r="CB26" i="5"/>
  <c r="BB26" i="5"/>
  <c r="BO95" i="5"/>
  <c r="AO95" i="5"/>
  <c r="C10" i="207"/>
  <c r="CE10" i="207"/>
  <c r="M33" i="207"/>
  <c r="CO33" i="207"/>
  <c r="CB42" i="5"/>
  <c r="CE42" i="5" s="1"/>
  <c r="BB42" i="5"/>
  <c r="BV46" i="5"/>
  <c r="AV46" i="5"/>
  <c r="BX62" i="5"/>
  <c r="AX62" i="5"/>
  <c r="CC82" i="5"/>
  <c r="BC82" i="5"/>
  <c r="BJ92" i="5"/>
  <c r="CE92" i="5" s="1"/>
  <c r="AJ92" i="5"/>
  <c r="DE39" i="5"/>
  <c r="W46" i="208"/>
  <c r="CY46" i="208"/>
  <c r="K19" i="208"/>
  <c r="CM19" i="208"/>
  <c r="Y52" i="207"/>
  <c r="DA52" i="207"/>
  <c r="BW47" i="5"/>
  <c r="AW47" i="5"/>
  <c r="BK55" i="5"/>
  <c r="AK55" i="5"/>
  <c r="BP67" i="5"/>
  <c r="AP67" i="5"/>
  <c r="CC75" i="5"/>
  <c r="CE75" i="5" s="1"/>
  <c r="BC75" i="5"/>
  <c r="BE75" i="5" s="1"/>
  <c r="BH83" i="5"/>
  <c r="DE83" i="5"/>
  <c r="I17" i="207"/>
  <c r="CK17" i="207"/>
  <c r="J32" i="207"/>
  <c r="CL32" i="207"/>
  <c r="C41" i="207"/>
  <c r="CE41" i="207"/>
  <c r="G9" i="207"/>
  <c r="CI9" i="207"/>
  <c r="U25" i="207"/>
  <c r="CW25" i="207"/>
  <c r="R15" i="207"/>
  <c r="CT15" i="207"/>
  <c r="R26" i="207"/>
  <c r="CT26" i="207"/>
  <c r="C29" i="207"/>
  <c r="CE29" i="207"/>
  <c r="F19" i="207"/>
  <c r="CH19" i="207"/>
  <c r="S12" i="207"/>
  <c r="CU12" i="207"/>
  <c r="G52" i="207"/>
  <c r="CI52" i="207"/>
  <c r="Y20" i="207"/>
  <c r="DA20" i="207"/>
  <c r="G28" i="207"/>
  <c r="CI28" i="207"/>
  <c r="K41" i="207"/>
  <c r="CM41" i="207"/>
  <c r="R7" i="207"/>
  <c r="CT7" i="207"/>
  <c r="L48" i="207"/>
  <c r="CN48" i="207"/>
  <c r="L52" i="207"/>
  <c r="CN52" i="207"/>
  <c r="K51" i="207"/>
  <c r="CM51" i="207"/>
  <c r="T46" i="207"/>
  <c r="CV46" i="207"/>
  <c r="J31" i="207"/>
  <c r="CL31" i="207"/>
  <c r="G5" i="207"/>
  <c r="CI5" i="207"/>
  <c r="S17" i="207"/>
  <c r="CU17" i="207"/>
  <c r="Z11" i="207"/>
  <c r="DB11" i="207"/>
  <c r="Z24" i="207"/>
  <c r="DB24" i="207"/>
  <c r="M21" i="207"/>
  <c r="CO21" i="207"/>
  <c r="P16" i="207"/>
  <c r="CR16" i="207"/>
  <c r="I9" i="207"/>
  <c r="CK9" i="207"/>
  <c r="S44" i="207"/>
  <c r="CU44" i="207"/>
  <c r="L49" i="207"/>
  <c r="CN49" i="207"/>
  <c r="E18" i="207"/>
  <c r="CG18" i="207"/>
  <c r="W7" i="207"/>
  <c r="CY7" i="207"/>
  <c r="O37" i="207"/>
  <c r="CQ37" i="207"/>
  <c r="N9" i="207"/>
  <c r="CP9" i="207"/>
  <c r="R32" i="207"/>
  <c r="CT32" i="207"/>
  <c r="M50" i="207"/>
  <c r="CO50" i="207"/>
  <c r="D29" i="207"/>
  <c r="CF29" i="207"/>
  <c r="K10" i="207"/>
  <c r="CM10" i="207"/>
  <c r="U45" i="207"/>
  <c r="CW45" i="207"/>
  <c r="B13" i="207"/>
  <c r="CD13" i="207"/>
  <c r="P29" i="207"/>
  <c r="CR29" i="207"/>
  <c r="V51" i="207"/>
  <c r="CX51" i="207"/>
  <c r="Q17" i="207"/>
  <c r="CS17" i="207"/>
  <c r="D13" i="207"/>
  <c r="CF13" i="207"/>
  <c r="Z38" i="207"/>
  <c r="DB38" i="207"/>
  <c r="O17" i="207"/>
  <c r="CQ17" i="207"/>
  <c r="U40" i="207"/>
  <c r="CW40" i="207"/>
  <c r="M25" i="207"/>
  <c r="CO25" i="207"/>
  <c r="Y8" i="207"/>
  <c r="DA8" i="207"/>
  <c r="U36" i="207"/>
  <c r="CW36" i="207"/>
  <c r="E25" i="207"/>
  <c r="CG25" i="207"/>
  <c r="X6" i="207"/>
  <c r="CZ6" i="207"/>
  <c r="J15" i="207"/>
  <c r="CL15" i="207"/>
  <c r="R47" i="207"/>
  <c r="CT47" i="207"/>
  <c r="N26" i="207"/>
  <c r="CP26" i="207"/>
  <c r="L44" i="207"/>
  <c r="CN44" i="207"/>
  <c r="W25" i="207"/>
  <c r="CY25" i="207"/>
  <c r="K49" i="207"/>
  <c r="CM49" i="207"/>
  <c r="Z17" i="207"/>
  <c r="DB17" i="207"/>
  <c r="R45" i="207"/>
  <c r="CT45" i="207"/>
  <c r="M26" i="207"/>
  <c r="CO26" i="207"/>
  <c r="C52" i="207"/>
  <c r="CE52" i="207"/>
  <c r="H28" i="207"/>
  <c r="CJ28" i="207"/>
  <c r="K11" i="207"/>
  <c r="CM11" i="207"/>
  <c r="W21" i="207"/>
  <c r="CY21" i="207"/>
  <c r="S32" i="207"/>
  <c r="CU32" i="207"/>
  <c r="Q6" i="207"/>
  <c r="CS6" i="207"/>
  <c r="I18" i="207"/>
  <c r="CK18" i="207"/>
  <c r="E29" i="207"/>
  <c r="CG29" i="207"/>
  <c r="Q40" i="207"/>
  <c r="CS40" i="207"/>
  <c r="S11" i="207"/>
  <c r="CU11" i="207"/>
  <c r="E27" i="207"/>
  <c r="CG27" i="207"/>
  <c r="Y44" i="207"/>
  <c r="DA44" i="207"/>
  <c r="W15" i="207"/>
  <c r="CY15" i="207"/>
  <c r="I31" i="207"/>
  <c r="CK31" i="207"/>
  <c r="M46" i="207"/>
  <c r="CO46" i="207"/>
  <c r="D8" i="207"/>
  <c r="CF8" i="207"/>
  <c r="J11" i="207"/>
  <c r="CL11" i="207"/>
  <c r="P18" i="207"/>
  <c r="CR18" i="207"/>
  <c r="N35" i="207"/>
  <c r="CP35" i="207"/>
  <c r="X48" i="207"/>
  <c r="CZ48" i="207"/>
  <c r="J24" i="207"/>
  <c r="CL24" i="207"/>
  <c r="T27" i="207"/>
  <c r="CV27" i="207"/>
  <c r="H40" i="207"/>
  <c r="CJ40" i="207"/>
  <c r="T52" i="207"/>
  <c r="CV52" i="207"/>
  <c r="U17" i="207"/>
  <c r="CW17" i="207"/>
  <c r="G33" i="207"/>
  <c r="CI33" i="207"/>
  <c r="W45" i="207"/>
  <c r="CY45" i="207"/>
  <c r="W51" i="207"/>
  <c r="CY51" i="207"/>
  <c r="X14" i="207"/>
  <c r="CZ14" i="207"/>
  <c r="P20" i="207"/>
  <c r="CR20" i="207"/>
  <c r="F37" i="207"/>
  <c r="CH37" i="207"/>
  <c r="R49" i="207"/>
  <c r="CT49" i="207"/>
  <c r="K8" i="207"/>
  <c r="CM8" i="207"/>
  <c r="I15" i="207"/>
  <c r="CK15" i="207"/>
  <c r="O20" i="207"/>
  <c r="CQ20" i="207"/>
  <c r="I28" i="207"/>
  <c r="CK28" i="207"/>
  <c r="C40" i="207"/>
  <c r="CE40" i="207"/>
  <c r="F8" i="207"/>
  <c r="CH8" i="207"/>
  <c r="T19" i="207"/>
  <c r="CV19" i="207"/>
  <c r="B33" i="207"/>
  <c r="CD33" i="207"/>
  <c r="Q16" i="207"/>
  <c r="CS16" i="207"/>
  <c r="I29" i="207"/>
  <c r="CK29" i="207"/>
  <c r="E40" i="207"/>
  <c r="CG40" i="207"/>
  <c r="U12" i="207"/>
  <c r="CW12" i="207"/>
  <c r="O24" i="207"/>
  <c r="CQ24" i="207"/>
  <c r="Y36" i="207"/>
  <c r="DA36" i="207"/>
  <c r="I8" i="207"/>
  <c r="CK8" i="207"/>
  <c r="S19" i="207"/>
  <c r="CU19" i="207"/>
  <c r="E36" i="207"/>
  <c r="CG36" i="207"/>
  <c r="U8" i="207"/>
  <c r="CW8" i="207"/>
  <c r="W24" i="207"/>
  <c r="CY24" i="207"/>
  <c r="I40" i="207"/>
  <c r="CK40" i="207"/>
  <c r="P6" i="207"/>
  <c r="CR6" i="207"/>
  <c r="Z9" i="207"/>
  <c r="DB9" i="207"/>
  <c r="F15" i="207"/>
  <c r="CH15" i="207"/>
  <c r="Z32" i="207"/>
  <c r="DB32" i="207"/>
  <c r="N47" i="207"/>
  <c r="CP47" i="207"/>
  <c r="Y50" i="207"/>
  <c r="DA50" i="207"/>
  <c r="F26" i="207"/>
  <c r="CH26" i="207"/>
  <c r="X29" i="207"/>
  <c r="CZ29" i="207"/>
  <c r="H44" i="207"/>
  <c r="CJ44" i="207"/>
  <c r="S10" i="207"/>
  <c r="CU10" i="207"/>
  <c r="S25" i="207"/>
  <c r="CU25" i="207"/>
  <c r="I49" i="207"/>
  <c r="CK49" i="207"/>
  <c r="Y48" i="207"/>
  <c r="DA48" i="207"/>
  <c r="N13" i="207"/>
  <c r="CP13" i="207"/>
  <c r="V17" i="207"/>
  <c r="CX17" i="207"/>
  <c r="N45" i="207"/>
  <c r="CP45" i="207"/>
  <c r="M5" i="207"/>
  <c r="CO5" i="207"/>
  <c r="C12" i="207"/>
  <c r="CE12" i="207"/>
  <c r="O18" i="207"/>
  <c r="CQ18" i="207"/>
  <c r="I26" i="207"/>
  <c r="CK26" i="207"/>
  <c r="Y32" i="207"/>
  <c r="DA32" i="207"/>
  <c r="E51" i="207"/>
  <c r="CG51" i="207"/>
  <c r="V14" i="207"/>
  <c r="CX14" i="207"/>
  <c r="G7" i="207"/>
  <c r="CI7" i="207"/>
  <c r="C17" i="207"/>
  <c r="CE17" i="207"/>
  <c r="M29" i="207"/>
  <c r="CO29" i="207"/>
  <c r="G41" i="207"/>
  <c r="CI41" i="207"/>
  <c r="D6" i="207"/>
  <c r="CF6" i="207"/>
  <c r="P8" i="207"/>
  <c r="CR8" i="207"/>
  <c r="B11" i="207"/>
  <c r="CD11" i="207"/>
  <c r="V37" i="207"/>
  <c r="CX37" i="207"/>
  <c r="X46" i="207"/>
  <c r="CZ46" i="207"/>
  <c r="M11" i="207"/>
  <c r="CO11" i="207"/>
  <c r="Y15" i="207"/>
  <c r="DA15" i="207"/>
  <c r="U26" i="207"/>
  <c r="CW26" i="207"/>
  <c r="O31" i="207"/>
  <c r="CQ31" i="207"/>
  <c r="U41" i="207"/>
  <c r="CW41" i="207"/>
  <c r="L7" i="207"/>
  <c r="CN7" i="207"/>
  <c r="X15" i="207"/>
  <c r="CZ15" i="207"/>
  <c r="R25" i="207"/>
  <c r="CT25" i="207"/>
  <c r="B46" i="207"/>
  <c r="CD46" i="207"/>
  <c r="H29" i="207"/>
  <c r="CJ29" i="207"/>
  <c r="B37" i="207"/>
  <c r="CD37" i="207"/>
  <c r="J45" i="207"/>
  <c r="CL45" i="207"/>
  <c r="L50" i="207"/>
  <c r="CN50" i="207"/>
  <c r="Y5" i="207"/>
  <c r="DA5" i="207"/>
  <c r="Q9" i="207"/>
  <c r="CS9" i="207"/>
  <c r="G14" i="207"/>
  <c r="CI14" i="207"/>
  <c r="W16" i="207"/>
  <c r="CY16" i="207"/>
  <c r="G20" i="207"/>
  <c r="CI20" i="207"/>
  <c r="Y24" i="207"/>
  <c r="DA24" i="207"/>
  <c r="Q28" i="207"/>
  <c r="CS28" i="207"/>
  <c r="Q35" i="207"/>
  <c r="CS35" i="207"/>
  <c r="C44" i="207"/>
  <c r="CE44" i="207"/>
  <c r="D5" i="207"/>
  <c r="CF5" i="207"/>
  <c r="T11" i="207"/>
  <c r="CV11" i="207"/>
  <c r="J18" i="207"/>
  <c r="CL18" i="207"/>
  <c r="V25" i="207"/>
  <c r="CX25" i="207"/>
  <c r="L32" i="207"/>
  <c r="CN32" i="207"/>
  <c r="B40" i="207"/>
  <c r="CD40" i="207"/>
  <c r="N48" i="207"/>
  <c r="CP48" i="207"/>
  <c r="S31" i="207"/>
  <c r="CU31" i="207"/>
  <c r="K36" i="207"/>
  <c r="CM36" i="207"/>
  <c r="Q39" i="207"/>
  <c r="CS39" i="207"/>
  <c r="C46" i="207"/>
  <c r="CE46" i="207"/>
  <c r="S50" i="207"/>
  <c r="CU50" i="207"/>
  <c r="F6" i="207"/>
  <c r="CH6" i="207"/>
  <c r="L9" i="207"/>
  <c r="CN9" i="207"/>
  <c r="V12" i="207"/>
  <c r="CX12" i="207"/>
  <c r="B16" i="207"/>
  <c r="CD16" i="207"/>
  <c r="H19" i="207"/>
  <c r="CJ19" i="207"/>
  <c r="R22" i="207"/>
  <c r="CT22" i="207"/>
  <c r="X26" i="207"/>
  <c r="CZ26" i="207"/>
  <c r="D30" i="207"/>
  <c r="CF30" i="207"/>
  <c r="N33" i="207"/>
  <c r="CP33" i="207"/>
  <c r="T37" i="207"/>
  <c r="CV37" i="207"/>
  <c r="Z40" i="207"/>
  <c r="DB40" i="207"/>
  <c r="J46" i="207"/>
  <c r="CL46" i="207"/>
  <c r="P49" i="207"/>
  <c r="CR49" i="207"/>
  <c r="V52" i="207"/>
  <c r="CX52" i="207"/>
  <c r="I35" i="207"/>
  <c r="CK35" i="207"/>
  <c r="C38" i="207"/>
  <c r="CE38" i="207"/>
  <c r="Q41" i="207"/>
  <c r="CS41" i="207"/>
  <c r="C48" i="207"/>
  <c r="CE48" i="207"/>
  <c r="S52" i="207"/>
  <c r="CU52" i="207"/>
  <c r="B8" i="207"/>
  <c r="CD8" i="207"/>
  <c r="H11" i="207"/>
  <c r="CJ11" i="207"/>
  <c r="R14" i="207"/>
  <c r="CT14" i="207"/>
  <c r="X17" i="207"/>
  <c r="CZ17" i="207"/>
  <c r="D21" i="207"/>
  <c r="CF21" i="207"/>
  <c r="N25" i="207"/>
  <c r="CP25" i="207"/>
  <c r="T28" i="207"/>
  <c r="CV28" i="207"/>
  <c r="Z31" i="207"/>
  <c r="DB31" i="207"/>
  <c r="J36" i="207"/>
  <c r="CL36" i="207"/>
  <c r="P39" i="207"/>
  <c r="CR39" i="207"/>
  <c r="V44" i="207"/>
  <c r="CX44" i="207"/>
  <c r="F48" i="207"/>
  <c r="CH48" i="207"/>
  <c r="L51" i="207"/>
  <c r="CN51" i="207"/>
  <c r="AI5" i="5"/>
  <c r="CU13" i="208"/>
  <c r="DE50" i="5"/>
  <c r="BA59" i="5"/>
  <c r="DE55" i="5"/>
  <c r="DE99" i="5"/>
  <c r="CE68" i="5"/>
  <c r="DE92" i="5"/>
  <c r="DE58" i="5"/>
  <c r="BV12" i="5"/>
  <c r="CE12" i="5" s="1"/>
  <c r="AV12" i="5"/>
  <c r="DE12" i="5"/>
  <c r="BM95" i="5"/>
  <c r="AM95" i="5"/>
  <c r="BT99" i="5"/>
  <c r="AT99" i="5"/>
  <c r="I50" i="207"/>
  <c r="CK50" i="207"/>
  <c r="O26" i="207"/>
  <c r="CQ26" i="207"/>
  <c r="BN66" i="5"/>
  <c r="AN66" i="5"/>
  <c r="BU78" i="5"/>
  <c r="AU78" i="5"/>
  <c r="CB82" i="5"/>
  <c r="BB82" i="5"/>
  <c r="BT86" i="5"/>
  <c r="CE86" i="5" s="1"/>
  <c r="AT86" i="5"/>
  <c r="I48" i="207"/>
  <c r="CK48" i="207"/>
  <c r="I33" i="207"/>
  <c r="CK33" i="207"/>
  <c r="BX47" i="5"/>
  <c r="AX47" i="5"/>
  <c r="BT55" i="5"/>
  <c r="AT55" i="5"/>
  <c r="BQ71" i="5"/>
  <c r="AQ71" i="5"/>
  <c r="BQ79" i="5"/>
  <c r="AQ79" i="5"/>
  <c r="BO83" i="5"/>
  <c r="AO83" i="5"/>
  <c r="V21" i="207"/>
  <c r="CX21" i="207"/>
  <c r="Q36" i="207"/>
  <c r="CS36" i="207"/>
  <c r="DE71" i="5"/>
  <c r="O21" i="207"/>
  <c r="CQ21" i="207"/>
  <c r="W41" i="207"/>
  <c r="CY41" i="207"/>
  <c r="L33" i="207"/>
  <c r="CN33" i="207"/>
  <c r="F39" i="207"/>
  <c r="CH39" i="207"/>
  <c r="U49" i="207"/>
  <c r="CW49" i="207"/>
  <c r="V30" i="207"/>
  <c r="CX30" i="207"/>
  <c r="E19" i="207"/>
  <c r="CG19" i="207"/>
  <c r="N16" i="207"/>
  <c r="CP16" i="207"/>
  <c r="U31" i="207"/>
  <c r="CW31" i="207"/>
  <c r="C39" i="207"/>
  <c r="CE39" i="207"/>
  <c r="I14" i="207"/>
  <c r="CK14" i="207"/>
  <c r="X10" i="207"/>
  <c r="CZ10" i="207"/>
  <c r="B24" i="207"/>
  <c r="CD24" i="207"/>
  <c r="Y13" i="207"/>
  <c r="DA13" i="207"/>
  <c r="L14" i="207"/>
  <c r="CN14" i="207"/>
  <c r="Y7" i="207"/>
  <c r="DA7" i="207"/>
  <c r="G38" i="207"/>
  <c r="CI38" i="207"/>
  <c r="X45" i="207"/>
  <c r="CZ45" i="207"/>
  <c r="K9" i="207"/>
  <c r="CM9" i="207"/>
  <c r="K15" i="207"/>
  <c r="CM15" i="207"/>
  <c r="E33" i="207"/>
  <c r="CG33" i="207"/>
  <c r="R19" i="207"/>
  <c r="CT19" i="207"/>
  <c r="J28" i="207"/>
  <c r="CL28" i="207"/>
  <c r="W33" i="207"/>
  <c r="CY33" i="207"/>
  <c r="F21" i="207"/>
  <c r="CH21" i="207"/>
  <c r="R10" i="207"/>
  <c r="CT10" i="207"/>
  <c r="W26" i="207"/>
  <c r="CY26" i="207"/>
  <c r="Y14" i="207"/>
  <c r="DA14" i="207"/>
  <c r="I46" i="207"/>
  <c r="CK46" i="207"/>
  <c r="F11" i="207"/>
  <c r="CH11" i="207"/>
  <c r="F35" i="207"/>
  <c r="CH35" i="207"/>
  <c r="F24" i="207"/>
  <c r="CH24" i="207"/>
  <c r="D40" i="207"/>
  <c r="CF40" i="207"/>
  <c r="E17" i="207"/>
  <c r="CG17" i="207"/>
  <c r="S45" i="207"/>
  <c r="CU45" i="207"/>
  <c r="T14" i="207"/>
  <c r="CV14" i="207"/>
  <c r="X31" i="207"/>
  <c r="CZ31" i="207"/>
  <c r="K20" i="207"/>
  <c r="CM20" i="207"/>
  <c r="E39" i="207"/>
  <c r="CG39" i="207"/>
  <c r="D19" i="207"/>
  <c r="CF19" i="207"/>
  <c r="R46" i="207"/>
  <c r="CT46" i="207"/>
  <c r="U22" i="207"/>
  <c r="CW22" i="207"/>
  <c r="M8" i="207"/>
  <c r="CO8" i="207"/>
  <c r="C30" i="207"/>
  <c r="CE30" i="207"/>
  <c r="O13" i="207"/>
  <c r="CQ13" i="207"/>
  <c r="O9" i="207"/>
  <c r="CQ9" i="207"/>
  <c r="W32" i="207"/>
  <c r="CY32" i="207"/>
  <c r="L8" i="207"/>
  <c r="CN8" i="207"/>
  <c r="J19" i="207"/>
  <c r="CL19" i="207"/>
  <c r="V49" i="207"/>
  <c r="CX49" i="207"/>
  <c r="B28" i="207"/>
  <c r="CD28" i="207"/>
  <c r="G6" i="207"/>
  <c r="CI6" i="207"/>
  <c r="S33" i="207"/>
  <c r="CU33" i="207"/>
  <c r="B5" i="207"/>
  <c r="CD5" i="207"/>
  <c r="B21" i="207"/>
  <c r="CD21" i="207"/>
  <c r="P50" i="207"/>
  <c r="CR50" i="207"/>
  <c r="U15" i="207"/>
  <c r="CW15" i="207"/>
  <c r="Y28" i="207"/>
  <c r="DA28" i="207"/>
  <c r="X9" i="207"/>
  <c r="CZ9" i="207"/>
  <c r="V33" i="207"/>
  <c r="CX33" i="207"/>
  <c r="W13" i="207"/>
  <c r="CY13" i="207"/>
  <c r="S24" i="207"/>
  <c r="CU24" i="207"/>
  <c r="K37" i="207"/>
  <c r="CM37" i="207"/>
  <c r="I10" i="207"/>
  <c r="CK10" i="207"/>
  <c r="E20" i="207"/>
  <c r="CG20" i="207"/>
  <c r="Q31" i="207"/>
  <c r="CS31" i="207"/>
  <c r="W5" i="207"/>
  <c r="CY5" i="207"/>
  <c r="I16" i="207"/>
  <c r="CK16" i="207"/>
  <c r="O30" i="207"/>
  <c r="CQ30" i="207"/>
  <c r="K5" i="207"/>
  <c r="CM5" i="207"/>
  <c r="Q18" i="207"/>
  <c r="CS18" i="207"/>
  <c r="U33" i="207"/>
  <c r="CW33" i="207"/>
  <c r="Q52" i="207"/>
  <c r="CS52" i="207"/>
  <c r="X8" i="207"/>
  <c r="CZ8" i="207"/>
  <c r="D12" i="207"/>
  <c r="CF12" i="207"/>
  <c r="B32" i="207"/>
  <c r="CD32" i="207"/>
  <c r="L36" i="207"/>
  <c r="CN36" i="207"/>
  <c r="G49" i="207"/>
  <c r="CI49" i="207"/>
  <c r="H25" i="207"/>
  <c r="CJ25" i="207"/>
  <c r="N28" i="207"/>
  <c r="CP28" i="207"/>
  <c r="B41" i="207"/>
  <c r="CD41" i="207"/>
  <c r="S6" i="207"/>
  <c r="CU6" i="207"/>
  <c r="Q21" i="207"/>
  <c r="CS21" i="207"/>
  <c r="E45" i="207"/>
  <c r="CG45" i="207"/>
  <c r="W47" i="207"/>
  <c r="CY47" i="207"/>
  <c r="N5" i="207"/>
  <c r="CP5" i="207"/>
  <c r="T16" i="207"/>
  <c r="CV16" i="207"/>
  <c r="N21" i="207"/>
  <c r="CP21" i="207"/>
  <c r="D38" i="207"/>
  <c r="CF38" i="207"/>
  <c r="X50" i="207"/>
  <c r="CZ50" i="207"/>
  <c r="U9" i="207"/>
  <c r="CW9" i="207"/>
  <c r="K16" i="207"/>
  <c r="CM16" i="207"/>
  <c r="S22" i="207"/>
  <c r="CU22" i="207"/>
  <c r="Q30" i="207"/>
  <c r="CS30" i="207"/>
  <c r="W44" i="207"/>
  <c r="CY44" i="207"/>
  <c r="Z10" i="207"/>
  <c r="DB10" i="207"/>
  <c r="Z22" i="207"/>
  <c r="DB22" i="207"/>
  <c r="N36" i="207"/>
  <c r="CP36" i="207"/>
  <c r="B50" i="207"/>
  <c r="CD50" i="207"/>
  <c r="I20" i="207"/>
  <c r="CK20" i="207"/>
  <c r="E31" i="207"/>
  <c r="CG31" i="207"/>
  <c r="Q44" i="207"/>
  <c r="CS44" i="207"/>
  <c r="O15" i="207"/>
  <c r="CQ15" i="207"/>
  <c r="Y27" i="207"/>
  <c r="DA27" i="207"/>
  <c r="U38" i="207"/>
  <c r="CW38" i="207"/>
  <c r="E10" i="207"/>
  <c r="CG10" i="207"/>
  <c r="I25" i="207"/>
  <c r="CK25" i="207"/>
  <c r="O39" i="207"/>
  <c r="CQ39" i="207"/>
  <c r="K13" i="207"/>
  <c r="CM13" i="207"/>
  <c r="Q27" i="207"/>
  <c r="CS27" i="207"/>
  <c r="U44" i="207"/>
  <c r="CW44" i="207"/>
  <c r="N7" i="207"/>
  <c r="CP7" i="207"/>
  <c r="T10" i="207"/>
  <c r="CV10" i="207"/>
  <c r="Z15" i="207"/>
  <c r="DB15" i="207"/>
  <c r="X33" i="207"/>
  <c r="CZ33" i="207"/>
  <c r="H48" i="207"/>
  <c r="CJ48" i="207"/>
  <c r="T22" i="207"/>
  <c r="CV22" i="207"/>
  <c r="D27" i="207"/>
  <c r="CF27" i="207"/>
  <c r="R39" i="207"/>
  <c r="CT39" i="207"/>
  <c r="D52" i="207"/>
  <c r="CF52" i="207"/>
  <c r="U13" i="207"/>
  <c r="CW13" i="207"/>
  <c r="O29" i="207"/>
  <c r="CQ29" i="207"/>
  <c r="C45" i="207"/>
  <c r="CE45" i="207"/>
  <c r="G51" i="207"/>
  <c r="CI51" i="207"/>
  <c r="H14" i="207"/>
  <c r="CJ14" i="207"/>
  <c r="V19" i="207"/>
  <c r="CX19" i="207"/>
  <c r="L46" i="207"/>
  <c r="CN46" i="207"/>
  <c r="M7" i="207"/>
  <c r="CO7" i="207"/>
  <c r="K14" i="207"/>
  <c r="CM14" i="207"/>
  <c r="U19" i="207"/>
  <c r="CW19" i="207"/>
  <c r="K27" i="207"/>
  <c r="CM27" i="207"/>
  <c r="Q37" i="207"/>
  <c r="CS37" i="207"/>
  <c r="B6" i="207"/>
  <c r="CD6" i="207"/>
  <c r="L17" i="207"/>
  <c r="CN17" i="207"/>
  <c r="P30" i="207"/>
  <c r="CR30" i="207"/>
  <c r="V5" i="207"/>
  <c r="CX5" i="207"/>
  <c r="N30" i="207"/>
  <c r="CP30" i="207"/>
  <c r="P38" i="207"/>
  <c r="CR38" i="207"/>
  <c r="U7" i="207"/>
  <c r="CW7" i="207"/>
  <c r="G12" i="207"/>
  <c r="CI12" i="207"/>
  <c r="C22" i="207"/>
  <c r="CE22" i="207"/>
  <c r="O27" i="207"/>
  <c r="CQ27" i="207"/>
  <c r="M47" i="207"/>
  <c r="CO47" i="207"/>
  <c r="H9" i="207"/>
  <c r="CJ9" i="207"/>
  <c r="B18" i="207"/>
  <c r="CD18" i="207"/>
  <c r="D28" i="207"/>
  <c r="CF28" i="207"/>
  <c r="P37" i="207"/>
  <c r="CR37" i="207"/>
  <c r="J48" i="207"/>
  <c r="CL48" i="207"/>
  <c r="J30" i="207"/>
  <c r="CL30" i="207"/>
  <c r="R37" i="207"/>
  <c r="CT37" i="207"/>
  <c r="Z45" i="207"/>
  <c r="DB45" i="207"/>
  <c r="B51" i="207"/>
  <c r="CD51" i="207"/>
  <c r="Q7" i="207"/>
  <c r="CS7" i="207"/>
  <c r="I11" i="207"/>
  <c r="CK11" i="207"/>
  <c r="W14" i="207"/>
  <c r="CY14" i="207"/>
  <c r="G18" i="207"/>
  <c r="CI18" i="207"/>
  <c r="W20" i="207"/>
  <c r="CY20" i="207"/>
  <c r="Q26" i="207"/>
  <c r="CS26" i="207"/>
  <c r="I30" i="207"/>
  <c r="CK30" i="207"/>
  <c r="W36" i="207"/>
  <c r="CY36" i="207"/>
  <c r="S46" i="207"/>
  <c r="CU46" i="207"/>
  <c r="V6" i="207"/>
  <c r="CX6" i="207"/>
  <c r="L13" i="207"/>
  <c r="CN13" i="207"/>
  <c r="X19" i="207"/>
  <c r="CZ19" i="207"/>
  <c r="N27" i="207"/>
  <c r="CP27" i="207"/>
  <c r="D35" i="207"/>
  <c r="CF35" i="207"/>
  <c r="P41" i="207"/>
  <c r="CR41" i="207"/>
  <c r="F50" i="207"/>
  <c r="CH50" i="207"/>
  <c r="M32" i="207"/>
  <c r="CO32" i="207"/>
  <c r="E37" i="207"/>
  <c r="CG37" i="207"/>
  <c r="K40" i="207"/>
  <c r="CM40" i="207"/>
  <c r="E47" i="207"/>
  <c r="CG47" i="207"/>
  <c r="Q51" i="207"/>
  <c r="CS51" i="207"/>
  <c r="Z6" i="207"/>
  <c r="DB6" i="207"/>
  <c r="J10" i="207"/>
  <c r="CL10" i="207"/>
  <c r="P13" i="207"/>
  <c r="CR13" i="207"/>
  <c r="V16" i="207"/>
  <c r="CX16" i="207"/>
  <c r="F20" i="207"/>
  <c r="CH20" i="207"/>
  <c r="L24" i="207"/>
  <c r="CN24" i="207"/>
  <c r="R27" i="207"/>
  <c r="CT27" i="207"/>
  <c r="B31" i="207"/>
  <c r="CD31" i="207"/>
  <c r="H35" i="207"/>
  <c r="CJ35" i="207"/>
  <c r="N38" i="207"/>
  <c r="CP38" i="207"/>
  <c r="X41" i="207"/>
  <c r="CZ41" i="207"/>
  <c r="D47" i="207"/>
  <c r="CF47" i="207"/>
  <c r="J50" i="207"/>
  <c r="CL50" i="207"/>
  <c r="G31" i="207"/>
  <c r="CI31" i="207"/>
  <c r="Y35" i="207"/>
  <c r="DA35" i="207"/>
  <c r="W38" i="207"/>
  <c r="CY38" i="207"/>
  <c r="K44" i="207"/>
  <c r="CM44" i="207"/>
  <c r="C50" i="207"/>
  <c r="CE50" i="207"/>
  <c r="P5" i="207"/>
  <c r="CR5" i="207"/>
  <c r="V8" i="207"/>
  <c r="CX8" i="207"/>
  <c r="F12" i="207"/>
  <c r="CH12" i="207"/>
  <c r="L15" i="207"/>
  <c r="CN15" i="207"/>
  <c r="R18" i="207"/>
  <c r="CT18" i="207"/>
  <c r="B22" i="207"/>
  <c r="CD22" i="207"/>
  <c r="H26" i="207"/>
  <c r="CJ26" i="207"/>
  <c r="N29" i="207"/>
  <c r="CP29" i="207"/>
  <c r="X32" i="207"/>
  <c r="CZ32" i="207"/>
  <c r="D37" i="207"/>
  <c r="CF37" i="207"/>
  <c r="J40" i="207"/>
  <c r="CL40" i="207"/>
  <c r="T45" i="207"/>
  <c r="CV45" i="207"/>
  <c r="Z48" i="207"/>
  <c r="DB48" i="207"/>
  <c r="F52" i="207"/>
  <c r="CH52" i="207"/>
  <c r="K15" i="183"/>
  <c r="AA15" i="183"/>
  <c r="T15" i="183"/>
  <c r="Q15" i="183"/>
  <c r="Q34" i="183" s="1"/>
  <c r="N15" i="183"/>
  <c r="O15" i="183"/>
  <c r="H15" i="183"/>
  <c r="X15" i="183"/>
  <c r="X32" i="183" s="1"/>
  <c r="U15" i="183"/>
  <c r="R15" i="183"/>
  <c r="S15" i="183"/>
  <c r="L15" i="183"/>
  <c r="I15" i="183"/>
  <c r="Y15" i="183"/>
  <c r="V15" i="183"/>
  <c r="G15" i="183"/>
  <c r="G32" i="183" s="1"/>
  <c r="W15" i="183"/>
  <c r="W32" i="183" s="1"/>
  <c r="P15" i="183"/>
  <c r="M15" i="183"/>
  <c r="J15" i="183"/>
  <c r="J30" i="183" s="1"/>
  <c r="E15" i="183"/>
  <c r="F15" i="183"/>
  <c r="D15" i="183"/>
  <c r="C15" i="183"/>
  <c r="C30" i="183" s="1"/>
  <c r="CE89" i="5"/>
  <c r="BE20" i="5"/>
  <c r="CE88" i="5"/>
  <c r="J34" i="183"/>
  <c r="CE97" i="5"/>
  <c r="W19" i="208"/>
  <c r="CY19" i="208"/>
  <c r="T17" i="208"/>
  <c r="CV17" i="208"/>
  <c r="R5" i="208"/>
  <c r="CT5" i="208"/>
  <c r="BL39" i="206"/>
  <c r="BZ7" i="206"/>
  <c r="CA15" i="206"/>
  <c r="BO52" i="206"/>
  <c r="BV6" i="206"/>
  <c r="BQ44" i="206"/>
  <c r="BX46" i="206"/>
  <c r="BI33" i="206"/>
  <c r="BJ19" i="206"/>
  <c r="BY41" i="206"/>
  <c r="BC18" i="206"/>
  <c r="BP16" i="206"/>
  <c r="BG29" i="206"/>
  <c r="BL24" i="206"/>
  <c r="BH49" i="206"/>
  <c r="BS15" i="206"/>
  <c r="BQ29" i="206"/>
  <c r="BM40" i="206"/>
  <c r="BU50" i="206"/>
  <c r="BP14" i="206"/>
  <c r="BN35" i="206"/>
  <c r="BO6" i="206"/>
  <c r="BC25" i="206"/>
  <c r="BE45" i="206"/>
  <c r="BY51" i="206"/>
  <c r="BD48" i="206"/>
  <c r="BI19" i="206"/>
  <c r="BP28" i="206"/>
  <c r="BV5" i="206"/>
  <c r="BH16" i="206"/>
  <c r="BP25" i="206"/>
  <c r="BX31" i="206"/>
  <c r="BZ45" i="206"/>
  <c r="BY13" i="206"/>
  <c r="BM30" i="206"/>
  <c r="BJ10" i="206"/>
  <c r="BL17" i="206"/>
  <c r="BN27" i="206"/>
  <c r="BN38" i="206"/>
  <c r="BZ48" i="206"/>
  <c r="CA11" i="206"/>
  <c r="BM18" i="206"/>
  <c r="BY25" i="206"/>
  <c r="BW30" i="206"/>
  <c r="BQ38" i="206"/>
  <c r="BC47" i="206"/>
  <c r="BR11" i="206"/>
  <c r="BD52" i="206"/>
  <c r="BK40" i="206"/>
  <c r="BG52" i="206"/>
  <c r="BY19" i="206"/>
  <c r="BP37" i="206"/>
  <c r="BH20" i="206"/>
  <c r="BP44" i="206"/>
  <c r="BC31" i="206"/>
  <c r="BN20" i="206"/>
  <c r="BV40" i="206"/>
  <c r="BU10" i="206"/>
  <c r="BS24" i="206"/>
  <c r="BW45" i="206"/>
  <c r="BL14" i="206"/>
  <c r="BR24" i="206"/>
  <c r="BE5" i="206"/>
  <c r="BC10" i="206"/>
  <c r="BI41" i="206"/>
  <c r="BU49" i="206"/>
  <c r="BJ13" i="206"/>
  <c r="BQ15" i="206"/>
  <c r="BE35" i="206"/>
  <c r="BJ18" i="206"/>
  <c r="BR15" i="206"/>
  <c r="BZ26" i="206"/>
  <c r="BD38" i="206"/>
  <c r="BX50" i="206"/>
  <c r="BI28" i="206"/>
  <c r="BK31" i="206"/>
  <c r="BP40" i="206"/>
  <c r="BU31" i="206"/>
  <c r="BW20" i="206"/>
  <c r="BL26" i="206"/>
  <c r="BG30" i="206"/>
  <c r="BT13" i="206"/>
  <c r="BC41" i="206"/>
  <c r="BU5" i="206"/>
  <c r="BS50" i="206"/>
  <c r="BQ37" i="206"/>
  <c r="BH22" i="206"/>
  <c r="BM39" i="206"/>
  <c r="BV27" i="206"/>
  <c r="BW5" i="206"/>
  <c r="BU18" i="206"/>
  <c r="CA32" i="206"/>
  <c r="BI44" i="206"/>
  <c r="BI52" i="206"/>
  <c r="BX18" i="206"/>
  <c r="BH40" i="206"/>
  <c r="BQ7" i="206"/>
  <c r="BQ26" i="206"/>
  <c r="CA46" i="206"/>
  <c r="BV7" i="206"/>
  <c r="BK14" i="206"/>
  <c r="BY32" i="206"/>
  <c r="CA38" i="206"/>
  <c r="BH37" i="206"/>
  <c r="BP8" i="206"/>
  <c r="BZ17" i="206"/>
  <c r="BJ28" i="206"/>
  <c r="BT36" i="206"/>
  <c r="BR49" i="206"/>
  <c r="BC22" i="206"/>
  <c r="BE39" i="206"/>
  <c r="BV12" i="206"/>
  <c r="BF20" i="206"/>
  <c r="BD30" i="206"/>
  <c r="BN40" i="206"/>
  <c r="BC7" i="206"/>
  <c r="BO13" i="206"/>
  <c r="CA19" i="206"/>
  <c r="BU27" i="206"/>
  <c r="BS32" i="206"/>
  <c r="BE40" i="206"/>
  <c r="BQ48" i="206"/>
  <c r="BT14" i="206"/>
  <c r="BS6" i="206"/>
  <c r="BD27" i="206"/>
  <c r="BU35" i="206"/>
  <c r="BD6" i="206"/>
  <c r="BX25" i="206"/>
  <c r="BH50" i="206"/>
  <c r="BF6" i="206"/>
  <c r="BD26" i="206"/>
  <c r="BP47" i="206"/>
  <c r="BW13" i="206"/>
  <c r="BC28" i="206"/>
  <c r="BJ35" i="206"/>
  <c r="BC6" i="206"/>
  <c r="BU24" i="206"/>
  <c r="BW44" i="206"/>
  <c r="BI51" i="206"/>
  <c r="BT27" i="206"/>
  <c r="BM17" i="206"/>
  <c r="BS36" i="206"/>
  <c r="BX21" i="206"/>
  <c r="BF5" i="206"/>
  <c r="BR17" i="206"/>
  <c r="BP29" i="206"/>
  <c r="BR41" i="206"/>
  <c r="BC12" i="206"/>
  <c r="BE30" i="206"/>
  <c r="BL7" i="206"/>
  <c r="BF22" i="206"/>
  <c r="BO33" i="206"/>
  <c r="BH18" i="206"/>
  <c r="BH41" i="206"/>
  <c r="BM14" i="206"/>
  <c r="BE46" i="206"/>
  <c r="BF46" i="206"/>
  <c r="BJ7" i="206"/>
  <c r="BU7" i="206"/>
  <c r="BF9" i="206"/>
  <c r="BX28" i="206"/>
  <c r="BR28" i="206"/>
  <c r="BD13" i="206"/>
  <c r="BD39" i="206"/>
  <c r="BY8" i="206"/>
  <c r="BE22" i="206"/>
  <c r="BO35" i="206"/>
  <c r="BK47" i="206"/>
  <c r="BJ11" i="206"/>
  <c r="BZ19" i="206"/>
  <c r="BR47" i="206"/>
  <c r="BW8" i="206"/>
  <c r="BC40" i="206"/>
  <c r="BO48" i="206"/>
  <c r="BZ13" i="206"/>
  <c r="BG16" i="206"/>
  <c r="BM35" i="206"/>
  <c r="BX11" i="206"/>
  <c r="BL38" i="206"/>
  <c r="BR51" i="206"/>
  <c r="BU28" i="206"/>
  <c r="BT5" i="206"/>
  <c r="BN14" i="206"/>
  <c r="BV22" i="206"/>
  <c r="BF33" i="206"/>
  <c r="BD45" i="206"/>
  <c r="BP51" i="206"/>
  <c r="BQ8" i="206"/>
  <c r="BC15" i="206"/>
  <c r="BW21" i="206"/>
  <c r="BI29" i="206"/>
  <c r="BG35" i="206"/>
  <c r="BS41" i="206"/>
  <c r="BM50" i="206"/>
  <c r="BF24" i="206"/>
  <c r="BM9" i="206"/>
  <c r="BU45" i="206"/>
  <c r="BL48" i="206"/>
  <c r="BH7" i="206"/>
  <c r="BX12" i="206"/>
  <c r="BR30" i="206"/>
  <c r="BS12" i="206"/>
  <c r="BR10" i="206"/>
  <c r="BT30" i="206"/>
  <c r="BX51" i="206"/>
  <c r="BG17" i="206"/>
  <c r="BM31" i="206"/>
  <c r="BF11" i="206"/>
  <c r="BP18" i="206"/>
  <c r="BF39" i="206"/>
  <c r="BI7" i="206"/>
  <c r="BI26" i="206"/>
  <c r="BK46" i="206"/>
  <c r="BN47" i="206"/>
  <c r="CA18" i="206"/>
  <c r="BK38" i="206"/>
  <c r="BX32" i="206"/>
  <c r="BH8" i="206"/>
  <c r="BJ21" i="206"/>
  <c r="BI25" i="206"/>
  <c r="BH29" i="206"/>
  <c r="CA25" i="206"/>
  <c r="BJ15" i="206"/>
  <c r="BY20" i="206"/>
  <c r="BY37" i="206"/>
  <c r="BQ12" i="206"/>
  <c r="BV13" i="206"/>
  <c r="BG27" i="206"/>
  <c r="CA14" i="206"/>
  <c r="BN50" i="206"/>
  <c r="BH46" i="206"/>
  <c r="BT17" i="206"/>
  <c r="BL45" i="206"/>
  <c r="BI12" i="206"/>
  <c r="BO26" i="206"/>
  <c r="BY38" i="206"/>
  <c r="BG49" i="206"/>
  <c r="BN13" i="206"/>
  <c r="BV24" i="206"/>
  <c r="BI5" i="206"/>
  <c r="BS10" i="206"/>
  <c r="BQ41" i="206"/>
  <c r="BC50" i="206"/>
  <c r="BL33" i="206"/>
  <c r="BU17" i="206"/>
  <c r="CA36" i="206"/>
  <c r="BR18" i="206"/>
  <c r="BX41" i="206"/>
  <c r="BH12" i="206"/>
  <c r="BR21" i="206"/>
  <c r="BX29" i="206"/>
  <c r="BH44" i="206"/>
  <c r="BK12" i="206"/>
  <c r="BJ8" i="206"/>
  <c r="BV25" i="206"/>
  <c r="BT35" i="206"/>
  <c r="BZ46" i="206"/>
  <c r="BG5" i="206"/>
  <c r="BE10" i="206"/>
  <c r="BY16" i="206"/>
  <c r="BK24" i="206"/>
  <c r="BU36" i="206"/>
  <c r="BO45" i="206"/>
  <c r="CA51" i="206"/>
  <c r="BV35" i="206"/>
  <c r="BK25" i="206"/>
  <c r="BW48" i="206"/>
  <c r="BO16" i="206"/>
  <c r="BH21" i="206"/>
  <c r="BF37" i="206"/>
  <c r="BK22" i="206"/>
  <c r="BF16" i="206"/>
  <c r="BF36" i="206"/>
  <c r="BK7" i="206"/>
  <c r="BQ20" i="206"/>
  <c r="BK37" i="206"/>
  <c r="BZ11" i="206"/>
  <c r="BR19" i="206"/>
  <c r="BJ47" i="206"/>
  <c r="BO8" i="206"/>
  <c r="BW27" i="206"/>
  <c r="BG48" i="206"/>
  <c r="BF7" i="206"/>
  <c r="BC14" i="206"/>
  <c r="BI32" i="206"/>
  <c r="BP11" i="206"/>
  <c r="BP41" i="206"/>
  <c r="BX10" i="206"/>
  <c r="BX22" i="206"/>
  <c r="BL36" i="206"/>
  <c r="BJ49" i="206"/>
  <c r="BM21" i="206"/>
  <c r="BL5" i="206"/>
  <c r="BN12" i="206"/>
  <c r="BV16" i="206"/>
  <c r="BS31" i="206"/>
  <c r="BT19" i="206"/>
  <c r="BV29" i="206"/>
  <c r="BT39" i="206"/>
  <c r="BH51" i="206"/>
  <c r="BW9" i="206"/>
  <c r="BI16" i="206"/>
  <c r="BC24" i="206"/>
  <c r="BO30" i="206"/>
  <c r="CA37" i="206"/>
  <c r="BY44" i="206"/>
  <c r="BY52" i="206"/>
  <c r="BY50" i="206"/>
  <c r="BM48" i="206"/>
  <c r="BQ46" i="206"/>
  <c r="BE44" i="206"/>
  <c r="BS39" i="206"/>
  <c r="BG37" i="206"/>
  <c r="BY31" i="206"/>
  <c r="BM29" i="206"/>
  <c r="CA26" i="206"/>
  <c r="BO24" i="206"/>
  <c r="BC21" i="206"/>
  <c r="BG19" i="206"/>
  <c r="BY14" i="206"/>
  <c r="BC13" i="206"/>
  <c r="BQ10" i="206"/>
  <c r="BU8" i="206"/>
  <c r="BI6" i="206"/>
  <c r="BT51" i="206"/>
  <c r="BF48" i="206"/>
  <c r="BH45" i="206"/>
  <c r="BP39" i="206"/>
  <c r="BR36" i="206"/>
  <c r="BZ31" i="206"/>
  <c r="BJ29" i="206"/>
  <c r="BR25" i="206"/>
  <c r="BZ20" i="206"/>
  <c r="BH17" i="206"/>
  <c r="BJ12" i="206"/>
  <c r="BX5" i="206"/>
  <c r="BO31" i="206"/>
  <c r="BC29" i="206"/>
  <c r="BY21" i="206"/>
  <c r="BU13" i="206"/>
  <c r="BO12" i="206"/>
  <c r="BN51" i="206"/>
  <c r="BN49" i="206"/>
  <c r="BT44" i="206"/>
  <c r="BH38" i="206"/>
  <c r="BN30" i="206"/>
  <c r="BT20" i="206"/>
  <c r="BD16" i="206"/>
  <c r="BD12" i="206"/>
  <c r="BX6" i="206"/>
  <c r="BL37" i="206"/>
  <c r="BT21" i="206"/>
  <c r="BD15" i="206"/>
  <c r="BC38" i="206"/>
  <c r="BG36" i="206"/>
  <c r="BU32" i="206"/>
  <c r="BO18" i="206"/>
  <c r="BS16" i="206"/>
  <c r="BG14" i="206"/>
  <c r="BX33" i="206"/>
  <c r="BR13" i="206"/>
  <c r="BS48" i="206"/>
  <c r="BK44" i="206"/>
  <c r="BO40" i="206"/>
  <c r="BQ24" i="206"/>
  <c r="BI9" i="206"/>
  <c r="BH31" i="206"/>
  <c r="BP9" i="206"/>
  <c r="BN22" i="206"/>
  <c r="BN31" i="206"/>
  <c r="BV44" i="206"/>
  <c r="BZ52" i="206"/>
  <c r="BK11" i="206"/>
  <c r="BE18" i="206"/>
  <c r="BQ25" i="206"/>
  <c r="BC32" i="206"/>
  <c r="BW39" i="206"/>
  <c r="BU46" i="206"/>
  <c r="BU52" i="206"/>
  <c r="BI50" i="206"/>
  <c r="BW47" i="206"/>
  <c r="CA45" i="206"/>
  <c r="BO41" i="206"/>
  <c r="BC39" i="206"/>
  <c r="BQ36" i="206"/>
  <c r="BU33" i="206"/>
  <c r="BI31" i="206"/>
  <c r="BW28" i="206"/>
  <c r="BK26" i="206"/>
  <c r="BY22" i="206"/>
  <c r="BQ18" i="206"/>
  <c r="BU16" i="206"/>
  <c r="BI14" i="206"/>
  <c r="BM12" i="206"/>
  <c r="CA9" i="206"/>
  <c r="BE8" i="206"/>
  <c r="BS5" i="206"/>
  <c r="BD51" i="206"/>
  <c r="BL47" i="206"/>
  <c r="BR44" i="206"/>
  <c r="BZ38" i="206"/>
  <c r="BX35" i="206"/>
  <c r="BJ31" i="206"/>
  <c r="BR27" i="206"/>
  <c r="BX24" i="206"/>
  <c r="BJ20" i="206"/>
  <c r="BJ14" i="206"/>
  <c r="BV10" i="206"/>
  <c r="BV8" i="206"/>
  <c r="BH5" i="206"/>
  <c r="BY30" i="206"/>
  <c r="BE28" i="206"/>
  <c r="BY11" i="206"/>
  <c r="BT46" i="206"/>
  <c r="BD44" i="206"/>
  <c r="BR37" i="206"/>
  <c r="BR32" i="206"/>
  <c r="BT29" i="206"/>
  <c r="BV26" i="206"/>
  <c r="BT22" i="206"/>
  <c r="BD20" i="206"/>
  <c r="BN15" i="206"/>
  <c r="BL10" i="206"/>
  <c r="BH6" i="206"/>
  <c r="BJ50" i="206"/>
  <c r="BT32" i="206"/>
  <c r="BD21" i="206"/>
  <c r="BL11" i="206"/>
  <c r="BM37" i="206"/>
  <c r="BQ35" i="206"/>
  <c r="BE32" i="206"/>
  <c r="BY17" i="206"/>
  <c r="BC16" i="206"/>
  <c r="BX48" i="206"/>
  <c r="BH33" i="206"/>
  <c r="BR9" i="206"/>
  <c r="BK52" i="206"/>
  <c r="BO50" i="206"/>
  <c r="BC48" i="206"/>
  <c r="BG46" i="206"/>
  <c r="BU41" i="206"/>
  <c r="BY28" i="206"/>
  <c r="BM26" i="206"/>
  <c r="BE11" i="206"/>
  <c r="BS8" i="206"/>
  <c r="BG6" i="206"/>
  <c r="BT40" i="206"/>
  <c r="BR45" i="206"/>
  <c r="BF14" i="206"/>
  <c r="BF25" i="206"/>
  <c r="BL35" i="206"/>
  <c r="BN46" i="206"/>
  <c r="BM6" i="206"/>
  <c r="BG13" i="206"/>
  <c r="BS19" i="206"/>
  <c r="BE27" i="206"/>
  <c r="BY33" i="206"/>
  <c r="BK41" i="206"/>
  <c r="BI48" i="206"/>
  <c r="BE52" i="206"/>
  <c r="BS49" i="206"/>
  <c r="BG47" i="206"/>
  <c r="BK45" i="206"/>
  <c r="BY40" i="206"/>
  <c r="BM38" i="206"/>
  <c r="CA35" i="206"/>
  <c r="BE33" i="206"/>
  <c r="BS30" i="206"/>
  <c r="BG28" i="206"/>
  <c r="BU25" i="206"/>
  <c r="BI22" i="206"/>
  <c r="BM20" i="206"/>
  <c r="CA17" i="206"/>
  <c r="BE16" i="206"/>
  <c r="BW11" i="206"/>
  <c r="BO7" i="206"/>
  <c r="BC5" i="206"/>
  <c r="BL49" i="206"/>
  <c r="BR46" i="206"/>
  <c r="BZ40" i="206"/>
  <c r="BJ38" i="206"/>
  <c r="BH35" i="206"/>
  <c r="BP30" i="206"/>
  <c r="BX26" i="206"/>
  <c r="BH24" i="206"/>
  <c r="BP19" i="206"/>
  <c r="BR16" i="206"/>
  <c r="BP13" i="206"/>
  <c r="BF10" i="206"/>
  <c r="BF8" i="206"/>
  <c r="BQ39" i="206"/>
  <c r="BI30" i="206"/>
  <c r="BO22" i="206"/>
  <c r="BI21" i="206"/>
  <c r="BE13" i="206"/>
  <c r="BI11" i="206"/>
  <c r="BT50" i="206"/>
  <c r="BD46" i="206"/>
  <c r="BN41" i="206"/>
  <c r="BX36" i="206"/>
  <c r="BT31" i="206"/>
  <c r="BD29" i="206"/>
  <c r="BF26" i="206"/>
  <c r="BD22" i="206"/>
  <c r="BN17" i="206"/>
  <c r="BR5" i="206"/>
  <c r="BT41" i="206"/>
  <c r="BD32" i="206"/>
  <c r="BN18" i="206"/>
  <c r="BP7" i="206"/>
  <c r="BW36" i="206"/>
  <c r="CA33" i="206"/>
  <c r="BU19" i="206"/>
  <c r="BM15" i="206"/>
  <c r="BH48" i="206"/>
  <c r="BP27" i="206"/>
  <c r="BD8" i="206"/>
  <c r="BU51" i="206"/>
  <c r="BY49" i="206"/>
  <c r="BM47" i="206"/>
  <c r="BQ45" i="206"/>
  <c r="BE41" i="206"/>
  <c r="BS27" i="206"/>
  <c r="BW25" i="206"/>
  <c r="BO10" i="206"/>
  <c r="BC8" i="206"/>
  <c r="BQ5" i="206"/>
  <c r="BQ13" i="206"/>
  <c r="BF27" i="206"/>
  <c r="BF38" i="206"/>
  <c r="BJ48" i="206"/>
  <c r="BI8" i="206"/>
  <c r="BU14" i="206"/>
  <c r="BG21" i="206"/>
  <c r="CA28" i="206"/>
  <c r="BM36" i="206"/>
  <c r="BW49" i="206"/>
  <c r="BO51" i="206"/>
  <c r="BC49" i="206"/>
  <c r="BU44" i="206"/>
  <c r="BI40" i="206"/>
  <c r="BW37" i="206"/>
  <c r="BK35" i="206"/>
  <c r="BO32" i="206"/>
  <c r="BC30" i="206"/>
  <c r="BQ27" i="206"/>
  <c r="BE25" i="206"/>
  <c r="BS21" i="206"/>
  <c r="BW19" i="206"/>
  <c r="BK17" i="206"/>
  <c r="BO15" i="206"/>
  <c r="BS13" i="206"/>
  <c r="BG11" i="206"/>
  <c r="BK9" i="206"/>
  <c r="BY6" i="206"/>
  <c r="BN52" i="206"/>
  <c r="BV48" i="206"/>
  <c r="BX45" i="206"/>
  <c r="BJ40" i="206"/>
  <c r="BR33" i="206"/>
  <c r="BZ29" i="206"/>
  <c r="BH26" i="206"/>
  <c r="BR22" i="206"/>
  <c r="BX17" i="206"/>
  <c r="BZ14" i="206"/>
  <c r="BZ12" i="206"/>
  <c r="BL9" i="206"/>
  <c r="BR6" i="206"/>
  <c r="BG38" i="206"/>
  <c r="BS29" i="206"/>
  <c r="BO20" i="206"/>
  <c r="BD50" i="206"/>
  <c r="BN45" i="206"/>
  <c r="BX38" i="206"/>
  <c r="BH36" i="206"/>
  <c r="BD31" i="206"/>
  <c r="BN28" i="206"/>
  <c r="BL25" i="206"/>
  <c r="BN21" i="206"/>
  <c r="BT16" i="206"/>
  <c r="BT12" i="206"/>
  <c r="BT8" i="206"/>
  <c r="BZ50" i="206"/>
  <c r="BD41" i="206"/>
  <c r="BL28" i="206"/>
  <c r="BT15" i="206"/>
  <c r="BW38" i="206"/>
  <c r="BK33" i="206"/>
  <c r="BE19" i="206"/>
  <c r="BI17" i="206"/>
  <c r="BW14" i="206"/>
  <c r="BF47" i="206"/>
  <c r="BT18" i="206"/>
  <c r="CA52" i="206"/>
  <c r="BE51" i="206"/>
  <c r="BI49" i="206"/>
  <c r="BW46" i="206"/>
  <c r="CA44" i="206"/>
  <c r="BC27" i="206"/>
  <c r="BG25" i="206"/>
  <c r="BY9" i="206"/>
  <c r="BM7" i="206"/>
  <c r="BX52" i="206"/>
  <c r="BM52" i="206"/>
  <c r="BQ50" i="206"/>
  <c r="BI46" i="206"/>
  <c r="BW41" i="206"/>
  <c r="BK39" i="206"/>
  <c r="BO37" i="206"/>
  <c r="BS35" i="206"/>
  <c r="BW32" i="206"/>
  <c r="CA30" i="206"/>
  <c r="BO28" i="206"/>
  <c r="CA21" i="206"/>
  <c r="BO19" i="206"/>
  <c r="BS17" i="206"/>
  <c r="BG15" i="206"/>
  <c r="BU12" i="206"/>
  <c r="BI10" i="206"/>
  <c r="BW7" i="206"/>
  <c r="BK5" i="206"/>
  <c r="BL51" i="206"/>
  <c r="BT47" i="206"/>
  <c r="BP45" i="206"/>
  <c r="BX39" i="206"/>
  <c r="BJ36" i="206"/>
  <c r="BR31" i="206"/>
  <c r="BR29" i="206"/>
  <c r="BZ25" i="206"/>
  <c r="BJ22" i="206"/>
  <c r="BP17" i="206"/>
  <c r="BX13" i="206"/>
  <c r="BD11" i="206"/>
  <c r="BD9" i="206"/>
  <c r="BP5" i="206"/>
  <c r="BK29" i="206"/>
  <c r="BG22" i="206"/>
  <c r="BM13" i="206"/>
  <c r="BQ11" i="206"/>
  <c r="BL50" i="206"/>
  <c r="BV45" i="206"/>
  <c r="BV41" i="206"/>
  <c r="BZ32" i="206"/>
  <c r="BF30" i="206"/>
  <c r="BN26" i="206"/>
  <c r="BL22" i="206"/>
  <c r="BV17" i="206"/>
  <c r="BV15" i="206"/>
  <c r="BD10" i="206"/>
  <c r="BJ5" i="206"/>
  <c r="BT28" i="206"/>
  <c r="BF18" i="206"/>
  <c r="BX7" i="206"/>
  <c r="BU37" i="206"/>
  <c r="BI35" i="206"/>
  <c r="BG20" i="206"/>
  <c r="BQ17" i="206"/>
  <c r="BP48" i="206"/>
  <c r="BX27" i="206"/>
  <c r="BJ9" i="206"/>
  <c r="BQ49" i="206"/>
  <c r="BE47" i="206"/>
  <c r="BW40" i="206"/>
  <c r="BW10" i="206"/>
  <c r="BK8" i="206"/>
  <c r="BF13" i="206"/>
  <c r="BF19" i="206"/>
  <c r="BR35" i="206"/>
  <c r="BM5" i="206"/>
  <c r="BE9" i="206"/>
  <c r="BY26" i="206"/>
  <c r="BM45" i="206"/>
  <c r="BK50" i="206"/>
  <c r="BN9" i="206"/>
  <c r="BZ39" i="206"/>
  <c r="BY15" i="206"/>
  <c r="BQ32" i="206"/>
  <c r="BW6" i="206"/>
  <c r="CA49" i="206"/>
  <c r="BE48" i="206"/>
  <c r="BS45" i="206"/>
  <c r="BG41" i="206"/>
  <c r="BU38" i="206"/>
  <c r="BY36" i="206"/>
  <c r="BC35" i="206"/>
  <c r="BK30" i="206"/>
  <c r="BS26" i="206"/>
  <c r="BW24" i="206"/>
  <c r="BK21" i="206"/>
  <c r="BY18" i="206"/>
  <c r="BC17" i="206"/>
  <c r="BQ14" i="206"/>
  <c r="BE12" i="206"/>
  <c r="BS9" i="206"/>
  <c r="BG7" i="206"/>
  <c r="BV52" i="206"/>
  <c r="BT49" i="206"/>
  <c r="BZ44" i="206"/>
  <c r="BH39" i="206"/>
  <c r="BP35" i="206"/>
  <c r="BX30" i="206"/>
  <c r="BZ27" i="206"/>
  <c r="BJ25" i="206"/>
  <c r="BR20" i="206"/>
  <c r="BZ16" i="206"/>
  <c r="BN8" i="206"/>
  <c r="BY39" i="206"/>
  <c r="BG31" i="206"/>
  <c r="BQ28" i="206"/>
  <c r="BQ21" i="206"/>
  <c r="BW12" i="206"/>
  <c r="BV49" i="206"/>
  <c r="BZ37" i="206"/>
  <c r="BJ32" i="206"/>
  <c r="BL29" i="206"/>
  <c r="BT25" i="206"/>
  <c r="BV21" i="206"/>
  <c r="BF17" i="206"/>
  <c r="BF15" i="206"/>
  <c r="BL8" i="206"/>
  <c r="BR50" i="206"/>
  <c r="BT37" i="206"/>
  <c r="BD28" i="206"/>
  <c r="BD7" i="206"/>
  <c r="BE37" i="206"/>
  <c r="BS33" i="206"/>
  <c r="BM19" i="206"/>
  <c r="CA16" i="206"/>
  <c r="BE15" i="206"/>
  <c r="BV47" i="206"/>
  <c r="BH27" i="206"/>
  <c r="BN7" i="206"/>
  <c r="BM51" i="206"/>
  <c r="CA48" i="206"/>
  <c r="BO46" i="206"/>
  <c r="BS44" i="206"/>
  <c r="BG40" i="206"/>
  <c r="BU26" i="206"/>
  <c r="BO25" i="206"/>
  <c r="BG10" i="206"/>
  <c r="BR7" i="206"/>
  <c r="BH14" i="206"/>
  <c r="BV19" i="206"/>
  <c r="BN39" i="206"/>
  <c r="BK6" i="206"/>
  <c r="BK10" i="206"/>
  <c r="BM28" i="206"/>
  <c r="BS46" i="206"/>
  <c r="BQ51" i="206"/>
  <c r="BZ47" i="206"/>
  <c r="BW51" i="206"/>
  <c r="BK49" i="206"/>
  <c r="BO47" i="206"/>
  <c r="BC45" i="206"/>
  <c r="BQ40" i="206"/>
  <c r="BE38" i="206"/>
  <c r="BI36" i="206"/>
  <c r="BG32" i="206"/>
  <c r="BU29" i="206"/>
  <c r="BY27" i="206"/>
  <c r="BC26" i="206"/>
  <c r="BG24" i="206"/>
  <c r="BU20" i="206"/>
  <c r="BI18" i="206"/>
  <c r="BM16" i="206"/>
  <c r="CA13" i="206"/>
  <c r="BO11" i="206"/>
  <c r="BC9" i="206"/>
  <c r="BQ6" i="206"/>
  <c r="BD49" i="206"/>
  <c r="BD47" i="206"/>
  <c r="BJ44" i="206"/>
  <c r="BR38" i="206"/>
  <c r="BZ33" i="206"/>
  <c r="BJ27" i="206"/>
  <c r="BP24" i="206"/>
  <c r="BX19" i="206"/>
  <c r="BJ16" i="206"/>
  <c r="BH13" i="206"/>
  <c r="BN10" i="206"/>
  <c r="BZ6" i="206"/>
  <c r="BI39" i="206"/>
  <c r="BQ30" i="206"/>
  <c r="CA20" i="206"/>
  <c r="BV51" i="206"/>
  <c r="BF49" i="206"/>
  <c r="BF45" i="206"/>
  <c r="BF41" i="206"/>
  <c r="BJ37" i="206"/>
  <c r="BL31" i="206"/>
  <c r="BV28" i="206"/>
  <c r="BD25" i="206"/>
  <c r="BF21" i="206"/>
  <c r="BL12" i="206"/>
  <c r="BP6" i="206"/>
  <c r="BV46" i="206"/>
  <c r="BD37" i="206"/>
  <c r="BL21" i="206"/>
  <c r="BL15" i="206"/>
  <c r="BO36" i="206"/>
  <c r="BC33" i="206"/>
  <c r="BW18" i="206"/>
  <c r="BK16" i="206"/>
  <c r="BO14" i="206"/>
  <c r="BR39" i="206"/>
  <c r="BD18" i="206"/>
  <c r="BS52" i="206"/>
  <c r="BW50" i="206"/>
  <c r="BK48" i="206"/>
  <c r="BY45" i="206"/>
  <c r="BC44" i="206"/>
  <c r="CA27" i="206"/>
  <c r="BY24" i="206"/>
  <c r="BQ9" i="206"/>
  <c r="BX14" i="206"/>
  <c r="BN24" i="206"/>
  <c r="BX40" i="206"/>
  <c r="BE7" i="206"/>
  <c r="BM24" i="206"/>
  <c r="CA40" i="206"/>
  <c r="BY47" i="206"/>
  <c r="BL18" i="206"/>
  <c r="BT48" i="206"/>
  <c r="BK18" i="206"/>
  <c r="BV39" i="206"/>
  <c r="BG51" i="206"/>
  <c r="BU48" i="206"/>
  <c r="BY46" i="206"/>
  <c r="BM44" i="206"/>
  <c r="CA39" i="206"/>
  <c r="BM33" i="206"/>
  <c r="BQ31" i="206"/>
  <c r="BE29" i="206"/>
  <c r="BI27" i="206"/>
  <c r="BM25" i="206"/>
  <c r="BQ22" i="206"/>
  <c r="BE20" i="206"/>
  <c r="BW15" i="206"/>
  <c r="BK13" i="206"/>
  <c r="BY10" i="206"/>
  <c r="BM8" i="206"/>
  <c r="CA5" i="206"/>
  <c r="BF52" i="206"/>
  <c r="BN48" i="206"/>
  <c r="BJ46" i="206"/>
  <c r="BR40" i="206"/>
  <c r="BZ36" i="206"/>
  <c r="BJ33" i="206"/>
  <c r="BH30" i="206"/>
  <c r="BP26" i="206"/>
  <c r="BZ22" i="206"/>
  <c r="BH19" i="206"/>
  <c r="BR14" i="206"/>
  <c r="BR12" i="206"/>
  <c r="BT9" i="206"/>
  <c r="BJ6" i="206"/>
  <c r="BW31" i="206"/>
  <c r="CA29" i="206"/>
  <c r="BW22" i="206"/>
  <c r="BC20" i="206"/>
  <c r="BG12" i="206"/>
  <c r="BF51" i="206"/>
  <c r="BL46" i="206"/>
  <c r="BL44" i="206"/>
  <c r="BP38" i="206"/>
  <c r="BP36" i="206"/>
  <c r="BV30" i="206"/>
  <c r="BF28" i="206"/>
  <c r="BL20" i="206"/>
  <c r="BL16" i="206"/>
  <c r="BT10" i="206"/>
  <c r="BZ5" i="206"/>
  <c r="BL41" i="206"/>
  <c r="BL32" i="206"/>
  <c r="BV18" i="206"/>
  <c r="BT11" i="206"/>
  <c r="BO38" i="206"/>
  <c r="BY35" i="206"/>
  <c r="BM32" i="206"/>
  <c r="BG18" i="206"/>
  <c r="BU15" i="206"/>
  <c r="BP52" i="206"/>
  <c r="BP33" i="206"/>
  <c r="BZ9" i="206"/>
  <c r="BC52" i="206"/>
  <c r="BG50" i="206"/>
  <c r="BU47" i="206"/>
  <c r="BI45" i="206"/>
  <c r="BM41" i="206"/>
  <c r="BK27" i="206"/>
  <c r="BE26" i="206"/>
  <c r="BI24" i="206"/>
  <c r="CA8" i="206"/>
  <c r="BN11" i="206"/>
  <c r="BF32" i="206"/>
  <c r="BL52" i="206"/>
  <c r="BY7" i="206"/>
  <c r="BS25" i="206"/>
  <c r="BG44" i="206"/>
  <c r="BE49" i="206"/>
  <c r="BW52" i="206"/>
  <c r="BD33" i="206"/>
  <c r="BS14" i="206"/>
  <c r="BQ19" i="206"/>
  <c r="BI37" i="206"/>
  <c r="BS38" i="206"/>
  <c r="BH28" i="206"/>
  <c r="BN5" i="206"/>
  <c r="BZ15" i="206"/>
  <c r="BZ21" i="206"/>
  <c r="BJ30" i="206"/>
  <c r="BJ45" i="206"/>
  <c r="BU11" i="206"/>
  <c r="CA22" i="206"/>
  <c r="BD5" i="206"/>
  <c r="BF12" i="206"/>
  <c r="BL19" i="206"/>
  <c r="BT26" i="206"/>
  <c r="BD35" i="206"/>
  <c r="BN44" i="206"/>
  <c r="BX49" i="206"/>
  <c r="BU6" i="206"/>
  <c r="BE14" i="206"/>
  <c r="BC19" i="206"/>
  <c r="CA24" i="206"/>
  <c r="BE31" i="206"/>
  <c r="BW35" i="206"/>
  <c r="BU40" i="206"/>
  <c r="BS47" i="206"/>
  <c r="BQ52" i="206"/>
  <c r="BE17" i="206"/>
  <c r="BH11" i="206"/>
  <c r="BP32" i="206"/>
  <c r="BT6" i="206"/>
  <c r="BH25" i="206"/>
  <c r="BP31" i="206"/>
  <c r="BT38" i="206"/>
  <c r="BP46" i="206"/>
  <c r="CA12" i="206"/>
  <c r="BO29" i="206"/>
  <c r="BN6" i="206"/>
  <c r="BL13" i="206"/>
  <c r="BV20" i="206"/>
  <c r="BF29" i="206"/>
  <c r="BN36" i="206"/>
  <c r="BT45" i="206"/>
  <c r="BJ52" i="206"/>
  <c r="CA7" i="206"/>
  <c r="BS11" i="206"/>
  <c r="BK15" i="206"/>
  <c r="BI20" i="206"/>
  <c r="BS28" i="206"/>
  <c r="BK32" i="206"/>
  <c r="BC37" i="206"/>
  <c r="CA41" i="206"/>
  <c r="BY48" i="206"/>
  <c r="BW33" i="206"/>
  <c r="BP15" i="206"/>
  <c r="BX37" i="206"/>
  <c r="BH10" i="206"/>
  <c r="BJ17" i="206"/>
  <c r="BR26" i="206"/>
  <c r="BD36" i="206"/>
  <c r="BZ49" i="206"/>
  <c r="BK20" i="206"/>
  <c r="BU30" i="206"/>
  <c r="BR8" i="206"/>
  <c r="BV14" i="206"/>
  <c r="BD24" i="206"/>
  <c r="BL30" i="206"/>
  <c r="BV38" i="206"/>
  <c r="BH47" i="206"/>
  <c r="BG9" i="206"/>
  <c r="BQ16" i="206"/>
  <c r="BO21" i="206"/>
  <c r="BG26" i="206"/>
  <c r="BY29" i="206"/>
  <c r="BQ33" i="206"/>
  <c r="BI38" i="206"/>
  <c r="BG45" i="206"/>
  <c r="BE50" i="206"/>
  <c r="BC36" i="206"/>
  <c r="BZ18" i="206"/>
  <c r="BF50" i="206"/>
  <c r="BP12" i="206"/>
  <c r="BP20" i="206"/>
  <c r="BZ28" i="206"/>
  <c r="BN37" i="206"/>
  <c r="BZ41" i="206"/>
  <c r="BJ51" i="206"/>
  <c r="BU21" i="206"/>
  <c r="CA31" i="206"/>
  <c r="BX9" i="206"/>
  <c r="BD17" i="206"/>
  <c r="BN25" i="206"/>
  <c r="BV31" i="206"/>
  <c r="BF40" i="206"/>
  <c r="BR48" i="206"/>
  <c r="BO5" i="206"/>
  <c r="BM10" i="206"/>
  <c r="BY12" i="206"/>
  <c r="BW17" i="206"/>
  <c r="BU22" i="206"/>
  <c r="BM27" i="206"/>
  <c r="BO39" i="206"/>
  <c r="BM46" i="206"/>
  <c r="BK51" i="206"/>
  <c r="BN32" i="206"/>
  <c r="BZ24" i="206"/>
  <c r="Y24" i="206" s="1"/>
  <c r="BO17" i="206"/>
  <c r="BT52" i="206"/>
  <c r="BL6" i="206"/>
  <c r="F19" i="204"/>
  <c r="B25" i="204" s="1"/>
  <c r="V38" i="208"/>
  <c r="CX38" i="208"/>
  <c r="U12" i="208"/>
  <c r="CW12" i="208"/>
  <c r="H6" i="208"/>
  <c r="CJ6" i="208"/>
  <c r="W11" i="208"/>
  <c r="CY11" i="208"/>
  <c r="BU39" i="206"/>
  <c r="BP50" i="206"/>
  <c r="BX16" i="206"/>
  <c r="BX20" i="206"/>
  <c r="W20" i="206" s="1"/>
  <c r="CA10" i="206"/>
  <c r="CA50" i="206"/>
  <c r="BO27" i="206"/>
  <c r="BZ10" i="206"/>
  <c r="DA10" i="206" s="1"/>
  <c r="BV32" i="206"/>
  <c r="CP29" i="208"/>
  <c r="CQ5" i="208"/>
  <c r="CK20" i="208"/>
  <c r="CS36" i="208"/>
  <c r="CH13" i="208"/>
  <c r="CD48" i="208"/>
  <c r="CU31" i="208"/>
  <c r="CS7" i="208"/>
  <c r="CJ29" i="208"/>
  <c r="BP10" i="5"/>
  <c r="AP10" i="5"/>
  <c r="BQ10" i="5"/>
  <c r="AQ10" i="5"/>
  <c r="I44" i="208"/>
  <c r="CK44" i="208"/>
  <c r="CG5" i="208"/>
  <c r="E5" i="208"/>
  <c r="O37" i="208"/>
  <c r="CQ37" i="208"/>
  <c r="BV11" i="206"/>
  <c r="BX8" i="206"/>
  <c r="BC46" i="206"/>
  <c r="BV36" i="206"/>
  <c r="U36" i="206" s="1"/>
  <c r="CY27" i="208"/>
  <c r="CO9" i="208"/>
  <c r="CO18" i="208"/>
  <c r="CV47" i="208"/>
  <c r="CK30" i="208"/>
  <c r="BS5" i="5"/>
  <c r="BP10" i="206"/>
  <c r="BS37" i="206"/>
  <c r="R37" i="206" s="1"/>
  <c r="BJ26" i="206"/>
  <c r="BM11" i="206"/>
  <c r="BG8" i="206"/>
  <c r="BX44" i="206"/>
  <c r="W44" i="206" s="1"/>
  <c r="BU9" i="206"/>
  <c r="BI13" i="206"/>
  <c r="BZ8" i="206"/>
  <c r="BG33" i="206"/>
  <c r="F33" i="206" s="1"/>
  <c r="BL40" i="206"/>
  <c r="BE21" i="206"/>
  <c r="BE24" i="206"/>
  <c r="BS7" i="206"/>
  <c r="R7" i="206" s="1"/>
  <c r="BZ35" i="206"/>
  <c r="BF44" i="206"/>
  <c r="BI15" i="206"/>
  <c r="BO9" i="206"/>
  <c r="N9" i="206" s="1"/>
  <c r="BV9" i="206"/>
  <c r="BE36" i="206"/>
  <c r="BV33" i="206"/>
  <c r="CB30" i="207"/>
  <c r="CH37" i="208"/>
  <c r="T15" i="208"/>
  <c r="DB18" i="208"/>
  <c r="CZ22" i="208"/>
  <c r="CE10" i="208"/>
  <c r="CH19" i="208"/>
  <c r="BJ41" i="206"/>
  <c r="B26" i="204"/>
  <c r="Y8" i="208"/>
  <c r="DA8" i="208"/>
  <c r="W26" i="208"/>
  <c r="CY26" i="208"/>
  <c r="T29" i="208"/>
  <c r="CV29" i="208"/>
  <c r="P9" i="208"/>
  <c r="CR9" i="208"/>
  <c r="X30" i="208"/>
  <c r="CZ30" i="208"/>
  <c r="N44" i="208"/>
  <c r="CP44" i="208"/>
  <c r="D45" i="208"/>
  <c r="CF45" i="208"/>
  <c r="CD5" i="5"/>
  <c r="BY5" i="206"/>
  <c r="CB5" i="206" s="1"/>
  <c r="BP49" i="206"/>
  <c r="BN19" i="206"/>
  <c r="BN33" i="206"/>
  <c r="BT24" i="206"/>
  <c r="S24" i="206" s="1"/>
  <c r="BK28" i="206"/>
  <c r="BS40" i="206"/>
  <c r="BQ47" i="206"/>
  <c r="CF31" i="208"/>
  <c r="CV30" i="208"/>
  <c r="CG14" i="208"/>
  <c r="CZ24" i="208"/>
  <c r="BS18" i="206"/>
  <c r="R18" i="206" s="1"/>
  <c r="BX47" i="206"/>
  <c r="BH52" i="206"/>
  <c r="BC11" i="206"/>
  <c r="BM49" i="206"/>
  <c r="L49" i="206" s="1"/>
  <c r="BF31" i="206"/>
  <c r="BL27" i="206"/>
  <c r="BR52" i="206"/>
  <c r="BS20" i="206"/>
  <c r="R20" i="206" s="1"/>
  <c r="BT33" i="206"/>
  <c r="BW26" i="206"/>
  <c r="BP22" i="206"/>
  <c r="BD14" i="206"/>
  <c r="BD53" i="206" s="1"/>
  <c r="CE53" i="206" s="1"/>
  <c r="BS22" i="206"/>
  <c r="BH9" i="206"/>
  <c r="BM22" i="206"/>
  <c r="BP21" i="206"/>
  <c r="O21" i="206" s="1"/>
  <c r="BS51" i="206"/>
  <c r="BN29" i="206"/>
  <c r="BF35" i="206"/>
  <c r="BK19" i="206"/>
  <c r="CL19" i="206" s="1"/>
  <c r="BH15" i="206"/>
  <c r="D10" i="208"/>
  <c r="CQ8" i="208"/>
  <c r="DA29" i="208"/>
  <c r="CF26" i="208"/>
  <c r="CU15" i="208"/>
  <c r="CQ46" i="208"/>
  <c r="CZ31" i="208"/>
  <c r="CO51" i="208"/>
  <c r="CO20" i="208"/>
  <c r="CT7" i="208"/>
  <c r="CL8" i="208"/>
  <c r="CD19" i="208"/>
  <c r="CK33" i="208"/>
  <c r="CV31" i="208"/>
  <c r="L26" i="208"/>
  <c r="CY15" i="208"/>
  <c r="CL36" i="208"/>
  <c r="CQ40" i="208"/>
  <c r="CB5" i="207"/>
  <c r="CB15" i="207"/>
  <c r="CB49" i="207"/>
  <c r="CB46" i="208"/>
  <c r="CF38" i="208"/>
  <c r="CE54" i="5"/>
  <c r="Z30" i="183"/>
  <c r="I30" i="183"/>
  <c r="Z34" i="183"/>
  <c r="AM7" i="5"/>
  <c r="BM7" i="5"/>
  <c r="BW10" i="5"/>
  <c r="AW10" i="5"/>
  <c r="AW7" i="5"/>
  <c r="BW7" i="5"/>
  <c r="BZ10" i="5"/>
  <c r="AZ10" i="5"/>
  <c r="BI10" i="5"/>
  <c r="AI10" i="5"/>
  <c r="CA5" i="5"/>
  <c r="BJ7" i="5"/>
  <c r="BC7" i="5"/>
  <c r="CC7" i="5"/>
  <c r="AR7" i="5"/>
  <c r="BR7" i="5"/>
  <c r="AX7" i="5"/>
  <c r="BX7" i="5"/>
  <c r="BQ7" i="5"/>
  <c r="AQ7" i="5"/>
  <c r="AF7" i="5"/>
  <c r="BF7" i="5"/>
  <c r="AP7" i="5"/>
  <c r="BP7" i="5"/>
  <c r="BX5" i="5"/>
  <c r="BY10" i="5"/>
  <c r="AY10" i="5"/>
  <c r="BG10" i="5"/>
  <c r="DE10" i="5"/>
  <c r="AG10" i="5"/>
  <c r="AG7" i="5"/>
  <c r="BG7" i="5"/>
  <c r="BS7" i="5"/>
  <c r="AS7" i="5"/>
  <c r="BJ10" i="5"/>
  <c r="AJ10" i="5"/>
  <c r="BV7" i="5"/>
  <c r="AV7" i="5"/>
  <c r="AK7" i="5"/>
  <c r="BK7" i="5"/>
  <c r="BK10" i="5"/>
  <c r="AK10" i="5"/>
  <c r="AL7" i="5"/>
  <c r="BL7" i="5"/>
  <c r="AT10" i="5"/>
  <c r="BO10" i="5"/>
  <c r="AO10" i="5"/>
  <c r="BB7" i="5"/>
  <c r="CB7" i="5"/>
  <c r="CC10" i="5"/>
  <c r="BC10" i="5"/>
  <c r="BR10" i="5"/>
  <c r="AR10" i="5"/>
  <c r="BU7" i="5"/>
  <c r="AU7" i="5"/>
  <c r="BS10" i="5"/>
  <c r="AS10" i="5"/>
  <c r="AK6" i="5"/>
  <c r="AY6" i="5"/>
  <c r="AV6" i="5"/>
  <c r="BC6" i="5"/>
  <c r="AL6" i="5"/>
  <c r="BD6" i="5"/>
  <c r="BA6" i="5"/>
  <c r="AM6" i="5"/>
  <c r="AW6" i="5"/>
  <c r="AZ6" i="5"/>
  <c r="AX6" i="5"/>
  <c r="AN6" i="5"/>
  <c r="AS6" i="5"/>
  <c r="AT6" i="5"/>
  <c r="AG6" i="5"/>
  <c r="AJ6" i="5"/>
  <c r="AF6" i="5"/>
  <c r="AU6" i="5"/>
  <c r="AH6" i="5"/>
  <c r="AQ6" i="5"/>
  <c r="BB6" i="5"/>
  <c r="AI6" i="5"/>
  <c r="AO6" i="5"/>
  <c r="AP6" i="5"/>
  <c r="C12" i="127"/>
  <c r="AE17" i="115"/>
  <c r="AG13" i="115"/>
  <c r="AE13" i="115"/>
  <c r="AK5" i="5"/>
  <c r="AW5" i="5"/>
  <c r="BP5" i="5"/>
  <c r="M30" i="208"/>
  <c r="CO30" i="208"/>
  <c r="W22" i="208"/>
  <c r="CY22" i="208"/>
  <c r="B14" i="208"/>
  <c r="CD14" i="208"/>
  <c r="K15" i="208"/>
  <c r="CM15" i="208"/>
  <c r="G33" i="208"/>
  <c r="CI33" i="208"/>
  <c r="K10" i="208"/>
  <c r="CM10" i="208"/>
  <c r="G5" i="208"/>
  <c r="CI5" i="208"/>
  <c r="U30" i="208"/>
  <c r="CW30" i="208"/>
  <c r="E47" i="208"/>
  <c r="CG47" i="208"/>
  <c r="R22" i="208"/>
  <c r="CT22" i="208"/>
  <c r="I22" i="208"/>
  <c r="CK22" i="208"/>
  <c r="R45" i="208"/>
  <c r="CT45" i="208"/>
  <c r="F39" i="208"/>
  <c r="CH39" i="208"/>
  <c r="P11" i="208"/>
  <c r="CR11" i="208"/>
  <c r="O48" i="208"/>
  <c r="CQ48" i="208"/>
  <c r="L24" i="208"/>
  <c r="CN24" i="208"/>
  <c r="X50" i="208"/>
  <c r="CZ50" i="208"/>
  <c r="T6" i="208"/>
  <c r="CV6" i="208"/>
  <c r="W44" i="208"/>
  <c r="CY44" i="208"/>
  <c r="E49" i="208"/>
  <c r="CG49" i="208"/>
  <c r="Q22" i="208"/>
  <c r="CS22" i="208"/>
  <c r="E38" i="208"/>
  <c r="CG38" i="208"/>
  <c r="Z47" i="208"/>
  <c r="DB47" i="208"/>
  <c r="R40" i="208"/>
  <c r="CT40" i="208"/>
  <c r="E33" i="208"/>
  <c r="CG33" i="208"/>
  <c r="S19" i="208"/>
  <c r="CU19" i="208"/>
  <c r="D28" i="208"/>
  <c r="CF28" i="208"/>
  <c r="S38" i="208"/>
  <c r="CU38" i="208"/>
  <c r="R24" i="208"/>
  <c r="CT24" i="208"/>
  <c r="O25" i="208"/>
  <c r="CQ25" i="208"/>
  <c r="S10" i="208"/>
  <c r="CU10" i="208"/>
  <c r="S50" i="208"/>
  <c r="CU50" i="208"/>
  <c r="V15" i="208"/>
  <c r="CX15" i="208"/>
  <c r="H7" i="208"/>
  <c r="CJ7" i="208"/>
  <c r="X20" i="208"/>
  <c r="CZ20" i="208"/>
  <c r="Y35" i="208"/>
  <c r="DA35" i="208"/>
  <c r="I25" i="208"/>
  <c r="CK25" i="208"/>
  <c r="V50" i="208"/>
  <c r="CX50" i="208"/>
  <c r="E7" i="208"/>
  <c r="CG7" i="208"/>
  <c r="D11" i="208"/>
  <c r="CF11" i="208"/>
  <c r="Q39" i="208"/>
  <c r="CS39" i="208"/>
  <c r="W13" i="208"/>
  <c r="CY13" i="208"/>
  <c r="Q9" i="208"/>
  <c r="CS9" i="208"/>
  <c r="F15" i="208"/>
  <c r="CH15" i="208"/>
  <c r="N45" i="208"/>
  <c r="CP45" i="208"/>
  <c r="B41" i="208"/>
  <c r="CD41" i="208"/>
  <c r="G44" i="208"/>
  <c r="CI44" i="208"/>
  <c r="U36" i="208"/>
  <c r="CW36" i="208"/>
  <c r="C26" i="208"/>
  <c r="CE26" i="208"/>
  <c r="P38" i="208"/>
  <c r="CR38" i="208"/>
  <c r="F21" i="208"/>
  <c r="CH21" i="208"/>
  <c r="F9" i="208"/>
  <c r="CH9" i="208"/>
  <c r="C19" i="208"/>
  <c r="CE19" i="208"/>
  <c r="N13" i="208"/>
  <c r="CP13" i="208"/>
  <c r="M33" i="208"/>
  <c r="CO33" i="208"/>
  <c r="T8" i="208"/>
  <c r="CV8" i="208"/>
  <c r="D33" i="208"/>
  <c r="CF33" i="208"/>
  <c r="N15" i="208"/>
  <c r="CP15" i="208"/>
  <c r="H38" i="208"/>
  <c r="CJ38" i="208"/>
  <c r="S40" i="208"/>
  <c r="CU40" i="208"/>
  <c r="P49" i="208"/>
  <c r="CR49" i="208"/>
  <c r="T26" i="208"/>
  <c r="CV26" i="208"/>
  <c r="W50" i="208"/>
  <c r="CY50" i="208"/>
  <c r="H12" i="208"/>
  <c r="CJ12" i="208"/>
  <c r="J45" i="208"/>
  <c r="CL45" i="208"/>
  <c r="E17" i="208"/>
  <c r="CG17" i="208"/>
  <c r="Y21" i="208"/>
  <c r="DA21" i="208"/>
  <c r="Z36" i="208"/>
  <c r="DB36" i="208"/>
  <c r="Z49" i="208"/>
  <c r="DB49" i="208"/>
  <c r="P25" i="208"/>
  <c r="CR25" i="208"/>
  <c r="Z26" i="208"/>
  <c r="DB26" i="208"/>
  <c r="L20" i="208"/>
  <c r="CN20" i="208"/>
  <c r="W35" i="208"/>
  <c r="CY35" i="208"/>
  <c r="W28" i="208"/>
  <c r="CY28" i="208"/>
  <c r="H18" i="208"/>
  <c r="CJ18" i="208"/>
  <c r="Q18" i="208"/>
  <c r="CS18" i="208"/>
  <c r="V13" i="208"/>
  <c r="CX13" i="208"/>
  <c r="E32" i="208"/>
  <c r="CG32" i="208"/>
  <c r="W40" i="208"/>
  <c r="CY40" i="208"/>
  <c r="R50" i="208"/>
  <c r="CT50" i="208"/>
  <c r="N12" i="208"/>
  <c r="CP12" i="208"/>
  <c r="X10" i="208"/>
  <c r="CZ10" i="208"/>
  <c r="Q10" i="208"/>
  <c r="CS10" i="208"/>
  <c r="T25" i="208"/>
  <c r="CV25" i="208"/>
  <c r="Q45" i="208"/>
  <c r="CS45" i="208"/>
  <c r="R51" i="208"/>
  <c r="CT51" i="208"/>
  <c r="J27" i="208"/>
  <c r="CL27" i="208"/>
  <c r="E13" i="208"/>
  <c r="CG13" i="208"/>
  <c r="N17" i="208"/>
  <c r="CP17" i="208"/>
  <c r="C21" i="208"/>
  <c r="CE21" i="208"/>
  <c r="G35" i="208"/>
  <c r="CI35" i="208"/>
  <c r="K50" i="208"/>
  <c r="CM50" i="208"/>
  <c r="P18" i="208"/>
  <c r="CR18" i="208"/>
  <c r="K38" i="208"/>
  <c r="CM38" i="208"/>
  <c r="E6" i="208"/>
  <c r="CG6" i="208"/>
  <c r="U31" i="208"/>
  <c r="CW31" i="208"/>
  <c r="O16" i="208"/>
  <c r="CQ16" i="208"/>
  <c r="J19" i="208"/>
  <c r="CL19" i="208"/>
  <c r="E19" i="208"/>
  <c r="CG19" i="208"/>
  <c r="W38" i="208"/>
  <c r="CY38" i="208"/>
  <c r="P12" i="208"/>
  <c r="CR12" i="208"/>
  <c r="O26" i="208"/>
  <c r="CQ26" i="208"/>
  <c r="X52" i="208"/>
  <c r="CZ52" i="208"/>
  <c r="Y26" i="208"/>
  <c r="DA26" i="208"/>
  <c r="K31" i="208"/>
  <c r="CM31" i="208"/>
  <c r="N51" i="208"/>
  <c r="CP51" i="208"/>
  <c r="Z44" i="208"/>
  <c r="DB44" i="208"/>
  <c r="T38" i="208"/>
  <c r="CV38" i="208"/>
  <c r="Z25" i="208"/>
  <c r="DB25" i="208"/>
  <c r="L49" i="208"/>
  <c r="CN49" i="208"/>
  <c r="O28" i="208"/>
  <c r="CQ28" i="208"/>
  <c r="K12" i="208"/>
  <c r="CM12" i="208"/>
  <c r="D13" i="208"/>
  <c r="CF13" i="208"/>
  <c r="P29" i="208"/>
  <c r="CR29" i="208"/>
  <c r="F10" i="208"/>
  <c r="CH10" i="208"/>
  <c r="H39" i="208"/>
  <c r="CJ39" i="208"/>
  <c r="X49" i="208"/>
  <c r="CZ49" i="208"/>
  <c r="B50" i="208"/>
  <c r="CD50" i="208"/>
  <c r="Q20" i="208"/>
  <c r="CS20" i="208"/>
  <c r="I6" i="208"/>
  <c r="CK6" i="208"/>
  <c r="T22" i="208"/>
  <c r="CV22" i="208"/>
  <c r="D16" i="208"/>
  <c r="CF16" i="208"/>
  <c r="O49" i="208"/>
  <c r="CQ49" i="208"/>
  <c r="R33" i="208"/>
  <c r="CT33" i="208"/>
  <c r="P21" i="208"/>
  <c r="CR21" i="208"/>
  <c r="V35" i="208"/>
  <c r="CX35" i="208"/>
  <c r="K14" i="208"/>
  <c r="CM14" i="208"/>
  <c r="M24" i="208"/>
  <c r="CO24" i="208"/>
  <c r="X32" i="208"/>
  <c r="CZ32" i="208"/>
  <c r="T33" i="208"/>
  <c r="CV33" i="208"/>
  <c r="I28" i="208"/>
  <c r="CK28" i="208"/>
  <c r="F45" i="208"/>
  <c r="CH45" i="208"/>
  <c r="T9" i="208"/>
  <c r="CV9" i="208"/>
  <c r="B40" i="208"/>
  <c r="CD40" i="208"/>
  <c r="L8" i="208"/>
  <c r="CN8" i="208"/>
  <c r="D25" i="208"/>
  <c r="CF25" i="208"/>
  <c r="E12" i="208"/>
  <c r="CG12" i="208"/>
  <c r="M12" i="208"/>
  <c r="CO12" i="208"/>
  <c r="L41" i="208"/>
  <c r="CN41" i="208"/>
  <c r="D35" i="208"/>
  <c r="CF35" i="208"/>
  <c r="U8" i="208"/>
  <c r="CW8" i="208"/>
  <c r="Z28" i="208"/>
  <c r="DB28" i="208"/>
  <c r="V29" i="208"/>
  <c r="CX29" i="208"/>
  <c r="T19" i="208"/>
  <c r="CV19" i="208"/>
  <c r="C29" i="208"/>
  <c r="CE29" i="208"/>
  <c r="C45" i="208"/>
  <c r="CE45" i="208"/>
  <c r="G11" i="208"/>
  <c r="CI11" i="208"/>
  <c r="I9" i="208"/>
  <c r="CK9" i="208"/>
  <c r="Z13" i="208"/>
  <c r="DB13" i="208"/>
  <c r="C47" i="208"/>
  <c r="CE47" i="208"/>
  <c r="M8" i="208"/>
  <c r="CO8" i="208"/>
  <c r="I37" i="208"/>
  <c r="CK37" i="208"/>
  <c r="H35" i="208"/>
  <c r="CJ35" i="208"/>
  <c r="J49" i="208"/>
  <c r="CL49" i="208"/>
  <c r="Y30" i="208"/>
  <c r="DA30" i="208"/>
  <c r="W8" i="208"/>
  <c r="CY8" i="208"/>
  <c r="S14" i="208"/>
  <c r="CU14" i="208"/>
  <c r="M15" i="208"/>
  <c r="CO15" i="208"/>
  <c r="Z35" i="208"/>
  <c r="DB35" i="208"/>
  <c r="B31" i="208"/>
  <c r="CD31" i="208"/>
  <c r="Q32" i="208"/>
  <c r="CS32" i="208"/>
  <c r="S35" i="208"/>
  <c r="CU35" i="208"/>
  <c r="P35" i="208"/>
  <c r="CR35" i="208"/>
  <c r="T5" i="208"/>
  <c r="CV5" i="208"/>
  <c r="V7" i="208"/>
  <c r="CX7" i="208"/>
  <c r="F20" i="208"/>
  <c r="CH20" i="208"/>
  <c r="O35" i="208"/>
  <c r="CQ35" i="208"/>
  <c r="G12" i="208"/>
  <c r="CI12" i="208"/>
  <c r="N49" i="208"/>
  <c r="CP49" i="208"/>
  <c r="U17" i="208"/>
  <c r="CW17" i="208"/>
  <c r="U38" i="208"/>
  <c r="CW38" i="208"/>
  <c r="Q21" i="208"/>
  <c r="CS21" i="208"/>
  <c r="U41" i="208"/>
  <c r="CW41" i="208"/>
  <c r="V45" i="208"/>
  <c r="CX45" i="208"/>
  <c r="V19" i="208"/>
  <c r="CX19" i="208"/>
  <c r="Y41" i="208"/>
  <c r="DA41" i="208"/>
  <c r="C7" i="208"/>
  <c r="CE7" i="208"/>
  <c r="R37" i="208"/>
  <c r="CT37" i="208"/>
  <c r="M11" i="208"/>
  <c r="CO11" i="208"/>
  <c r="L36" i="208"/>
  <c r="CN36" i="208"/>
  <c r="G26" i="208"/>
  <c r="CI26" i="208"/>
  <c r="G46" i="208"/>
  <c r="CI46" i="208"/>
  <c r="R8" i="208"/>
  <c r="CT8" i="208"/>
  <c r="Y15" i="208"/>
  <c r="DA15" i="208"/>
  <c r="J41" i="208"/>
  <c r="CL41" i="208"/>
  <c r="G8" i="208"/>
  <c r="CI8" i="208"/>
  <c r="Q15" i="208"/>
  <c r="CS15" i="208"/>
  <c r="U11" i="208"/>
  <c r="CW11" i="208"/>
  <c r="F26" i="208"/>
  <c r="CH26" i="208"/>
  <c r="E18" i="208"/>
  <c r="CG18" i="208"/>
  <c r="I38" i="208"/>
  <c r="CK38" i="208"/>
  <c r="X48" i="208"/>
  <c r="CZ48" i="208"/>
  <c r="V26" i="208"/>
  <c r="CX26" i="208"/>
  <c r="I45" i="208"/>
  <c r="CK45" i="208"/>
  <c r="N38" i="208"/>
  <c r="CP38" i="208"/>
  <c r="N22" i="208"/>
  <c r="CP22" i="208"/>
  <c r="J44" i="208"/>
  <c r="CL44" i="208"/>
  <c r="X18" i="208"/>
  <c r="CZ18" i="208"/>
  <c r="Q13" i="208"/>
  <c r="CS13" i="208"/>
  <c r="L14" i="208"/>
  <c r="CN14" i="208"/>
  <c r="P15" i="208"/>
  <c r="CR15" i="208"/>
  <c r="D29" i="208"/>
  <c r="CF29" i="208"/>
  <c r="F35" i="208"/>
  <c r="CH35" i="208"/>
  <c r="R52" i="208"/>
  <c r="CT52" i="208"/>
  <c r="F22" i="208"/>
  <c r="CH22" i="208"/>
  <c r="U52" i="208"/>
  <c r="CW52" i="208"/>
  <c r="H50" i="208"/>
  <c r="CJ50" i="208"/>
  <c r="Y49" i="208"/>
  <c r="DA49" i="208"/>
  <c r="H40" i="208"/>
  <c r="CJ40" i="208"/>
  <c r="S5" i="208"/>
  <c r="CU5" i="208"/>
  <c r="S21" i="208"/>
  <c r="CU21" i="208"/>
  <c r="E29" i="208"/>
  <c r="CG29" i="208"/>
  <c r="Z8" i="208"/>
  <c r="DB8" i="208"/>
  <c r="V27" i="208"/>
  <c r="CX27" i="208"/>
  <c r="R48" i="208"/>
  <c r="CT48" i="208"/>
  <c r="E20" i="208"/>
  <c r="CG20" i="208"/>
  <c r="S24" i="208"/>
  <c r="CU24" i="208"/>
  <c r="D7" i="208"/>
  <c r="CF7" i="208"/>
  <c r="L28" i="208"/>
  <c r="CN28" i="208"/>
  <c r="T51" i="208"/>
  <c r="CV51" i="208"/>
  <c r="H51" i="208"/>
  <c r="CJ51" i="208"/>
  <c r="W32" i="208"/>
  <c r="CY32" i="208"/>
  <c r="O17" i="208"/>
  <c r="CQ17" i="208"/>
  <c r="O20" i="208"/>
  <c r="CQ20" i="208"/>
  <c r="Z21" i="208"/>
  <c r="DB21" i="208"/>
  <c r="F28" i="208"/>
  <c r="CH28" i="208"/>
  <c r="O36" i="208"/>
  <c r="CQ36" i="208"/>
  <c r="R12" i="208"/>
  <c r="CT12" i="208"/>
  <c r="X21" i="208"/>
  <c r="CZ21" i="208"/>
  <c r="T41" i="208"/>
  <c r="CV41" i="208"/>
  <c r="X51" i="208"/>
  <c r="CZ51" i="208"/>
  <c r="Y28" i="208"/>
  <c r="DA28" i="208"/>
  <c r="V5" i="208"/>
  <c r="CX5" i="208"/>
  <c r="W24" i="208"/>
  <c r="CY24" i="208"/>
  <c r="O27" i="208"/>
  <c r="CQ27" i="208"/>
  <c r="J6" i="208"/>
  <c r="CL6" i="208"/>
  <c r="R27" i="208"/>
  <c r="CT27" i="208"/>
  <c r="O19" i="208"/>
  <c r="CQ19" i="208"/>
  <c r="BP53" i="207"/>
  <c r="CQ53" i="207" s="1"/>
  <c r="W37" i="208"/>
  <c r="CY37" i="208"/>
  <c r="B16" i="208"/>
  <c r="CD16" i="208"/>
  <c r="I13" i="208"/>
  <c r="CK13" i="208"/>
  <c r="O10" i="208"/>
  <c r="CQ10" i="208"/>
  <c r="R14" i="208"/>
  <c r="CT14" i="208"/>
  <c r="U46" i="208"/>
  <c r="CW46" i="208"/>
  <c r="Z20" i="208"/>
  <c r="DB20" i="208"/>
  <c r="Z41" i="208"/>
  <c r="DB41" i="208"/>
  <c r="G20" i="208"/>
  <c r="CI20" i="208"/>
  <c r="B52" i="208"/>
  <c r="CD52" i="208"/>
  <c r="K20" i="208"/>
  <c r="CM20" i="208"/>
  <c r="B49" i="208"/>
  <c r="CD49" i="208"/>
  <c r="Y36" i="208"/>
  <c r="DA36" i="208"/>
  <c r="D17" i="208"/>
  <c r="CF17" i="208"/>
  <c r="R44" i="208"/>
  <c r="CT44" i="208"/>
  <c r="P20" i="208"/>
  <c r="CR20" i="208"/>
  <c r="O38" i="208"/>
  <c r="CQ38" i="208"/>
  <c r="J12" i="208"/>
  <c r="CL12" i="208"/>
  <c r="R17" i="208"/>
  <c r="CT17" i="208"/>
  <c r="G48" i="208"/>
  <c r="CI48" i="208"/>
  <c r="G19" i="208"/>
  <c r="CI19" i="208"/>
  <c r="C27" i="208"/>
  <c r="CE27" i="208"/>
  <c r="C37" i="208"/>
  <c r="CE37" i="208"/>
  <c r="T20" i="208"/>
  <c r="CV20" i="208"/>
  <c r="L11" i="208"/>
  <c r="CN11" i="208"/>
  <c r="M38" i="208"/>
  <c r="CO38" i="208"/>
  <c r="J5" i="208"/>
  <c r="CL5" i="208"/>
  <c r="K18" i="208"/>
  <c r="CM18" i="208"/>
  <c r="S33" i="208"/>
  <c r="CU33" i="208"/>
  <c r="H16" i="208"/>
  <c r="CJ16" i="208"/>
  <c r="R25" i="208"/>
  <c r="CT25" i="208"/>
  <c r="T50" i="208"/>
  <c r="CV50" i="208"/>
  <c r="X25" i="208"/>
  <c r="CZ25" i="208"/>
  <c r="G25" i="208"/>
  <c r="CI25" i="208"/>
  <c r="M28" i="208"/>
  <c r="CO28" i="208"/>
  <c r="U44" i="208"/>
  <c r="CW44" i="208"/>
  <c r="Q48" i="208"/>
  <c r="CS48" i="208"/>
  <c r="C52" i="208"/>
  <c r="CE52" i="208"/>
  <c r="G24" i="208"/>
  <c r="CI24" i="208"/>
  <c r="K37" i="208"/>
  <c r="CM37" i="208"/>
  <c r="J46" i="208"/>
  <c r="CL46" i="208"/>
  <c r="P24" i="208"/>
  <c r="CR24" i="208"/>
  <c r="O44" i="208"/>
  <c r="CQ44" i="208"/>
  <c r="R6" i="208"/>
  <c r="CT6" i="208"/>
  <c r="J32" i="208"/>
  <c r="CL32" i="208"/>
  <c r="W5" i="208"/>
  <c r="CY5" i="208"/>
  <c r="W20" i="208"/>
  <c r="CY20" i="208"/>
  <c r="O6" i="208"/>
  <c r="CQ6" i="208"/>
  <c r="D22" i="208"/>
  <c r="CF22" i="208"/>
  <c r="H44" i="208"/>
  <c r="CJ44" i="208"/>
  <c r="U7" i="208"/>
  <c r="CW7" i="208"/>
  <c r="U27" i="208"/>
  <c r="CW27" i="208"/>
  <c r="G47" i="208"/>
  <c r="CI47" i="208"/>
  <c r="W6" i="208"/>
  <c r="CY6" i="208"/>
  <c r="N6" i="208"/>
  <c r="CP6" i="208"/>
  <c r="N50" i="208"/>
  <c r="CP50" i="208"/>
  <c r="G49" i="208"/>
  <c r="CI49" i="208"/>
  <c r="L13" i="208"/>
  <c r="CN13" i="208"/>
  <c r="T36" i="208"/>
  <c r="CV36" i="208"/>
  <c r="H36" i="208"/>
  <c r="CJ36" i="208"/>
  <c r="E40" i="208"/>
  <c r="CG40" i="208"/>
  <c r="G30" i="208"/>
  <c r="CI30" i="208"/>
  <c r="V9" i="208"/>
  <c r="CX9" i="208"/>
  <c r="G6" i="208"/>
  <c r="CI6" i="208"/>
  <c r="K29" i="208"/>
  <c r="CM29" i="208"/>
  <c r="F40" i="208"/>
  <c r="CH40" i="208"/>
  <c r="E44" i="208"/>
  <c r="CG44" i="208"/>
  <c r="B9" i="208"/>
  <c r="CD9" i="208"/>
  <c r="L33" i="208"/>
  <c r="CN33" i="208"/>
  <c r="M52" i="208"/>
  <c r="CO52" i="208"/>
  <c r="Y6" i="208"/>
  <c r="DA6" i="208"/>
  <c r="H15" i="208"/>
  <c r="CJ15" i="208"/>
  <c r="Y7" i="208"/>
  <c r="DA7" i="208"/>
  <c r="B7" i="208"/>
  <c r="CD7" i="208"/>
  <c r="Q29" i="208"/>
  <c r="CS29" i="208"/>
  <c r="W10" i="208"/>
  <c r="CY10" i="208"/>
  <c r="W30" i="208"/>
  <c r="CY30" i="208"/>
  <c r="I16" i="208"/>
  <c r="CK16" i="208"/>
  <c r="J24" i="208"/>
  <c r="CL24" i="208"/>
  <c r="Q44" i="208"/>
  <c r="CS44" i="208"/>
  <c r="S46" i="208"/>
  <c r="CU46" i="208"/>
  <c r="T27" i="208"/>
  <c r="CV27" i="208"/>
  <c r="N40" i="208"/>
  <c r="CP40" i="208"/>
  <c r="I11" i="208"/>
  <c r="CK11" i="208"/>
  <c r="F27" i="208"/>
  <c r="CH27" i="208"/>
  <c r="R30" i="208"/>
  <c r="CT30" i="208"/>
  <c r="L39" i="208"/>
  <c r="CN39" i="208"/>
  <c r="M47" i="208"/>
  <c r="CO47" i="208"/>
  <c r="T40" i="208"/>
  <c r="CV40" i="208"/>
  <c r="N18" i="208"/>
  <c r="CP18" i="208"/>
  <c r="E21" i="208"/>
  <c r="CG21" i="208"/>
  <c r="E50" i="208"/>
  <c r="CG50" i="208"/>
  <c r="H25" i="208"/>
  <c r="CJ25" i="208"/>
  <c r="J39" i="208"/>
  <c r="CL39" i="208"/>
  <c r="Q27" i="208"/>
  <c r="CS27" i="208"/>
  <c r="J11" i="208"/>
  <c r="CL11" i="208"/>
  <c r="X27" i="208"/>
  <c r="CZ27" i="208"/>
  <c r="N19" i="208"/>
  <c r="CP19" i="208"/>
  <c r="Z45" i="208"/>
  <c r="DB45" i="208"/>
  <c r="C6" i="208"/>
  <c r="CE6" i="208"/>
  <c r="Z32" i="208"/>
  <c r="DB32" i="208"/>
  <c r="Y48" i="208"/>
  <c r="DA48" i="208"/>
  <c r="B51" i="208"/>
  <c r="CD51" i="208"/>
  <c r="G17" i="208"/>
  <c r="CI17" i="208"/>
  <c r="U33" i="208"/>
  <c r="CW33" i="208"/>
  <c r="H13" i="208"/>
  <c r="CJ13" i="208"/>
  <c r="T32" i="208"/>
  <c r="CV32" i="208"/>
  <c r="Z52" i="208"/>
  <c r="DB52" i="208"/>
  <c r="E31" i="208"/>
  <c r="CG31" i="208"/>
  <c r="K32" i="208"/>
  <c r="CM32" i="208"/>
  <c r="N35" i="208"/>
  <c r="CP35" i="208"/>
  <c r="E30" i="208"/>
  <c r="CG30" i="208"/>
  <c r="N27" i="208"/>
  <c r="CP27" i="208"/>
  <c r="I46" i="208"/>
  <c r="CK46" i="208"/>
  <c r="V18" i="208"/>
  <c r="CX18" i="208"/>
  <c r="M5" i="208"/>
  <c r="CO5" i="208"/>
  <c r="B21" i="208"/>
  <c r="CD21" i="208"/>
  <c r="W25" i="208"/>
  <c r="CY25" i="208"/>
  <c r="V47" i="208"/>
  <c r="CX47" i="208"/>
  <c r="I41" i="208"/>
  <c r="CK41" i="208"/>
  <c r="L46" i="208"/>
  <c r="CN46" i="208"/>
  <c r="Z39" i="208"/>
  <c r="DB39" i="208"/>
  <c r="H5" i="208"/>
  <c r="CJ5" i="208"/>
  <c r="N14" i="208"/>
  <c r="CP14" i="208"/>
  <c r="T24" i="208"/>
  <c r="CV24" i="208"/>
  <c r="Z33" i="208"/>
  <c r="DB33" i="208"/>
  <c r="P45" i="208"/>
  <c r="CR45" i="208"/>
  <c r="E11" i="208"/>
  <c r="CG11" i="208"/>
  <c r="Q38" i="208"/>
  <c r="CS38" i="208"/>
  <c r="G13" i="208"/>
  <c r="CI13" i="208"/>
  <c r="M39" i="208"/>
  <c r="CO39" i="208"/>
  <c r="N7" i="208"/>
  <c r="CP7" i="208"/>
  <c r="R10" i="208"/>
  <c r="CT10" i="208"/>
  <c r="L35" i="208"/>
  <c r="CN35" i="208"/>
  <c r="B37" i="208"/>
  <c r="CD37" i="208"/>
  <c r="I41" i="206"/>
  <c r="CK41" i="206"/>
  <c r="CB13" i="207"/>
  <c r="Z11" i="208"/>
  <c r="DB11" i="208"/>
  <c r="G36" i="208"/>
  <c r="CI36" i="208"/>
  <c r="G29" i="208"/>
  <c r="CI29" i="208"/>
  <c r="K45" i="208"/>
  <c r="CM45" i="208"/>
  <c r="P16" i="208"/>
  <c r="CR16" i="208"/>
  <c r="P40" i="208"/>
  <c r="CR40" i="208"/>
  <c r="D27" i="208"/>
  <c r="CF27" i="208"/>
  <c r="P19" i="208"/>
  <c r="CR19" i="208"/>
  <c r="V49" i="208"/>
  <c r="CX49" i="208"/>
  <c r="L31" i="208"/>
  <c r="CN31" i="208"/>
  <c r="T10" i="208"/>
  <c r="CV10" i="208"/>
  <c r="Z38" i="208"/>
  <c r="DB38" i="208"/>
  <c r="Q37" i="208"/>
  <c r="CS37" i="208"/>
  <c r="B5" i="208"/>
  <c r="CD5" i="208"/>
  <c r="I32" i="208"/>
  <c r="CK32" i="208"/>
  <c r="V20" i="208"/>
  <c r="CX20" i="208"/>
  <c r="D18" i="208"/>
  <c r="CF18" i="208"/>
  <c r="M44" i="208"/>
  <c r="CO44" i="208"/>
  <c r="G28" i="208"/>
  <c r="CI28" i="208"/>
  <c r="D8" i="208"/>
  <c r="CF8" i="208"/>
  <c r="O24" i="208"/>
  <c r="CQ24" i="208"/>
  <c r="H24" i="208"/>
  <c r="CJ24" i="208"/>
  <c r="C50" i="208"/>
  <c r="CE50" i="208"/>
  <c r="Y11" i="208"/>
  <c r="DA11" i="208"/>
  <c r="Y5" i="208"/>
  <c r="DA5" i="208"/>
  <c r="X7" i="208"/>
  <c r="CZ7" i="208"/>
  <c r="C14" i="208"/>
  <c r="CE14" i="208"/>
  <c r="C51" i="208"/>
  <c r="CE51" i="208"/>
  <c r="I7" i="208"/>
  <c r="CK7" i="208"/>
  <c r="C22" i="208"/>
  <c r="CE22" i="208"/>
  <c r="G41" i="208"/>
  <c r="CI41" i="208"/>
  <c r="C40" i="208"/>
  <c r="CE40" i="208"/>
  <c r="V28" i="208"/>
  <c r="CX28" i="208"/>
  <c r="I48" i="208"/>
  <c r="CK48" i="208"/>
  <c r="S9" i="208"/>
  <c r="CU9" i="208"/>
  <c r="H27" i="208"/>
  <c r="CJ27" i="208"/>
  <c r="N16" i="208"/>
  <c r="CP16" i="208"/>
  <c r="C35" i="208"/>
  <c r="CE35" i="208"/>
  <c r="Q17" i="208"/>
  <c r="CS17" i="208"/>
  <c r="H17" i="208"/>
  <c r="CJ17" i="208"/>
  <c r="W7" i="208"/>
  <c r="CY7" i="208"/>
  <c r="X33" i="208"/>
  <c r="CZ33" i="208"/>
  <c r="I18" i="208"/>
  <c r="CK18" i="208"/>
  <c r="M41" i="208"/>
  <c r="CO41" i="208"/>
  <c r="U47" i="208"/>
  <c r="CW47" i="208"/>
  <c r="F51" i="208"/>
  <c r="CH51" i="208"/>
  <c r="Y24" i="208"/>
  <c r="DA24" i="208"/>
  <c r="B32" i="208"/>
  <c r="CD32" i="208"/>
  <c r="E9" i="208"/>
  <c r="CG9" i="208"/>
  <c r="L16" i="208"/>
  <c r="CN16" i="208"/>
  <c r="Z5" i="208"/>
  <c r="DB5" i="208"/>
  <c r="X5" i="208"/>
  <c r="CZ5" i="208"/>
  <c r="J7" i="208"/>
  <c r="CL7" i="208"/>
  <c r="Y9" i="208"/>
  <c r="DA9" i="208"/>
  <c r="S28" i="208"/>
  <c r="CU28" i="208"/>
  <c r="N24" i="208"/>
  <c r="CP24" i="208"/>
  <c r="U15" i="208"/>
  <c r="CW15" i="208"/>
  <c r="W29" i="208"/>
  <c r="CY29" i="208"/>
  <c r="Z9" i="208"/>
  <c r="DB9" i="208"/>
  <c r="L27" i="208"/>
  <c r="CN27" i="208"/>
  <c r="H31" i="208"/>
  <c r="CJ31" i="208"/>
  <c r="O51" i="208"/>
  <c r="CQ51" i="208"/>
  <c r="G31" i="208"/>
  <c r="CI31" i="208"/>
  <c r="B20" i="208"/>
  <c r="CD20" i="208"/>
  <c r="P22" i="208"/>
  <c r="CR22" i="208"/>
  <c r="H11" i="208"/>
  <c r="CJ11" i="208"/>
  <c r="M17" i="208"/>
  <c r="CO17" i="208"/>
  <c r="G7" i="208"/>
  <c r="CI7" i="208"/>
  <c r="V21" i="208"/>
  <c r="CX21" i="208"/>
  <c r="H52" i="208"/>
  <c r="CJ52" i="208"/>
  <c r="C25" i="208"/>
  <c r="CE25" i="208"/>
  <c r="X45" i="208"/>
  <c r="CZ45" i="208"/>
  <c r="V12" i="208"/>
  <c r="CX12" i="208"/>
  <c r="E27" i="208"/>
  <c r="CG27" i="208"/>
  <c r="B33" i="208"/>
  <c r="CD33" i="208"/>
  <c r="X36" i="208"/>
  <c r="CZ36" i="208"/>
  <c r="N26" i="208"/>
  <c r="CP26" i="208"/>
  <c r="V41" i="208"/>
  <c r="CX41" i="208"/>
  <c r="F49" i="208"/>
  <c r="CH49" i="208"/>
  <c r="Z37" i="208"/>
  <c r="DB37" i="208"/>
  <c r="R28" i="208"/>
  <c r="CT28" i="208"/>
  <c r="D15" i="208"/>
  <c r="CF15" i="208"/>
  <c r="C38" i="208"/>
  <c r="CE38" i="208"/>
  <c r="D32" i="208"/>
  <c r="CF32" i="208"/>
  <c r="I49" i="208"/>
  <c r="CK49" i="208"/>
  <c r="C44" i="208"/>
  <c r="CE44" i="208"/>
  <c r="M50" i="208"/>
  <c r="CO50" i="208"/>
  <c r="L15" i="208"/>
  <c r="CN15" i="208"/>
  <c r="S29" i="208"/>
  <c r="CU29" i="208"/>
  <c r="V31" i="208"/>
  <c r="CX31" i="208"/>
  <c r="L40" i="208"/>
  <c r="CN40" i="208"/>
  <c r="G14" i="208"/>
  <c r="CI14" i="208"/>
  <c r="O45" i="208"/>
  <c r="CQ45" i="208"/>
  <c r="J17" i="208"/>
  <c r="CL17" i="208"/>
  <c r="E22" i="208"/>
  <c r="CG22" i="208"/>
  <c r="Y27" i="208"/>
  <c r="DA27" i="208"/>
  <c r="Z17" i="208"/>
  <c r="DB17" i="208"/>
  <c r="B15" i="208"/>
  <c r="CD15" i="208"/>
  <c r="H8" i="208"/>
  <c r="CJ8" i="208"/>
  <c r="Q8" i="208"/>
  <c r="CS8" i="208"/>
  <c r="L52" i="208"/>
  <c r="CN52" i="208"/>
  <c r="S7" i="208"/>
  <c r="CU7" i="208"/>
  <c r="E39" i="208"/>
  <c r="CG39" i="208"/>
  <c r="F18" i="208"/>
  <c r="CH18" i="208"/>
  <c r="V48" i="208"/>
  <c r="CX48" i="208"/>
  <c r="U45" i="208"/>
  <c r="CW45" i="208"/>
  <c r="K6" i="208"/>
  <c r="CM6" i="208"/>
  <c r="U49" i="208"/>
  <c r="CW49" i="208"/>
  <c r="B12" i="208"/>
  <c r="CD12" i="208"/>
  <c r="H21" i="208"/>
  <c r="CJ21" i="208"/>
  <c r="J33" i="208"/>
  <c r="CL33" i="208"/>
  <c r="V46" i="208"/>
  <c r="CX46" i="208"/>
  <c r="Z46" i="208"/>
  <c r="DB46" i="208"/>
  <c r="F17" i="208"/>
  <c r="CH17" i="208"/>
  <c r="C8" i="208"/>
  <c r="CE8" i="208"/>
  <c r="E10" i="208"/>
  <c r="CG10" i="208"/>
  <c r="S17" i="208"/>
  <c r="CU17" i="208"/>
  <c r="Q28" i="208"/>
  <c r="CS28" i="208"/>
  <c r="P44" i="208"/>
  <c r="CR44" i="208"/>
  <c r="Z16" i="208"/>
  <c r="DB16" i="208"/>
  <c r="V36" i="208"/>
  <c r="CX36" i="208"/>
  <c r="C18" i="208"/>
  <c r="CE18" i="208"/>
  <c r="L48" i="208"/>
  <c r="CN48" i="208"/>
  <c r="G16" i="208"/>
  <c r="CI16" i="208"/>
  <c r="O13" i="208"/>
  <c r="CQ13" i="208"/>
  <c r="N41" i="208"/>
  <c r="CP41" i="208"/>
  <c r="Z14" i="208"/>
  <c r="DB14" i="208"/>
  <c r="V40" i="208"/>
  <c r="CX40" i="208"/>
  <c r="N46" i="208"/>
  <c r="CP46" i="208"/>
  <c r="N17" i="206"/>
  <c r="CP17" i="206"/>
  <c r="CE84" i="5"/>
  <c r="BE14" i="5"/>
  <c r="BE61" i="5"/>
  <c r="BE21" i="5"/>
  <c r="BE89" i="5"/>
  <c r="BE25" i="5"/>
  <c r="BE52" i="5"/>
  <c r="X19" i="115"/>
  <c r="AE7" i="115"/>
  <c r="CE16" i="5"/>
  <c r="BE37" i="5"/>
  <c r="BE31" i="5"/>
  <c r="BE77" i="5"/>
  <c r="BE26" i="5"/>
  <c r="BE99" i="5"/>
  <c r="BE33" i="5"/>
  <c r="BE49" i="5"/>
  <c r="CE27" i="5"/>
  <c r="BE12" i="5"/>
  <c r="BE32" i="5"/>
  <c r="BE19" i="5"/>
  <c r="BE15" i="5"/>
  <c r="BE91" i="5"/>
  <c r="BE29" i="5"/>
  <c r="BE69" i="5"/>
  <c r="BE84" i="5"/>
  <c r="BE36" i="5"/>
  <c r="BE93" i="5"/>
  <c r="BE34" i="5"/>
  <c r="BE87" i="5"/>
  <c r="BE97" i="5"/>
  <c r="BE41" i="5"/>
  <c r="BE57" i="5"/>
  <c r="V9" i="115"/>
  <c r="AE9" i="115" s="1"/>
  <c r="BE90" i="5"/>
  <c r="BE22" i="5"/>
  <c r="BE11" i="5"/>
  <c r="BE23" i="5"/>
  <c r="BE48" i="5"/>
  <c r="BE53" i="5"/>
  <c r="BE45" i="5"/>
  <c r="BE63" i="5"/>
  <c r="BE96" i="5"/>
  <c r="BE68" i="5"/>
  <c r="BE98" i="5"/>
  <c r="BE85" i="5"/>
  <c r="BE78" i="5"/>
  <c r="BE27" i="5"/>
  <c r="BE13" i="5"/>
  <c r="BE72" i="5"/>
  <c r="BE60" i="5"/>
  <c r="BE24" i="5"/>
  <c r="BE17" i="5"/>
  <c r="BE65" i="5"/>
  <c r="BE73" i="5"/>
  <c r="BE94" i="5"/>
  <c r="BE81" i="5"/>
  <c r="BE56" i="5"/>
  <c r="Y14" i="115"/>
  <c r="W8" i="115"/>
  <c r="X8" i="115" s="1"/>
  <c r="BZ5" i="5"/>
  <c r="AJ5" i="5"/>
  <c r="Y11" i="115"/>
  <c r="Z11" i="115" s="1"/>
  <c r="BW53" i="208"/>
  <c r="CX53" i="208" s="1"/>
  <c r="CB20" i="208"/>
  <c r="BX44" i="5"/>
  <c r="AX44" i="5"/>
  <c r="AE6" i="115"/>
  <c r="CB5" i="5"/>
  <c r="CB35" i="208"/>
  <c r="CB24" i="208"/>
  <c r="CB8" i="208"/>
  <c r="K6" i="206"/>
  <c r="CM6" i="206"/>
  <c r="BR44" i="5"/>
  <c r="AR44" i="5"/>
  <c r="DE44" i="5"/>
  <c r="BU53" i="207"/>
  <c r="CV53" i="207" s="1"/>
  <c r="BG53" i="207"/>
  <c r="CH53" i="207" s="1"/>
  <c r="BE53" i="207"/>
  <c r="CF53" i="207" s="1"/>
  <c r="BM53" i="207"/>
  <c r="CN53" i="207" s="1"/>
  <c r="BW53" i="207"/>
  <c r="CX53" i="207" s="1"/>
  <c r="CB51" i="207"/>
  <c r="S52" i="206"/>
  <c r="CU52" i="206"/>
  <c r="B27" i="204"/>
  <c r="B9" i="127"/>
  <c r="AE11" i="115"/>
  <c r="X10" i="115"/>
  <c r="Y6" i="115"/>
  <c r="AG6" i="115" s="1"/>
  <c r="Y7" i="115"/>
  <c r="AG7" i="115" s="1"/>
  <c r="Y17" i="115"/>
  <c r="AF17" i="115" s="1"/>
  <c r="Y16" i="115"/>
  <c r="AE21" i="115"/>
  <c r="AF19" i="115"/>
  <c r="AC8" i="115"/>
  <c r="AD8" i="115" s="1"/>
  <c r="AE8" i="115" s="1"/>
  <c r="Y12" i="115"/>
  <c r="AG12" i="115" s="1"/>
  <c r="AF10" i="115"/>
  <c r="Z10" i="115" s="1"/>
  <c r="X6" i="115"/>
  <c r="S27" i="208"/>
  <c r="CU27" i="208"/>
  <c r="W21" i="208"/>
  <c r="CY21" i="208"/>
  <c r="N47" i="208"/>
  <c r="CP47" i="208"/>
  <c r="Z24" i="208"/>
  <c r="DB24" i="208"/>
  <c r="I15" i="208"/>
  <c r="CK15" i="208"/>
  <c r="U39" i="208"/>
  <c r="CW39" i="208"/>
  <c r="T13" i="208"/>
  <c r="CV13" i="208"/>
  <c r="J22" i="208"/>
  <c r="CL22" i="208"/>
  <c r="CB22" i="208"/>
  <c r="F44" i="208"/>
  <c r="CH44" i="208"/>
  <c r="P51" i="208"/>
  <c r="CR51" i="208"/>
  <c r="L32" i="208"/>
  <c r="CN32" i="208"/>
  <c r="U35" i="208"/>
  <c r="CW35" i="208"/>
  <c r="C9" i="208"/>
  <c r="CE9" i="208"/>
  <c r="CB9" i="208"/>
  <c r="BD53" i="208"/>
  <c r="CE53" i="208" s="1"/>
  <c r="I35" i="208"/>
  <c r="CK35" i="208"/>
  <c r="E8" i="208"/>
  <c r="CG8" i="208"/>
  <c r="B44" i="208"/>
  <c r="CB44" i="208"/>
  <c r="CD44" i="208"/>
  <c r="V25" i="208"/>
  <c r="CX25" i="208"/>
  <c r="CT36" i="208"/>
  <c r="R36" i="208"/>
  <c r="D49" i="208"/>
  <c r="CF49" i="208"/>
  <c r="G50" i="208"/>
  <c r="CI50" i="208"/>
  <c r="C36" i="208"/>
  <c r="CE36" i="208"/>
  <c r="P5" i="208"/>
  <c r="BQ53" i="208"/>
  <c r="CR53" i="208" s="1"/>
  <c r="CR5" i="208"/>
  <c r="K24" i="208"/>
  <c r="CM24" i="208"/>
  <c r="U16" i="208"/>
  <c r="CW16" i="208"/>
  <c r="O39" i="208"/>
  <c r="CQ39" i="208"/>
  <c r="J20" i="208"/>
  <c r="CL20" i="208"/>
  <c r="Z15" i="208"/>
  <c r="DB15" i="208"/>
  <c r="BC53" i="208"/>
  <c r="CD53" i="208" s="1"/>
  <c r="N37" i="208"/>
  <c r="CP37" i="208"/>
  <c r="W12" i="208"/>
  <c r="CY12" i="208"/>
  <c r="U37" i="208"/>
  <c r="CW37" i="208"/>
  <c r="CZ8" i="208"/>
  <c r="X8" i="208"/>
  <c r="BY53" i="208"/>
  <c r="CZ53" i="208" s="1"/>
  <c r="M25" i="208"/>
  <c r="CO25" i="208"/>
  <c r="S37" i="208"/>
  <c r="CU37" i="208"/>
  <c r="Y50" i="208"/>
  <c r="DA50" i="208"/>
  <c r="O7" i="208"/>
  <c r="CB7" i="208"/>
  <c r="CQ7" i="208"/>
  <c r="S26" i="208"/>
  <c r="CU26" i="208"/>
  <c r="O41" i="208"/>
  <c r="CQ41" i="208"/>
  <c r="U22" i="208"/>
  <c r="CW22" i="208"/>
  <c r="B17" i="208"/>
  <c r="CD17" i="208"/>
  <c r="CB17" i="208"/>
  <c r="K28" i="208"/>
  <c r="CM28" i="208"/>
  <c r="K44" i="208"/>
  <c r="CM44" i="208"/>
  <c r="Z6" i="208"/>
  <c r="CA53" i="208"/>
  <c r="DB53" i="208" s="1"/>
  <c r="DB6" i="208"/>
  <c r="F16" i="208"/>
  <c r="CH16" i="208"/>
  <c r="X28" i="208"/>
  <c r="CZ28" i="208"/>
  <c r="CD36" i="208"/>
  <c r="B36" i="208"/>
  <c r="CB36" i="208"/>
  <c r="L45" i="208"/>
  <c r="CN45" i="208"/>
  <c r="T28" i="208"/>
  <c r="CV28" i="208"/>
  <c r="O32" i="208"/>
  <c r="CQ32" i="208"/>
  <c r="T11" i="208"/>
  <c r="CV11" i="208"/>
  <c r="BU53" i="208"/>
  <c r="CV53" i="208" s="1"/>
  <c r="D6" i="208"/>
  <c r="CF6" i="208"/>
  <c r="CB6" i="208"/>
  <c r="R21" i="208"/>
  <c r="CT21" i="208"/>
  <c r="I31" i="208"/>
  <c r="CK31" i="208"/>
  <c r="CB31" i="208"/>
  <c r="K27" i="208"/>
  <c r="CM27" i="208"/>
  <c r="Q5" i="208"/>
  <c r="CS5" i="208"/>
  <c r="BR53" i="208"/>
  <c r="CS53" i="208" s="1"/>
  <c r="B18" i="208"/>
  <c r="CD18" i="208"/>
  <c r="CB18" i="208"/>
  <c r="B27" i="208"/>
  <c r="CD27" i="208"/>
  <c r="CB27" i="208"/>
  <c r="CZ37" i="208"/>
  <c r="X37" i="208"/>
  <c r="J50" i="208"/>
  <c r="CL50" i="208"/>
  <c r="Q11" i="208"/>
  <c r="CS11" i="208"/>
  <c r="G18" i="208"/>
  <c r="CI18" i="208"/>
  <c r="Q31" i="208"/>
  <c r="CS31" i="208"/>
  <c r="M32" i="208"/>
  <c r="CO32" i="208"/>
  <c r="E51" i="208"/>
  <c r="CG51" i="208"/>
  <c r="CB51" i="208"/>
  <c r="CU39" i="208"/>
  <c r="S39" i="208"/>
  <c r="D36" i="208"/>
  <c r="CF36" i="208"/>
  <c r="W9" i="208"/>
  <c r="CY9" i="208"/>
  <c r="BX53" i="208"/>
  <c r="CY53" i="208" s="1"/>
  <c r="J28" i="208"/>
  <c r="CL28" i="208"/>
  <c r="Z29" i="208"/>
  <c r="DB29" i="208"/>
  <c r="L6" i="208"/>
  <c r="BM53" i="208"/>
  <c r="CN53" i="208" s="1"/>
  <c r="CN6" i="208"/>
  <c r="D19" i="208"/>
  <c r="CF19" i="208"/>
  <c r="CB19" i="208"/>
  <c r="G32" i="208"/>
  <c r="CI32" i="208"/>
  <c r="CB32" i="208"/>
  <c r="P41" i="208"/>
  <c r="CR41" i="208"/>
  <c r="J14" i="208"/>
  <c r="CL14" i="208"/>
  <c r="S48" i="208"/>
  <c r="CU48" i="208"/>
  <c r="W31" i="208"/>
  <c r="CY31" i="208"/>
  <c r="E16" i="208"/>
  <c r="CG16" i="208"/>
  <c r="CB16" i="208"/>
  <c r="U50" i="208"/>
  <c r="CW50" i="208"/>
  <c r="W47" i="208"/>
  <c r="CY47" i="208"/>
  <c r="U32" i="208"/>
  <c r="CW32" i="208"/>
  <c r="C17" i="208"/>
  <c r="CE17" i="208"/>
  <c r="W36" i="208"/>
  <c r="CY36" i="208"/>
  <c r="U14" i="208"/>
  <c r="CW14" i="208"/>
  <c r="W41" i="208"/>
  <c r="CY41" i="208"/>
  <c r="D14" i="208"/>
  <c r="CF14" i="208"/>
  <c r="CB14" i="208"/>
  <c r="G27" i="208"/>
  <c r="CI27" i="208"/>
  <c r="I40" i="208"/>
  <c r="CB40" i="208"/>
  <c r="CK40" i="208"/>
  <c r="S52" i="208"/>
  <c r="CU52" i="208"/>
  <c r="B11" i="208"/>
  <c r="CB11" i="208"/>
  <c r="CD11" i="208"/>
  <c r="I29" i="208"/>
  <c r="CB29" i="208"/>
  <c r="CK29" i="208"/>
  <c r="E46" i="208"/>
  <c r="CG46" i="208"/>
  <c r="M46" i="208"/>
  <c r="CO46" i="208"/>
  <c r="Q19" i="208"/>
  <c r="CS19" i="208"/>
  <c r="Z30" i="208"/>
  <c r="DB30" i="208"/>
  <c r="Y46" i="208"/>
  <c r="DA46" i="208"/>
  <c r="B10" i="208"/>
  <c r="CB10" i="208"/>
  <c r="CD10" i="208"/>
  <c r="L17" i="208"/>
  <c r="CN17" i="208"/>
  <c r="D30" i="208"/>
  <c r="CF30" i="208"/>
  <c r="CB30" i="208"/>
  <c r="D39" i="208"/>
  <c r="CF39" i="208"/>
  <c r="CT46" i="208"/>
  <c r="R46" i="208"/>
  <c r="Z12" i="208"/>
  <c r="DB12" i="208"/>
  <c r="Y40" i="208"/>
  <c r="DA40" i="208"/>
  <c r="H46" i="208"/>
  <c r="CJ46" i="208"/>
  <c r="L51" i="208"/>
  <c r="CN51" i="208"/>
  <c r="R41" i="208"/>
  <c r="CT41" i="208"/>
  <c r="Q12" i="208"/>
  <c r="CS12" i="208"/>
  <c r="G39" i="208"/>
  <c r="CI39" i="208"/>
  <c r="K35" i="208"/>
  <c r="CM35" i="208"/>
  <c r="D21" i="208"/>
  <c r="CF21" i="208"/>
  <c r="CB21" i="208"/>
  <c r="Z31" i="208"/>
  <c r="DB31" i="208"/>
  <c r="Z40" i="208"/>
  <c r="DB40" i="208"/>
  <c r="F52" i="208"/>
  <c r="CH52" i="208"/>
  <c r="K49" i="208"/>
  <c r="CM49" i="208"/>
  <c r="Q26" i="208"/>
  <c r="CS26" i="208"/>
  <c r="V30" i="208"/>
  <c r="CX30" i="208"/>
  <c r="CF37" i="208"/>
  <c r="D37" i="208"/>
  <c r="CB37" i="208"/>
  <c r="V17" i="208"/>
  <c r="CX17" i="208"/>
  <c r="M19" i="208"/>
  <c r="CO19" i="208"/>
  <c r="K22" i="208"/>
  <c r="CM22" i="208"/>
  <c r="F14" i="208"/>
  <c r="CH14" i="208"/>
  <c r="BG53" i="208"/>
  <c r="CH53" i="208" s="1"/>
  <c r="I21" i="208"/>
  <c r="CK21" i="208"/>
  <c r="E48" i="208"/>
  <c r="CG48" i="208"/>
  <c r="R16" i="208"/>
  <c r="CT16" i="208"/>
  <c r="P14" i="208"/>
  <c r="CR14" i="208"/>
  <c r="X17" i="208"/>
  <c r="CZ17" i="208"/>
  <c r="H28" i="208"/>
  <c r="CJ28" i="208"/>
  <c r="S12" i="208"/>
  <c r="CU12" i="208"/>
  <c r="C39" i="208"/>
  <c r="CB39" i="208"/>
  <c r="CE39" i="208"/>
  <c r="L44" i="208"/>
  <c r="CN44" i="208"/>
  <c r="CF50" i="208"/>
  <c r="D50" i="208"/>
  <c r="CB50" i="208"/>
  <c r="BL53" i="208"/>
  <c r="CM53" i="208" s="1"/>
  <c r="H10" i="208"/>
  <c r="CJ10" i="208"/>
  <c r="G51" i="208"/>
  <c r="CI51" i="208"/>
  <c r="E35" i="208"/>
  <c r="CG35" i="208"/>
  <c r="P50" i="208"/>
  <c r="CR50" i="208"/>
  <c r="Y38" i="208"/>
  <c r="DA38" i="208"/>
  <c r="J51" i="208"/>
  <c r="CL51" i="208"/>
  <c r="C24" i="208"/>
  <c r="CE24" i="208"/>
  <c r="D5" i="208"/>
  <c r="CF5" i="208"/>
  <c r="BE53" i="208"/>
  <c r="CF53" i="208" s="1"/>
  <c r="F33" i="208"/>
  <c r="CB33" i="208"/>
  <c r="CH33" i="208"/>
  <c r="O18" i="208"/>
  <c r="CQ18" i="208"/>
  <c r="C49" i="208"/>
  <c r="CE49" i="208"/>
  <c r="CB49" i="208"/>
  <c r="Y45" i="208"/>
  <c r="DA45" i="208"/>
  <c r="H20" i="208"/>
  <c r="CJ20" i="208"/>
  <c r="J13" i="208"/>
  <c r="CL13" i="208"/>
  <c r="BK53" i="208"/>
  <c r="CL53" i="208" s="1"/>
  <c r="U10" i="208"/>
  <c r="CW10" i="208"/>
  <c r="BV53" i="208"/>
  <c r="CW53" i="208" s="1"/>
  <c r="T49" i="208"/>
  <c r="CV49" i="208"/>
  <c r="N20" i="208"/>
  <c r="CP20" i="208"/>
  <c r="BO53" i="208"/>
  <c r="CP53" i="208" s="1"/>
  <c r="E52" i="208"/>
  <c r="CG52" i="208"/>
  <c r="CB52" i="208"/>
  <c r="M35" i="208"/>
  <c r="CO35" i="208"/>
  <c r="T18" i="208"/>
  <c r="CV18" i="208"/>
  <c r="Q6" i="208"/>
  <c r="CS6" i="208"/>
  <c r="G52" i="208"/>
  <c r="CI52" i="208"/>
  <c r="K36" i="208"/>
  <c r="CM36" i="208"/>
  <c r="R19" i="208"/>
  <c r="CT19" i="208"/>
  <c r="S6" i="208"/>
  <c r="CU6" i="208"/>
  <c r="BT53" i="208"/>
  <c r="CU53" i="208" s="1"/>
  <c r="F41" i="208"/>
  <c r="CH41" i="208"/>
  <c r="CB41" i="208"/>
  <c r="BS53" i="208"/>
  <c r="CT53" i="208" s="1"/>
  <c r="P6" i="208"/>
  <c r="CR6" i="208"/>
  <c r="N21" i="208"/>
  <c r="CP21" i="208"/>
  <c r="O47" i="208"/>
  <c r="CQ47" i="208"/>
  <c r="S16" i="208"/>
  <c r="CU16" i="208"/>
  <c r="O31" i="208"/>
  <c r="CQ31" i="208"/>
  <c r="X44" i="208"/>
  <c r="CZ44" i="208"/>
  <c r="Y16" i="208"/>
  <c r="DA16" i="208"/>
  <c r="BZ53" i="208"/>
  <c r="DA53" i="208" s="1"/>
  <c r="T12" i="208"/>
  <c r="CV12" i="208"/>
  <c r="Q33" i="208"/>
  <c r="CS33" i="208"/>
  <c r="T48" i="208"/>
  <c r="CV48" i="208"/>
  <c r="V11" i="208"/>
  <c r="CX11" i="208"/>
  <c r="J21" i="208"/>
  <c r="CL21" i="208"/>
  <c r="I36" i="208"/>
  <c r="CK36" i="208"/>
  <c r="L50" i="208"/>
  <c r="CN50" i="208"/>
  <c r="X11" i="208"/>
  <c r="CZ11" i="208"/>
  <c r="CJ19" i="208"/>
  <c r="H19" i="208"/>
  <c r="J31" i="208"/>
  <c r="CL31" i="208"/>
  <c r="J40" i="208"/>
  <c r="CL40" i="208"/>
  <c r="CP48" i="208"/>
  <c r="N48" i="208"/>
  <c r="K33" i="208"/>
  <c r="CM33" i="208"/>
  <c r="L38" i="208"/>
  <c r="CB38" i="208"/>
  <c r="CN38" i="208"/>
  <c r="O12" i="208"/>
  <c r="CQ12" i="208"/>
  <c r="CB12" i="208"/>
  <c r="X29" i="208"/>
  <c r="CZ29" i="208"/>
  <c r="X35" i="208"/>
  <c r="CZ35" i="208"/>
  <c r="M48" i="208"/>
  <c r="CO48" i="208"/>
  <c r="B13" i="208"/>
  <c r="CD13" i="208"/>
  <c r="CB13" i="208"/>
  <c r="Y51" i="208"/>
  <c r="DA51" i="208"/>
  <c r="DB22" i="208"/>
  <c r="Z22" i="208"/>
  <c r="V33" i="208"/>
  <c r="CX33" i="208"/>
  <c r="CJ47" i="208"/>
  <c r="H47" i="208"/>
  <c r="CB47" i="208"/>
  <c r="CR39" i="208"/>
  <c r="P39" i="208"/>
  <c r="Q25" i="208"/>
  <c r="CS25" i="208"/>
  <c r="I5" i="208"/>
  <c r="CK5" i="208"/>
  <c r="BJ53" i="208"/>
  <c r="CK53" i="208" s="1"/>
  <c r="T16" i="208"/>
  <c r="CV16" i="208"/>
  <c r="H9" i="208"/>
  <c r="CJ9" i="208"/>
  <c r="BI53" i="208"/>
  <c r="CJ53" i="208" s="1"/>
  <c r="CD25" i="208"/>
  <c r="CB25" i="208"/>
  <c r="B25" i="208"/>
  <c r="Y19" i="208"/>
  <c r="DA19" i="208"/>
  <c r="M16" i="208"/>
  <c r="CO16" i="208"/>
  <c r="BN53" i="208"/>
  <c r="CO53" i="208" s="1"/>
  <c r="Z48" i="208"/>
  <c r="DB48" i="208"/>
  <c r="I8" i="208"/>
  <c r="CK8" i="208"/>
  <c r="C15" i="208"/>
  <c r="CE15" i="208"/>
  <c r="CB15" i="208"/>
  <c r="T14" i="208"/>
  <c r="CV14" i="208"/>
  <c r="E26" i="208"/>
  <c r="CB26" i="208"/>
  <c r="CG26" i="208"/>
  <c r="V52" i="208"/>
  <c r="CX52" i="208"/>
  <c r="F25" i="208"/>
  <c r="CH25" i="208"/>
  <c r="P7" i="208"/>
  <c r="CR7" i="208"/>
  <c r="X38" i="208"/>
  <c r="CZ38" i="208"/>
  <c r="G9" i="208"/>
  <c r="CI9" i="208"/>
  <c r="BH53" i="208"/>
  <c r="CI53" i="208" s="1"/>
  <c r="R32" i="208"/>
  <c r="CT32" i="208"/>
  <c r="V39" i="208"/>
  <c r="CX39" i="208"/>
  <c r="E24" i="208"/>
  <c r="CG24" i="208"/>
  <c r="U29" i="208"/>
  <c r="CW29" i="208"/>
  <c r="CB48" i="208"/>
  <c r="CB45" i="208"/>
  <c r="CB5" i="208"/>
  <c r="BP53" i="208"/>
  <c r="CQ53" i="208" s="1"/>
  <c r="BF53" i="208"/>
  <c r="CG53" i="208" s="1"/>
  <c r="CB28" i="208"/>
  <c r="I41" i="207"/>
  <c r="CK41" i="207"/>
  <c r="P17" i="207"/>
  <c r="CR17" i="207"/>
  <c r="I39" i="207"/>
  <c r="CK39" i="207"/>
  <c r="BJ53" i="207"/>
  <c r="CK53" i="207" s="1"/>
  <c r="Y41" i="207"/>
  <c r="DA41" i="207"/>
  <c r="Q47" i="207"/>
  <c r="CS47" i="207"/>
  <c r="I51" i="207"/>
  <c r="CK51" i="207"/>
  <c r="X5" i="207"/>
  <c r="CZ5" i="207"/>
  <c r="BY53" i="207"/>
  <c r="CZ53" i="207" s="1"/>
  <c r="J8" i="207"/>
  <c r="BK53" i="207"/>
  <c r="CL53" i="207" s="1"/>
  <c r="CB8" i="207"/>
  <c r="CL8" i="207"/>
  <c r="V10" i="207"/>
  <c r="CX10" i="207"/>
  <c r="H13" i="207"/>
  <c r="CJ13" i="207"/>
  <c r="T15" i="207"/>
  <c r="CV15" i="207"/>
  <c r="F18" i="207"/>
  <c r="CH18" i="207"/>
  <c r="CB18" i="207"/>
  <c r="R20" i="207"/>
  <c r="CT20" i="207"/>
  <c r="D24" i="207"/>
  <c r="CF24" i="207"/>
  <c r="P26" i="207"/>
  <c r="CR26" i="207"/>
  <c r="B29" i="207"/>
  <c r="CD29" i="207"/>
  <c r="CB29" i="207"/>
  <c r="N31" i="207"/>
  <c r="CP31" i="207"/>
  <c r="Z33" i="207"/>
  <c r="DB33" i="207"/>
  <c r="L37" i="207"/>
  <c r="CB37" i="207"/>
  <c r="CN37" i="207"/>
  <c r="X39" i="207"/>
  <c r="CZ39" i="207"/>
  <c r="J44" i="207"/>
  <c r="CL44" i="207"/>
  <c r="CB44" i="207"/>
  <c r="V46" i="207"/>
  <c r="CX46" i="207"/>
  <c r="H49" i="207"/>
  <c r="CJ49" i="207"/>
  <c r="T51" i="207"/>
  <c r="CV51" i="207"/>
  <c r="O38" i="207"/>
  <c r="CQ38" i="207"/>
  <c r="W46" i="207"/>
  <c r="CY46" i="207"/>
  <c r="BX53" i="207"/>
  <c r="CY53" i="207" s="1"/>
  <c r="O50" i="207"/>
  <c r="CQ50" i="207"/>
  <c r="H5" i="207"/>
  <c r="CJ5" i="207"/>
  <c r="BI53" i="207"/>
  <c r="CJ53" i="207" s="1"/>
  <c r="B20" i="207"/>
  <c r="CD20" i="207"/>
  <c r="CB20" i="207"/>
  <c r="Z25" i="207"/>
  <c r="DB25" i="207"/>
  <c r="L28" i="207"/>
  <c r="CN28" i="207"/>
  <c r="X30" i="207"/>
  <c r="CZ30" i="207"/>
  <c r="J33" i="207"/>
  <c r="CL33" i="207"/>
  <c r="CX36" i="207"/>
  <c r="V36" i="207"/>
  <c r="H39" i="207"/>
  <c r="CJ39" i="207"/>
  <c r="CB39" i="207"/>
  <c r="T41" i="207"/>
  <c r="CV41" i="207"/>
  <c r="F46" i="207"/>
  <c r="CB46" i="207"/>
  <c r="CH46" i="207"/>
  <c r="R48" i="207"/>
  <c r="CT48" i="207"/>
  <c r="D51" i="207"/>
  <c r="CF51" i="207"/>
  <c r="CB41" i="207"/>
  <c r="CB17" i="207"/>
  <c r="Y39" i="207"/>
  <c r="DA39" i="207"/>
  <c r="O44" i="207"/>
  <c r="CQ44" i="207"/>
  <c r="G48" i="207"/>
  <c r="CI48" i="207"/>
  <c r="Y51" i="207"/>
  <c r="DA51" i="207"/>
  <c r="N6" i="207"/>
  <c r="CP6" i="207"/>
  <c r="BO53" i="207"/>
  <c r="CP53" i="207" s="1"/>
  <c r="DB8" i="207"/>
  <c r="Z8" i="207"/>
  <c r="L11" i="207"/>
  <c r="CN11" i="207"/>
  <c r="X13" i="207"/>
  <c r="CZ13" i="207"/>
  <c r="J16" i="207"/>
  <c r="CB16" i="207"/>
  <c r="CL16" i="207"/>
  <c r="V18" i="207"/>
  <c r="CX18" i="207"/>
  <c r="H21" i="207"/>
  <c r="CB21" i="207"/>
  <c r="CJ21" i="207"/>
  <c r="T24" i="207"/>
  <c r="CV24" i="207"/>
  <c r="F27" i="207"/>
  <c r="CH27" i="207"/>
  <c r="R29" i="207"/>
  <c r="CT29" i="207"/>
  <c r="D32" i="207"/>
  <c r="CB32" i="207"/>
  <c r="CF32" i="207"/>
  <c r="P35" i="207"/>
  <c r="CR35" i="207"/>
  <c r="B38" i="207"/>
  <c r="CD38" i="207"/>
  <c r="CB38" i="207"/>
  <c r="CP40" i="207"/>
  <c r="N40" i="207"/>
  <c r="DB44" i="207"/>
  <c r="Z44" i="207"/>
  <c r="L47" i="207"/>
  <c r="CN47" i="207"/>
  <c r="X49" i="207"/>
  <c r="CZ49" i="207"/>
  <c r="J52" i="207"/>
  <c r="CL52" i="207"/>
  <c r="CB52" i="207"/>
  <c r="CB47" i="207"/>
  <c r="T7" i="207"/>
  <c r="CV7" i="207"/>
  <c r="F10" i="207"/>
  <c r="CB10" i="207"/>
  <c r="CH10" i="207"/>
  <c r="R12" i="207"/>
  <c r="BS53" i="207"/>
  <c r="CT53" i="207" s="1"/>
  <c r="CT12" i="207"/>
  <c r="D15" i="207"/>
  <c r="CF15" i="207"/>
  <c r="N22" i="207"/>
  <c r="CP22" i="207"/>
  <c r="CB33" i="207"/>
  <c r="CB28" i="207"/>
  <c r="BR53" i="207"/>
  <c r="CS53" i="207" s="1"/>
  <c r="CA53" i="207"/>
  <c r="DB53" i="207" s="1"/>
  <c r="BZ53" i="207"/>
  <c r="DA53" i="207" s="1"/>
  <c r="Y37" i="207"/>
  <c r="DA37" i="207"/>
  <c r="O40" i="207"/>
  <c r="CQ40" i="207"/>
  <c r="G46" i="207"/>
  <c r="CI46" i="207"/>
  <c r="W48" i="207"/>
  <c r="CY48" i="207"/>
  <c r="O52" i="207"/>
  <c r="CQ52" i="207"/>
  <c r="D7" i="207"/>
  <c r="CF7" i="207"/>
  <c r="CB7" i="207"/>
  <c r="P9" i="207"/>
  <c r="CR9" i="207"/>
  <c r="BQ53" i="207"/>
  <c r="CR53" i="207" s="1"/>
  <c r="B12" i="207"/>
  <c r="BC53" i="207"/>
  <c r="CD53" i="207" s="1"/>
  <c r="CB12" i="207"/>
  <c r="CD12" i="207"/>
  <c r="N14" i="207"/>
  <c r="CP14" i="207"/>
  <c r="Z16" i="207"/>
  <c r="DB16" i="207"/>
  <c r="L19" i="207"/>
  <c r="CN19" i="207"/>
  <c r="X21" i="207"/>
  <c r="CZ21" i="207"/>
  <c r="J25" i="207"/>
  <c r="CB25" i="207"/>
  <c r="CL25" i="207"/>
  <c r="V27" i="207"/>
  <c r="CX27" i="207"/>
  <c r="H30" i="207"/>
  <c r="CJ30" i="207"/>
  <c r="T32" i="207"/>
  <c r="CV32" i="207"/>
  <c r="CH36" i="207"/>
  <c r="CB36" i="207"/>
  <c r="F36" i="207"/>
  <c r="R38" i="207"/>
  <c r="CT38" i="207"/>
  <c r="D41" i="207"/>
  <c r="CF41" i="207"/>
  <c r="P45" i="207"/>
  <c r="CR45" i="207"/>
  <c r="B48" i="207"/>
  <c r="CB48" i="207"/>
  <c r="CD48" i="207"/>
  <c r="N50" i="207"/>
  <c r="CP50" i="207"/>
  <c r="DB52" i="207"/>
  <c r="Z52" i="207"/>
  <c r="CB31" i="207"/>
  <c r="CB50" i="207"/>
  <c r="CB35" i="207"/>
  <c r="T39" i="206"/>
  <c r="CV39" i="206"/>
  <c r="O50" i="206"/>
  <c r="CQ50" i="206"/>
  <c r="O49" i="206"/>
  <c r="CQ49" i="206"/>
  <c r="U11" i="206"/>
  <c r="CW11" i="206"/>
  <c r="W16" i="206"/>
  <c r="CY16" i="206"/>
  <c r="M19" i="206"/>
  <c r="CO19" i="206"/>
  <c r="M33" i="206"/>
  <c r="CO33" i="206"/>
  <c r="W8" i="206"/>
  <c r="CY8" i="206"/>
  <c r="Z10" i="206"/>
  <c r="DB10" i="206"/>
  <c r="CU24" i="206"/>
  <c r="Z50" i="206"/>
  <c r="DB50" i="206"/>
  <c r="J28" i="206"/>
  <c r="CL28" i="206"/>
  <c r="B46" i="206"/>
  <c r="CD46" i="206"/>
  <c r="N27" i="206"/>
  <c r="CP27" i="206"/>
  <c r="R40" i="206"/>
  <c r="CT40" i="206"/>
  <c r="O10" i="206"/>
  <c r="CQ10" i="206"/>
  <c r="I26" i="206"/>
  <c r="CK26" i="206"/>
  <c r="L11" i="206"/>
  <c r="CN11" i="206"/>
  <c r="F8" i="206"/>
  <c r="CH8" i="206"/>
  <c r="T9" i="206"/>
  <c r="CV9" i="206"/>
  <c r="H13" i="206"/>
  <c r="CJ13" i="206"/>
  <c r="Y8" i="206"/>
  <c r="DA8" i="206"/>
  <c r="K40" i="206"/>
  <c r="CM40" i="206"/>
  <c r="D21" i="206"/>
  <c r="CF21" i="206"/>
  <c r="CB21" i="206"/>
  <c r="D24" i="206"/>
  <c r="CF24" i="206"/>
  <c r="Y35" i="206"/>
  <c r="DA35" i="206"/>
  <c r="E44" i="206"/>
  <c r="CG44" i="206"/>
  <c r="H15" i="206"/>
  <c r="CJ15" i="206"/>
  <c r="U9" i="206"/>
  <c r="CW9" i="206"/>
  <c r="D36" i="206"/>
  <c r="CF36" i="206"/>
  <c r="U33" i="206"/>
  <c r="CW33" i="206"/>
  <c r="DA51" i="206"/>
  <c r="P47" i="206"/>
  <c r="CR47" i="206"/>
  <c r="U32" i="206"/>
  <c r="CW32" i="206"/>
  <c r="M32" i="206"/>
  <c r="CO32" i="206"/>
  <c r="B11" i="206"/>
  <c r="CD11" i="206"/>
  <c r="Q52" i="206"/>
  <c r="CS52" i="206"/>
  <c r="V26" i="206"/>
  <c r="CX26" i="206"/>
  <c r="R22" i="206"/>
  <c r="CT22" i="206"/>
  <c r="G9" i="206"/>
  <c r="CI9" i="206"/>
  <c r="L22" i="206"/>
  <c r="CN22" i="206"/>
  <c r="R51" i="206"/>
  <c r="CT51" i="206"/>
  <c r="M29" i="206"/>
  <c r="CO29" i="206"/>
  <c r="E35" i="206"/>
  <c r="CG35" i="206"/>
  <c r="W47" i="206"/>
  <c r="CY47" i="206"/>
  <c r="G52" i="206"/>
  <c r="CI52" i="206"/>
  <c r="E31" i="206"/>
  <c r="CG31" i="206"/>
  <c r="K27" i="206"/>
  <c r="CM27" i="206"/>
  <c r="S33" i="206"/>
  <c r="CU33" i="206"/>
  <c r="O22" i="206"/>
  <c r="CQ22" i="206"/>
  <c r="N44" i="206"/>
  <c r="CP44" i="206"/>
  <c r="M16" i="206"/>
  <c r="CO16" i="206"/>
  <c r="Z6" i="206"/>
  <c r="V29" i="206"/>
  <c r="CX29" i="206"/>
  <c r="J36" i="206"/>
  <c r="CL36" i="206"/>
  <c r="F39" i="206"/>
  <c r="CH39" i="206"/>
  <c r="W15" i="206"/>
  <c r="CY15" i="206"/>
  <c r="Z47" i="206"/>
  <c r="DB47" i="206"/>
  <c r="C40" i="206"/>
  <c r="H47" i="206"/>
  <c r="CJ47" i="206"/>
  <c r="D6" i="206"/>
  <c r="CF6" i="206"/>
  <c r="CI32" i="206"/>
  <c r="B51" i="206"/>
  <c r="CD51" i="206"/>
  <c r="U37" i="206"/>
  <c r="CW37" i="206"/>
  <c r="U50" i="206"/>
  <c r="CW50" i="206"/>
  <c r="I24" i="206"/>
  <c r="CK24" i="206"/>
  <c r="Y30" i="206"/>
  <c r="DA30" i="206"/>
  <c r="V16" i="206"/>
  <c r="CX16" i="206"/>
  <c r="C19" i="206"/>
  <c r="CE19" i="206"/>
  <c r="S7" i="206"/>
  <c r="CU7" i="206"/>
  <c r="I39" i="206"/>
  <c r="CK39" i="206"/>
  <c r="N49" i="206"/>
  <c r="CP49" i="206"/>
  <c r="G15" i="206"/>
  <c r="CI15" i="206"/>
  <c r="CB28" i="206"/>
  <c r="BE33" i="205"/>
  <c r="BD37" i="205"/>
  <c r="BI17" i="205"/>
  <c r="BV24" i="205"/>
  <c r="BC7" i="205"/>
  <c r="BG16" i="205"/>
  <c r="BL12" i="205"/>
  <c r="BM52" i="205"/>
  <c r="BY29" i="205"/>
  <c r="BJ37" i="205"/>
  <c r="BO49" i="205"/>
  <c r="BK48" i="205"/>
  <c r="BY45" i="205"/>
  <c r="BN9" i="205"/>
  <c r="BG33" i="205"/>
  <c r="CA48" i="205"/>
  <c r="BH28" i="205"/>
  <c r="BT6" i="205"/>
  <c r="BI13" i="205"/>
  <c r="BH50" i="205"/>
  <c r="BX9" i="205"/>
  <c r="BI18" i="205"/>
  <c r="BJ10" i="205"/>
  <c r="BR17" i="205"/>
  <c r="BR8" i="205"/>
  <c r="BJ6" i="205"/>
  <c r="BE37" i="205"/>
  <c r="BH46" i="205"/>
  <c r="BG11" i="205"/>
  <c r="CA22" i="205"/>
  <c r="BN10" i="205"/>
  <c r="BK44" i="205"/>
  <c r="BT10" i="205"/>
  <c r="BO45" i="205"/>
  <c r="BF20" i="205"/>
  <c r="BH39" i="205"/>
  <c r="BU37" i="205"/>
  <c r="BX28" i="205"/>
  <c r="BV17" i="205"/>
  <c r="BW21" i="205"/>
  <c r="BG28" i="205"/>
  <c r="BU40" i="205"/>
  <c r="BV46" i="205"/>
  <c r="BD28" i="205"/>
  <c r="BI27" i="205"/>
  <c r="BR7" i="205"/>
  <c r="BR47" i="205"/>
  <c r="BC9" i="205"/>
  <c r="BN13" i="205"/>
  <c r="BI7" i="205"/>
  <c r="BV26" i="205"/>
  <c r="BO30" i="205"/>
  <c r="BU9" i="205"/>
  <c r="BP39" i="205"/>
  <c r="BR22" i="205"/>
  <c r="BS21" i="205"/>
  <c r="BG44" i="205"/>
  <c r="BH22" i="205"/>
  <c r="BG15" i="205"/>
  <c r="BW41" i="205"/>
  <c r="BT19" i="205"/>
  <c r="BD44" i="205"/>
  <c r="BI38" i="205"/>
  <c r="BI48" i="205"/>
  <c r="BL28" i="205"/>
  <c r="BZ6" i="205"/>
  <c r="BE12" i="205"/>
  <c r="BO52" i="205"/>
  <c r="BN21" i="205"/>
  <c r="BN27" i="205"/>
  <c r="BU10" i="205"/>
  <c r="BZ48" i="205"/>
  <c r="BR31" i="205"/>
  <c r="BO22" i="205"/>
  <c r="BJ26" i="205"/>
  <c r="BK37" i="205"/>
  <c r="BZ49" i="205"/>
  <c r="BL35" i="205"/>
  <c r="BG7" i="205"/>
  <c r="BH29" i="205"/>
  <c r="BO20" i="205"/>
  <c r="BP25" i="205"/>
  <c r="BR10" i="205"/>
  <c r="BM51" i="205"/>
  <c r="BV6" i="205"/>
  <c r="CA51" i="205"/>
  <c r="BD41" i="205"/>
  <c r="BM13" i="205"/>
  <c r="BE9" i="205"/>
  <c r="BF12" i="205"/>
  <c r="BY51" i="205"/>
  <c r="BR6" i="205"/>
  <c r="BF50" i="205"/>
  <c r="BI49" i="205"/>
  <c r="BX7" i="205"/>
  <c r="BY13" i="205"/>
  <c r="BL38" i="205"/>
  <c r="BO24" i="205"/>
  <c r="BO25" i="205"/>
  <c r="BM45" i="205"/>
  <c r="CA30" i="205"/>
  <c r="BJ20" i="205"/>
  <c r="BE19" i="205"/>
  <c r="BC29" i="205"/>
  <c r="CA12" i="205"/>
  <c r="BX33" i="205"/>
  <c r="BL48" i="205"/>
  <c r="BY22" i="205"/>
  <c r="BV8" i="205"/>
  <c r="BJ27" i="205"/>
  <c r="BU8" i="205"/>
  <c r="BJ22" i="205"/>
  <c r="BW18" i="205"/>
  <c r="BZ32" i="205"/>
  <c r="BL46" i="205"/>
  <c r="BO46" i="205"/>
  <c r="BR41" i="205"/>
  <c r="CA40" i="205"/>
  <c r="BL44" i="205"/>
  <c r="BY47" i="205"/>
  <c r="BZ50" i="205"/>
  <c r="BZ12" i="205"/>
  <c r="BM50" i="205"/>
  <c r="BJ12" i="205"/>
  <c r="BU47" i="205"/>
  <c r="BG45" i="205"/>
  <c r="BC40" i="205"/>
  <c r="BZ28" i="205"/>
  <c r="BU14" i="205"/>
  <c r="BI47" i="205"/>
  <c r="BU21" i="205"/>
  <c r="CA18" i="205"/>
  <c r="BX6" i="205"/>
  <c r="BH40" i="205"/>
  <c r="BT30" i="205"/>
  <c r="CA32" i="205"/>
  <c r="BX26" i="205"/>
  <c r="BO37" i="205"/>
  <c r="BH9" i="205"/>
  <c r="BQ30" i="205"/>
  <c r="BS15" i="205"/>
  <c r="BH49" i="205"/>
  <c r="BR27" i="205"/>
  <c r="BF44" i="205"/>
  <c r="BO33" i="205"/>
  <c r="BE18" i="205"/>
  <c r="BQ45" i="205"/>
  <c r="BT52" i="205"/>
  <c r="BM16" i="205"/>
  <c r="BI40" i="205"/>
  <c r="BR25" i="205"/>
  <c r="BP20" i="205"/>
  <c r="BO29" i="205"/>
  <c r="BZ37" i="205"/>
  <c r="BC38" i="205"/>
  <c r="BC30" i="205"/>
  <c r="BV41" i="205"/>
  <c r="BX24" i="205"/>
  <c r="BT29" i="205"/>
  <c r="BI28" i="205"/>
  <c r="BK17" i="205"/>
  <c r="BF29" i="205"/>
  <c r="BP8" i="205"/>
  <c r="BT16" i="205"/>
  <c r="BM32" i="205"/>
  <c r="BP9" i="205"/>
  <c r="BK7" i="205"/>
  <c r="BR50" i="205"/>
  <c r="BM46" i="205"/>
  <c r="BN16" i="205"/>
  <c r="BE11" i="205"/>
  <c r="BL47" i="205"/>
  <c r="BZ11" i="205"/>
  <c r="BU33" i="205"/>
  <c r="BZ7" i="205"/>
  <c r="BE35" i="205"/>
  <c r="BU49" i="205"/>
  <c r="BY7" i="205"/>
  <c r="BI29" i="205"/>
  <c r="BK27" i="205"/>
  <c r="BQ9" i="205"/>
  <c r="BI9" i="205"/>
  <c r="BK45" i="205"/>
  <c r="BY50" i="205"/>
  <c r="BE6" i="205"/>
  <c r="BJ7" i="205"/>
  <c r="BY52" i="205"/>
  <c r="BL19" i="205"/>
  <c r="BJ15" i="205"/>
  <c r="BF47" i="205"/>
  <c r="BS41" i="205"/>
  <c r="BK30" i="205"/>
  <c r="BL27" i="205"/>
  <c r="BZ13" i="205"/>
  <c r="BD48" i="205"/>
  <c r="BH7" i="205"/>
  <c r="BE13" i="205"/>
  <c r="BX31" i="205"/>
  <c r="BS35" i="205"/>
  <c r="BY39" i="205"/>
  <c r="BI6" i="205"/>
  <c r="BZ20" i="205"/>
  <c r="BX16" i="205"/>
  <c r="BW29" i="205"/>
  <c r="BQ48" i="205"/>
  <c r="BC52" i="205"/>
  <c r="BK22" i="205"/>
  <c r="BX8" i="205"/>
  <c r="BI33" i="205"/>
  <c r="BU41" i="205"/>
  <c r="BX15" i="205"/>
  <c r="BX50" i="205"/>
  <c r="BU6" i="205"/>
  <c r="BK52" i="205"/>
  <c r="BL22" i="205"/>
  <c r="BY19" i="205"/>
  <c r="BU29" i="205"/>
  <c r="BF17" i="205"/>
  <c r="BR40" i="205"/>
  <c r="BM25" i="205"/>
  <c r="BR15" i="205"/>
  <c r="BW40" i="205"/>
  <c r="BO26" i="205"/>
  <c r="BN11" i="205"/>
  <c r="BS27" i="205"/>
  <c r="BV12" i="205"/>
  <c r="BX37" i="205"/>
  <c r="BR33" i="205"/>
  <c r="BL13" i="205"/>
  <c r="BU12" i="205"/>
  <c r="BD13" i="205"/>
  <c r="BO8" i="205"/>
  <c r="BF25" i="205"/>
  <c r="BN12" i="205"/>
  <c r="BR39" i="205"/>
  <c r="BO12" i="205"/>
  <c r="BU35" i="205"/>
  <c r="BE46" i="205"/>
  <c r="BJ36" i="205"/>
  <c r="BQ27" i="205"/>
  <c r="BF26" i="205"/>
  <c r="BN47" i="205"/>
  <c r="BW25" i="205"/>
  <c r="BQ17" i="205"/>
  <c r="BJ41" i="205"/>
  <c r="CA10" i="205"/>
  <c r="BU48" i="205"/>
  <c r="BH48" i="205"/>
  <c r="BT20" i="205"/>
  <c r="BY48" i="205"/>
  <c r="BJ9" i="205"/>
  <c r="BW10" i="205"/>
  <c r="BC41" i="205"/>
  <c r="BZ22" i="205"/>
  <c r="BV51" i="205"/>
  <c r="BT13" i="205"/>
  <c r="BY6" i="205"/>
  <c r="BR45" i="205"/>
  <c r="BE39" i="205"/>
  <c r="CA35" i="205"/>
  <c r="BK13" i="205"/>
  <c r="BV50" i="205"/>
  <c r="BS48" i="205"/>
  <c r="BZ18" i="205"/>
  <c r="BJ45" i="205"/>
  <c r="BX22" i="205"/>
  <c r="BS38" i="205"/>
  <c r="BQ8" i="205"/>
  <c r="BL50" i="205"/>
  <c r="BZ33" i="205"/>
  <c r="BN37" i="205"/>
  <c r="BI51" i="205"/>
  <c r="CA46" i="205"/>
  <c r="BX20" i="205"/>
  <c r="BL45" i="205"/>
  <c r="BT38" i="205"/>
  <c r="BN19" i="205"/>
  <c r="BO40" i="205"/>
  <c r="BS44" i="205"/>
  <c r="BM19" i="205"/>
  <c r="BW47" i="205"/>
  <c r="BP15" i="205"/>
  <c r="BK39" i="205"/>
  <c r="BL20" i="205"/>
  <c r="BR32" i="205"/>
  <c r="BN52" i="205"/>
  <c r="BH19" i="205"/>
  <c r="BV35" i="205"/>
  <c r="BL33" i="205"/>
  <c r="BO16" i="205"/>
  <c r="BN15" i="205"/>
  <c r="BI26" i="205"/>
  <c r="BL21" i="205"/>
  <c r="BG20" i="205"/>
  <c r="BM10" i="205"/>
  <c r="BQ44" i="205"/>
  <c r="BL31" i="205"/>
  <c r="BQ35" i="205"/>
  <c r="BQ22" i="205"/>
  <c r="BD31" i="205"/>
  <c r="BS13" i="205"/>
  <c r="BZ39" i="205"/>
  <c r="BF14" i="205"/>
  <c r="BX25" i="205"/>
  <c r="BT44" i="205"/>
  <c r="BJ16" i="205"/>
  <c r="BK16" i="205"/>
  <c r="BV21" i="205"/>
  <c r="BG50" i="205"/>
  <c r="BM49" i="205"/>
  <c r="BM26" i="205"/>
  <c r="BV14" i="205"/>
  <c r="BX48" i="205"/>
  <c r="BE27" i="205"/>
  <c r="BR26" i="205"/>
  <c r="BK20" i="205"/>
  <c r="BK10" i="205"/>
  <c r="BJ19" i="205"/>
  <c r="BP41" i="205"/>
  <c r="BC35" i="205"/>
  <c r="BH41" i="205"/>
  <c r="BC20" i="205"/>
  <c r="BP21" i="205"/>
  <c r="BP47" i="205"/>
  <c r="BM7" i="205"/>
  <c r="BH16" i="205"/>
  <c r="BK28" i="205"/>
  <c r="BQ29" i="205"/>
  <c r="BX38" i="205"/>
  <c r="BM24" i="205"/>
  <c r="BW30" i="205"/>
  <c r="BP40" i="205"/>
  <c r="BD38" i="205"/>
  <c r="BP31" i="205"/>
  <c r="BI37" i="205"/>
  <c r="BW33" i="205"/>
  <c r="BG10" i="205"/>
  <c r="BW11" i="205"/>
  <c r="BJ14" i="205"/>
  <c r="BO17" i="205"/>
  <c r="BL41" i="205"/>
  <c r="BC47" i="205"/>
  <c r="BC5" i="205"/>
  <c r="BK18" i="205"/>
  <c r="BO10" i="205"/>
  <c r="CA24" i="205"/>
  <c r="BX10" i="205"/>
  <c r="BK26" i="205"/>
  <c r="BC26" i="205"/>
  <c r="BK36" i="205"/>
  <c r="BC50" i="205"/>
  <c r="BX5" i="205"/>
  <c r="BL5" i="205"/>
  <c r="BW14" i="205"/>
  <c r="BT47" i="205"/>
  <c r="BQ39" i="205"/>
  <c r="BK19" i="205"/>
  <c r="BP30" i="205"/>
  <c r="BE24" i="205"/>
  <c r="BK32" i="205"/>
  <c r="BC39" i="205"/>
  <c r="BV31" i="205"/>
  <c r="BP29" i="205"/>
  <c r="BH25" i="205"/>
  <c r="BP18" i="205"/>
  <c r="BR38" i="205"/>
  <c r="BO48" i="205"/>
  <c r="BE40" i="205"/>
  <c r="BG12" i="205"/>
  <c r="BP48" i="205"/>
  <c r="BI52" i="205"/>
  <c r="BC45" i="205"/>
  <c r="BM8" i="205"/>
  <c r="BT28" i="205"/>
  <c r="BX30" i="205"/>
  <c r="BN38" i="205"/>
  <c r="BC32" i="205"/>
  <c r="BE36" i="205"/>
  <c r="BP49" i="205"/>
  <c r="BU19" i="205"/>
  <c r="BM40" i="205"/>
  <c r="BP33" i="205"/>
  <c r="BY5" i="205"/>
  <c r="BZ35" i="205"/>
  <c r="BN24" i="205"/>
  <c r="BH47" i="205"/>
  <c r="BF13" i="205"/>
  <c r="BH5" i="205"/>
  <c r="BR49" i="205"/>
  <c r="BM33" i="205"/>
  <c r="BC24" i="205"/>
  <c r="BN44" i="205"/>
  <c r="BZ24" i="205"/>
  <c r="BK24" i="205"/>
  <c r="BW5" i="205"/>
  <c r="BT36" i="205"/>
  <c r="BR51" i="205"/>
  <c r="BY25" i="205"/>
  <c r="BP51" i="205"/>
  <c r="BN51" i="205"/>
  <c r="BD51" i="205"/>
  <c r="BV7" i="205"/>
  <c r="BQ40" i="205"/>
  <c r="CA27" i="205"/>
  <c r="BD35" i="205"/>
  <c r="BL11" i="205"/>
  <c r="BP17" i="205"/>
  <c r="BE47" i="205"/>
  <c r="BH8" i="205"/>
  <c r="BE50" i="205"/>
  <c r="BG48" i="205"/>
  <c r="BN31" i="205"/>
  <c r="BP38" i="205"/>
  <c r="CA20" i="205"/>
  <c r="BG51" i="205"/>
  <c r="BM9" i="205"/>
  <c r="BL52" i="205"/>
  <c r="BY11" i="205"/>
  <c r="BM17" i="205"/>
  <c r="BI44" i="205"/>
  <c r="BY41" i="205"/>
  <c r="BQ21" i="205"/>
  <c r="BU17" i="205"/>
  <c r="BJ8" i="205"/>
  <c r="BZ26" i="205"/>
  <c r="BD30" i="205"/>
  <c r="BF51" i="205"/>
  <c r="BE15" i="205"/>
  <c r="BP14" i="205"/>
  <c r="BF8" i="205"/>
  <c r="BV52" i="205"/>
  <c r="CA15" i="205"/>
  <c r="BD47" i="205"/>
  <c r="BD9" i="205"/>
  <c r="BE48" i="205"/>
  <c r="BN41" i="205"/>
  <c r="BT17" i="205"/>
  <c r="BR35" i="205"/>
  <c r="BT50" i="205"/>
  <c r="BI19" i="205"/>
  <c r="BH37" i="205"/>
  <c r="BJ44" i="205"/>
  <c r="CA19" i="205"/>
  <c r="BP46" i="205"/>
  <c r="BL14" i="205"/>
  <c r="BJ49" i="205"/>
  <c r="BF27" i="205"/>
  <c r="BF9" i="205"/>
  <c r="BP19" i="205"/>
  <c r="BU46" i="205"/>
  <c r="BM38" i="205"/>
  <c r="BV25" i="205"/>
  <c r="BN29" i="205"/>
  <c r="BS37" i="205"/>
  <c r="BP11" i="205"/>
  <c r="BW32" i="205"/>
  <c r="BD22" i="205"/>
  <c r="BI50" i="205"/>
  <c r="BG25" i="205"/>
  <c r="BH32" i="205"/>
  <c r="BK29" i="205"/>
  <c r="BI45" i="205"/>
  <c r="BT33" i="205"/>
  <c r="BT12" i="205"/>
  <c r="BF28" i="205"/>
  <c r="BF35" i="205"/>
  <c r="BR30" i="205"/>
  <c r="BW8" i="205"/>
  <c r="BN22" i="205"/>
  <c r="BE51" i="205"/>
  <c r="BN39" i="205"/>
  <c r="BJ51" i="205"/>
  <c r="BG6" i="205"/>
  <c r="BT37" i="205"/>
  <c r="BQ11" i="205"/>
  <c r="BQ49" i="205"/>
  <c r="BZ9" i="205"/>
  <c r="BN18" i="205"/>
  <c r="BS31" i="205"/>
  <c r="BG22" i="205"/>
  <c r="BW49" i="205"/>
  <c r="BW31" i="205"/>
  <c r="BS49" i="205"/>
  <c r="BL8" i="205"/>
  <c r="CA33" i="205"/>
  <c r="BE32" i="205"/>
  <c r="BD32" i="205"/>
  <c r="BY49" i="205"/>
  <c r="BT18" i="205"/>
  <c r="BV10" i="205"/>
  <c r="BJ25" i="205"/>
  <c r="BF33" i="205"/>
  <c r="BV22" i="205"/>
  <c r="BE49" i="205"/>
  <c r="BI22" i="205"/>
  <c r="BJ11" i="205"/>
  <c r="BI35" i="205"/>
  <c r="BD52" i="205"/>
  <c r="BP52" i="205"/>
  <c r="BN46" i="205"/>
  <c r="BY16" i="205"/>
  <c r="BO41" i="205"/>
  <c r="BE7" i="205"/>
  <c r="BQ38" i="205"/>
  <c r="BV28" i="205"/>
  <c r="BC15" i="205"/>
  <c r="BX32" i="205"/>
  <c r="BQ10" i="205"/>
  <c r="BR44" i="205"/>
  <c r="BY8" i="205"/>
  <c r="BH51" i="205"/>
  <c r="BS39" i="205"/>
  <c r="BG26" i="205"/>
  <c r="BY44" i="205"/>
  <c r="BJ35" i="205"/>
  <c r="BI10" i="205"/>
  <c r="BV40" i="205"/>
  <c r="BP27" i="205"/>
  <c r="BU31" i="205"/>
  <c r="BW19" i="205"/>
  <c r="BY35" i="205"/>
  <c r="BW52" i="205"/>
  <c r="BS19" i="205"/>
  <c r="BS18" i="205"/>
  <c r="BV13" i="205"/>
  <c r="BU38" i="205"/>
  <c r="BQ46" i="205"/>
  <c r="BD25" i="205"/>
  <c r="BN33" i="205"/>
  <c r="BT9" i="205"/>
  <c r="BZ17" i="205"/>
  <c r="BH12" i="205"/>
  <c r="BY17" i="205"/>
  <c r="BZ25" i="205"/>
  <c r="BY30" i="205"/>
  <c r="BO14" i="205"/>
  <c r="BM27" i="205"/>
  <c r="BQ33" i="205"/>
  <c r="BM22" i="205"/>
  <c r="BD50" i="205"/>
  <c r="BP36" i="205"/>
  <c r="BF7" i="205"/>
  <c r="BL15" i="205"/>
  <c r="BY21" i="205"/>
  <c r="BD14" i="205"/>
  <c r="BS47" i="205"/>
  <c r="BQ16" i="205"/>
  <c r="BG46" i="205"/>
  <c r="BK8" i="205"/>
  <c r="BQ6" i="205"/>
  <c r="BE29" i="205"/>
  <c r="BV48" i="205"/>
  <c r="BP10" i="205"/>
  <c r="BG18" i="205"/>
  <c r="BG5" i="205"/>
  <c r="BD5" i="205"/>
  <c r="BP37" i="205"/>
  <c r="BL37" i="205"/>
  <c r="BH15" i="205"/>
  <c r="BK49" i="205"/>
  <c r="BK38" i="205"/>
  <c r="CA6" i="205"/>
  <c r="BV29" i="205"/>
  <c r="BH31" i="205"/>
  <c r="BQ7" i="205"/>
  <c r="BU11" i="205"/>
  <c r="CA11" i="205"/>
  <c r="BW28" i="205"/>
  <c r="BD40" i="205"/>
  <c r="BQ47" i="205"/>
  <c r="BU30" i="205"/>
  <c r="BR20" i="205"/>
  <c r="BI25" i="205"/>
  <c r="BO21" i="205"/>
  <c r="BJ52" i="205"/>
  <c r="BV49" i="205"/>
  <c r="BD6" i="205"/>
  <c r="BP22" i="205"/>
  <c r="BN28" i="205"/>
  <c r="BS20" i="205"/>
  <c r="BJ46" i="205"/>
  <c r="BW6" i="205"/>
  <c r="BS25" i="205"/>
  <c r="BO51" i="205"/>
  <c r="BT45" i="205"/>
  <c r="BY14" i="205"/>
  <c r="BK50" i="205"/>
  <c r="CA26" i="205"/>
  <c r="BG8" i="205"/>
  <c r="BC46" i="205"/>
  <c r="BE14" i="205"/>
  <c r="BW7" i="205"/>
  <c r="BI31" i="205"/>
  <c r="CA29" i="205"/>
  <c r="BU15" i="205"/>
  <c r="BL17" i="205"/>
  <c r="BX29" i="205"/>
  <c r="BS8" i="205"/>
  <c r="BT31" i="205"/>
  <c r="BN20" i="205"/>
  <c r="BO35" i="205"/>
  <c r="BR21" i="205"/>
  <c r="CA28" i="205"/>
  <c r="BU52" i="205"/>
  <c r="BQ51" i="205"/>
  <c r="BF38" i="205"/>
  <c r="BS45" i="205"/>
  <c r="CA14" i="205"/>
  <c r="BQ50" i="205"/>
  <c r="BI20" i="205"/>
  <c r="BT46" i="205"/>
  <c r="BK41" i="205"/>
  <c r="CA37" i="205"/>
  <c r="BZ52" i="205"/>
  <c r="BG29" i="205"/>
  <c r="BS28" i="205"/>
  <c r="BQ14" i="205"/>
  <c r="BZ29" i="205"/>
  <c r="BL49" i="205"/>
  <c r="BD27" i="205"/>
  <c r="CA17" i="205"/>
  <c r="BO15" i="205"/>
  <c r="BF32" i="205"/>
  <c r="BD11" i="205"/>
  <c r="BH27" i="205"/>
  <c r="BH20" i="205"/>
  <c r="BE10" i="205"/>
  <c r="BI46" i="205"/>
  <c r="BX52" i="205"/>
  <c r="BJ50" i="205"/>
  <c r="BE30" i="205"/>
  <c r="BS52" i="205"/>
  <c r="BF52" i="205"/>
  <c r="BW20" i="205"/>
  <c r="BR14" i="205"/>
  <c r="BJ29" i="205"/>
  <c r="BD17" i="205"/>
  <c r="BG35" i="205"/>
  <c r="BZ21" i="205"/>
  <c r="BH24" i="205"/>
  <c r="BQ13" i="205"/>
  <c r="BX13" i="205"/>
  <c r="BR28" i="205"/>
  <c r="BQ37" i="205"/>
  <c r="BC13" i="205"/>
  <c r="BE16" i="205"/>
  <c r="BU13" i="205"/>
  <c r="BH11" i="205"/>
  <c r="BN17" i="205"/>
  <c r="BK6" i="205"/>
  <c r="BH10" i="205"/>
  <c r="BM15" i="205"/>
  <c r="BW26" i="205"/>
  <c r="BC18" i="205"/>
  <c r="BJ5" i="205"/>
  <c r="BG30" i="205"/>
  <c r="BV27" i="205"/>
  <c r="BJ47" i="205"/>
  <c r="BN50" i="205"/>
  <c r="BC44" i="205"/>
  <c r="BC11" i="205"/>
  <c r="BK5" i="205"/>
  <c r="BT5" i="205"/>
  <c r="BZ15" i="205"/>
  <c r="CA13" i="205"/>
  <c r="BF40" i="205"/>
  <c r="BC21" i="205"/>
  <c r="BL16" i="205"/>
  <c r="CA47" i="205"/>
  <c r="CA52" i="205"/>
  <c r="BP50" i="205"/>
  <c r="CA36" i="205"/>
  <c r="BU45" i="205"/>
  <c r="BM20" i="205"/>
  <c r="BK12" i="205"/>
  <c r="BD15" i="205"/>
  <c r="BV5" i="205"/>
  <c r="BY27" i="205"/>
  <c r="BJ33" i="205"/>
  <c r="BW24" i="205"/>
  <c r="BY24" i="205"/>
  <c r="BO18" i="205"/>
  <c r="BJ28" i="205"/>
  <c r="BE26" i="205"/>
  <c r="CA7" i="205"/>
  <c r="BS9" i="205"/>
  <c r="BC19" i="205"/>
  <c r="BS22" i="205"/>
  <c r="BP5" i="205"/>
  <c r="BL24" i="205"/>
  <c r="BJ31" i="205"/>
  <c r="BU5" i="205"/>
  <c r="BS33" i="205"/>
  <c r="BW9" i="205"/>
  <c r="BN25" i="205"/>
  <c r="BR12" i="205"/>
  <c r="BP7" i="205"/>
  <c r="BG13" i="205"/>
  <c r="BM30" i="205"/>
  <c r="BV19" i="205"/>
  <c r="BV38" i="205"/>
  <c r="BR11" i="205"/>
  <c r="BL32" i="205"/>
  <c r="BJ38" i="205"/>
  <c r="BF11" i="205"/>
  <c r="BM28" i="205"/>
  <c r="BH6" i="205"/>
  <c r="CA31" i="205"/>
  <c r="BP28" i="205"/>
  <c r="BZ19" i="205"/>
  <c r="BO50" i="205"/>
  <c r="BV18" i="205"/>
  <c r="BK25" i="205"/>
  <c r="BX12" i="205"/>
  <c r="BM41" i="205"/>
  <c r="CA49" i="205"/>
  <c r="BQ32" i="205"/>
  <c r="BQ15" i="205"/>
  <c r="BN30" i="205"/>
  <c r="BF31" i="205"/>
  <c r="BV33" i="205"/>
  <c r="BF30" i="205"/>
  <c r="BP16" i="205"/>
  <c r="BX45" i="205"/>
  <c r="BI12" i="205"/>
  <c r="BD20" i="205"/>
  <c r="BL39" i="205"/>
  <c r="BS46" i="205"/>
  <c r="BD45" i="205"/>
  <c r="BH14" i="205"/>
  <c r="BP32" i="205"/>
  <c r="BM12" i="205"/>
  <c r="BS50" i="205"/>
  <c r="BN6" i="205"/>
  <c r="BU18" i="205"/>
  <c r="BS40" i="205"/>
  <c r="BD33" i="205"/>
  <c r="BU7" i="205"/>
  <c r="BG27" i="205"/>
  <c r="BG41" i="205"/>
  <c r="BD21" i="205"/>
  <c r="BI15" i="205"/>
  <c r="BX51" i="205"/>
  <c r="BS29" i="205"/>
  <c r="BE45" i="205"/>
  <c r="BY12" i="205"/>
  <c r="BZ16" i="205"/>
  <c r="BN40" i="205"/>
  <c r="BU20" i="205"/>
  <c r="BL18" i="205"/>
  <c r="BO19" i="205"/>
  <c r="BR16" i="205"/>
  <c r="BT11" i="205"/>
  <c r="BM35" i="205"/>
  <c r="BD39" i="205"/>
  <c r="BG32" i="205"/>
  <c r="BL6" i="205"/>
  <c r="BJ39" i="205"/>
  <c r="BY15" i="205"/>
  <c r="BZ41" i="205"/>
  <c r="BI16" i="205"/>
  <c r="BK47" i="205"/>
  <c r="BR46" i="205"/>
  <c r="BY32" i="205"/>
  <c r="BX46" i="205"/>
  <c r="BT26" i="205"/>
  <c r="BS30" i="205"/>
  <c r="BN8" i="205"/>
  <c r="BT40" i="205"/>
  <c r="BP35" i="205"/>
  <c r="BX27" i="205"/>
  <c r="BF18" i="205"/>
  <c r="BU51" i="205"/>
  <c r="BO27" i="205"/>
  <c r="BE8" i="205"/>
  <c r="BJ17" i="205"/>
  <c r="BZ31" i="205"/>
  <c r="BZ30" i="205"/>
  <c r="BG52" i="205"/>
  <c r="BZ27" i="205"/>
  <c r="BK46" i="205"/>
  <c r="BJ24" i="205"/>
  <c r="BX14" i="205"/>
  <c r="BT21" i="205"/>
  <c r="BF45" i="205"/>
  <c r="BJ40" i="205"/>
  <c r="BZ45" i="205"/>
  <c r="BQ12" i="205"/>
  <c r="BP26" i="205"/>
  <c r="BM48" i="205"/>
  <c r="BC10" i="205"/>
  <c r="BR5" i="205"/>
  <c r="BD26" i="205"/>
  <c r="BN49" i="205"/>
  <c r="BZ47" i="205"/>
  <c r="BR36" i="205"/>
  <c r="BH36" i="205"/>
  <c r="BM36" i="205"/>
  <c r="BE5" i="205"/>
  <c r="BZ51" i="205"/>
  <c r="BZ40" i="205"/>
  <c r="BH38" i="205"/>
  <c r="CA50" i="205"/>
  <c r="BT24" i="205"/>
  <c r="BU26" i="205"/>
  <c r="BW46" i="205"/>
  <c r="BX44" i="205"/>
  <c r="BS51" i="205"/>
  <c r="BO31" i="205"/>
  <c r="BV9" i="205"/>
  <c r="BO39" i="205"/>
  <c r="BS26" i="205"/>
  <c r="BC12" i="205"/>
  <c r="BV20" i="205"/>
  <c r="BF36" i="205"/>
  <c r="BR13" i="205"/>
  <c r="BC25" i="205"/>
  <c r="BC37" i="205"/>
  <c r="BI11" i="205"/>
  <c r="BZ10" i="205"/>
  <c r="BV32" i="205"/>
  <c r="BI5" i="205"/>
  <c r="BM39" i="205"/>
  <c r="BD36" i="205"/>
  <c r="BO38" i="205"/>
  <c r="BF5" i="205"/>
  <c r="BE38" i="205"/>
  <c r="BQ36" i="205"/>
  <c r="BO13" i="205"/>
  <c r="BQ20" i="205"/>
  <c r="BF48" i="205"/>
  <c r="BJ30" i="205"/>
  <c r="BI14" i="205"/>
  <c r="BD7" i="205"/>
  <c r="BH13" i="205"/>
  <c r="BY9" i="205"/>
  <c r="BD18" i="205"/>
  <c r="BO6" i="205"/>
  <c r="BF22" i="205"/>
  <c r="BE44" i="205"/>
  <c r="BJ48" i="205"/>
  <c r="BT14" i="205"/>
  <c r="BO7" i="205"/>
  <c r="BQ25" i="205"/>
  <c r="BF19" i="205"/>
  <c r="BK21" i="205"/>
  <c r="BN14" i="205"/>
  <c r="BK33" i="205"/>
  <c r="BW15" i="205"/>
  <c r="BW48" i="205"/>
  <c r="BN48" i="205"/>
  <c r="BC22" i="205"/>
  <c r="BS12" i="205"/>
  <c r="BG17" i="205"/>
  <c r="BP45" i="205"/>
  <c r="BK40" i="205"/>
  <c r="BK9" i="205"/>
  <c r="BY20" i="205"/>
  <c r="BG19" i="205"/>
  <c r="BY38" i="205"/>
  <c r="BL51" i="205"/>
  <c r="BM29" i="205"/>
  <c r="BK35" i="205"/>
  <c r="BG31" i="205"/>
  <c r="BG39" i="205"/>
  <c r="BQ28" i="205"/>
  <c r="BM37" i="205"/>
  <c r="BJ18" i="205"/>
  <c r="BF41" i="205"/>
  <c r="CA9" i="205"/>
  <c r="BH30" i="205"/>
  <c r="BR9" i="205"/>
  <c r="BW27" i="205"/>
  <c r="BE20" i="205"/>
  <c r="BO44" i="205"/>
  <c r="BW13" i="205"/>
  <c r="BV15" i="205"/>
  <c r="BH17" i="205"/>
  <c r="BU24" i="205"/>
  <c r="BU28" i="205"/>
  <c r="BM18" i="205"/>
  <c r="BT32" i="205"/>
  <c r="BW17" i="205"/>
  <c r="BT7" i="205"/>
  <c r="BY26" i="205"/>
  <c r="BQ18" i="205"/>
  <c r="BX41" i="205"/>
  <c r="BX35" i="205"/>
  <c r="BE52" i="205"/>
  <c r="BD19" i="205"/>
  <c r="BX36" i="205"/>
  <c r="BH52" i="205"/>
  <c r="BE31" i="205"/>
  <c r="BL25" i="205"/>
  <c r="BE25" i="205"/>
  <c r="BG38" i="205"/>
  <c r="BI36" i="205"/>
  <c r="BI30" i="205"/>
  <c r="BI24" i="205"/>
  <c r="BL40" i="205"/>
  <c r="BW22" i="205"/>
  <c r="CA44" i="205"/>
  <c r="BH21" i="205"/>
  <c r="BZ36" i="205"/>
  <c r="BG14" i="205"/>
  <c r="BM14" i="205"/>
  <c r="BF16" i="205"/>
  <c r="CA16" i="205"/>
  <c r="BC33" i="205"/>
  <c r="BO32" i="205"/>
  <c r="BK11" i="205"/>
  <c r="BI8" i="205"/>
  <c r="BF46" i="205"/>
  <c r="BY28" i="205"/>
  <c r="BW38" i="205"/>
  <c r="BQ31" i="205"/>
  <c r="BQ52" i="205"/>
  <c r="BC6" i="205"/>
  <c r="BN45" i="205"/>
  <c r="BZ14" i="205"/>
  <c r="BK14" i="205"/>
  <c r="BX40" i="205"/>
  <c r="BV11" i="205"/>
  <c r="BS7" i="205"/>
  <c r="BN7" i="205"/>
  <c r="BG49" i="205"/>
  <c r="BC49" i="205"/>
  <c r="CA41" i="205"/>
  <c r="BY18" i="205"/>
  <c r="BX11" i="205"/>
  <c r="BT27" i="205"/>
  <c r="BC48" i="205"/>
  <c r="BC27" i="205"/>
  <c r="BR24" i="205"/>
  <c r="BS5" i="205"/>
  <c r="BL30" i="205"/>
  <c r="BQ41" i="205"/>
  <c r="BS32" i="205"/>
  <c r="BM31" i="205"/>
  <c r="BI41" i="205"/>
  <c r="BG47" i="205"/>
  <c r="BS11" i="205"/>
  <c r="BT39" i="205"/>
  <c r="BJ21" i="205"/>
  <c r="BV47" i="205"/>
  <c r="BX18" i="205"/>
  <c r="BD12" i="205"/>
  <c r="CA25" i="205"/>
  <c r="BD24" i="205"/>
  <c r="BW50" i="205"/>
  <c r="BG40" i="205"/>
  <c r="BS17" i="205"/>
  <c r="BP24" i="205"/>
  <c r="BC51" i="205"/>
  <c r="BI32" i="205"/>
  <c r="BN32" i="205"/>
  <c r="BT22" i="205"/>
  <c r="BN5" i="205"/>
  <c r="CA5" i="205"/>
  <c r="CA8" i="205"/>
  <c r="BW12" i="205"/>
  <c r="BF24" i="205"/>
  <c r="BC36" i="205"/>
  <c r="CA45" i="205"/>
  <c r="BL7" i="205"/>
  <c r="BG21" i="205"/>
  <c r="BW35" i="205"/>
  <c r="BX39" i="205"/>
  <c r="BV16" i="205"/>
  <c r="BH35" i="205"/>
  <c r="BS10" i="205"/>
  <c r="BM21" i="205"/>
  <c r="BF6" i="205"/>
  <c r="BT41" i="205"/>
  <c r="BD16" i="205"/>
  <c r="BT25" i="205"/>
  <c r="BE28" i="205"/>
  <c r="BJ32" i="205"/>
  <c r="BS16" i="205"/>
  <c r="BR52" i="205"/>
  <c r="BH33" i="205"/>
  <c r="BY31" i="205"/>
  <c r="BO28" i="205"/>
  <c r="BU16" i="205"/>
  <c r="BD29" i="205"/>
  <c r="BX47" i="205"/>
  <c r="BW36" i="205"/>
  <c r="BP6" i="205"/>
  <c r="BX17" i="205"/>
  <c r="BU50" i="205"/>
  <c r="BC16" i="205"/>
  <c r="BY37" i="205"/>
  <c r="BY40" i="205"/>
  <c r="BV36" i="205"/>
  <c r="BU36" i="205"/>
  <c r="BC28" i="205"/>
  <c r="BR18" i="205"/>
  <c r="BJ13" i="205"/>
  <c r="BC8" i="205"/>
  <c r="BO11" i="205"/>
  <c r="BO47" i="205"/>
  <c r="BF15" i="205"/>
  <c r="BT48" i="205"/>
  <c r="BK15" i="205"/>
  <c r="BH18" i="205"/>
  <c r="CA38" i="205"/>
  <c r="BZ38" i="205"/>
  <c r="BF37" i="205"/>
  <c r="BD46" i="205"/>
  <c r="BI39" i="205"/>
  <c r="BW16" i="205"/>
  <c r="BO36" i="205"/>
  <c r="BT35" i="205"/>
  <c r="BT51" i="205"/>
  <c r="BR48" i="205"/>
  <c r="BU22" i="205"/>
  <c r="BU44" i="205"/>
  <c r="BD8" i="205"/>
  <c r="BK51" i="205"/>
  <c r="BW37" i="205"/>
  <c r="BU32" i="205"/>
  <c r="BV30" i="205"/>
  <c r="BN26" i="205"/>
  <c r="BG36" i="205"/>
  <c r="BD49" i="205"/>
  <c r="BQ5" i="205"/>
  <c r="BF39" i="205"/>
  <c r="BT49" i="205"/>
  <c r="BS14" i="205"/>
  <c r="BW44" i="205"/>
  <c r="BY36" i="205"/>
  <c r="BM5" i="205"/>
  <c r="BH44" i="205"/>
  <c r="BM11" i="205"/>
  <c r="BG9" i="205"/>
  <c r="BV39" i="205"/>
  <c r="BS6" i="205"/>
  <c r="BX19" i="205"/>
  <c r="BN35" i="205"/>
  <c r="BZ8" i="205"/>
  <c r="BC31" i="205"/>
  <c r="BG37" i="205"/>
  <c r="BP13" i="205"/>
  <c r="BL26" i="205"/>
  <c r="BM44" i="205"/>
  <c r="BU39" i="205"/>
  <c r="BZ44" i="205"/>
  <c r="BF10" i="205"/>
  <c r="BH45" i="205"/>
  <c r="BL10" i="205"/>
  <c r="BE41" i="205"/>
  <c r="BW45" i="205"/>
  <c r="BI21" i="205"/>
  <c r="BL29" i="205"/>
  <c r="BR29" i="205"/>
  <c r="BU25" i="205"/>
  <c r="BF49" i="205"/>
  <c r="BY46" i="205"/>
  <c r="BC14" i="205"/>
  <c r="BR37" i="205"/>
  <c r="BW39" i="205"/>
  <c r="BO9" i="205"/>
  <c r="BQ26" i="205"/>
  <c r="BL36" i="205"/>
  <c r="BV37" i="205"/>
  <c r="BV45" i="205"/>
  <c r="CA39" i="205"/>
  <c r="BL9" i="205"/>
  <c r="BT8" i="205"/>
  <c r="BM47" i="205"/>
  <c r="BF21" i="205"/>
  <c r="BU27" i="205"/>
  <c r="BS24" i="205"/>
  <c r="BV44" i="205"/>
  <c r="BX21" i="205"/>
  <c r="BW51" i="205"/>
  <c r="BE17" i="205"/>
  <c r="BE22" i="205"/>
  <c r="BY33" i="205"/>
  <c r="BG24" i="205"/>
  <c r="CA21" i="205"/>
  <c r="BQ19" i="205"/>
  <c r="BD10" i="205"/>
  <c r="BT15" i="205"/>
  <c r="BY10" i="205"/>
  <c r="BK31" i="205"/>
  <c r="BH26" i="205"/>
  <c r="BX49" i="205"/>
  <c r="BP12" i="205"/>
  <c r="BC17" i="205"/>
  <c r="BE21" i="205"/>
  <c r="BZ5" i="205"/>
  <c r="BZ46" i="205"/>
  <c r="BO5" i="205"/>
  <c r="BN36" i="205"/>
  <c r="BP44" i="205"/>
  <c r="BR19" i="205"/>
  <c r="BQ24" i="205"/>
  <c r="BM6" i="205"/>
  <c r="BS36" i="205"/>
  <c r="BL5" i="5"/>
  <c r="AH5" i="5"/>
  <c r="CE6" i="5"/>
  <c r="AC18" i="115"/>
  <c r="AD18" i="115" s="1"/>
  <c r="AE18" i="115" s="1"/>
  <c r="CE8" i="5"/>
  <c r="X18" i="115"/>
  <c r="Z13" i="115"/>
  <c r="Z19" i="115"/>
  <c r="AE20" i="115"/>
  <c r="AE16" i="115"/>
  <c r="AG21" i="115"/>
  <c r="AF21" i="115"/>
  <c r="AF15" i="115"/>
  <c r="AG15" i="115"/>
  <c r="Z15" i="115" s="1"/>
  <c r="AE14" i="115"/>
  <c r="BA2" i="206"/>
  <c r="CE79" i="5" l="1"/>
  <c r="CE67" i="5"/>
  <c r="BE86" i="5"/>
  <c r="BE59" i="5"/>
  <c r="BE82" i="5"/>
  <c r="CE26" i="5"/>
  <c r="BE58" i="5"/>
  <c r="BE62" i="5"/>
  <c r="BE67" i="5"/>
  <c r="CE46" i="5"/>
  <c r="BE88" i="5"/>
  <c r="BE18" i="5"/>
  <c r="C53" i="207"/>
  <c r="CE76" i="5"/>
  <c r="CE28" i="5"/>
  <c r="CE51" i="5"/>
  <c r="BE30" i="5"/>
  <c r="BE16" i="5"/>
  <c r="CE82" i="5"/>
  <c r="CE66" i="5"/>
  <c r="CE95" i="5"/>
  <c r="CE80" i="5"/>
  <c r="BE80" i="5"/>
  <c r="CB50" i="206"/>
  <c r="BN53" i="206"/>
  <c r="CO53" i="206" s="1"/>
  <c r="BU53" i="206"/>
  <c r="CV53" i="206" s="1"/>
  <c r="CB29" i="206"/>
  <c r="BZ53" i="206"/>
  <c r="DA53" i="206" s="1"/>
  <c r="CB26" i="206"/>
  <c r="CB51" i="206"/>
  <c r="CB35" i="206"/>
  <c r="BX53" i="206"/>
  <c r="CY53" i="206" s="1"/>
  <c r="BJ53" i="206"/>
  <c r="CK53" i="206" s="1"/>
  <c r="CB22" i="206"/>
  <c r="BK53" i="206"/>
  <c r="CL53" i="206" s="1"/>
  <c r="BC53" i="206"/>
  <c r="CD53" i="206" s="1"/>
  <c r="BI53" i="206"/>
  <c r="CJ53" i="206" s="1"/>
  <c r="BL53" i="206"/>
  <c r="CM53" i="206" s="1"/>
  <c r="CB40" i="206"/>
  <c r="BE55" i="5"/>
  <c r="BE66" i="5"/>
  <c r="BE42" i="5"/>
  <c r="BE70" i="5"/>
  <c r="CE74" i="5"/>
  <c r="BE50" i="5"/>
  <c r="BE95" i="5"/>
  <c r="BE51" i="5"/>
  <c r="BE39" i="5"/>
  <c r="BE74" i="5"/>
  <c r="BE92" i="5"/>
  <c r="BE79" i="5"/>
  <c r="BG53" i="206"/>
  <c r="CH53" i="206" s="1"/>
  <c r="CB24" i="206"/>
  <c r="CB47" i="206"/>
  <c r="CB10" i="206"/>
  <c r="CB31" i="206"/>
  <c r="CB15" i="206"/>
  <c r="CB44" i="206"/>
  <c r="CA53" i="206"/>
  <c r="DB53" i="206" s="1"/>
  <c r="CB37" i="206"/>
  <c r="BE53" i="206"/>
  <c r="CF53" i="206" s="1"/>
  <c r="BM53" i="206"/>
  <c r="CN53" i="206" s="1"/>
  <c r="BT53" i="206"/>
  <c r="CU53" i="206" s="1"/>
  <c r="CB20" i="206"/>
  <c r="BW53" i="206"/>
  <c r="CX53" i="206" s="1"/>
  <c r="CB32" i="206"/>
  <c r="CB49" i="206"/>
  <c r="CB18" i="206"/>
  <c r="CB27" i="206"/>
  <c r="CB7" i="206"/>
  <c r="CB39" i="206"/>
  <c r="CE14" i="206"/>
  <c r="CT7" i="206"/>
  <c r="Y10" i="206"/>
  <c r="CT37" i="206"/>
  <c r="CB52" i="206"/>
  <c r="CB33" i="206"/>
  <c r="CB6" i="206"/>
  <c r="CB11" i="206"/>
  <c r="CB19" i="206"/>
  <c r="CB8" i="206"/>
  <c r="BF53" i="206"/>
  <c r="CG53" i="206" s="1"/>
  <c r="CB16" i="206"/>
  <c r="BS53" i="206"/>
  <c r="CT53" i="206" s="1"/>
  <c r="CB13" i="206"/>
  <c r="CB36" i="206"/>
  <c r="BH53" i="206"/>
  <c r="CI53" i="206" s="1"/>
  <c r="CB46" i="206"/>
  <c r="BP53" i="206"/>
  <c r="CQ53" i="206" s="1"/>
  <c r="CB41" i="206"/>
  <c r="BV53" i="206"/>
  <c r="CW53" i="206" s="1"/>
  <c r="J19" i="206"/>
  <c r="K53" i="207"/>
  <c r="CE59" i="5"/>
  <c r="CE18" i="5"/>
  <c r="BE47" i="5"/>
  <c r="BE83" i="5"/>
  <c r="CE62" i="5"/>
  <c r="BE46" i="5"/>
  <c r="BE71" i="5"/>
  <c r="BE38" i="5"/>
  <c r="CE47" i="5"/>
  <c r="U53" i="207"/>
  <c r="CZ5" i="206"/>
  <c r="CB9" i="206"/>
  <c r="CQ21" i="206"/>
  <c r="C14" i="206"/>
  <c r="BO53" i="206"/>
  <c r="CP53" i="206" s="1"/>
  <c r="CY44" i="206"/>
  <c r="CY20" i="206"/>
  <c r="Q32" i="183"/>
  <c r="BR53" i="206"/>
  <c r="CS53" i="206" s="1"/>
  <c r="BQ53" i="206"/>
  <c r="CR53" i="206" s="1"/>
  <c r="CE83" i="5"/>
  <c r="CE71" i="5"/>
  <c r="CE78" i="5"/>
  <c r="CN49" i="206"/>
  <c r="CP9" i="206"/>
  <c r="CH33" i="206"/>
  <c r="E53" i="207"/>
  <c r="CT20" i="206"/>
  <c r="BY53" i="206"/>
  <c r="CZ53" i="206" s="1"/>
  <c r="CT18" i="206"/>
  <c r="DA24" i="206"/>
  <c r="CW36" i="206"/>
  <c r="X5" i="206"/>
  <c r="CB14" i="206"/>
  <c r="G53" i="207"/>
  <c r="Q53" i="207"/>
  <c r="S53" i="207"/>
  <c r="M53" i="207"/>
  <c r="CE55" i="5"/>
  <c r="CE39" i="5"/>
  <c r="CE38" i="5"/>
  <c r="CE99" i="5"/>
  <c r="C32" i="183"/>
  <c r="C36" i="183" s="1"/>
  <c r="G30" i="183"/>
  <c r="X30" i="183"/>
  <c r="X36" i="183" s="1"/>
  <c r="C34" i="183"/>
  <c r="BE10" i="5"/>
  <c r="Q30" i="183"/>
  <c r="Q36" i="183" s="1"/>
  <c r="W34" i="183"/>
  <c r="W30" i="183"/>
  <c r="J32" i="183"/>
  <c r="J36" i="183" s="1"/>
  <c r="X34" i="183"/>
  <c r="Z32" i="183"/>
  <c r="Z36" i="183" s="1"/>
  <c r="G34" i="183"/>
  <c r="N39" i="206"/>
  <c r="CP39" i="206"/>
  <c r="X12" i="206"/>
  <c r="CZ12" i="206"/>
  <c r="E40" i="206"/>
  <c r="CG40" i="206"/>
  <c r="CY9" i="206"/>
  <c r="W9" i="206"/>
  <c r="Y41" i="206"/>
  <c r="DA41" i="206"/>
  <c r="O12" i="206"/>
  <c r="CQ12" i="206"/>
  <c r="D50" i="206"/>
  <c r="CF50" i="206"/>
  <c r="X29" i="206"/>
  <c r="CZ29" i="206"/>
  <c r="F9" i="206"/>
  <c r="CH9" i="206"/>
  <c r="C24" i="206"/>
  <c r="CE24" i="206"/>
  <c r="J20" i="206"/>
  <c r="CL20" i="206"/>
  <c r="I17" i="206"/>
  <c r="CK17" i="206"/>
  <c r="V33" i="206"/>
  <c r="CX33" i="206"/>
  <c r="J32" i="206"/>
  <c r="CL32" i="206"/>
  <c r="R11" i="206"/>
  <c r="CT11" i="206"/>
  <c r="M36" i="206"/>
  <c r="CO36" i="206"/>
  <c r="M6" i="206"/>
  <c r="CO6" i="206"/>
  <c r="S38" i="206"/>
  <c r="CU38" i="206"/>
  <c r="O32" i="206"/>
  <c r="CQ32" i="206"/>
  <c r="R47" i="206"/>
  <c r="CT47" i="206"/>
  <c r="Z24" i="206"/>
  <c r="DB24" i="206"/>
  <c r="W49" i="206"/>
  <c r="CY49" i="206"/>
  <c r="K19" i="206"/>
  <c r="CM19" i="206"/>
  <c r="T11" i="206"/>
  <c r="CV11" i="206"/>
  <c r="Y15" i="206"/>
  <c r="DA15" i="206"/>
  <c r="H37" i="206"/>
  <c r="CJ37" i="206"/>
  <c r="V52" i="206"/>
  <c r="CX52" i="206"/>
  <c r="X7" i="206"/>
  <c r="CZ7" i="206"/>
  <c r="Z8" i="206"/>
  <c r="DB8" i="206"/>
  <c r="L41" i="206"/>
  <c r="CN41" i="206"/>
  <c r="B52" i="206"/>
  <c r="CD52" i="206"/>
  <c r="T15" i="206"/>
  <c r="CV15" i="206"/>
  <c r="N38" i="206"/>
  <c r="CP38" i="206"/>
  <c r="K41" i="206"/>
  <c r="CM41" i="206"/>
  <c r="CM20" i="206"/>
  <c r="K20" i="206"/>
  <c r="O38" i="206"/>
  <c r="CQ38" i="206"/>
  <c r="F12" i="206"/>
  <c r="CH12" i="206"/>
  <c r="V31" i="206"/>
  <c r="CX31" i="206"/>
  <c r="Q14" i="206"/>
  <c r="CS14" i="206"/>
  <c r="G30" i="206"/>
  <c r="CI30" i="206"/>
  <c r="I46" i="206"/>
  <c r="CK46" i="206"/>
  <c r="L8" i="206"/>
  <c r="CN8" i="206"/>
  <c r="D20" i="206"/>
  <c r="CF20" i="206"/>
  <c r="D29" i="206"/>
  <c r="CF29" i="206"/>
  <c r="L44" i="206"/>
  <c r="CN44" i="206"/>
  <c r="U39" i="206"/>
  <c r="CW39" i="206"/>
  <c r="CZ47" i="206"/>
  <c r="X47" i="206"/>
  <c r="CY40" i="206"/>
  <c r="W40" i="206"/>
  <c r="CZ24" i="206"/>
  <c r="X24" i="206"/>
  <c r="J48" i="206"/>
  <c r="CL48" i="206"/>
  <c r="Q39" i="206"/>
  <c r="CS39" i="206"/>
  <c r="B33" i="206"/>
  <c r="CD33" i="206"/>
  <c r="C37" i="206"/>
  <c r="CE37" i="206"/>
  <c r="E21" i="206"/>
  <c r="CG21" i="206"/>
  <c r="I37" i="206"/>
  <c r="CK37" i="206"/>
  <c r="U51" i="206"/>
  <c r="CW51" i="206"/>
  <c r="Y6" i="206"/>
  <c r="DA6" i="206"/>
  <c r="W19" i="206"/>
  <c r="CY19" i="206"/>
  <c r="Q38" i="206"/>
  <c r="CS38" i="206"/>
  <c r="P6" i="206"/>
  <c r="CR6" i="206"/>
  <c r="L16" i="206"/>
  <c r="CN16" i="206"/>
  <c r="B26" i="206"/>
  <c r="CD26" i="206"/>
  <c r="H36" i="206"/>
  <c r="CJ36" i="206"/>
  <c r="N47" i="206"/>
  <c r="CP47" i="206"/>
  <c r="P51" i="206"/>
  <c r="CR51" i="206"/>
  <c r="J6" i="206"/>
  <c r="CL6" i="206"/>
  <c r="Q7" i="206"/>
  <c r="CS7" i="206"/>
  <c r="F40" i="206"/>
  <c r="CH40" i="206"/>
  <c r="L51" i="206"/>
  <c r="CN51" i="206"/>
  <c r="D15" i="206"/>
  <c r="CF15" i="206"/>
  <c r="D37" i="206"/>
  <c r="CF37" i="206"/>
  <c r="Q50" i="206"/>
  <c r="CS50" i="206"/>
  <c r="U21" i="206"/>
  <c r="CW21" i="206"/>
  <c r="Y37" i="206"/>
  <c r="DA37" i="206"/>
  <c r="P28" i="206"/>
  <c r="CR28" i="206"/>
  <c r="Y16" i="206"/>
  <c r="DA16" i="206"/>
  <c r="W30" i="206"/>
  <c r="CY30" i="206"/>
  <c r="S49" i="206"/>
  <c r="CU49" i="206"/>
  <c r="D12" i="206"/>
  <c r="CF12" i="206"/>
  <c r="J21" i="206"/>
  <c r="CL21" i="206"/>
  <c r="B35" i="206"/>
  <c r="CD35" i="206"/>
  <c r="R45" i="206"/>
  <c r="CT45" i="206"/>
  <c r="P32" i="206"/>
  <c r="CR32" i="206"/>
  <c r="J50" i="206"/>
  <c r="CL50" i="206"/>
  <c r="L5" i="206"/>
  <c r="CN5" i="206"/>
  <c r="J8" i="206"/>
  <c r="CL8" i="206"/>
  <c r="P49" i="206"/>
  <c r="CR49" i="206"/>
  <c r="CR17" i="206"/>
  <c r="P17" i="206"/>
  <c r="W7" i="206"/>
  <c r="CY7" i="206"/>
  <c r="CE10" i="206"/>
  <c r="C10" i="206"/>
  <c r="CO26" i="206"/>
  <c r="M26" i="206"/>
  <c r="U45" i="206"/>
  <c r="CW45" i="206"/>
  <c r="F22" i="206"/>
  <c r="CH22" i="206"/>
  <c r="C11" i="206"/>
  <c r="CE11" i="206"/>
  <c r="Y25" i="206"/>
  <c r="DA25" i="206"/>
  <c r="W39" i="206"/>
  <c r="CY39" i="206"/>
  <c r="J5" i="206"/>
  <c r="CL5" i="206"/>
  <c r="F15" i="206"/>
  <c r="CH15" i="206"/>
  <c r="N28" i="206"/>
  <c r="CP28" i="206"/>
  <c r="N37" i="206"/>
  <c r="CP37" i="206"/>
  <c r="P50" i="206"/>
  <c r="CR50" i="206"/>
  <c r="X9" i="206"/>
  <c r="CZ9" i="206"/>
  <c r="V46" i="206"/>
  <c r="CX46" i="206"/>
  <c r="S18" i="206"/>
  <c r="CU18" i="206"/>
  <c r="D19" i="206"/>
  <c r="CF19" i="206"/>
  <c r="K28" i="206"/>
  <c r="CM28" i="206"/>
  <c r="S12" i="206"/>
  <c r="CU12" i="206"/>
  <c r="M28" i="206"/>
  <c r="CO28" i="206"/>
  <c r="M45" i="206"/>
  <c r="CO45" i="206"/>
  <c r="F38" i="206"/>
  <c r="CH38" i="206"/>
  <c r="Y14" i="206"/>
  <c r="DA14" i="206"/>
  <c r="Y29" i="206"/>
  <c r="DA29" i="206"/>
  <c r="U48" i="206"/>
  <c r="CW48" i="206"/>
  <c r="CH11" i="206"/>
  <c r="F11" i="206"/>
  <c r="V19" i="206"/>
  <c r="CX19" i="206"/>
  <c r="B30" i="206"/>
  <c r="CD30" i="206"/>
  <c r="H40" i="206"/>
  <c r="CJ40" i="206"/>
  <c r="V49" i="206"/>
  <c r="CX49" i="206"/>
  <c r="T14" i="206"/>
  <c r="CV14" i="206"/>
  <c r="E27" i="206"/>
  <c r="CG27" i="206"/>
  <c r="N10" i="206"/>
  <c r="CP10" i="206"/>
  <c r="P45" i="206"/>
  <c r="CR45" i="206"/>
  <c r="C8" i="206"/>
  <c r="CE8" i="206"/>
  <c r="T19" i="206"/>
  <c r="CV19" i="206"/>
  <c r="M18" i="206"/>
  <c r="CO18" i="206"/>
  <c r="M17" i="206"/>
  <c r="CO17" i="206"/>
  <c r="S31" i="206"/>
  <c r="CU31" i="206"/>
  <c r="S50" i="206"/>
  <c r="CU50" i="206"/>
  <c r="N22" i="206"/>
  <c r="CP22" i="206"/>
  <c r="E10" i="206"/>
  <c r="CG10" i="206"/>
  <c r="G24" i="206"/>
  <c r="CI24" i="206"/>
  <c r="I38" i="206"/>
  <c r="CK38" i="206"/>
  <c r="B5" i="206"/>
  <c r="CD5" i="206"/>
  <c r="Z17" i="206"/>
  <c r="DB17" i="206"/>
  <c r="F28" i="206"/>
  <c r="CH28" i="206"/>
  <c r="L38" i="206"/>
  <c r="CN38" i="206"/>
  <c r="R49" i="206"/>
  <c r="CT49" i="206"/>
  <c r="X33" i="206"/>
  <c r="CZ33" i="206"/>
  <c r="L6" i="206"/>
  <c r="CN6" i="206"/>
  <c r="E14" i="206"/>
  <c r="CG14" i="206"/>
  <c r="R8" i="206"/>
  <c r="CT8" i="206"/>
  <c r="T41" i="206"/>
  <c r="CV41" i="206"/>
  <c r="J52" i="206"/>
  <c r="CL52" i="206"/>
  <c r="B16" i="206"/>
  <c r="CD16" i="206"/>
  <c r="L37" i="206"/>
  <c r="CN37" i="206"/>
  <c r="I50" i="206"/>
  <c r="CK50" i="206"/>
  <c r="CE20" i="206"/>
  <c r="C20" i="206"/>
  <c r="Q32" i="206"/>
  <c r="CS32" i="206"/>
  <c r="X11" i="206"/>
  <c r="CZ11" i="206"/>
  <c r="U8" i="206"/>
  <c r="CW8" i="206"/>
  <c r="CY24" i="206"/>
  <c r="W24" i="206"/>
  <c r="Y38" i="206"/>
  <c r="DA38" i="206"/>
  <c r="R5" i="206"/>
  <c r="CT5" i="206"/>
  <c r="H14" i="206"/>
  <c r="CJ14" i="206"/>
  <c r="CL26" i="206"/>
  <c r="J26" i="206"/>
  <c r="P36" i="206"/>
  <c r="CR36" i="206"/>
  <c r="V47" i="206"/>
  <c r="CX47" i="206"/>
  <c r="V39" i="206"/>
  <c r="CX39" i="206"/>
  <c r="J11" i="206"/>
  <c r="CL11" i="206"/>
  <c r="M22" i="206"/>
  <c r="CO22" i="206"/>
  <c r="P24" i="206"/>
  <c r="CR24" i="206"/>
  <c r="Q13" i="206"/>
  <c r="CS13" i="206"/>
  <c r="N18" i="206"/>
  <c r="CP18" i="206"/>
  <c r="C15" i="206"/>
  <c r="CE15" i="206"/>
  <c r="C12" i="206"/>
  <c r="CE12" i="206"/>
  <c r="G38" i="206"/>
  <c r="CI38" i="206"/>
  <c r="N12" i="206"/>
  <c r="CP12" i="206"/>
  <c r="N31" i="206"/>
  <c r="CP31" i="206"/>
  <c r="Y20" i="206"/>
  <c r="DA20" i="206"/>
  <c r="Q36" i="206"/>
  <c r="CS36" i="206"/>
  <c r="S51" i="206"/>
  <c r="CU51" i="206"/>
  <c r="B13" i="206"/>
  <c r="CD13" i="206"/>
  <c r="N24" i="206"/>
  <c r="CP24" i="206"/>
  <c r="F37" i="206"/>
  <c r="CH37" i="206"/>
  <c r="L48" i="206"/>
  <c r="CN48" i="206"/>
  <c r="Z37" i="206"/>
  <c r="DB37" i="206"/>
  <c r="V9" i="206"/>
  <c r="CX9" i="206"/>
  <c r="S19" i="206"/>
  <c r="CU19" i="206"/>
  <c r="K5" i="206"/>
  <c r="CM5" i="206"/>
  <c r="W22" i="206"/>
  <c r="CY22" i="206"/>
  <c r="H32" i="206"/>
  <c r="CJ32" i="206"/>
  <c r="V27" i="206"/>
  <c r="CX27" i="206"/>
  <c r="Y11" i="206"/>
  <c r="DA11" i="206"/>
  <c r="E36" i="206"/>
  <c r="CG36" i="206"/>
  <c r="CI21" i="206"/>
  <c r="G21" i="206"/>
  <c r="U35" i="206"/>
  <c r="CW35" i="206"/>
  <c r="J24" i="206"/>
  <c r="CL24" i="206"/>
  <c r="Y46" i="206"/>
  <c r="DA46" i="206"/>
  <c r="J12" i="206"/>
  <c r="CL12" i="206"/>
  <c r="G12" i="206"/>
  <c r="CI12" i="206"/>
  <c r="T17" i="206"/>
  <c r="CV17" i="206"/>
  <c r="R10" i="206"/>
  <c r="CT10" i="206"/>
  <c r="F49" i="206"/>
  <c r="CH49" i="206"/>
  <c r="K45" i="206"/>
  <c r="CM45" i="206"/>
  <c r="Z14" i="206"/>
  <c r="DB14" i="206"/>
  <c r="X37" i="206"/>
  <c r="CZ37" i="206"/>
  <c r="G29" i="206"/>
  <c r="CI29" i="206"/>
  <c r="W32" i="206"/>
  <c r="CY32" i="206"/>
  <c r="J46" i="206"/>
  <c r="CL46" i="206"/>
  <c r="O18" i="206"/>
  <c r="CQ18" i="206"/>
  <c r="W51" i="206"/>
  <c r="CY51" i="206"/>
  <c r="Q30" i="206"/>
  <c r="CS30" i="206"/>
  <c r="T45" i="206"/>
  <c r="CV45" i="206"/>
  <c r="R41" i="206"/>
  <c r="CT41" i="206"/>
  <c r="B15" i="206"/>
  <c r="CD15" i="206"/>
  <c r="E33" i="206"/>
  <c r="CG33" i="206"/>
  <c r="T28" i="206"/>
  <c r="CV28" i="206"/>
  <c r="L35" i="206"/>
  <c r="CN35" i="206"/>
  <c r="B40" i="206"/>
  <c r="CD40" i="206"/>
  <c r="I11" i="206"/>
  <c r="CK11" i="206"/>
  <c r="X8" i="206"/>
  <c r="CZ8" i="206"/>
  <c r="W28" i="206"/>
  <c r="CY28" i="206"/>
  <c r="E46" i="206"/>
  <c r="CG46" i="206"/>
  <c r="G18" i="206"/>
  <c r="CI18" i="206"/>
  <c r="D30" i="206"/>
  <c r="CF30" i="206"/>
  <c r="Q17" i="206"/>
  <c r="CS17" i="206"/>
  <c r="L17" i="206"/>
  <c r="CN17" i="206"/>
  <c r="T24" i="206"/>
  <c r="CV24" i="206"/>
  <c r="V13" i="206"/>
  <c r="CX13" i="206"/>
  <c r="G50" i="206"/>
  <c r="CI50" i="206"/>
  <c r="C27" i="206"/>
  <c r="CE27" i="206"/>
  <c r="D40" i="206"/>
  <c r="CF40" i="206"/>
  <c r="N13" i="206"/>
  <c r="CP13" i="206"/>
  <c r="E20" i="206"/>
  <c r="CG20" i="206"/>
  <c r="Q49" i="206"/>
  <c r="CS49" i="206"/>
  <c r="O8" i="206"/>
  <c r="CQ8" i="206"/>
  <c r="J14" i="206"/>
  <c r="CL14" i="206"/>
  <c r="P7" i="206"/>
  <c r="CR7" i="206"/>
  <c r="H44" i="206"/>
  <c r="CJ44" i="206"/>
  <c r="U27" i="206"/>
  <c r="CW27" i="206"/>
  <c r="CT50" i="206"/>
  <c r="R50" i="206"/>
  <c r="F30" i="206"/>
  <c r="CH30" i="206"/>
  <c r="O40" i="206"/>
  <c r="CQ40" i="206"/>
  <c r="C38" i="206"/>
  <c r="CE38" i="206"/>
  <c r="D35" i="206"/>
  <c r="CF35" i="206"/>
  <c r="H41" i="206"/>
  <c r="CJ41" i="206"/>
  <c r="K14" i="206"/>
  <c r="CM14" i="206"/>
  <c r="U40" i="206"/>
  <c r="CW40" i="206"/>
  <c r="G20" i="206"/>
  <c r="CI20" i="206"/>
  <c r="J40" i="206"/>
  <c r="CL40" i="206"/>
  <c r="P38" i="206"/>
  <c r="CR38" i="206"/>
  <c r="Z11" i="206"/>
  <c r="DB11" i="206"/>
  <c r="K17" i="206"/>
  <c r="CM17" i="206"/>
  <c r="Y45" i="206"/>
  <c r="DA45" i="206"/>
  <c r="U5" i="206"/>
  <c r="CW5" i="206"/>
  <c r="X51" i="206"/>
  <c r="CZ51" i="206"/>
  <c r="M35" i="206"/>
  <c r="CO35" i="206"/>
  <c r="CR29" i="206"/>
  <c r="P29" i="206"/>
  <c r="F29" i="206"/>
  <c r="CH29" i="206"/>
  <c r="I19" i="206"/>
  <c r="CK19" i="206"/>
  <c r="U6" i="206"/>
  <c r="CW6" i="206"/>
  <c r="K39" i="206"/>
  <c r="CM39" i="206"/>
  <c r="L27" i="206"/>
  <c r="CN27" i="206"/>
  <c r="L10" i="206"/>
  <c r="CN10" i="206"/>
  <c r="U31" i="206"/>
  <c r="CW31" i="206"/>
  <c r="Z31" i="206"/>
  <c r="DB31" i="206"/>
  <c r="M37" i="206"/>
  <c r="CO37" i="206"/>
  <c r="E50" i="206"/>
  <c r="CG50" i="206"/>
  <c r="CH45" i="206"/>
  <c r="F45" i="206"/>
  <c r="F26" i="206"/>
  <c r="CH26" i="206"/>
  <c r="G47" i="206"/>
  <c r="CI47" i="206"/>
  <c r="U14" i="206"/>
  <c r="CW14" i="206"/>
  <c r="Y49" i="206"/>
  <c r="DA49" i="206"/>
  <c r="G10" i="206"/>
  <c r="CI10" i="206"/>
  <c r="CZ48" i="206"/>
  <c r="X48" i="206"/>
  <c r="R28" i="206"/>
  <c r="CT28" i="206"/>
  <c r="Z7" i="206"/>
  <c r="DB7" i="206"/>
  <c r="E29" i="206"/>
  <c r="CG29" i="206"/>
  <c r="N29" i="206"/>
  <c r="CP29" i="206"/>
  <c r="CQ31" i="206"/>
  <c r="O31" i="206"/>
  <c r="CI11" i="206"/>
  <c r="G11" i="206"/>
  <c r="T40" i="206"/>
  <c r="CV40" i="206"/>
  <c r="B19" i="206"/>
  <c r="CD19" i="206"/>
  <c r="M44" i="206"/>
  <c r="CO44" i="206"/>
  <c r="E12" i="206"/>
  <c r="CG12" i="206"/>
  <c r="I45" i="206"/>
  <c r="CK45" i="206"/>
  <c r="M5" i="206"/>
  <c r="CO5" i="206"/>
  <c r="P19" i="206"/>
  <c r="CR19" i="206"/>
  <c r="D49" i="206"/>
  <c r="CF49" i="206"/>
  <c r="K52" i="206"/>
  <c r="CM52" i="206"/>
  <c r="CJ24" i="206"/>
  <c r="H24" i="206"/>
  <c r="H45" i="206"/>
  <c r="CJ45" i="206"/>
  <c r="Y9" i="206"/>
  <c r="DA9" i="206"/>
  <c r="F18" i="206"/>
  <c r="CH18" i="206"/>
  <c r="S11" i="206"/>
  <c r="CU11" i="206"/>
  <c r="DA5" i="206"/>
  <c r="Y5" i="206"/>
  <c r="CG28" i="206"/>
  <c r="E28" i="206"/>
  <c r="K44" i="206"/>
  <c r="CM44" i="206"/>
  <c r="B20" i="206"/>
  <c r="CD20" i="206"/>
  <c r="I6" i="206"/>
  <c r="CK6" i="206"/>
  <c r="G19" i="206"/>
  <c r="CI19" i="206"/>
  <c r="I33" i="206"/>
  <c r="CK33" i="206"/>
  <c r="M48" i="206"/>
  <c r="CO48" i="206"/>
  <c r="X10" i="206"/>
  <c r="CZ10" i="206"/>
  <c r="P22" i="206"/>
  <c r="CR22" i="206"/>
  <c r="P31" i="206"/>
  <c r="CR31" i="206"/>
  <c r="CZ46" i="206"/>
  <c r="X46" i="206"/>
  <c r="CL18" i="206"/>
  <c r="J18" i="206"/>
  <c r="Z40" i="206"/>
  <c r="DB40" i="206"/>
  <c r="M24" i="206"/>
  <c r="CO24" i="206"/>
  <c r="Z27" i="206"/>
  <c r="DB27" i="206"/>
  <c r="V50" i="206"/>
  <c r="CX50" i="206"/>
  <c r="N14" i="206"/>
  <c r="CP14" i="206"/>
  <c r="N36" i="206"/>
  <c r="CP36" i="206"/>
  <c r="U46" i="206"/>
  <c r="CW46" i="206"/>
  <c r="C25" i="206"/>
  <c r="CE25" i="206"/>
  <c r="E41" i="206"/>
  <c r="CG41" i="206"/>
  <c r="DB20" i="206"/>
  <c r="Z20" i="206"/>
  <c r="M10" i="206"/>
  <c r="CO10" i="206"/>
  <c r="O24" i="206"/>
  <c r="CQ24" i="206"/>
  <c r="I44" i="206"/>
  <c r="CK44" i="206"/>
  <c r="B9" i="206"/>
  <c r="CD9" i="206"/>
  <c r="H18" i="206"/>
  <c r="CJ18" i="206"/>
  <c r="X27" i="206"/>
  <c r="CZ27" i="206"/>
  <c r="D38" i="206"/>
  <c r="CF38" i="206"/>
  <c r="J49" i="206"/>
  <c r="CL49" i="206"/>
  <c r="R46" i="206"/>
  <c r="CT46" i="206"/>
  <c r="M39" i="206"/>
  <c r="CO39" i="206"/>
  <c r="F10" i="206"/>
  <c r="CH10" i="206"/>
  <c r="R44" i="206"/>
  <c r="CT44" i="206"/>
  <c r="CO7" i="206"/>
  <c r="M7" i="206"/>
  <c r="Z16" i="206"/>
  <c r="DB16" i="206"/>
  <c r="C7" i="206"/>
  <c r="CE7" i="206"/>
  <c r="K8" i="206"/>
  <c r="CM8" i="206"/>
  <c r="S25" i="206"/>
  <c r="CU25" i="206"/>
  <c r="U49" i="206"/>
  <c r="CW49" i="206"/>
  <c r="F31" i="206"/>
  <c r="CH31" i="206"/>
  <c r="Q20" i="206"/>
  <c r="CS20" i="206"/>
  <c r="O35" i="206"/>
  <c r="CQ35" i="206"/>
  <c r="U52" i="206"/>
  <c r="CW52" i="206"/>
  <c r="P14" i="206"/>
  <c r="CR14" i="206"/>
  <c r="V24" i="206"/>
  <c r="CX24" i="206"/>
  <c r="X36" i="206"/>
  <c r="CZ36" i="206"/>
  <c r="D48" i="206"/>
  <c r="CF48" i="206"/>
  <c r="X15" i="206"/>
  <c r="CZ15" i="206"/>
  <c r="L45" i="206"/>
  <c r="CN45" i="206"/>
  <c r="Q35" i="206"/>
  <c r="CS35" i="206"/>
  <c r="V10" i="206"/>
  <c r="CX10" i="206"/>
  <c r="CK9" i="206"/>
  <c r="I9" i="206"/>
  <c r="CH20" i="206"/>
  <c r="F20" i="206"/>
  <c r="E18" i="206"/>
  <c r="CG18" i="206"/>
  <c r="CW15" i="206"/>
  <c r="U15" i="206"/>
  <c r="E30" i="206"/>
  <c r="CG30" i="206"/>
  <c r="CM50" i="206"/>
  <c r="K50" i="206"/>
  <c r="J29" i="206"/>
  <c r="CL29" i="206"/>
  <c r="W13" i="206"/>
  <c r="CY13" i="206"/>
  <c r="Q29" i="206"/>
  <c r="CS29" i="206"/>
  <c r="O45" i="206"/>
  <c r="CQ45" i="206"/>
  <c r="V7" i="206"/>
  <c r="CX7" i="206"/>
  <c r="R17" i="206"/>
  <c r="CT17" i="206"/>
  <c r="DB30" i="206"/>
  <c r="Z30" i="206"/>
  <c r="J39" i="206"/>
  <c r="CL39" i="206"/>
  <c r="L52" i="206"/>
  <c r="CN52" i="206"/>
  <c r="F25" i="206"/>
  <c r="CH25" i="206"/>
  <c r="H49" i="206"/>
  <c r="CJ49" i="206"/>
  <c r="E47" i="206"/>
  <c r="CG47" i="206"/>
  <c r="J33" i="206"/>
  <c r="CL33" i="206"/>
  <c r="C41" i="206"/>
  <c r="CE41" i="206"/>
  <c r="S16" i="206"/>
  <c r="CU16" i="206"/>
  <c r="C31" i="206"/>
  <c r="CE31" i="206"/>
  <c r="C50" i="206"/>
  <c r="CE50" i="206"/>
  <c r="CS6" i="206"/>
  <c r="Q6" i="206"/>
  <c r="W17" i="206"/>
  <c r="CY17" i="206"/>
  <c r="Q33" i="206"/>
  <c r="CS33" i="206"/>
  <c r="M52" i="206"/>
  <c r="CO52" i="206"/>
  <c r="R13" i="206"/>
  <c r="CT13" i="206"/>
  <c r="R21" i="206"/>
  <c r="CT21" i="206"/>
  <c r="N32" i="206"/>
  <c r="CP32" i="206"/>
  <c r="T44" i="206"/>
  <c r="CV44" i="206"/>
  <c r="L36" i="206"/>
  <c r="CN36" i="206"/>
  <c r="H8" i="206"/>
  <c r="CJ8" i="206"/>
  <c r="P13" i="206"/>
  <c r="CR13" i="206"/>
  <c r="V25" i="206"/>
  <c r="CX25" i="206"/>
  <c r="L47" i="206"/>
  <c r="CN47" i="206"/>
  <c r="O27" i="206"/>
  <c r="CQ27" i="206"/>
  <c r="Z33" i="206"/>
  <c r="DB33" i="206"/>
  <c r="CE32" i="206"/>
  <c r="C32" i="206"/>
  <c r="C22" i="206"/>
  <c r="CE22" i="206"/>
  <c r="W36" i="206"/>
  <c r="CY36" i="206"/>
  <c r="H11" i="206"/>
  <c r="CJ11" i="206"/>
  <c r="H30" i="206"/>
  <c r="CJ30" i="206"/>
  <c r="O13" i="206"/>
  <c r="CQ13" i="206"/>
  <c r="W26" i="206"/>
  <c r="CY26" i="206"/>
  <c r="Y40" i="206"/>
  <c r="DA40" i="206"/>
  <c r="N7" i="206"/>
  <c r="CP7" i="206"/>
  <c r="L20" i="206"/>
  <c r="CN20" i="206"/>
  <c r="R30" i="206"/>
  <c r="CT30" i="206"/>
  <c r="X40" i="206"/>
  <c r="CZ40" i="206"/>
  <c r="D52" i="206"/>
  <c r="CF52" i="206"/>
  <c r="D27" i="206"/>
  <c r="CF27" i="206"/>
  <c r="M46" i="206"/>
  <c r="CO46" i="206"/>
  <c r="Q45" i="206"/>
  <c r="CS45" i="206"/>
  <c r="D11" i="206"/>
  <c r="CF11" i="206"/>
  <c r="F46" i="206"/>
  <c r="CH46" i="206"/>
  <c r="Q9" i="206"/>
  <c r="CS9" i="206"/>
  <c r="X17" i="206"/>
  <c r="CZ17" i="206"/>
  <c r="K11" i="206"/>
  <c r="CM11" i="206"/>
  <c r="G6" i="206"/>
  <c r="CI6" i="206"/>
  <c r="S22" i="206"/>
  <c r="CU22" i="206"/>
  <c r="Q37" i="206"/>
  <c r="CS37" i="206"/>
  <c r="D28" i="206"/>
  <c r="CF28" i="206"/>
  <c r="U10" i="206"/>
  <c r="CW10" i="206"/>
  <c r="Q27" i="206"/>
  <c r="CS27" i="206"/>
  <c r="Q44" i="206"/>
  <c r="CS44" i="206"/>
  <c r="D8" i="206"/>
  <c r="CF8" i="206"/>
  <c r="T16" i="206"/>
  <c r="CV16" i="206"/>
  <c r="V28" i="206"/>
  <c r="CX28" i="206"/>
  <c r="B39" i="206"/>
  <c r="CD39" i="206"/>
  <c r="H50" i="206"/>
  <c r="CJ50" i="206"/>
  <c r="B32" i="206"/>
  <c r="CD32" i="206"/>
  <c r="Y52" i="206"/>
  <c r="DA52" i="206"/>
  <c r="O9" i="206"/>
  <c r="CQ9" i="206"/>
  <c r="N40" i="206"/>
  <c r="CP40" i="206"/>
  <c r="W33" i="206"/>
  <c r="CY33" i="206"/>
  <c r="T32" i="206"/>
  <c r="CV32" i="206"/>
  <c r="S21" i="206"/>
  <c r="CU21" i="206"/>
  <c r="C16" i="206"/>
  <c r="CE16" i="206"/>
  <c r="S44" i="206"/>
  <c r="CU44" i="206"/>
  <c r="T13" i="206"/>
  <c r="CV13" i="206"/>
  <c r="W5" i="206"/>
  <c r="CY5" i="206"/>
  <c r="Q25" i="206"/>
  <c r="CS25" i="206"/>
  <c r="O39" i="206"/>
  <c r="CQ39" i="206"/>
  <c r="CJ6" i="206"/>
  <c r="H6" i="206"/>
  <c r="X14" i="206"/>
  <c r="CZ14" i="206"/>
  <c r="Z26" i="206"/>
  <c r="DB26" i="206"/>
  <c r="R39" i="206"/>
  <c r="CT39" i="206"/>
  <c r="X50" i="206"/>
  <c r="CZ50" i="206"/>
  <c r="N30" i="206"/>
  <c r="CP30" i="206"/>
  <c r="G51" i="206"/>
  <c r="CI51" i="206"/>
  <c r="R31" i="206"/>
  <c r="CT31" i="206"/>
  <c r="L21" i="206"/>
  <c r="CN21" i="206"/>
  <c r="W10" i="206"/>
  <c r="CY10" i="206"/>
  <c r="B14" i="206"/>
  <c r="CD14" i="206"/>
  <c r="N8" i="206"/>
  <c r="CP8" i="206"/>
  <c r="J37" i="206"/>
  <c r="CL37" i="206"/>
  <c r="E16" i="206"/>
  <c r="CG16" i="206"/>
  <c r="N16" i="206"/>
  <c r="CP16" i="206"/>
  <c r="Z51" i="206"/>
  <c r="DB51" i="206"/>
  <c r="X16" i="206"/>
  <c r="CZ16" i="206"/>
  <c r="S35" i="206"/>
  <c r="CU35" i="206"/>
  <c r="G44" i="206"/>
  <c r="CI44" i="206"/>
  <c r="W41" i="206"/>
  <c r="CY41" i="206"/>
  <c r="K33" i="206"/>
  <c r="CM33" i="206"/>
  <c r="H5" i="206"/>
  <c r="CJ5" i="206"/>
  <c r="X38" i="206"/>
  <c r="CZ38" i="206"/>
  <c r="S17" i="206"/>
  <c r="CU17" i="206"/>
  <c r="F27" i="206"/>
  <c r="CH27" i="206"/>
  <c r="X20" i="206"/>
  <c r="CZ20" i="206"/>
  <c r="H25" i="206"/>
  <c r="CJ25" i="206"/>
  <c r="J38" i="206"/>
  <c r="CL38" i="206"/>
  <c r="H26" i="206"/>
  <c r="CJ26" i="206"/>
  <c r="E11" i="206"/>
  <c r="CG11" i="206"/>
  <c r="S30" i="206"/>
  <c r="CU30" i="206"/>
  <c r="W12" i="206"/>
  <c r="CY12" i="206"/>
  <c r="L9" i="206"/>
  <c r="CN9" i="206"/>
  <c r="F35" i="206"/>
  <c r="CH35" i="206"/>
  <c r="P8" i="206"/>
  <c r="CR8" i="206"/>
  <c r="U22" i="206"/>
  <c r="CW22" i="206"/>
  <c r="Q51" i="206"/>
  <c r="CS51" i="206"/>
  <c r="F16" i="206"/>
  <c r="CH16" i="206"/>
  <c r="V8" i="206"/>
  <c r="CX8" i="206"/>
  <c r="J47" i="206"/>
  <c r="CL47" i="206"/>
  <c r="C39" i="206"/>
  <c r="CE39" i="206"/>
  <c r="E9" i="206"/>
  <c r="CG9" i="206"/>
  <c r="D46" i="206"/>
  <c r="CF46" i="206"/>
  <c r="N33" i="206"/>
  <c r="CP33" i="206"/>
  <c r="B12" i="206"/>
  <c r="CD12" i="206"/>
  <c r="CB12" i="206"/>
  <c r="E5" i="206"/>
  <c r="CG5" i="206"/>
  <c r="S27" i="206"/>
  <c r="CU27" i="206"/>
  <c r="B6" i="206"/>
  <c r="CD6" i="206"/>
  <c r="O47" i="206"/>
  <c r="CQ47" i="206"/>
  <c r="W25" i="206"/>
  <c r="CY25" i="206"/>
  <c r="R6" i="206"/>
  <c r="CT6" i="206"/>
  <c r="R32" i="206"/>
  <c r="CT32" i="206"/>
  <c r="B7" i="206"/>
  <c r="CD7" i="206"/>
  <c r="U12" i="206"/>
  <c r="CW12" i="206"/>
  <c r="S36" i="206"/>
  <c r="CU36" i="206"/>
  <c r="G37" i="206"/>
  <c r="CI37" i="206"/>
  <c r="CW7" i="206"/>
  <c r="U7" i="206"/>
  <c r="G40" i="206"/>
  <c r="CI40" i="206"/>
  <c r="Z32" i="206"/>
  <c r="DB32" i="206"/>
  <c r="L39" i="206"/>
  <c r="CN39" i="206"/>
  <c r="T5" i="206"/>
  <c r="CV5" i="206"/>
  <c r="CM26" i="206"/>
  <c r="K26" i="206"/>
  <c r="J31" i="206"/>
  <c r="CL31" i="206"/>
  <c r="Y26" i="206"/>
  <c r="DA26" i="206"/>
  <c r="P15" i="206"/>
  <c r="CR15" i="206"/>
  <c r="B10" i="206"/>
  <c r="CD10" i="206"/>
  <c r="V45" i="206"/>
  <c r="CX45" i="206"/>
  <c r="M20" i="206"/>
  <c r="CO20" i="206"/>
  <c r="O37" i="206"/>
  <c r="CQ37" i="206"/>
  <c r="C52" i="206"/>
  <c r="CE52" i="206"/>
  <c r="V30" i="206"/>
  <c r="CX30" i="206"/>
  <c r="Y48" i="206"/>
  <c r="DA48" i="206"/>
  <c r="I10" i="206"/>
  <c r="CK10" i="206"/>
  <c r="W31" i="206"/>
  <c r="CY31" i="206"/>
  <c r="O28" i="206"/>
  <c r="CQ28" i="206"/>
  <c r="D45" i="206"/>
  <c r="CF45" i="206"/>
  <c r="O14" i="206"/>
  <c r="CQ14" i="206"/>
  <c r="R15" i="206"/>
  <c r="CT15" i="206"/>
  <c r="O16" i="206"/>
  <c r="CQ16" i="206"/>
  <c r="H33" i="206"/>
  <c r="CJ33" i="206"/>
  <c r="N52" i="206"/>
  <c r="CP52" i="206"/>
  <c r="J51" i="206"/>
  <c r="CL51" i="206"/>
  <c r="T22" i="206"/>
  <c r="CV22" i="206"/>
  <c r="CP5" i="206"/>
  <c r="N5" i="206"/>
  <c r="M25" i="206"/>
  <c r="CO25" i="206"/>
  <c r="T21" i="206"/>
  <c r="CV21" i="206"/>
  <c r="Y28" i="206"/>
  <c r="DA28" i="206"/>
  <c r="Y18" i="206"/>
  <c r="DA18" i="206"/>
  <c r="H38" i="206"/>
  <c r="CJ38" i="206"/>
  <c r="N21" i="206"/>
  <c r="CP21" i="206"/>
  <c r="U38" i="206"/>
  <c r="CW38" i="206"/>
  <c r="Q8" i="206"/>
  <c r="CS8" i="206"/>
  <c r="C36" i="206"/>
  <c r="CE36" i="206"/>
  <c r="W37" i="206"/>
  <c r="CY37" i="206"/>
  <c r="Z41" i="206"/>
  <c r="DB41" i="206"/>
  <c r="H20" i="206"/>
  <c r="CJ20" i="206"/>
  <c r="I52" i="206"/>
  <c r="CK52" i="206"/>
  <c r="U20" i="206"/>
  <c r="CW20" i="206"/>
  <c r="Z12" i="206"/>
  <c r="DB12" i="206"/>
  <c r="G25" i="206"/>
  <c r="CI25" i="206"/>
  <c r="CF17" i="206"/>
  <c r="D17" i="206"/>
  <c r="V35" i="206"/>
  <c r="CX35" i="206"/>
  <c r="D14" i="206"/>
  <c r="CF14" i="206"/>
  <c r="C35" i="206"/>
  <c r="CE35" i="206"/>
  <c r="C5" i="206"/>
  <c r="CE5" i="206"/>
  <c r="I30" i="206"/>
  <c r="CK30" i="206"/>
  <c r="G28" i="206"/>
  <c r="CI28" i="206"/>
  <c r="R14" i="206"/>
  <c r="CT14" i="206"/>
  <c r="F44" i="206"/>
  <c r="CH44" i="206"/>
  <c r="E32" i="206"/>
  <c r="CG32" i="206"/>
  <c r="D26" i="206"/>
  <c r="CF26" i="206"/>
  <c r="CV47" i="206"/>
  <c r="T47" i="206"/>
  <c r="O33" i="206"/>
  <c r="CQ33" i="206"/>
  <c r="CN32" i="206"/>
  <c r="L32" i="206"/>
  <c r="U18" i="206"/>
  <c r="CW18" i="206"/>
  <c r="S10" i="206"/>
  <c r="CU10" i="206"/>
  <c r="U30" i="206"/>
  <c r="CW30" i="206"/>
  <c r="K46" i="206"/>
  <c r="CM46" i="206"/>
  <c r="V22" i="206"/>
  <c r="CX22" i="206"/>
  <c r="S9" i="206"/>
  <c r="CU9" i="206"/>
  <c r="Y22" i="206"/>
  <c r="DA22" i="206"/>
  <c r="Y36" i="206"/>
  <c r="DA36" i="206"/>
  <c r="E52" i="206"/>
  <c r="CG52" i="206"/>
  <c r="J13" i="206"/>
  <c r="CL13" i="206"/>
  <c r="L25" i="206"/>
  <c r="CN25" i="206"/>
  <c r="L33" i="206"/>
  <c r="CN33" i="206"/>
  <c r="T48" i="206"/>
  <c r="CV48" i="206"/>
  <c r="S48" i="206"/>
  <c r="CU48" i="206"/>
  <c r="L24" i="206"/>
  <c r="CN24" i="206"/>
  <c r="W14" i="206"/>
  <c r="CY14" i="206"/>
  <c r="B44" i="206"/>
  <c r="CD44" i="206"/>
  <c r="R52" i="206"/>
  <c r="CT52" i="206"/>
  <c r="J16" i="206"/>
  <c r="CL16" i="206"/>
  <c r="K15" i="206"/>
  <c r="CM15" i="206"/>
  <c r="O6" i="206"/>
  <c r="CQ6" i="206"/>
  <c r="U28" i="206"/>
  <c r="CW28" i="206"/>
  <c r="E45" i="206"/>
  <c r="CG45" i="206"/>
  <c r="P30" i="206"/>
  <c r="CR30" i="206"/>
  <c r="G13" i="206"/>
  <c r="CI13" i="206"/>
  <c r="I27" i="206"/>
  <c r="CK27" i="206"/>
  <c r="C47" i="206"/>
  <c r="CE47" i="206"/>
  <c r="N11" i="206"/>
  <c r="CP11" i="206"/>
  <c r="T20" i="206"/>
  <c r="CV20" i="206"/>
  <c r="T29" i="206"/>
  <c r="CV29" i="206"/>
  <c r="P40" i="206"/>
  <c r="CR40" i="206"/>
  <c r="V51" i="206"/>
  <c r="CX51" i="206"/>
  <c r="L28" i="206"/>
  <c r="CN28" i="206"/>
  <c r="CW19" i="206"/>
  <c r="U19" i="206"/>
  <c r="N25" i="206"/>
  <c r="CP25" i="206"/>
  <c r="N46" i="206"/>
  <c r="CP46" i="206"/>
  <c r="G27" i="206"/>
  <c r="CI27" i="206"/>
  <c r="L19" i="206"/>
  <c r="CN19" i="206"/>
  <c r="C28" i="206"/>
  <c r="CE28" i="206"/>
  <c r="E15" i="206"/>
  <c r="CG15" i="206"/>
  <c r="K29" i="206"/>
  <c r="CM29" i="206"/>
  <c r="V12" i="206"/>
  <c r="CX12" i="206"/>
  <c r="X39" i="206"/>
  <c r="CZ39" i="206"/>
  <c r="CK25" i="206"/>
  <c r="I25" i="206"/>
  <c r="G39" i="206"/>
  <c r="CI39" i="206"/>
  <c r="F7" i="206"/>
  <c r="CH7" i="206"/>
  <c r="B17" i="206"/>
  <c r="CB17" i="206"/>
  <c r="CD17" i="206"/>
  <c r="R26" i="206"/>
  <c r="CT26" i="206"/>
  <c r="T38" i="206"/>
  <c r="CV38" i="206"/>
  <c r="Z49" i="206"/>
  <c r="DB49" i="206"/>
  <c r="Y39" i="206"/>
  <c r="DA39" i="206"/>
  <c r="X26" i="206"/>
  <c r="CZ26" i="206"/>
  <c r="E19" i="206"/>
  <c r="CG19" i="206"/>
  <c r="V40" i="206"/>
  <c r="CX40" i="206"/>
  <c r="W27" i="206"/>
  <c r="CY27" i="206"/>
  <c r="CJ35" i="206"/>
  <c r="H35" i="206"/>
  <c r="S28" i="206"/>
  <c r="CU28" i="206"/>
  <c r="U17" i="206"/>
  <c r="CW17" i="206"/>
  <c r="Y32" i="206"/>
  <c r="DA32" i="206"/>
  <c r="P11" i="206"/>
  <c r="CR11" i="206"/>
  <c r="O5" i="206"/>
  <c r="CQ5" i="206"/>
  <c r="O17" i="206"/>
  <c r="CQ17" i="206"/>
  <c r="Q31" i="206"/>
  <c r="CS31" i="206"/>
  <c r="S47" i="206"/>
  <c r="CU47" i="206"/>
  <c r="H10" i="206"/>
  <c r="CJ10" i="206"/>
  <c r="N19" i="206"/>
  <c r="CP19" i="206"/>
  <c r="V32" i="206"/>
  <c r="CX32" i="206"/>
  <c r="CX41" i="206"/>
  <c r="V41" i="206"/>
  <c r="W52" i="206"/>
  <c r="CY52" i="206"/>
  <c r="B27" i="206"/>
  <c r="CD27" i="206"/>
  <c r="D51" i="206"/>
  <c r="CF51" i="206"/>
  <c r="V14" i="206"/>
  <c r="CX14" i="206"/>
  <c r="V38" i="206"/>
  <c r="CX38" i="206"/>
  <c r="Y50" i="206"/>
  <c r="DA50" i="206"/>
  <c r="M21" i="206"/>
  <c r="CO21" i="206"/>
  <c r="G36" i="206"/>
  <c r="CI36" i="206"/>
  <c r="N20" i="206"/>
  <c r="CP20" i="206"/>
  <c r="K9" i="206"/>
  <c r="CM9" i="206"/>
  <c r="Q22" i="206"/>
  <c r="CS22" i="206"/>
  <c r="I40" i="206"/>
  <c r="CK40" i="206"/>
  <c r="X6" i="206"/>
  <c r="CZ6" i="206"/>
  <c r="N15" i="206"/>
  <c r="CP15" i="206"/>
  <c r="D25" i="206"/>
  <c r="CF25" i="206"/>
  <c r="J35" i="206"/>
  <c r="CL35" i="206"/>
  <c r="B49" i="206"/>
  <c r="CD49" i="206"/>
  <c r="Z28" i="206"/>
  <c r="DB28" i="206"/>
  <c r="I48" i="206"/>
  <c r="CK48" i="206"/>
  <c r="P5" i="206"/>
  <c r="CR5" i="206"/>
  <c r="R27" i="206"/>
  <c r="CT27" i="206"/>
  <c r="X49" i="206"/>
  <c r="CZ49" i="206"/>
  <c r="G48" i="206"/>
  <c r="CI48" i="206"/>
  <c r="V36" i="206"/>
  <c r="CX36" i="206"/>
  <c r="S41" i="206"/>
  <c r="CU41" i="206"/>
  <c r="E26" i="206"/>
  <c r="CG26" i="206"/>
  <c r="M41" i="206"/>
  <c r="CO41" i="206"/>
  <c r="D13" i="206"/>
  <c r="CF13" i="206"/>
  <c r="P39" i="206"/>
  <c r="CR39" i="206"/>
  <c r="Q16" i="206"/>
  <c r="CS16" i="206"/>
  <c r="O30" i="206"/>
  <c r="CQ30" i="206"/>
  <c r="Q46" i="206"/>
  <c r="CS46" i="206"/>
  <c r="V11" i="206"/>
  <c r="CX11" i="206"/>
  <c r="H22" i="206"/>
  <c r="CJ22" i="206"/>
  <c r="D33" i="206"/>
  <c r="CF33" i="206"/>
  <c r="J45" i="206"/>
  <c r="CL45" i="206"/>
  <c r="H48" i="206"/>
  <c r="CJ48" i="206"/>
  <c r="R19" i="206"/>
  <c r="CT19" i="206"/>
  <c r="CM35" i="206"/>
  <c r="K35" i="206"/>
  <c r="S40" i="206"/>
  <c r="CU40" i="206"/>
  <c r="L26" i="206"/>
  <c r="CN26" i="206"/>
  <c r="CB48" i="206"/>
  <c r="B48" i="206"/>
  <c r="CD48" i="206"/>
  <c r="G33" i="206"/>
  <c r="CI33" i="206"/>
  <c r="D32" i="206"/>
  <c r="CF32" i="206"/>
  <c r="C21" i="206"/>
  <c r="CE21" i="206"/>
  <c r="K10" i="206"/>
  <c r="CM10" i="206"/>
  <c r="U26" i="206"/>
  <c r="CW26" i="206"/>
  <c r="C44" i="206"/>
  <c r="CE44" i="206"/>
  <c r="X30" i="206"/>
  <c r="CZ30" i="206"/>
  <c r="I14" i="206"/>
  <c r="CK14" i="206"/>
  <c r="I31" i="206"/>
  <c r="CK31" i="206"/>
  <c r="K47" i="206"/>
  <c r="CM47" i="206"/>
  <c r="Z9" i="206"/>
  <c r="DB9" i="206"/>
  <c r="P18" i="206"/>
  <c r="CR18" i="206"/>
  <c r="H31" i="206"/>
  <c r="CJ31" i="206"/>
  <c r="N41" i="206"/>
  <c r="CP41" i="206"/>
  <c r="T52" i="206"/>
  <c r="CV52" i="206"/>
  <c r="P25" i="206"/>
  <c r="CR25" i="206"/>
  <c r="U44" i="206"/>
  <c r="CW44" i="206"/>
  <c r="G31" i="206"/>
  <c r="CI31" i="206"/>
  <c r="CL44" i="206"/>
  <c r="J44" i="206"/>
  <c r="F14" i="206"/>
  <c r="CH14" i="206"/>
  <c r="F36" i="206"/>
  <c r="CH36" i="206"/>
  <c r="K37" i="206"/>
  <c r="CM37" i="206"/>
  <c r="S20" i="206"/>
  <c r="CU20" i="206"/>
  <c r="M49" i="206"/>
  <c r="CO49" i="206"/>
  <c r="X21" i="206"/>
  <c r="CZ21" i="206"/>
  <c r="I12" i="206"/>
  <c r="CK12" i="206"/>
  <c r="CK29" i="206"/>
  <c r="I29" i="206"/>
  <c r="CI45" i="206"/>
  <c r="G45" i="206"/>
  <c r="T8" i="206"/>
  <c r="CV8" i="206"/>
  <c r="F19" i="206"/>
  <c r="CH19" i="206"/>
  <c r="L29" i="206"/>
  <c r="CN29" i="206"/>
  <c r="D44" i="206"/>
  <c r="CF44" i="206"/>
  <c r="X52" i="206"/>
  <c r="CZ52" i="206"/>
  <c r="B24" i="206"/>
  <c r="CD24" i="206"/>
  <c r="S39" i="206"/>
  <c r="CU39" i="206"/>
  <c r="U16" i="206"/>
  <c r="CW16" i="206"/>
  <c r="I49" i="206"/>
  <c r="CK49" i="206"/>
  <c r="O41" i="206"/>
  <c r="CQ41" i="206"/>
  <c r="E7" i="206"/>
  <c r="CG7" i="206"/>
  <c r="I47" i="206"/>
  <c r="CK47" i="206"/>
  <c r="P20" i="206"/>
  <c r="CR20" i="206"/>
  <c r="CL22" i="206"/>
  <c r="J22" i="206"/>
  <c r="V48" i="206"/>
  <c r="CX48" i="206"/>
  <c r="N45" i="206"/>
  <c r="CP45" i="206"/>
  <c r="D10" i="206"/>
  <c r="CF10" i="206"/>
  <c r="U25" i="206"/>
  <c r="CW25" i="206"/>
  <c r="W29" i="206"/>
  <c r="CY29" i="206"/>
  <c r="Q18" i="206"/>
  <c r="CS18" i="206"/>
  <c r="B50" i="206"/>
  <c r="CD50" i="206"/>
  <c r="U24" i="206"/>
  <c r="CW24" i="206"/>
  <c r="N26" i="206"/>
  <c r="CP26" i="206"/>
  <c r="G46" i="206"/>
  <c r="CI46" i="206"/>
  <c r="U13" i="206"/>
  <c r="CW13" i="206"/>
  <c r="I15" i="206"/>
  <c r="CK15" i="206"/>
  <c r="I21" i="206"/>
  <c r="CK21" i="206"/>
  <c r="Z18" i="206"/>
  <c r="DB18" i="206"/>
  <c r="H7" i="206"/>
  <c r="CJ7" i="206"/>
  <c r="L31" i="206"/>
  <c r="CN31" i="206"/>
  <c r="Q10" i="206"/>
  <c r="CS10" i="206"/>
  <c r="G7" i="206"/>
  <c r="CI7" i="206"/>
  <c r="E24" i="206"/>
  <c r="CG24" i="206"/>
  <c r="H29" i="206"/>
  <c r="CJ29" i="206"/>
  <c r="O51" i="206"/>
  <c r="CQ51" i="206"/>
  <c r="M14" i="206"/>
  <c r="CO14" i="206"/>
  <c r="K38" i="206"/>
  <c r="CM38" i="206"/>
  <c r="Y13" i="206"/>
  <c r="DA13" i="206"/>
  <c r="Q47" i="206"/>
  <c r="CS47" i="206"/>
  <c r="N35" i="206"/>
  <c r="CP35" i="206"/>
  <c r="C13" i="206"/>
  <c r="CE13" i="206"/>
  <c r="T7" i="206"/>
  <c r="CV7" i="206"/>
  <c r="CN14" i="206"/>
  <c r="L14" i="206"/>
  <c r="E22" i="206"/>
  <c r="CG22" i="206"/>
  <c r="Q41" i="206"/>
  <c r="CS41" i="206"/>
  <c r="W21" i="206"/>
  <c r="CY21" i="206"/>
  <c r="H51" i="206"/>
  <c r="CJ51" i="206"/>
  <c r="I35" i="206"/>
  <c r="CK35" i="206"/>
  <c r="C26" i="206"/>
  <c r="CE26" i="206"/>
  <c r="C6" i="206"/>
  <c r="CE6" i="206"/>
  <c r="S14" i="206"/>
  <c r="CU14" i="206"/>
  <c r="T27" i="206"/>
  <c r="CV27" i="206"/>
  <c r="M40" i="206"/>
  <c r="CO40" i="206"/>
  <c r="D39" i="206"/>
  <c r="CF39" i="206"/>
  <c r="I28" i="206"/>
  <c r="CK28" i="206"/>
  <c r="Z38" i="206"/>
  <c r="DB38" i="206"/>
  <c r="Z46" i="206"/>
  <c r="DB46" i="206"/>
  <c r="W18" i="206"/>
  <c r="CY18" i="206"/>
  <c r="T18" i="206"/>
  <c r="CV18" i="206"/>
  <c r="G22" i="206"/>
  <c r="CI22" i="206"/>
  <c r="CD41" i="206"/>
  <c r="B41" i="206"/>
  <c r="CX20" i="206"/>
  <c r="V20" i="206"/>
  <c r="H28" i="206"/>
  <c r="CJ28" i="206"/>
  <c r="Q15" i="206"/>
  <c r="CS15" i="206"/>
  <c r="CK13" i="206"/>
  <c r="I13" i="206"/>
  <c r="D5" i="206"/>
  <c r="CF5" i="206"/>
  <c r="R24" i="206"/>
  <c r="CT24" i="206"/>
  <c r="B31" i="206"/>
  <c r="CD31" i="206"/>
  <c r="X19" i="206"/>
  <c r="CZ19" i="206"/>
  <c r="Q11" i="206"/>
  <c r="CS11" i="206"/>
  <c r="X25" i="206"/>
  <c r="CZ25" i="206"/>
  <c r="M38" i="206"/>
  <c r="CO38" i="206"/>
  <c r="L30" i="206"/>
  <c r="CN30" i="206"/>
  <c r="O25" i="206"/>
  <c r="CQ25" i="206"/>
  <c r="H19" i="206"/>
  <c r="CJ19" i="206"/>
  <c r="B25" i="206"/>
  <c r="CD25" i="206"/>
  <c r="CB25" i="206"/>
  <c r="T50" i="206"/>
  <c r="CV50" i="206"/>
  <c r="CI49" i="206"/>
  <c r="G49" i="206"/>
  <c r="B18" i="206"/>
  <c r="CD18" i="206"/>
  <c r="W46" i="206"/>
  <c r="CY46" i="206"/>
  <c r="DB15" i="206"/>
  <c r="Z15" i="206"/>
  <c r="L46" i="206"/>
  <c r="CN46" i="206"/>
  <c r="V17" i="206"/>
  <c r="CX17" i="206"/>
  <c r="Q48" i="206"/>
  <c r="CS48" i="206"/>
  <c r="C17" i="206"/>
  <c r="CE17" i="206"/>
  <c r="I51" i="206"/>
  <c r="CK51" i="206"/>
  <c r="O20" i="206"/>
  <c r="CQ20" i="206"/>
  <c r="CD36" i="206"/>
  <c r="B36" i="206"/>
  <c r="P33" i="206"/>
  <c r="CR33" i="206"/>
  <c r="P16" i="206"/>
  <c r="CR16" i="206"/>
  <c r="K30" i="206"/>
  <c r="CM30" i="206"/>
  <c r="T30" i="206"/>
  <c r="CV30" i="206"/>
  <c r="Q26" i="206"/>
  <c r="CS26" i="206"/>
  <c r="O15" i="206"/>
  <c r="CQ15" i="206"/>
  <c r="B37" i="206"/>
  <c r="CD37" i="206"/>
  <c r="J15" i="206"/>
  <c r="CL15" i="206"/>
  <c r="S45" i="206"/>
  <c r="CU45" i="206"/>
  <c r="K13" i="206"/>
  <c r="CM13" i="206"/>
  <c r="O46" i="206"/>
  <c r="CQ46" i="206"/>
  <c r="S6" i="206"/>
  <c r="CU6" i="206"/>
  <c r="P52" i="206"/>
  <c r="CR52" i="206"/>
  <c r="D31" i="206"/>
  <c r="CF31" i="206"/>
  <c r="T6" i="206"/>
  <c r="CV6" i="206"/>
  <c r="S26" i="206"/>
  <c r="CU26" i="206"/>
  <c r="Z22" i="206"/>
  <c r="DB22" i="206"/>
  <c r="Y21" i="206"/>
  <c r="DA21" i="206"/>
  <c r="R38" i="206"/>
  <c r="CT38" i="206"/>
  <c r="C33" i="206"/>
  <c r="CE33" i="206"/>
  <c r="R25" i="206"/>
  <c r="CT25" i="206"/>
  <c r="M11" i="206"/>
  <c r="CO11" i="206"/>
  <c r="J27" i="206"/>
  <c r="CL27" i="206"/>
  <c r="F50" i="206"/>
  <c r="CH50" i="206"/>
  <c r="O52" i="206"/>
  <c r="CQ52" i="206"/>
  <c r="X35" i="206"/>
  <c r="CZ35" i="206"/>
  <c r="K32" i="206"/>
  <c r="CM32" i="206"/>
  <c r="K16" i="206"/>
  <c r="CM16" i="206"/>
  <c r="CQ36" i="206"/>
  <c r="O36" i="206"/>
  <c r="E51" i="206"/>
  <c r="CG51" i="206"/>
  <c r="Z29" i="206"/>
  <c r="DB29" i="206"/>
  <c r="Q12" i="206"/>
  <c r="CS12" i="206"/>
  <c r="CQ26" i="206"/>
  <c r="O26" i="206"/>
  <c r="Q40" i="206"/>
  <c r="CS40" i="206"/>
  <c r="Z5" i="206"/>
  <c r="DB5" i="206"/>
  <c r="V15" i="206"/>
  <c r="CX15" i="206"/>
  <c r="H27" i="206"/>
  <c r="CJ27" i="206"/>
  <c r="Z39" i="206"/>
  <c r="DB39" i="206"/>
  <c r="CH51" i="206"/>
  <c r="F51" i="206"/>
  <c r="K18" i="206"/>
  <c r="CM18" i="206"/>
  <c r="D7" i="206"/>
  <c r="CF7" i="206"/>
  <c r="CR9" i="206"/>
  <c r="P9" i="206"/>
  <c r="X45" i="206"/>
  <c r="CZ45" i="206"/>
  <c r="C18" i="206"/>
  <c r="CE18" i="206"/>
  <c r="V18" i="206"/>
  <c r="CX18" i="206"/>
  <c r="K21" i="206"/>
  <c r="CM21" i="206"/>
  <c r="K12" i="206"/>
  <c r="CM12" i="206"/>
  <c r="K31" i="206"/>
  <c r="CM31" i="206"/>
  <c r="E49" i="206"/>
  <c r="CG49" i="206"/>
  <c r="H39" i="206"/>
  <c r="CJ39" i="206"/>
  <c r="I16" i="206"/>
  <c r="CK16" i="206"/>
  <c r="Y33" i="206"/>
  <c r="DA33" i="206"/>
  <c r="C49" i="206"/>
  <c r="CE49" i="206"/>
  <c r="Z13" i="206"/>
  <c r="DB13" i="206"/>
  <c r="F24" i="206"/>
  <c r="CH24" i="206"/>
  <c r="F32" i="206"/>
  <c r="CH32" i="206"/>
  <c r="B45" i="206"/>
  <c r="CD45" i="206"/>
  <c r="CB45" i="206"/>
  <c r="Y47" i="206"/>
  <c r="DA47" i="206"/>
  <c r="J10" i="206"/>
  <c r="CL10" i="206"/>
  <c r="G14" i="206"/>
  <c r="CI14" i="206"/>
  <c r="T26" i="206"/>
  <c r="CV26" i="206"/>
  <c r="Z48" i="206"/>
  <c r="DB48" i="206"/>
  <c r="U47" i="206"/>
  <c r="CW47" i="206"/>
  <c r="R33" i="206"/>
  <c r="CT33" i="206"/>
  <c r="S37" i="206"/>
  <c r="CU37" i="206"/>
  <c r="E17" i="206"/>
  <c r="CG17" i="206"/>
  <c r="I32" i="206"/>
  <c r="CK32" i="206"/>
  <c r="CR21" i="206"/>
  <c r="P21" i="206"/>
  <c r="M8" i="206"/>
  <c r="CO8" i="206"/>
  <c r="Y27" i="206"/>
  <c r="DA27" i="206"/>
  <c r="Y44" i="206"/>
  <c r="DA44" i="206"/>
  <c r="R9" i="206"/>
  <c r="CT9" i="206"/>
  <c r="X18" i="206"/>
  <c r="CZ18" i="206"/>
  <c r="J30" i="206"/>
  <c r="CL30" i="206"/>
  <c r="F41" i="206"/>
  <c r="CH41" i="206"/>
  <c r="V6" i="206"/>
  <c r="CX6" i="206"/>
  <c r="M9" i="206"/>
  <c r="CO9" i="206"/>
  <c r="D9" i="206"/>
  <c r="CF9" i="206"/>
  <c r="E13" i="206"/>
  <c r="CG13" i="206"/>
  <c r="D47" i="206"/>
  <c r="CF47" i="206"/>
  <c r="O48" i="206"/>
  <c r="CQ48" i="206"/>
  <c r="T37" i="206"/>
  <c r="CV37" i="206"/>
  <c r="I5" i="206"/>
  <c r="CK5" i="206"/>
  <c r="K22" i="206"/>
  <c r="CM22" i="206"/>
  <c r="U41" i="206"/>
  <c r="CW41" i="206"/>
  <c r="L13" i="206"/>
  <c r="CN13" i="206"/>
  <c r="CE9" i="206"/>
  <c r="C9" i="206"/>
  <c r="I22" i="206"/>
  <c r="CK22" i="206"/>
  <c r="CK36" i="206"/>
  <c r="I36" i="206"/>
  <c r="K51" i="206"/>
  <c r="CM51" i="206"/>
  <c r="T12" i="206"/>
  <c r="CV12" i="206"/>
  <c r="Z21" i="206"/>
  <c r="DB21" i="206"/>
  <c r="R35" i="206"/>
  <c r="CT35" i="206"/>
  <c r="H46" i="206"/>
  <c r="CJ46" i="206"/>
  <c r="L7" i="206"/>
  <c r="CN7" i="206"/>
  <c r="Z44" i="206"/>
  <c r="DB44" i="206"/>
  <c r="Z52" i="206"/>
  <c r="DB52" i="206"/>
  <c r="H17" i="206"/>
  <c r="CJ17" i="206"/>
  <c r="S15" i="206"/>
  <c r="CU15" i="206"/>
  <c r="S8" i="206"/>
  <c r="CU8" i="206"/>
  <c r="K25" i="206"/>
  <c r="CM25" i="206"/>
  <c r="W38" i="206"/>
  <c r="CY38" i="206"/>
  <c r="R29" i="206"/>
  <c r="CT29" i="206"/>
  <c r="Y12" i="206"/>
  <c r="DA12" i="206"/>
  <c r="G26" i="206"/>
  <c r="CI26" i="206"/>
  <c r="W45" i="206"/>
  <c r="CY45" i="206"/>
  <c r="J9" i="206"/>
  <c r="CL9" i="206"/>
  <c r="J17" i="206"/>
  <c r="CL17" i="206"/>
  <c r="P27" i="206"/>
  <c r="CR27" i="206"/>
  <c r="V37" i="206"/>
  <c r="CX37" i="206"/>
  <c r="N51" i="206"/>
  <c r="CP51" i="206"/>
  <c r="F21" i="206"/>
  <c r="CH21" i="206"/>
  <c r="E38" i="206"/>
  <c r="CG38" i="206"/>
  <c r="B8" i="206"/>
  <c r="CD8" i="206"/>
  <c r="D41" i="206"/>
  <c r="CF41" i="206"/>
  <c r="T51" i="206"/>
  <c r="CV51" i="206"/>
  <c r="L15" i="206"/>
  <c r="CN15" i="206"/>
  <c r="O7" i="206"/>
  <c r="CQ7" i="206"/>
  <c r="Q5" i="206"/>
  <c r="CS5" i="206"/>
  <c r="C29" i="206"/>
  <c r="CE29" i="206"/>
  <c r="C46" i="206"/>
  <c r="CE46" i="206"/>
  <c r="H21" i="206"/>
  <c r="CJ21" i="206"/>
  <c r="E8" i="206"/>
  <c r="CG8" i="206"/>
  <c r="O19" i="206"/>
  <c r="CQ19" i="206"/>
  <c r="G35" i="206"/>
  <c r="CI35" i="206"/>
  <c r="K49" i="206"/>
  <c r="CM49" i="206"/>
  <c r="D16" i="206"/>
  <c r="CF16" i="206"/>
  <c r="T25" i="206"/>
  <c r="CV25" i="206"/>
  <c r="Z35" i="206"/>
  <c r="DB35" i="206"/>
  <c r="F47" i="206"/>
  <c r="CH47" i="206"/>
  <c r="J41" i="206"/>
  <c r="CL41" i="206"/>
  <c r="F13" i="206"/>
  <c r="CH13" i="206"/>
  <c r="E25" i="206"/>
  <c r="CG25" i="206"/>
  <c r="F6" i="206"/>
  <c r="CH6" i="206"/>
  <c r="X28" i="206"/>
  <c r="CZ28" i="206"/>
  <c r="N50" i="206"/>
  <c r="CP50" i="206"/>
  <c r="W48" i="206"/>
  <c r="CY48" i="206"/>
  <c r="P35" i="206"/>
  <c r="CR35" i="206"/>
  <c r="S32" i="206"/>
  <c r="CU32" i="206"/>
  <c r="M15" i="206"/>
  <c r="CO15" i="206"/>
  <c r="S29" i="206"/>
  <c r="CU29" i="206"/>
  <c r="S46" i="206"/>
  <c r="CU46" i="206"/>
  <c r="G5" i="206"/>
  <c r="CI5" i="206"/>
  <c r="I20" i="206"/>
  <c r="CK20" i="206"/>
  <c r="W35" i="206"/>
  <c r="CY35" i="206"/>
  <c r="C51" i="206"/>
  <c r="CE51" i="206"/>
  <c r="L12" i="206"/>
  <c r="CN12" i="206"/>
  <c r="X22" i="206"/>
  <c r="CZ22" i="206"/>
  <c r="T33" i="206"/>
  <c r="CV33" i="206"/>
  <c r="Z45" i="206"/>
  <c r="DB45" i="206"/>
  <c r="T46" i="206"/>
  <c r="CV46" i="206"/>
  <c r="D18" i="206"/>
  <c r="CF18" i="206"/>
  <c r="M31" i="206"/>
  <c r="CO31" i="206"/>
  <c r="H9" i="206"/>
  <c r="CJ9" i="206"/>
  <c r="R48" i="206"/>
  <c r="CT48" i="206"/>
  <c r="R16" i="206"/>
  <c r="CT16" i="206"/>
  <c r="B38" i="206"/>
  <c r="CB38" i="206"/>
  <c r="CD38" i="206"/>
  <c r="CY6" i="206"/>
  <c r="W6" i="206"/>
  <c r="M30" i="206"/>
  <c r="CO30" i="206"/>
  <c r="M51" i="206"/>
  <c r="CO51" i="206"/>
  <c r="B29" i="206"/>
  <c r="CD29" i="206"/>
  <c r="G17" i="206"/>
  <c r="CI17" i="206"/>
  <c r="Y31" i="206"/>
  <c r="DA31" i="206"/>
  <c r="E48" i="206"/>
  <c r="CG48" i="206"/>
  <c r="P10" i="206"/>
  <c r="CR10" i="206"/>
  <c r="B21" i="206"/>
  <c r="CD21" i="206"/>
  <c r="X31" i="206"/>
  <c r="CZ31" i="206"/>
  <c r="P46" i="206"/>
  <c r="CR46" i="206"/>
  <c r="X44" i="206"/>
  <c r="CZ44" i="206"/>
  <c r="H16" i="206"/>
  <c r="CJ16" i="206"/>
  <c r="U29" i="206"/>
  <c r="CW29" i="206"/>
  <c r="M12" i="206"/>
  <c r="CO12" i="206"/>
  <c r="K36" i="206"/>
  <c r="CM36" i="206"/>
  <c r="O11" i="206"/>
  <c r="CQ11" i="206"/>
  <c r="F48" i="206"/>
  <c r="CH48" i="206"/>
  <c r="Q19" i="206"/>
  <c r="CS19" i="206"/>
  <c r="J7" i="206"/>
  <c r="CL7" i="206"/>
  <c r="E37" i="206"/>
  <c r="CG37" i="206"/>
  <c r="J25" i="206"/>
  <c r="CL25" i="206"/>
  <c r="T36" i="206"/>
  <c r="CV36" i="206"/>
  <c r="F5" i="206"/>
  <c r="CH5" i="206"/>
  <c r="I8" i="206"/>
  <c r="CK8" i="206"/>
  <c r="Q21" i="206"/>
  <c r="CS21" i="206"/>
  <c r="Z36" i="206"/>
  <c r="DB36" i="206"/>
  <c r="P41" i="206"/>
  <c r="CR41" i="206"/>
  <c r="M13" i="206"/>
  <c r="CO13" i="206"/>
  <c r="H12" i="206"/>
  <c r="CJ12" i="206"/>
  <c r="M50" i="206"/>
  <c r="CO50" i="206"/>
  <c r="P12" i="206"/>
  <c r="CR12" i="206"/>
  <c r="Z25" i="206"/>
  <c r="DB25" i="206"/>
  <c r="G8" i="206"/>
  <c r="CI8" i="206"/>
  <c r="CO47" i="206"/>
  <c r="M47" i="206"/>
  <c r="E39" i="206"/>
  <c r="CG39" i="206"/>
  <c r="F17" i="206"/>
  <c r="CH17" i="206"/>
  <c r="R12" i="206"/>
  <c r="CT12" i="206"/>
  <c r="K48" i="206"/>
  <c r="CM48" i="206"/>
  <c r="L50" i="206"/>
  <c r="CN50" i="206"/>
  <c r="V21" i="206"/>
  <c r="CX21" i="206"/>
  <c r="C45" i="206"/>
  <c r="CE45" i="206"/>
  <c r="S5" i="206"/>
  <c r="CU5" i="206"/>
  <c r="W11" i="206"/>
  <c r="CY11" i="206"/>
  <c r="N48" i="206"/>
  <c r="CP48" i="206"/>
  <c r="Y19" i="206"/>
  <c r="DA19" i="206"/>
  <c r="D22" i="206"/>
  <c r="CF22" i="206"/>
  <c r="Q28" i="206"/>
  <c r="CS28" i="206"/>
  <c r="I7" i="206"/>
  <c r="CK7" i="206"/>
  <c r="G41" i="206"/>
  <c r="CI41" i="206"/>
  <c r="K7" i="206"/>
  <c r="CM7" i="206"/>
  <c r="O29" i="206"/>
  <c r="CQ29" i="206"/>
  <c r="R36" i="206"/>
  <c r="CT36" i="206"/>
  <c r="V44" i="206"/>
  <c r="CX44" i="206"/>
  <c r="B28" i="206"/>
  <c r="CD28" i="206"/>
  <c r="E6" i="206"/>
  <c r="CG6" i="206"/>
  <c r="T35" i="206"/>
  <c r="CV35" i="206"/>
  <c r="P48" i="206"/>
  <c r="CR48" i="206"/>
  <c r="Z19" i="206"/>
  <c r="DB19" i="206"/>
  <c r="C30" i="206"/>
  <c r="CE30" i="206"/>
  <c r="B22" i="206"/>
  <c r="CD22" i="206"/>
  <c r="Y17" i="206"/>
  <c r="DA17" i="206"/>
  <c r="X32" i="206"/>
  <c r="CZ32" i="206"/>
  <c r="P26" i="206"/>
  <c r="CR26" i="206"/>
  <c r="H52" i="206"/>
  <c r="CJ52" i="206"/>
  <c r="V5" i="206"/>
  <c r="CX5" i="206"/>
  <c r="P37" i="206"/>
  <c r="CR37" i="206"/>
  <c r="S13" i="206"/>
  <c r="CU13" i="206"/>
  <c r="T31" i="206"/>
  <c r="CV31" i="206"/>
  <c r="W50" i="206"/>
  <c r="CY50" i="206"/>
  <c r="I18" i="206"/>
  <c r="CK18" i="206"/>
  <c r="T49" i="206"/>
  <c r="CV49" i="206"/>
  <c r="Q24" i="206"/>
  <c r="CS24" i="206"/>
  <c r="T10" i="206"/>
  <c r="CV10" i="206"/>
  <c r="O44" i="206"/>
  <c r="CQ44" i="206"/>
  <c r="F52" i="206"/>
  <c r="CH52" i="206"/>
  <c r="B47" i="206"/>
  <c r="CD47" i="206"/>
  <c r="L18" i="206"/>
  <c r="CN18" i="206"/>
  <c r="CO27" i="206"/>
  <c r="M27" i="206"/>
  <c r="X13" i="206"/>
  <c r="CZ13" i="206"/>
  <c r="G16" i="206"/>
  <c r="CI16" i="206"/>
  <c r="C48" i="206"/>
  <c r="CE48" i="206"/>
  <c r="N6" i="206"/>
  <c r="CP6" i="206"/>
  <c r="L40" i="206"/>
  <c r="CN40" i="206"/>
  <c r="K24" i="206"/>
  <c r="CM24" i="206"/>
  <c r="X41" i="206"/>
  <c r="CZ41" i="206"/>
  <c r="P44" i="206"/>
  <c r="CR44" i="206"/>
  <c r="DA7" i="206"/>
  <c r="Y7" i="206"/>
  <c r="CB30" i="206"/>
  <c r="L30" i="183"/>
  <c r="L32" i="183"/>
  <c r="L34" i="183"/>
  <c r="I34" i="183"/>
  <c r="I32" i="183"/>
  <c r="O30" i="183"/>
  <c r="O36" i="183" s="1"/>
  <c r="O34" i="183"/>
  <c r="O32" i="183"/>
  <c r="V30" i="183"/>
  <c r="V34" i="183"/>
  <c r="V32" i="183"/>
  <c r="K30" i="183"/>
  <c r="K34" i="183"/>
  <c r="K32" i="183"/>
  <c r="Y30" i="183"/>
  <c r="Y34" i="183"/>
  <c r="Y32" i="183"/>
  <c r="H30" i="183"/>
  <c r="H36" i="183" s="1"/>
  <c r="H32" i="183"/>
  <c r="H34" i="183"/>
  <c r="D30" i="183"/>
  <c r="D32" i="183"/>
  <c r="D34" i="183"/>
  <c r="AB15" i="183"/>
  <c r="U30" i="183"/>
  <c r="U34" i="183"/>
  <c r="U32" i="183"/>
  <c r="AA30" i="183"/>
  <c r="AA34" i="183"/>
  <c r="AA32" i="183"/>
  <c r="R30" i="183"/>
  <c r="R34" i="183"/>
  <c r="R32" i="183"/>
  <c r="M30" i="183"/>
  <c r="M34" i="183"/>
  <c r="M32" i="183"/>
  <c r="S30" i="183"/>
  <c r="S34" i="183"/>
  <c r="S32" i="183"/>
  <c r="N30" i="183"/>
  <c r="N34" i="183"/>
  <c r="N32" i="183"/>
  <c r="E30" i="183"/>
  <c r="E34" i="183"/>
  <c r="E32" i="183"/>
  <c r="T30" i="183"/>
  <c r="T32" i="183"/>
  <c r="T34" i="183"/>
  <c r="F30" i="183"/>
  <c r="F34" i="183"/>
  <c r="F32" i="183"/>
  <c r="P30" i="183"/>
  <c r="P32" i="183"/>
  <c r="P34" i="183"/>
  <c r="AF12" i="115"/>
  <c r="CE7" i="5"/>
  <c r="CE10" i="5"/>
  <c r="BE7" i="5"/>
  <c r="BE6" i="5"/>
  <c r="CB53" i="207"/>
  <c r="Z17" i="115"/>
  <c r="Y9" i="115"/>
  <c r="Z9" i="115" s="1"/>
  <c r="Y8" i="115"/>
  <c r="AG8" i="115" s="1"/>
  <c r="BE44" i="5"/>
  <c r="CE44" i="5"/>
  <c r="AF11" i="115"/>
  <c r="AG11" i="115"/>
  <c r="B13" i="127"/>
  <c r="AF6" i="115"/>
  <c r="Z6" i="115" s="1"/>
  <c r="AG17" i="115"/>
  <c r="P53" i="207"/>
  <c r="F53" i="207"/>
  <c r="L53" i="207"/>
  <c r="W53" i="207"/>
  <c r="Y53" i="207"/>
  <c r="N53" i="208"/>
  <c r="P53" i="208"/>
  <c r="R53" i="208"/>
  <c r="CB53" i="208"/>
  <c r="M53" i="208"/>
  <c r="H53" i="208"/>
  <c r="U53" i="208"/>
  <c r="K53" i="208"/>
  <c r="C53" i="208"/>
  <c r="G53" i="208"/>
  <c r="V53" i="208"/>
  <c r="S53" i="208"/>
  <c r="W53" i="208"/>
  <c r="Q53" i="208"/>
  <c r="J53" i="208"/>
  <c r="I53" i="208"/>
  <c r="Y53" i="208"/>
  <c r="D53" i="208"/>
  <c r="F53" i="208"/>
  <c r="B53" i="208"/>
  <c r="L53" i="208"/>
  <c r="T53" i="208"/>
  <c r="Z53" i="208"/>
  <c r="O53" i="208"/>
  <c r="X53" i="208"/>
  <c r="E53" i="208"/>
  <c r="B53" i="207"/>
  <c r="R53" i="207"/>
  <c r="Z53" i="207"/>
  <c r="N53" i="207"/>
  <c r="X53" i="207"/>
  <c r="T53" i="207"/>
  <c r="O53" i="207"/>
  <c r="V53" i="207"/>
  <c r="J53" i="207"/>
  <c r="I53" i="207"/>
  <c r="D53" i="207"/>
  <c r="H53" i="207"/>
  <c r="U35" i="205"/>
  <c r="CW35" i="205"/>
  <c r="R36" i="205"/>
  <c r="CT36" i="205"/>
  <c r="T27" i="205"/>
  <c r="CV27" i="205"/>
  <c r="K26" i="205"/>
  <c r="CM26" i="205"/>
  <c r="T22" i="205"/>
  <c r="CV22" i="205"/>
  <c r="B28" i="205"/>
  <c r="CD28" i="205"/>
  <c r="CB28" i="205"/>
  <c r="W39" i="205"/>
  <c r="CY39" i="205"/>
  <c r="I21" i="205"/>
  <c r="CK21" i="205"/>
  <c r="Y14" i="205"/>
  <c r="DA14" i="205"/>
  <c r="K40" i="205"/>
  <c r="CM40" i="205"/>
  <c r="T28" i="205"/>
  <c r="CV28" i="205"/>
  <c r="I18" i="205"/>
  <c r="CK18" i="205"/>
  <c r="J40" i="205"/>
  <c r="CL40" i="205"/>
  <c r="P25" i="205"/>
  <c r="CR25" i="205"/>
  <c r="D44" i="205"/>
  <c r="CF44" i="205"/>
  <c r="P36" i="205"/>
  <c r="CR36" i="205"/>
  <c r="C36" i="205"/>
  <c r="CE36" i="205"/>
  <c r="Y10" i="205"/>
  <c r="DA10" i="205"/>
  <c r="Q13" i="205"/>
  <c r="CS13" i="205"/>
  <c r="R26" i="205"/>
  <c r="CT26" i="205"/>
  <c r="R51" i="205"/>
  <c r="CT51" i="205"/>
  <c r="S24" i="205"/>
  <c r="CU24" i="205"/>
  <c r="Y51" i="205"/>
  <c r="DA51" i="205"/>
  <c r="Q36" i="205"/>
  <c r="CS36" i="205"/>
  <c r="Q5" i="205"/>
  <c r="BR53" i="205"/>
  <c r="CS53" i="205" s="1"/>
  <c r="CS5" i="205"/>
  <c r="P12" i="205"/>
  <c r="CR12" i="205"/>
  <c r="S21" i="205"/>
  <c r="CU21" i="205"/>
  <c r="Y27" i="205"/>
  <c r="DA27" i="205"/>
  <c r="I17" i="205"/>
  <c r="CK17" i="205"/>
  <c r="E18" i="205"/>
  <c r="CG18" i="205"/>
  <c r="M8" i="205"/>
  <c r="CO8" i="205"/>
  <c r="X32" i="205"/>
  <c r="CZ32" i="205"/>
  <c r="Y41" i="205"/>
  <c r="DA41" i="205"/>
  <c r="F32" i="205"/>
  <c r="CH32" i="205"/>
  <c r="M40" i="205"/>
  <c r="CO40" i="205"/>
  <c r="R29" i="205"/>
  <c r="CT29" i="205"/>
  <c r="F41" i="205"/>
  <c r="CH41" i="205"/>
  <c r="R40" i="205"/>
  <c r="CT40" i="205"/>
  <c r="R46" i="205"/>
  <c r="CT46" i="205"/>
  <c r="W45" i="205"/>
  <c r="CY45" i="205"/>
  <c r="E31" i="205"/>
  <c r="CG31" i="205"/>
  <c r="Z49" i="205"/>
  <c r="DB49" i="205"/>
  <c r="U18" i="205"/>
  <c r="CW18" i="205"/>
  <c r="Z31" i="205"/>
  <c r="DB31" i="205"/>
  <c r="I38" i="205"/>
  <c r="CK38" i="205"/>
  <c r="U19" i="205"/>
  <c r="CW19" i="205"/>
  <c r="Q12" i="205"/>
  <c r="CS12" i="205"/>
  <c r="T5" i="205"/>
  <c r="BU53" i="205"/>
  <c r="CV53" i="205" s="1"/>
  <c r="CV5" i="205"/>
  <c r="R22" i="205"/>
  <c r="CT22" i="205"/>
  <c r="D26" i="205"/>
  <c r="CF26" i="205"/>
  <c r="V24" i="205"/>
  <c r="CX24" i="205"/>
  <c r="C15" i="205"/>
  <c r="CE15" i="205"/>
  <c r="Z36" i="205"/>
  <c r="DB36" i="205"/>
  <c r="K16" i="205"/>
  <c r="CM16" i="205"/>
  <c r="Y15" i="205"/>
  <c r="DA15" i="205"/>
  <c r="B44" i="205"/>
  <c r="CD44" i="205"/>
  <c r="CB44" i="205"/>
  <c r="F30" i="205"/>
  <c r="CH30" i="205"/>
  <c r="L15" i="205"/>
  <c r="CN15" i="205"/>
  <c r="G11" i="205"/>
  <c r="CI11" i="205"/>
  <c r="P37" i="205"/>
  <c r="CR37" i="205"/>
  <c r="G24" i="205"/>
  <c r="CI24" i="205"/>
  <c r="I29" i="205"/>
  <c r="CK29" i="205"/>
  <c r="R52" i="205"/>
  <c r="CT52" i="205"/>
  <c r="H46" i="205"/>
  <c r="CJ46" i="205"/>
  <c r="C11" i="205"/>
  <c r="CE11" i="205"/>
  <c r="C27" i="205"/>
  <c r="CE27" i="205"/>
  <c r="R28" i="205"/>
  <c r="CT28" i="205"/>
  <c r="J41" i="205"/>
  <c r="CL41" i="205"/>
  <c r="Z14" i="205"/>
  <c r="DB14" i="205"/>
  <c r="CV52" i="205"/>
  <c r="T52" i="205"/>
  <c r="M20" i="205"/>
  <c r="CO20" i="205"/>
  <c r="K17" i="205"/>
  <c r="CM17" i="205"/>
  <c r="V7" i="205"/>
  <c r="CX7" i="205"/>
  <c r="Z26" i="205"/>
  <c r="DB26" i="205"/>
  <c r="N51" i="205"/>
  <c r="CP51" i="205"/>
  <c r="R20" i="205"/>
  <c r="CT20" i="205"/>
  <c r="CW49" i="205"/>
  <c r="U49" i="205"/>
  <c r="Q20" i="205"/>
  <c r="CS20" i="205"/>
  <c r="V28" i="205"/>
  <c r="CX28" i="205"/>
  <c r="G31" i="205"/>
  <c r="CI31" i="205"/>
  <c r="J49" i="205"/>
  <c r="CL49" i="205"/>
  <c r="C5" i="205"/>
  <c r="BD53" i="205"/>
  <c r="CE53" i="205" s="1"/>
  <c r="CE5" i="205"/>
  <c r="CW48" i="205"/>
  <c r="U48" i="205"/>
  <c r="F46" i="205"/>
  <c r="CH46" i="205"/>
  <c r="X21" i="205"/>
  <c r="CZ21" i="205"/>
  <c r="C50" i="205"/>
  <c r="CE50" i="205"/>
  <c r="N14" i="205"/>
  <c r="CP14" i="205"/>
  <c r="G12" i="205"/>
  <c r="CI12" i="205"/>
  <c r="C25" i="205"/>
  <c r="CE25" i="205"/>
  <c r="R18" i="205"/>
  <c r="CT18" i="205"/>
  <c r="V19" i="205"/>
  <c r="CX19" i="205"/>
  <c r="H10" i="205"/>
  <c r="CJ10" i="205"/>
  <c r="R39" i="205"/>
  <c r="CT39" i="205"/>
  <c r="P10" i="205"/>
  <c r="CR10" i="205"/>
  <c r="P38" i="205"/>
  <c r="CR38" i="205"/>
  <c r="M46" i="205"/>
  <c r="CO46" i="205"/>
  <c r="I11" i="205"/>
  <c r="CK11" i="205"/>
  <c r="E33" i="205"/>
  <c r="CG33" i="205"/>
  <c r="X49" i="205"/>
  <c r="CZ49" i="205"/>
  <c r="K8" i="205"/>
  <c r="CM8" i="205"/>
  <c r="F22" i="205"/>
  <c r="CH22" i="205"/>
  <c r="P49" i="205"/>
  <c r="CR49" i="205"/>
  <c r="I51" i="205"/>
  <c r="CK51" i="205"/>
  <c r="V8" i="205"/>
  <c r="CX8" i="205"/>
  <c r="S12" i="205"/>
  <c r="CU12" i="205"/>
  <c r="G32" i="205"/>
  <c r="CI32" i="205"/>
  <c r="V32" i="205"/>
  <c r="CX32" i="205"/>
  <c r="U25" i="205"/>
  <c r="CW25" i="205"/>
  <c r="E9" i="205"/>
  <c r="CG9" i="205"/>
  <c r="O46" i="205"/>
  <c r="CQ46" i="205"/>
  <c r="H19" i="205"/>
  <c r="CJ19" i="205"/>
  <c r="M41" i="205"/>
  <c r="CO41" i="205"/>
  <c r="Z15" i="205"/>
  <c r="DB15" i="205"/>
  <c r="D15" i="205"/>
  <c r="CF15" i="205"/>
  <c r="I8" i="205"/>
  <c r="CK8" i="205"/>
  <c r="H44" i="205"/>
  <c r="CJ44" i="205"/>
  <c r="L9" i="205"/>
  <c r="CN9" i="205"/>
  <c r="M31" i="205"/>
  <c r="CO31" i="205"/>
  <c r="D47" i="205"/>
  <c r="CF47" i="205"/>
  <c r="Z27" i="205"/>
  <c r="DB27" i="205"/>
  <c r="M51" i="205"/>
  <c r="CO51" i="205"/>
  <c r="S36" i="205"/>
  <c r="CU36" i="205"/>
  <c r="M44" i="205"/>
  <c r="CO44" i="205"/>
  <c r="G5" i="205"/>
  <c r="BH53" i="205"/>
  <c r="CI53" i="205" s="1"/>
  <c r="CI5" i="205"/>
  <c r="Y35" i="205"/>
  <c r="DA35" i="205"/>
  <c r="T19" i="205"/>
  <c r="CV19" i="205"/>
  <c r="M38" i="205"/>
  <c r="CO38" i="205"/>
  <c r="B45" i="205"/>
  <c r="CD45" i="205"/>
  <c r="CB45" i="205"/>
  <c r="D40" i="205"/>
  <c r="CF40" i="205"/>
  <c r="G25" i="205"/>
  <c r="CI25" i="205"/>
  <c r="J32" i="205"/>
  <c r="CL32" i="205"/>
  <c r="P39" i="205"/>
  <c r="CR39" i="205"/>
  <c r="W5" i="205"/>
  <c r="CY5" i="205"/>
  <c r="BX53" i="205"/>
  <c r="CY53" i="205" s="1"/>
  <c r="J26" i="205"/>
  <c r="CL26" i="205"/>
  <c r="J18" i="205"/>
  <c r="CL18" i="205"/>
  <c r="N17" i="205"/>
  <c r="CP17" i="205"/>
  <c r="V33" i="205"/>
  <c r="CX33" i="205"/>
  <c r="O40" i="205"/>
  <c r="CQ40" i="205"/>
  <c r="P29" i="205"/>
  <c r="CR29" i="205"/>
  <c r="O47" i="205"/>
  <c r="CQ47" i="205"/>
  <c r="B35" i="205"/>
  <c r="CB35" i="205"/>
  <c r="CD35" i="205"/>
  <c r="J20" i="205"/>
  <c r="CL20" i="205"/>
  <c r="U14" i="205"/>
  <c r="CW14" i="205"/>
  <c r="U21" i="205"/>
  <c r="CW21" i="205"/>
  <c r="W25" i="205"/>
  <c r="CY25" i="205"/>
  <c r="C31" i="205"/>
  <c r="CE31" i="205"/>
  <c r="P44" i="205"/>
  <c r="CR44" i="205"/>
  <c r="H26" i="205"/>
  <c r="CJ26" i="205"/>
  <c r="P27" i="205"/>
  <c r="CR27" i="205"/>
  <c r="K12" i="205"/>
  <c r="CM12" i="205"/>
  <c r="H17" i="205"/>
  <c r="CJ17" i="205"/>
  <c r="O44" i="205"/>
  <c r="CQ44" i="205"/>
  <c r="W49" i="205"/>
  <c r="CY49" i="205"/>
  <c r="F24" i="205"/>
  <c r="CH24" i="205"/>
  <c r="K36" i="205"/>
  <c r="CM36" i="205"/>
  <c r="T25" i="205"/>
  <c r="CV25" i="205"/>
  <c r="E10" i="205"/>
  <c r="CG10" i="205"/>
  <c r="U39" i="205"/>
  <c r="CW39" i="205"/>
  <c r="S49" i="205"/>
  <c r="CU49" i="205"/>
  <c r="F36" i="205"/>
  <c r="CH36" i="205"/>
  <c r="N36" i="205"/>
  <c r="CP36" i="205"/>
  <c r="J15" i="205"/>
  <c r="CL15" i="205"/>
  <c r="X37" i="205"/>
  <c r="CZ37" i="205"/>
  <c r="T16" i="205"/>
  <c r="CV16" i="205"/>
  <c r="S25" i="205"/>
  <c r="CU25" i="205"/>
  <c r="DB45" i="205"/>
  <c r="Z45" i="205"/>
  <c r="M32" i="205"/>
  <c r="CO32" i="205"/>
  <c r="H41" i="205"/>
  <c r="CJ41" i="205"/>
  <c r="B48" i="205"/>
  <c r="CD48" i="205"/>
  <c r="CB48" i="205"/>
  <c r="R7" i="205"/>
  <c r="CT7" i="205"/>
  <c r="H8" i="205"/>
  <c r="CJ8" i="205"/>
  <c r="Y36" i="205"/>
  <c r="DA36" i="205"/>
  <c r="G52" i="205"/>
  <c r="CI52" i="205"/>
  <c r="S7" i="205"/>
  <c r="CU7" i="205"/>
  <c r="Q9" i="205"/>
  <c r="CS9" i="205"/>
  <c r="F31" i="205"/>
  <c r="CH31" i="205"/>
  <c r="J33" i="205"/>
  <c r="CL33" i="205"/>
  <c r="X9" i="205"/>
  <c r="CZ9" i="205"/>
  <c r="L12" i="205"/>
  <c r="CN12" i="205"/>
  <c r="K20" i="205"/>
  <c r="CM20" i="205"/>
  <c r="L19" i="205"/>
  <c r="CN19" i="205"/>
  <c r="S38" i="205"/>
  <c r="CU38" i="205"/>
  <c r="H51" i="205"/>
  <c r="CJ51" i="205"/>
  <c r="P8" i="205"/>
  <c r="CR8" i="205"/>
  <c r="Y18" i="205"/>
  <c r="DA18" i="205"/>
  <c r="Z35" i="205"/>
  <c r="DB35" i="205"/>
  <c r="S13" i="205"/>
  <c r="CU13" i="205"/>
  <c r="V10" i="205"/>
  <c r="CX10" i="205"/>
  <c r="G48" i="205"/>
  <c r="CI48" i="205"/>
  <c r="P17" i="205"/>
  <c r="CR17" i="205"/>
  <c r="N12" i="205"/>
  <c r="CP12" i="205"/>
  <c r="N8" i="205"/>
  <c r="CP8" i="205"/>
  <c r="Q33" i="205"/>
  <c r="CS33" i="205"/>
  <c r="M11" i="205"/>
  <c r="CO11" i="205"/>
  <c r="L25" i="205"/>
  <c r="CN25" i="205"/>
  <c r="X19" i="205"/>
  <c r="CZ19" i="205"/>
  <c r="CY50" i="205"/>
  <c r="W50" i="205"/>
  <c r="W8" i="205"/>
  <c r="CY8" i="205"/>
  <c r="V29" i="205"/>
  <c r="CX29" i="205"/>
  <c r="X39" i="205"/>
  <c r="CZ39" i="205"/>
  <c r="G7" i="205"/>
  <c r="CI7" i="205"/>
  <c r="J30" i="205"/>
  <c r="CL30" i="205"/>
  <c r="K19" i="205"/>
  <c r="CM19" i="205"/>
  <c r="X50" i="205"/>
  <c r="CZ50" i="205"/>
  <c r="J27" i="205"/>
  <c r="CL27" i="205"/>
  <c r="D35" i="205"/>
  <c r="CF35" i="205"/>
  <c r="K47" i="205"/>
  <c r="CM47" i="205"/>
  <c r="Q50" i="205"/>
  <c r="CS50" i="205"/>
  <c r="S16" i="205"/>
  <c r="CU16" i="205"/>
  <c r="H28" i="205"/>
  <c r="CJ28" i="205"/>
  <c r="B30" i="205"/>
  <c r="CB30" i="205"/>
  <c r="CD30" i="205"/>
  <c r="O20" i="205"/>
  <c r="CQ20" i="205"/>
  <c r="CU52" i="205"/>
  <c r="S52" i="205"/>
  <c r="E44" i="205"/>
  <c r="CG44" i="205"/>
  <c r="P30" i="205"/>
  <c r="CR30" i="205"/>
  <c r="Z32" i="205"/>
  <c r="DB32" i="205"/>
  <c r="Y28" i="205"/>
  <c r="DA28" i="205"/>
  <c r="I12" i="205"/>
  <c r="CK12" i="205"/>
  <c r="X47" i="205"/>
  <c r="CZ47" i="205"/>
  <c r="N46" i="205"/>
  <c r="CP46" i="205"/>
  <c r="I22" i="205"/>
  <c r="CK22" i="205"/>
  <c r="X22" i="205"/>
  <c r="CZ22" i="205"/>
  <c r="B29" i="205"/>
  <c r="CB29" i="205"/>
  <c r="CD29" i="205"/>
  <c r="L45" i="205"/>
  <c r="CN45" i="205"/>
  <c r="X13" i="205"/>
  <c r="CZ13" i="205"/>
  <c r="Q6" i="205"/>
  <c r="CS6" i="205"/>
  <c r="L13" i="205"/>
  <c r="CN13" i="205"/>
  <c r="L51" i="205"/>
  <c r="CN51" i="205"/>
  <c r="G29" i="205"/>
  <c r="CI29" i="205"/>
  <c r="J37" i="205"/>
  <c r="CL37" i="205"/>
  <c r="Y48" i="205"/>
  <c r="DA48" i="205"/>
  <c r="N52" i="205"/>
  <c r="CP52" i="205"/>
  <c r="H48" i="205"/>
  <c r="CJ48" i="205"/>
  <c r="V41" i="205"/>
  <c r="CX41" i="205"/>
  <c r="R21" i="205"/>
  <c r="CT21" i="205"/>
  <c r="N30" i="205"/>
  <c r="CP30" i="205"/>
  <c r="B9" i="205"/>
  <c r="CB9" i="205"/>
  <c r="CD9" i="205"/>
  <c r="C28" i="205"/>
  <c r="CE28" i="205"/>
  <c r="V21" i="205"/>
  <c r="CX21" i="205"/>
  <c r="G39" i="205"/>
  <c r="CI39" i="205"/>
  <c r="J44" i="205"/>
  <c r="CL44" i="205"/>
  <c r="G46" i="205"/>
  <c r="CI46" i="205"/>
  <c r="Q17" i="205"/>
  <c r="CS17" i="205"/>
  <c r="G50" i="205"/>
  <c r="CI50" i="205"/>
  <c r="Z48" i="205"/>
  <c r="DB48" i="205"/>
  <c r="J48" i="205"/>
  <c r="CL48" i="205"/>
  <c r="L52" i="205"/>
  <c r="CN52" i="205"/>
  <c r="U24" i="205"/>
  <c r="CW24" i="205"/>
  <c r="L6" i="205"/>
  <c r="CN6" i="205"/>
  <c r="M36" i="205"/>
  <c r="CO36" i="205"/>
  <c r="D21" i="205"/>
  <c r="CF21" i="205"/>
  <c r="G26" i="205"/>
  <c r="CI26" i="205"/>
  <c r="C10" i="205"/>
  <c r="CE10" i="205"/>
  <c r="X33" i="205"/>
  <c r="CZ33" i="205"/>
  <c r="W21" i="205"/>
  <c r="CY21" i="205"/>
  <c r="E21" i="205"/>
  <c r="CG21" i="205"/>
  <c r="Z39" i="205"/>
  <c r="DB39" i="205"/>
  <c r="P26" i="205"/>
  <c r="CR26" i="205"/>
  <c r="B14" i="205"/>
  <c r="CD14" i="205"/>
  <c r="CB14" i="205"/>
  <c r="Q29" i="205"/>
  <c r="CS29" i="205"/>
  <c r="D41" i="205"/>
  <c r="CF41" i="205"/>
  <c r="DA44" i="205"/>
  <c r="Y44" i="205"/>
  <c r="O13" i="205"/>
  <c r="CQ13" i="205"/>
  <c r="M35" i="205"/>
  <c r="CO35" i="205"/>
  <c r="F9" i="205"/>
  <c r="CH9" i="205"/>
  <c r="X36" i="205"/>
  <c r="CZ36" i="205"/>
  <c r="E39" i="205"/>
  <c r="CG39" i="205"/>
  <c r="M26" i="205"/>
  <c r="CO26" i="205"/>
  <c r="J51" i="205"/>
  <c r="CL51" i="205"/>
  <c r="Q48" i="205"/>
  <c r="CS48" i="205"/>
  <c r="V16" i="205"/>
  <c r="CX16" i="205"/>
  <c r="Y38" i="205"/>
  <c r="DA38" i="205"/>
  <c r="S48" i="205"/>
  <c r="CU48" i="205"/>
  <c r="B8" i="205"/>
  <c r="CB8" i="205"/>
  <c r="CD8" i="205"/>
  <c r="T36" i="205"/>
  <c r="CV36" i="205"/>
  <c r="B16" i="205"/>
  <c r="CD16" i="205"/>
  <c r="CB16" i="205"/>
  <c r="V36" i="205"/>
  <c r="CX36" i="205"/>
  <c r="N28" i="205"/>
  <c r="CP28" i="205"/>
  <c r="R16" i="205"/>
  <c r="CT16" i="205"/>
  <c r="C16" i="205"/>
  <c r="CE16" i="205"/>
  <c r="R10" i="205"/>
  <c r="CT10" i="205"/>
  <c r="V35" i="205"/>
  <c r="CX35" i="205"/>
  <c r="B36" i="205"/>
  <c r="CB36" i="205"/>
  <c r="CD36" i="205"/>
  <c r="Z5" i="205"/>
  <c r="CA53" i="205"/>
  <c r="DB53" i="205" s="1"/>
  <c r="DB5" i="205"/>
  <c r="H32" i="205"/>
  <c r="CJ32" i="205"/>
  <c r="F40" i="205"/>
  <c r="CH40" i="205"/>
  <c r="C12" i="205"/>
  <c r="CE12" i="205"/>
  <c r="S39" i="205"/>
  <c r="CU39" i="205"/>
  <c r="L31" i="205"/>
  <c r="CN31" i="205"/>
  <c r="R5" i="205"/>
  <c r="CT5" i="205"/>
  <c r="BS53" i="205"/>
  <c r="CT53" i="205" s="1"/>
  <c r="S27" i="205"/>
  <c r="CU27" i="205"/>
  <c r="B49" i="205"/>
  <c r="CB49" i="205"/>
  <c r="CD49" i="205"/>
  <c r="U11" i="205"/>
  <c r="CW11" i="205"/>
  <c r="M45" i="205"/>
  <c r="CO45" i="205"/>
  <c r="V38" i="205"/>
  <c r="CX38" i="205"/>
  <c r="J11" i="205"/>
  <c r="CL11" i="205"/>
  <c r="E16" i="205"/>
  <c r="CG16" i="205"/>
  <c r="G21" i="205"/>
  <c r="CI21" i="205"/>
  <c r="H24" i="205"/>
  <c r="CJ24" i="205"/>
  <c r="D25" i="205"/>
  <c r="CF25" i="205"/>
  <c r="W36" i="205"/>
  <c r="CY36" i="205"/>
  <c r="W41" i="205"/>
  <c r="CY41" i="205"/>
  <c r="V17" i="205"/>
  <c r="CX17" i="205"/>
  <c r="T24" i="205"/>
  <c r="CV24" i="205"/>
  <c r="N44" i="205"/>
  <c r="CP44" i="205"/>
  <c r="G30" i="205"/>
  <c r="CI30" i="205"/>
  <c r="L37" i="205"/>
  <c r="CN37" i="205"/>
  <c r="J35" i="205"/>
  <c r="CL35" i="205"/>
  <c r="F19" i="205"/>
  <c r="CH19" i="205"/>
  <c r="O45" i="205"/>
  <c r="CQ45" i="205"/>
  <c r="M48" i="205"/>
  <c r="CO48" i="205"/>
  <c r="M14" i="205"/>
  <c r="CO14" i="205"/>
  <c r="N7" i="205"/>
  <c r="CP7" i="205"/>
  <c r="E22" i="205"/>
  <c r="CG22" i="205"/>
  <c r="G13" i="205"/>
  <c r="CI13" i="205"/>
  <c r="D38" i="205"/>
  <c r="CF38" i="205"/>
  <c r="H11" i="205"/>
  <c r="CJ11" i="205"/>
  <c r="Z50" i="205"/>
  <c r="DB50" i="205"/>
  <c r="DA47" i="205"/>
  <c r="Y47" i="205"/>
  <c r="Y45" i="205"/>
  <c r="DA45" i="205"/>
  <c r="W14" i="205"/>
  <c r="CY14" i="205"/>
  <c r="D8" i="205"/>
  <c r="CF8" i="205"/>
  <c r="R30" i="205"/>
  <c r="CT30" i="205"/>
  <c r="X15" i="205"/>
  <c r="CZ15" i="205"/>
  <c r="N19" i="205"/>
  <c r="CP19" i="205"/>
  <c r="Y16" i="205"/>
  <c r="DA16" i="205"/>
  <c r="F27" i="205"/>
  <c r="CH27" i="205"/>
  <c r="O32" i="205"/>
  <c r="CQ32" i="205"/>
  <c r="O16" i="205"/>
  <c r="CQ16" i="205"/>
  <c r="L41" i="205"/>
  <c r="CN41" i="205"/>
  <c r="G6" i="205"/>
  <c r="CI6" i="205"/>
  <c r="K32" i="205"/>
  <c r="CM32" i="205"/>
  <c r="M25" i="205"/>
  <c r="CO25" i="205"/>
  <c r="B19" i="205"/>
  <c r="CD19" i="205"/>
  <c r="CB19" i="205"/>
  <c r="I28" i="205"/>
  <c r="CK28" i="205"/>
  <c r="I33" i="205"/>
  <c r="CK33" i="205"/>
  <c r="J12" i="205"/>
  <c r="CL12" i="205"/>
  <c r="B21" i="205"/>
  <c r="CD21" i="205"/>
  <c r="CB21" i="205"/>
  <c r="M50" i="205"/>
  <c r="CO50" i="205"/>
  <c r="G10" i="205"/>
  <c r="CI10" i="205"/>
  <c r="Q28" i="205"/>
  <c r="CS28" i="205"/>
  <c r="Q14" i="205"/>
  <c r="CS14" i="205"/>
  <c r="D10" i="205"/>
  <c r="CF10" i="205"/>
  <c r="S46" i="205"/>
  <c r="CU46" i="205"/>
  <c r="Z28" i="205"/>
  <c r="DB28" i="205"/>
  <c r="T15" i="205"/>
  <c r="CV15" i="205"/>
  <c r="J50" i="205"/>
  <c r="CL50" i="205"/>
  <c r="M28" i="205"/>
  <c r="CO28" i="205"/>
  <c r="T30" i="205"/>
  <c r="CV30" i="205"/>
  <c r="U29" i="205"/>
  <c r="CW29" i="205"/>
  <c r="F5" i="205"/>
  <c r="BG53" i="205"/>
  <c r="CH53" i="205" s="1"/>
  <c r="CH5" i="205"/>
  <c r="P16" i="205"/>
  <c r="CR16" i="205"/>
  <c r="P46" i="205"/>
  <c r="CR46" i="205"/>
  <c r="R19" i="205"/>
  <c r="CT19" i="205"/>
  <c r="I35" i="205"/>
  <c r="CK35" i="205"/>
  <c r="W32" i="205"/>
  <c r="CY32" i="205"/>
  <c r="O52" i="205"/>
  <c r="CQ52" i="205"/>
  <c r="R31" i="205"/>
  <c r="CT31" i="205"/>
  <c r="M39" i="205"/>
  <c r="CO39" i="205"/>
  <c r="Q30" i="205"/>
  <c r="CS30" i="205"/>
  <c r="S33" i="205"/>
  <c r="CU33" i="205"/>
  <c r="O11" i="205"/>
  <c r="CQ11" i="205"/>
  <c r="L38" i="205"/>
  <c r="CN38" i="205"/>
  <c r="E27" i="205"/>
  <c r="CG27" i="205"/>
  <c r="L17" i="205"/>
  <c r="CN17" i="205"/>
  <c r="F48" i="205"/>
  <c r="CH48" i="205"/>
  <c r="P40" i="205"/>
  <c r="CR40" i="205"/>
  <c r="V5" i="205"/>
  <c r="CX5" i="205"/>
  <c r="BW53" i="205"/>
  <c r="CX53" i="205" s="1"/>
  <c r="E13" i="205"/>
  <c r="CG13" i="205"/>
  <c r="O49" i="205"/>
  <c r="CQ49" i="205"/>
  <c r="H52" i="205"/>
  <c r="CJ52" i="205"/>
  <c r="O29" i="205"/>
  <c r="CQ29" i="205"/>
  <c r="S47" i="205"/>
  <c r="CU47" i="205"/>
  <c r="W10" i="205"/>
  <c r="CY10" i="205"/>
  <c r="I14" i="205"/>
  <c r="CK14" i="205"/>
  <c r="V30" i="205"/>
  <c r="CX30" i="205"/>
  <c r="O21" i="205"/>
  <c r="CQ21" i="205"/>
  <c r="Q26" i="205"/>
  <c r="CS26" i="205"/>
  <c r="J16" i="205"/>
  <c r="CL16" i="205"/>
  <c r="P22" i="205"/>
  <c r="CR22" i="205"/>
  <c r="L10" i="205"/>
  <c r="CN10" i="205"/>
  <c r="G19" i="205"/>
  <c r="CI19" i="205"/>
  <c r="R44" i="205"/>
  <c r="CT44" i="205"/>
  <c r="M37" i="205"/>
  <c r="CO37" i="205"/>
  <c r="R48" i="205"/>
  <c r="CT48" i="205"/>
  <c r="U51" i="205"/>
  <c r="CW51" i="205"/>
  <c r="CV48" i="205"/>
  <c r="T48" i="205"/>
  <c r="I36" i="205"/>
  <c r="CK36" i="205"/>
  <c r="C13" i="205"/>
  <c r="CE13" i="205"/>
  <c r="N26" i="205"/>
  <c r="CP26" i="205"/>
  <c r="W15" i="205"/>
  <c r="CY15" i="205"/>
  <c r="W16" i="205"/>
  <c r="CY16" i="205"/>
  <c r="C48" i="205"/>
  <c r="CE48" i="205"/>
  <c r="X52" i="205"/>
  <c r="CZ52" i="205"/>
  <c r="H29" i="205"/>
  <c r="CJ29" i="205"/>
  <c r="D11" i="205"/>
  <c r="CF11" i="205"/>
  <c r="O8" i="205"/>
  <c r="CQ8" i="205"/>
  <c r="CD38" i="205"/>
  <c r="B38" i="205"/>
  <c r="CB38" i="205"/>
  <c r="P45" i="205"/>
  <c r="CR45" i="205"/>
  <c r="G9" i="205"/>
  <c r="CI9" i="205"/>
  <c r="T21" i="205"/>
  <c r="CV21" i="205"/>
  <c r="L50" i="205"/>
  <c r="CN50" i="205"/>
  <c r="K46" i="205"/>
  <c r="CM46" i="205"/>
  <c r="K48" i="205"/>
  <c r="CM48" i="205"/>
  <c r="N25" i="205"/>
  <c r="CP25" i="205"/>
  <c r="CZ51" i="205"/>
  <c r="X51" i="205"/>
  <c r="Q10" i="205"/>
  <c r="CS10" i="205"/>
  <c r="I26" i="205"/>
  <c r="CK26" i="205"/>
  <c r="D12" i="205"/>
  <c r="CF12" i="205"/>
  <c r="F15" i="205"/>
  <c r="CH15" i="205"/>
  <c r="U26" i="205"/>
  <c r="CW26" i="205"/>
  <c r="Q47" i="205"/>
  <c r="CS47" i="205"/>
  <c r="U17" i="205"/>
  <c r="CW17" i="205"/>
  <c r="M10" i="205"/>
  <c r="CO10" i="205"/>
  <c r="I10" i="205"/>
  <c r="CK10" i="205"/>
  <c r="F33" i="205"/>
  <c r="CH33" i="205"/>
  <c r="P24" i="205"/>
  <c r="CR24" i="205"/>
  <c r="N5" i="205"/>
  <c r="BO53" i="205"/>
  <c r="CP53" i="205" s="1"/>
  <c r="CP5" i="205"/>
  <c r="B17" i="205"/>
  <c r="CB17" i="205"/>
  <c r="CD17" i="205"/>
  <c r="J31" i="205"/>
  <c r="CL31" i="205"/>
  <c r="P19" i="205"/>
  <c r="CR19" i="205"/>
  <c r="D22" i="205"/>
  <c r="CF22" i="205"/>
  <c r="U44" i="205"/>
  <c r="CW44" i="205"/>
  <c r="L47" i="205"/>
  <c r="CN47" i="205"/>
  <c r="CW45" i="205"/>
  <c r="U45" i="205"/>
  <c r="N9" i="205"/>
  <c r="CP9" i="205"/>
  <c r="X46" i="205"/>
  <c r="CZ46" i="205"/>
  <c r="K29" i="205"/>
  <c r="CM29" i="205"/>
  <c r="K10" i="205"/>
  <c r="CM10" i="205"/>
  <c r="T39" i="205"/>
  <c r="CV39" i="205"/>
  <c r="F37" i="205"/>
  <c r="CH37" i="205"/>
  <c r="W19" i="205"/>
  <c r="CY19" i="205"/>
  <c r="L11" i="205"/>
  <c r="CN11" i="205"/>
  <c r="CX44" i="205"/>
  <c r="V44" i="205"/>
  <c r="P5" i="205"/>
  <c r="BQ53" i="205"/>
  <c r="CR53" i="205" s="1"/>
  <c r="CR5" i="205"/>
  <c r="U30" i="205"/>
  <c r="CW30" i="205"/>
  <c r="C8" i="205"/>
  <c r="CE8" i="205"/>
  <c r="CU51" i="205"/>
  <c r="S51" i="205"/>
  <c r="H39" i="205"/>
  <c r="CJ39" i="205"/>
  <c r="Z38" i="205"/>
  <c r="DB38" i="205"/>
  <c r="E15" i="205"/>
  <c r="CG15" i="205"/>
  <c r="I13" i="205"/>
  <c r="CK13" i="205"/>
  <c r="U36" i="205"/>
  <c r="CW36" i="205"/>
  <c r="T50" i="205"/>
  <c r="CV50" i="205"/>
  <c r="W47" i="205"/>
  <c r="CY47" i="205"/>
  <c r="X31" i="205"/>
  <c r="CZ31" i="205"/>
  <c r="I32" i="205"/>
  <c r="CK32" i="205"/>
  <c r="S41" i="205"/>
  <c r="CU41" i="205"/>
  <c r="G35" i="205"/>
  <c r="CI35" i="205"/>
  <c r="F21" i="205"/>
  <c r="CH21" i="205"/>
  <c r="E24" i="205"/>
  <c r="CG24" i="205"/>
  <c r="M5" i="205"/>
  <c r="BN53" i="205"/>
  <c r="CO53" i="205" s="1"/>
  <c r="CO5" i="205"/>
  <c r="B51" i="205"/>
  <c r="CB51" i="205"/>
  <c r="CD51" i="205"/>
  <c r="V50" i="205"/>
  <c r="CX50" i="205"/>
  <c r="W18" i="205"/>
  <c r="CY18" i="205"/>
  <c r="R11" i="205"/>
  <c r="CT11" i="205"/>
  <c r="R32" i="205"/>
  <c r="CT32" i="205"/>
  <c r="Q24" i="205"/>
  <c r="CS24" i="205"/>
  <c r="W11" i="205"/>
  <c r="CY11" i="205"/>
  <c r="F49" i="205"/>
  <c r="CH49" i="205"/>
  <c r="W40" i="205"/>
  <c r="CY40" i="205"/>
  <c r="B6" i="205"/>
  <c r="CB6" i="205"/>
  <c r="CD6" i="205"/>
  <c r="X28" i="205"/>
  <c r="CZ28" i="205"/>
  <c r="N32" i="205"/>
  <c r="CP32" i="205"/>
  <c r="L14" i="205"/>
  <c r="CN14" i="205"/>
  <c r="Z44" i="205"/>
  <c r="DB44" i="205"/>
  <c r="H30" i="205"/>
  <c r="CJ30" i="205"/>
  <c r="K25" i="205"/>
  <c r="CM25" i="205"/>
  <c r="C19" i="205"/>
  <c r="CE19" i="205"/>
  <c r="P18" i="205"/>
  <c r="CR18" i="205"/>
  <c r="S32" i="205"/>
  <c r="CU32" i="205"/>
  <c r="G17" i="205"/>
  <c r="CI17" i="205"/>
  <c r="D20" i="205"/>
  <c r="CF20" i="205"/>
  <c r="Z9" i="205"/>
  <c r="DB9" i="205"/>
  <c r="P28" i="205"/>
  <c r="CR28" i="205"/>
  <c r="L29" i="205"/>
  <c r="CN29" i="205"/>
  <c r="X20" i="205"/>
  <c r="CZ20" i="205"/>
  <c r="F17" i="205"/>
  <c r="CH17" i="205"/>
  <c r="CX48" i="205"/>
  <c r="V48" i="205"/>
  <c r="J21" i="205"/>
  <c r="CL21" i="205"/>
  <c r="S14" i="205"/>
  <c r="CU14" i="205"/>
  <c r="N6" i="205"/>
  <c r="CP6" i="205"/>
  <c r="C7" i="205"/>
  <c r="CE7" i="205"/>
  <c r="P20" i="205"/>
  <c r="CR20" i="205"/>
  <c r="E5" i="205"/>
  <c r="BF53" i="205"/>
  <c r="CG53" i="205" s="1"/>
  <c r="CG5" i="205"/>
  <c r="H5" i="205"/>
  <c r="CJ5" i="205"/>
  <c r="BI53" i="205"/>
  <c r="CJ53" i="205" s="1"/>
  <c r="B37" i="205"/>
  <c r="CB37" i="205"/>
  <c r="CD37" i="205"/>
  <c r="U20" i="205"/>
  <c r="CW20" i="205"/>
  <c r="U9" i="205"/>
  <c r="CW9" i="205"/>
  <c r="V46" i="205"/>
  <c r="CX46" i="205"/>
  <c r="G38" i="205"/>
  <c r="CI38" i="205"/>
  <c r="L36" i="205"/>
  <c r="CN36" i="205"/>
  <c r="M49" i="205"/>
  <c r="CO49" i="205"/>
  <c r="L48" i="205"/>
  <c r="CN48" i="205"/>
  <c r="I40" i="205"/>
  <c r="CK40" i="205"/>
  <c r="I24" i="205"/>
  <c r="CK24" i="205"/>
  <c r="Y30" i="205"/>
  <c r="DA30" i="205"/>
  <c r="N27" i="205"/>
  <c r="CP27" i="205"/>
  <c r="O35" i="205"/>
  <c r="CQ35" i="205"/>
  <c r="S26" i="205"/>
  <c r="CU26" i="205"/>
  <c r="J47" i="205"/>
  <c r="CL47" i="205"/>
  <c r="I39" i="205"/>
  <c r="CK39" i="205"/>
  <c r="L35" i="205"/>
  <c r="CN35" i="205"/>
  <c r="K18" i="205"/>
  <c r="CM18" i="205"/>
  <c r="X12" i="205"/>
  <c r="CZ12" i="205"/>
  <c r="H15" i="205"/>
  <c r="CJ15" i="205"/>
  <c r="T7" i="205"/>
  <c r="CV7" i="205"/>
  <c r="M6" i="205"/>
  <c r="CO6" i="205"/>
  <c r="G14" i="205"/>
  <c r="CI14" i="205"/>
  <c r="C20" i="205"/>
  <c r="CE20" i="205"/>
  <c r="E30" i="205"/>
  <c r="CG30" i="205"/>
  <c r="P15" i="205"/>
  <c r="CR15" i="205"/>
  <c r="W12" i="205"/>
  <c r="CY12" i="205"/>
  <c r="Y19" i="205"/>
  <c r="DA19" i="205"/>
  <c r="L28" i="205"/>
  <c r="CN28" i="205"/>
  <c r="Q11" i="205"/>
  <c r="CS11" i="205"/>
  <c r="F13" i="205"/>
  <c r="CH13" i="205"/>
  <c r="V9" i="205"/>
  <c r="CX9" i="205"/>
  <c r="K24" i="205"/>
  <c r="CM24" i="205"/>
  <c r="R9" i="205"/>
  <c r="CT9" i="205"/>
  <c r="N18" i="205"/>
  <c r="CP18" i="205"/>
  <c r="X27" i="205"/>
  <c r="CZ27" i="205"/>
  <c r="L20" i="205"/>
  <c r="CN20" i="205"/>
  <c r="Z52" i="205"/>
  <c r="DB52" i="205"/>
  <c r="E40" i="205"/>
  <c r="CG40" i="205"/>
  <c r="J5" i="205"/>
  <c r="CL5" i="205"/>
  <c r="BK53" i="205"/>
  <c r="CL53" i="205" s="1"/>
  <c r="I47" i="205"/>
  <c r="CK47" i="205"/>
  <c r="B18" i="205"/>
  <c r="CD18" i="205"/>
  <c r="CB18" i="205"/>
  <c r="J6" i="205"/>
  <c r="CL6" i="205"/>
  <c r="D16" i="205"/>
  <c r="CF16" i="205"/>
  <c r="W13" i="205"/>
  <c r="CY13" i="205"/>
  <c r="F35" i="205"/>
  <c r="CH35" i="205"/>
  <c r="V20" i="205"/>
  <c r="CX20" i="205"/>
  <c r="I50" i="205"/>
  <c r="CK50" i="205"/>
  <c r="G20" i="205"/>
  <c r="CI20" i="205"/>
  <c r="N15" i="205"/>
  <c r="CP15" i="205"/>
  <c r="Y29" i="205"/>
  <c r="DA29" i="205"/>
  <c r="Y52" i="205"/>
  <c r="DA52" i="205"/>
  <c r="H20" i="205"/>
  <c r="CJ20" i="205"/>
  <c r="E38" i="205"/>
  <c r="CG38" i="205"/>
  <c r="Q21" i="205"/>
  <c r="CS21" i="205"/>
  <c r="R8" i="205"/>
  <c r="CT8" i="205"/>
  <c r="Z29" i="205"/>
  <c r="DB29" i="205"/>
  <c r="B46" i="205"/>
  <c r="CD46" i="205"/>
  <c r="CB46" i="205"/>
  <c r="X14" i="205"/>
  <c r="CZ14" i="205"/>
  <c r="V6" i="205"/>
  <c r="CX6" i="205"/>
  <c r="O22" i="205"/>
  <c r="CQ22" i="205"/>
  <c r="N21" i="205"/>
  <c r="CP21" i="205"/>
  <c r="P47" i="205"/>
  <c r="CR47" i="205"/>
  <c r="T11" i="205"/>
  <c r="CV11" i="205"/>
  <c r="Z6" i="205"/>
  <c r="DB6" i="205"/>
  <c r="K37" i="205"/>
  <c r="CM37" i="205"/>
  <c r="F18" i="205"/>
  <c r="CH18" i="205"/>
  <c r="P6" i="205"/>
  <c r="CR6" i="205"/>
  <c r="R47" i="205"/>
  <c r="CT47" i="205"/>
  <c r="E7" i="205"/>
  <c r="CG7" i="205"/>
  <c r="P33" i="205"/>
  <c r="CR33" i="205"/>
  <c r="Y25" i="205"/>
  <c r="DA25" i="205"/>
  <c r="S9" i="205"/>
  <c r="CU9" i="205"/>
  <c r="T38" i="205"/>
  <c r="CV38" i="205"/>
  <c r="V52" i="205"/>
  <c r="CX52" i="205"/>
  <c r="O27" i="205"/>
  <c r="CQ27" i="205"/>
  <c r="X44" i="205"/>
  <c r="CZ44" i="205"/>
  <c r="X8" i="205"/>
  <c r="CZ8" i="205"/>
  <c r="B15" i="205"/>
  <c r="CD15" i="205"/>
  <c r="CB15" i="205"/>
  <c r="N41" i="205"/>
  <c r="CP41" i="205"/>
  <c r="C52" i="205"/>
  <c r="CE52" i="205"/>
  <c r="D49" i="205"/>
  <c r="CF49" i="205"/>
  <c r="U10" i="205"/>
  <c r="CW10" i="205"/>
  <c r="D32" i="205"/>
  <c r="CF32" i="205"/>
  <c r="V31" i="205"/>
  <c r="CX31" i="205"/>
  <c r="M18" i="205"/>
  <c r="CO18" i="205"/>
  <c r="S37" i="205"/>
  <c r="CU37" i="205"/>
  <c r="D51" i="205"/>
  <c r="CF51" i="205"/>
  <c r="E35" i="205"/>
  <c r="CG35" i="205"/>
  <c r="H45" i="205"/>
  <c r="CJ45" i="205"/>
  <c r="H50" i="205"/>
  <c r="CJ50" i="205"/>
  <c r="R37" i="205"/>
  <c r="CT37" i="205"/>
  <c r="CV46" i="205"/>
  <c r="T46" i="205"/>
  <c r="I49" i="205"/>
  <c r="CK49" i="205"/>
  <c r="I44" i="205"/>
  <c r="CK44" i="205"/>
  <c r="Q35" i="205"/>
  <c r="CS35" i="205"/>
  <c r="C9" i="205"/>
  <c r="CE9" i="205"/>
  <c r="E8" i="205"/>
  <c r="CG8" i="205"/>
  <c r="C30" i="205"/>
  <c r="CE30" i="205"/>
  <c r="P21" i="205"/>
  <c r="CR21" i="205"/>
  <c r="X11" i="205"/>
  <c r="CZ11" i="205"/>
  <c r="Z20" i="205"/>
  <c r="DB20" i="205"/>
  <c r="D50" i="205"/>
  <c r="CF50" i="205"/>
  <c r="K11" i="205"/>
  <c r="CM11" i="205"/>
  <c r="U7" i="205"/>
  <c r="CW7" i="205"/>
  <c r="X25" i="205"/>
  <c r="CZ25" i="205"/>
  <c r="J24" i="205"/>
  <c r="CL24" i="205"/>
  <c r="L33" i="205"/>
  <c r="CN33" i="205"/>
  <c r="G47" i="205"/>
  <c r="CI47" i="205"/>
  <c r="O33" i="205"/>
  <c r="CQ33" i="205"/>
  <c r="D36" i="205"/>
  <c r="CF36" i="205"/>
  <c r="S28" i="205"/>
  <c r="CU28" i="205"/>
  <c r="O48" i="205"/>
  <c r="CQ48" i="205"/>
  <c r="Q38" i="205"/>
  <c r="CS38" i="205"/>
  <c r="U31" i="205"/>
  <c r="CW31" i="205"/>
  <c r="O30" i="205"/>
  <c r="CQ30" i="205"/>
  <c r="V14" i="205"/>
  <c r="CX14" i="205"/>
  <c r="J36" i="205"/>
  <c r="CL36" i="205"/>
  <c r="Z24" i="205"/>
  <c r="DB24" i="205"/>
  <c r="B47" i="205"/>
  <c r="CD47" i="205"/>
  <c r="CB47" i="205"/>
  <c r="V11" i="205"/>
  <c r="CX11" i="205"/>
  <c r="O31" i="205"/>
  <c r="CQ31" i="205"/>
  <c r="L24" i="205"/>
  <c r="CN24" i="205"/>
  <c r="G16" i="205"/>
  <c r="CI16" i="205"/>
  <c r="B20" i="205"/>
  <c r="CD20" i="205"/>
  <c r="CB20" i="205"/>
  <c r="I19" i="205"/>
  <c r="CK19" i="205"/>
  <c r="D27" i="205"/>
  <c r="CF27" i="205"/>
  <c r="L49" i="205"/>
  <c r="CN49" i="205"/>
  <c r="I16" i="205"/>
  <c r="CK16" i="205"/>
  <c r="Y39" i="205"/>
  <c r="DA39" i="205"/>
  <c r="P35" i="205"/>
  <c r="CR35" i="205"/>
  <c r="F20" i="205"/>
  <c r="CH20" i="205"/>
  <c r="N16" i="205"/>
  <c r="CP16" i="205"/>
  <c r="M52" i="205"/>
  <c r="CO52" i="205"/>
  <c r="O15" i="205"/>
  <c r="CQ15" i="205"/>
  <c r="N40" i="205"/>
  <c r="CP40" i="205"/>
  <c r="W20" i="205"/>
  <c r="CY20" i="205"/>
  <c r="Y33" i="205"/>
  <c r="DA33" i="205"/>
  <c r="W22" i="205"/>
  <c r="CY22" i="205"/>
  <c r="U50" i="205"/>
  <c r="CW50" i="205"/>
  <c r="Q45" i="205"/>
  <c r="CS45" i="205"/>
  <c r="Y22" i="205"/>
  <c r="DA22" i="205"/>
  <c r="CZ48" i="205"/>
  <c r="X48" i="205"/>
  <c r="Z10" i="205"/>
  <c r="DB10" i="205"/>
  <c r="M47" i="205"/>
  <c r="CO47" i="205"/>
  <c r="D46" i="205"/>
  <c r="CF46" i="205"/>
  <c r="M12" i="205"/>
  <c r="CO12" i="205"/>
  <c r="T12" i="205"/>
  <c r="CV12" i="205"/>
  <c r="U12" i="205"/>
  <c r="CW12" i="205"/>
  <c r="V40" i="205"/>
  <c r="CX40" i="205"/>
  <c r="E17" i="205"/>
  <c r="CG17" i="205"/>
  <c r="J52" i="205"/>
  <c r="CL52" i="205"/>
  <c r="T41" i="205"/>
  <c r="CV41" i="205"/>
  <c r="B52" i="205"/>
  <c r="CD52" i="205"/>
  <c r="CB52" i="205"/>
  <c r="Y20" i="205"/>
  <c r="DA20" i="205"/>
  <c r="W31" i="205"/>
  <c r="CY31" i="205"/>
  <c r="Y13" i="205"/>
  <c r="DA13" i="205"/>
  <c r="E47" i="205"/>
  <c r="CG47" i="205"/>
  <c r="I7" i="205"/>
  <c r="CK7" i="205"/>
  <c r="H9" i="205"/>
  <c r="CJ9" i="205"/>
  <c r="X7" i="205"/>
  <c r="CZ7" i="205"/>
  <c r="T33" i="205"/>
  <c r="CV33" i="205"/>
  <c r="M16" i="205"/>
  <c r="CO16" i="205"/>
  <c r="O9" i="205"/>
  <c r="CQ9" i="205"/>
  <c r="E29" i="205"/>
  <c r="CG29" i="205"/>
  <c r="W24" i="205"/>
  <c r="CY24" i="205"/>
  <c r="Y37" i="205"/>
  <c r="DA37" i="205"/>
  <c r="H40" i="205"/>
  <c r="CJ40" i="205"/>
  <c r="D18" i="205"/>
  <c r="CF18" i="205"/>
  <c r="G49" i="205"/>
  <c r="CI49" i="205"/>
  <c r="N37" i="205"/>
  <c r="CP37" i="205"/>
  <c r="G40" i="205"/>
  <c r="CI40" i="205"/>
  <c r="H47" i="205"/>
  <c r="CJ47" i="205"/>
  <c r="F45" i="205"/>
  <c r="CH45" i="205"/>
  <c r="Y12" i="205"/>
  <c r="DA12" i="205"/>
  <c r="Z40" i="205"/>
  <c r="DB40" i="205"/>
  <c r="Y32" i="205"/>
  <c r="DA32" i="205"/>
  <c r="I27" i="205"/>
  <c r="CK27" i="205"/>
  <c r="W33" i="205"/>
  <c r="CY33" i="205"/>
  <c r="I20" i="205"/>
  <c r="CK20" i="205"/>
  <c r="N24" i="205"/>
  <c r="CP24" i="205"/>
  <c r="H49" i="205"/>
  <c r="CJ49" i="205"/>
  <c r="E12" i="205"/>
  <c r="CG12" i="205"/>
  <c r="DB51" i="205"/>
  <c r="Z51" i="205"/>
  <c r="O25" i="205"/>
  <c r="CQ25" i="205"/>
  <c r="K35" i="205"/>
  <c r="CM35" i="205"/>
  <c r="N22" i="205"/>
  <c r="CP22" i="205"/>
  <c r="M27" i="205"/>
  <c r="CO27" i="205"/>
  <c r="Y6" i="205"/>
  <c r="DA6" i="205"/>
  <c r="C44" i="205"/>
  <c r="CE44" i="205"/>
  <c r="G22" i="205"/>
  <c r="CI22" i="205"/>
  <c r="O39" i="205"/>
  <c r="CQ39" i="205"/>
  <c r="H7" i="205"/>
  <c r="CJ7" i="205"/>
  <c r="Q7" i="205"/>
  <c r="CS7" i="205"/>
  <c r="T40" i="205"/>
  <c r="CV40" i="205"/>
  <c r="W28" i="205"/>
  <c r="CY28" i="205"/>
  <c r="N45" i="205"/>
  <c r="CP45" i="205"/>
  <c r="Z22" i="205"/>
  <c r="DB22" i="205"/>
  <c r="I6" i="205"/>
  <c r="CK6" i="205"/>
  <c r="H18" i="205"/>
  <c r="CJ18" i="205"/>
  <c r="S6" i="205"/>
  <c r="CU6" i="205"/>
  <c r="M9" i="205"/>
  <c r="CO9" i="205"/>
  <c r="I37" i="205"/>
  <c r="CK37" i="205"/>
  <c r="F16" i="205"/>
  <c r="CH16" i="205"/>
  <c r="C37" i="205"/>
  <c r="CE37" i="205"/>
  <c r="Y5" i="205"/>
  <c r="DA5" i="205"/>
  <c r="BZ53" i="205"/>
  <c r="DA53" i="205" s="1"/>
  <c r="S15" i="205"/>
  <c r="CU15" i="205"/>
  <c r="V51" i="205"/>
  <c r="CX51" i="205"/>
  <c r="K9" i="205"/>
  <c r="CM9" i="205"/>
  <c r="Q37" i="205"/>
  <c r="CS37" i="205"/>
  <c r="V45" i="205"/>
  <c r="CX45" i="205"/>
  <c r="Y8" i="205"/>
  <c r="DA8" i="205"/>
  <c r="L5" i="205"/>
  <c r="BM53" i="205"/>
  <c r="CN53" i="205" s="1"/>
  <c r="CN5" i="205"/>
  <c r="CX37" i="205"/>
  <c r="V37" i="205"/>
  <c r="E37" i="205"/>
  <c r="CG37" i="205"/>
  <c r="N11" i="205"/>
  <c r="CP11" i="205"/>
  <c r="O6" i="205"/>
  <c r="CQ6" i="205"/>
  <c r="Q52" i="205"/>
  <c r="CS52" i="205"/>
  <c r="L21" i="205"/>
  <c r="CN21" i="205"/>
  <c r="Z8" i="205"/>
  <c r="DB8" i="205"/>
  <c r="R17" i="205"/>
  <c r="CT17" i="205"/>
  <c r="Z25" i="205"/>
  <c r="DB25" i="205"/>
  <c r="K30" i="205"/>
  <c r="CM30" i="205"/>
  <c r="Z41" i="205"/>
  <c r="DB41" i="205"/>
  <c r="P31" i="205"/>
  <c r="CR31" i="205"/>
  <c r="Z16" i="205"/>
  <c r="DB16" i="205"/>
  <c r="F38" i="205"/>
  <c r="CH38" i="205"/>
  <c r="W35" i="205"/>
  <c r="CY35" i="205"/>
  <c r="V13" i="205"/>
  <c r="CX13" i="205"/>
  <c r="X38" i="205"/>
  <c r="CZ38" i="205"/>
  <c r="B22" i="205"/>
  <c r="CD22" i="205"/>
  <c r="CB22" i="205"/>
  <c r="I30" i="205"/>
  <c r="CK30" i="205"/>
  <c r="Q16" i="205"/>
  <c r="CS16" i="205"/>
  <c r="Z18" i="205"/>
  <c r="DB18" i="205"/>
  <c r="E48" i="205"/>
  <c r="CG48" i="205"/>
  <c r="L39" i="205"/>
  <c r="CN39" i="205"/>
  <c r="E36" i="205"/>
  <c r="CG36" i="205"/>
  <c r="N39" i="205"/>
  <c r="CP39" i="205"/>
  <c r="W44" i="205"/>
  <c r="CY44" i="205"/>
  <c r="D5" i="205"/>
  <c r="BE53" i="205"/>
  <c r="CF53" i="205" s="1"/>
  <c r="CF5" i="205"/>
  <c r="B10" i="205"/>
  <c r="CB10" i="205"/>
  <c r="CD10" i="205"/>
  <c r="F52" i="205"/>
  <c r="CH52" i="205"/>
  <c r="W27" i="205"/>
  <c r="CY27" i="205"/>
  <c r="Q46" i="205"/>
  <c r="CS46" i="205"/>
  <c r="C39" i="205"/>
  <c r="CE39" i="205"/>
  <c r="W51" i="205"/>
  <c r="CY51" i="205"/>
  <c r="T18" i="205"/>
  <c r="CV18" i="205"/>
  <c r="K39" i="205"/>
  <c r="CM39" i="205"/>
  <c r="M30" i="205"/>
  <c r="CO30" i="205"/>
  <c r="N50" i="205"/>
  <c r="CP50" i="205"/>
  <c r="L30" i="205"/>
  <c r="CN30" i="205"/>
  <c r="I31" i="205"/>
  <c r="CK31" i="205"/>
  <c r="O50" i="205"/>
  <c r="CQ50" i="205"/>
  <c r="S5" i="205"/>
  <c r="BT53" i="205"/>
  <c r="CU53" i="205" s="1"/>
  <c r="CU5" i="205"/>
  <c r="I5" i="205"/>
  <c r="CK5" i="205"/>
  <c r="BJ53" i="205"/>
  <c r="CK53" i="205" s="1"/>
  <c r="T13" i="205"/>
  <c r="CV13" i="205"/>
  <c r="Y21" i="205"/>
  <c r="DA21" i="205"/>
  <c r="D30" i="205"/>
  <c r="CF30" i="205"/>
  <c r="E32" i="205"/>
  <c r="CG32" i="205"/>
  <c r="K49" i="205"/>
  <c r="CM49" i="205"/>
  <c r="F29" i="205"/>
  <c r="CH29" i="205"/>
  <c r="R45" i="205"/>
  <c r="CT45" i="205"/>
  <c r="S31" i="205"/>
  <c r="CU31" i="205"/>
  <c r="D14" i="205"/>
  <c r="CF14" i="205"/>
  <c r="R25" i="205"/>
  <c r="CT25" i="205"/>
  <c r="I52" i="205"/>
  <c r="CK52" i="205"/>
  <c r="Z11" i="205"/>
  <c r="DB11" i="205"/>
  <c r="G15" i="205"/>
  <c r="CI15" i="205"/>
  <c r="D29" i="205"/>
  <c r="CF29" i="205"/>
  <c r="K15" i="205"/>
  <c r="CM15" i="205"/>
  <c r="L22" i="205"/>
  <c r="CN22" i="205"/>
  <c r="X30" i="205"/>
  <c r="CZ30" i="205"/>
  <c r="Y17" i="205"/>
  <c r="DA17" i="205"/>
  <c r="T31" i="205"/>
  <c r="CV31" i="205"/>
  <c r="G51" i="205"/>
  <c r="CI51" i="205"/>
  <c r="D7" i="205"/>
  <c r="CF7" i="205"/>
  <c r="H22" i="205"/>
  <c r="CJ22" i="205"/>
  <c r="I25" i="205"/>
  <c r="CK25" i="205"/>
  <c r="C32" i="205"/>
  <c r="CE32" i="205"/>
  <c r="R49" i="205"/>
  <c r="CT49" i="205"/>
  <c r="P11" i="205"/>
  <c r="CR11" i="205"/>
  <c r="F25" i="205"/>
  <c r="CH25" i="205"/>
  <c r="Z19" i="205"/>
  <c r="DB19" i="205"/>
  <c r="S50" i="205"/>
  <c r="CU50" i="205"/>
  <c r="D48" i="205"/>
  <c r="CF48" i="205"/>
  <c r="U52" i="205"/>
  <c r="CW52" i="205"/>
  <c r="E51" i="205"/>
  <c r="CG51" i="205"/>
  <c r="T17" i="205"/>
  <c r="CV17" i="205"/>
  <c r="F51" i="205"/>
  <c r="CH51" i="205"/>
  <c r="O17" i="205"/>
  <c r="CQ17" i="205"/>
  <c r="O51" i="205"/>
  <c r="CQ51" i="205"/>
  <c r="B24" i="205"/>
  <c r="CB24" i="205"/>
  <c r="CD24" i="205"/>
  <c r="X5" i="205"/>
  <c r="BY53" i="205"/>
  <c r="CZ53" i="205" s="1"/>
  <c r="CZ5" i="205"/>
  <c r="W30" i="205"/>
  <c r="CY30" i="205"/>
  <c r="N48" i="205"/>
  <c r="CP48" i="205"/>
  <c r="D24" i="205"/>
  <c r="CF24" i="205"/>
  <c r="B50" i="205"/>
  <c r="CB50" i="205"/>
  <c r="CD50" i="205"/>
  <c r="B5" i="205"/>
  <c r="CB5" i="205"/>
  <c r="CD5" i="205"/>
  <c r="BC53" i="205"/>
  <c r="CD53" i="205" s="1"/>
  <c r="H37" i="205"/>
  <c r="CJ37" i="205"/>
  <c r="J28" i="205"/>
  <c r="CL28" i="205"/>
  <c r="O41" i="205"/>
  <c r="CQ41" i="205"/>
  <c r="L26" i="205"/>
  <c r="CN26" i="205"/>
  <c r="E14" i="205"/>
  <c r="CG14" i="205"/>
  <c r="M15" i="205"/>
  <c r="CO15" i="205"/>
  <c r="J39" i="205"/>
  <c r="CL39" i="205"/>
  <c r="K45" i="205"/>
  <c r="CM45" i="205"/>
  <c r="R38" i="205"/>
  <c r="CT38" i="205"/>
  <c r="D39" i="205"/>
  <c r="CF39" i="205"/>
  <c r="I9" i="205"/>
  <c r="CK9" i="205"/>
  <c r="V25" i="205"/>
  <c r="CX25" i="205"/>
  <c r="Q39" i="205"/>
  <c r="CS39" i="205"/>
  <c r="W37" i="205"/>
  <c r="CY37" i="205"/>
  <c r="Q40" i="205"/>
  <c r="CS40" i="205"/>
  <c r="K22" i="205"/>
  <c r="CM22" i="205"/>
  <c r="J22" i="205"/>
  <c r="CL22" i="205"/>
  <c r="R35" i="205"/>
  <c r="CT35" i="205"/>
  <c r="R41" i="205"/>
  <c r="CT41" i="205"/>
  <c r="J45" i="205"/>
  <c r="CL45" i="205"/>
  <c r="Y7" i="205"/>
  <c r="DA7" i="205"/>
  <c r="J7" i="205"/>
  <c r="CL7" i="205"/>
  <c r="S29" i="205"/>
  <c r="CU29" i="205"/>
  <c r="Q25" i="205"/>
  <c r="CS25" i="205"/>
  <c r="Q27" i="205"/>
  <c r="CS27" i="205"/>
  <c r="S30" i="205"/>
  <c r="CU30" i="205"/>
  <c r="B40" i="205"/>
  <c r="CB40" i="205"/>
  <c r="CD40" i="205"/>
  <c r="K44" i="205"/>
  <c r="CM44" i="205"/>
  <c r="T8" i="205"/>
  <c r="CV8" i="205"/>
  <c r="D19" i="205"/>
  <c r="CF19" i="205"/>
  <c r="W7" i="205"/>
  <c r="CY7" i="205"/>
  <c r="C41" i="205"/>
  <c r="CE41" i="205"/>
  <c r="F7" i="205"/>
  <c r="CH7" i="205"/>
  <c r="T10" i="205"/>
  <c r="CV10" i="205"/>
  <c r="H38" i="205"/>
  <c r="CJ38" i="205"/>
  <c r="Q22" i="205"/>
  <c r="CS22" i="205"/>
  <c r="CW46" i="205"/>
  <c r="U46" i="205"/>
  <c r="E20" i="205"/>
  <c r="CG20" i="205"/>
  <c r="D37" i="205"/>
  <c r="CF37" i="205"/>
  <c r="H13" i="205"/>
  <c r="CJ13" i="205"/>
  <c r="N49" i="205"/>
  <c r="CP49" i="205"/>
  <c r="Q19" i="205"/>
  <c r="CS19" i="205"/>
  <c r="Y46" i="205"/>
  <c r="DA46" i="205"/>
  <c r="O12" i="205"/>
  <c r="CQ12" i="205"/>
  <c r="X10" i="205"/>
  <c r="CZ10" i="205"/>
  <c r="Z21" i="205"/>
  <c r="DB21" i="205"/>
  <c r="D17" i="205"/>
  <c r="CF17" i="205"/>
  <c r="R24" i="205"/>
  <c r="CT24" i="205"/>
  <c r="S8" i="205"/>
  <c r="CU8" i="205"/>
  <c r="U37" i="205"/>
  <c r="CW37" i="205"/>
  <c r="V39" i="205"/>
  <c r="CX39" i="205"/>
  <c r="E49" i="205"/>
  <c r="CG49" i="205"/>
  <c r="H21" i="205"/>
  <c r="CJ21" i="205"/>
  <c r="G45" i="205"/>
  <c r="CI45" i="205"/>
  <c r="L44" i="205"/>
  <c r="CN44" i="205"/>
  <c r="B31" i="205"/>
  <c r="CB31" i="205"/>
  <c r="CD31" i="205"/>
  <c r="R6" i="205"/>
  <c r="CT6" i="205"/>
  <c r="CI44" i="205"/>
  <c r="G44" i="205"/>
  <c r="R14" i="205"/>
  <c r="CT14" i="205"/>
  <c r="C49" i="205"/>
  <c r="CE49" i="205"/>
  <c r="T32" i="205"/>
  <c r="CV32" i="205"/>
  <c r="T44" i="205"/>
  <c r="CV44" i="205"/>
  <c r="S35" i="205"/>
  <c r="CU35" i="205"/>
  <c r="C46" i="205"/>
  <c r="CE46" i="205"/>
  <c r="G18" i="205"/>
  <c r="CI18" i="205"/>
  <c r="N47" i="205"/>
  <c r="CP47" i="205"/>
  <c r="Q18" i="205"/>
  <c r="CS18" i="205"/>
  <c r="X40" i="205"/>
  <c r="CZ40" i="205"/>
  <c r="W17" i="205"/>
  <c r="CY17" i="205"/>
  <c r="C29" i="205"/>
  <c r="CE29" i="205"/>
  <c r="G33" i="205"/>
  <c r="CI33" i="205"/>
  <c r="D28" i="205"/>
  <c r="CF28" i="205"/>
  <c r="E6" i="205"/>
  <c r="CG6" i="205"/>
  <c r="U16" i="205"/>
  <c r="CW16" i="205"/>
  <c r="K7" i="205"/>
  <c r="CM7" i="205"/>
  <c r="V12" i="205"/>
  <c r="CX12" i="205"/>
  <c r="S22" i="205"/>
  <c r="CU22" i="205"/>
  <c r="O24" i="205"/>
  <c r="CQ24" i="205"/>
  <c r="C24" i="205"/>
  <c r="CE24" i="205"/>
  <c r="U47" i="205"/>
  <c r="CW47" i="205"/>
  <c r="F47" i="205"/>
  <c r="CH47" i="205"/>
  <c r="P41" i="205"/>
  <c r="CR41" i="205"/>
  <c r="B27" i="205"/>
  <c r="CD27" i="205"/>
  <c r="CB27" i="205"/>
  <c r="X18" i="205"/>
  <c r="CZ18" i="205"/>
  <c r="M7" i="205"/>
  <c r="CO7" i="205"/>
  <c r="J14" i="205"/>
  <c r="CL14" i="205"/>
  <c r="P52" i="205"/>
  <c r="CR52" i="205"/>
  <c r="E46" i="205"/>
  <c r="CG46" i="205"/>
  <c r="B33" i="205"/>
  <c r="CB33" i="205"/>
  <c r="CD33" i="205"/>
  <c r="F14" i="205"/>
  <c r="CH14" i="205"/>
  <c r="V22" i="205"/>
  <c r="CX22" i="205"/>
  <c r="H36" i="205"/>
  <c r="CJ36" i="205"/>
  <c r="D31" i="205"/>
  <c r="CF31" i="205"/>
  <c r="D52" i="205"/>
  <c r="CF52" i="205"/>
  <c r="X26" i="205"/>
  <c r="CZ26" i="205"/>
  <c r="L18" i="205"/>
  <c r="CN18" i="205"/>
  <c r="U15" i="205"/>
  <c r="CW15" i="205"/>
  <c r="V27" i="205"/>
  <c r="CX27" i="205"/>
  <c r="E41" i="205"/>
  <c r="CG41" i="205"/>
  <c r="F39" i="205"/>
  <c r="CH39" i="205"/>
  <c r="K51" i="205"/>
  <c r="CM51" i="205"/>
  <c r="J9" i="205"/>
  <c r="CL9" i="205"/>
  <c r="R12" i="205"/>
  <c r="CT12" i="205"/>
  <c r="V15" i="205"/>
  <c r="CX15" i="205"/>
  <c r="E19" i="205"/>
  <c r="CG19" i="205"/>
  <c r="I48" i="205"/>
  <c r="CK48" i="205"/>
  <c r="C18" i="205"/>
  <c r="CE18" i="205"/>
  <c r="H14" i="205"/>
  <c r="CJ14" i="205"/>
  <c r="N13" i="205"/>
  <c r="CP13" i="205"/>
  <c r="N38" i="205"/>
  <c r="CP38" i="205"/>
  <c r="U32" i="205"/>
  <c r="CW32" i="205"/>
  <c r="B25" i="205"/>
  <c r="CB25" i="205"/>
  <c r="CD25" i="205"/>
  <c r="B12" i="205"/>
  <c r="CB12" i="205"/>
  <c r="CD12" i="205"/>
  <c r="N31" i="205"/>
  <c r="CP31" i="205"/>
  <c r="T26" i="205"/>
  <c r="CV26" i="205"/>
  <c r="Y40" i="205"/>
  <c r="DA40" i="205"/>
  <c r="G36" i="205"/>
  <c r="CI36" i="205"/>
  <c r="C26" i="205"/>
  <c r="CE26" i="205"/>
  <c r="O26" i="205"/>
  <c r="CQ26" i="205"/>
  <c r="E45" i="205"/>
  <c r="CG45" i="205"/>
  <c r="J46" i="205"/>
  <c r="CL46" i="205"/>
  <c r="Y31" i="205"/>
  <c r="DA31" i="205"/>
  <c r="T51" i="205"/>
  <c r="CV51" i="205"/>
  <c r="S40" i="205"/>
  <c r="CU40" i="205"/>
  <c r="CY46" i="205"/>
  <c r="W46" i="205"/>
  <c r="H16" i="205"/>
  <c r="CJ16" i="205"/>
  <c r="K6" i="205"/>
  <c r="CM6" i="205"/>
  <c r="S11" i="205"/>
  <c r="CU11" i="205"/>
  <c r="T20" i="205"/>
  <c r="CV20" i="205"/>
  <c r="D45" i="205"/>
  <c r="CF45" i="205"/>
  <c r="C21" i="205"/>
  <c r="CE21" i="205"/>
  <c r="C33" i="205"/>
  <c r="CE33" i="205"/>
  <c r="R50" i="205"/>
  <c r="CT50" i="205"/>
  <c r="C45" i="205"/>
  <c r="CE45" i="205"/>
  <c r="H12" i="205"/>
  <c r="CJ12" i="205"/>
  <c r="U33" i="205"/>
  <c r="CW33" i="205"/>
  <c r="P32" i="205"/>
  <c r="CR32" i="205"/>
  <c r="J25" i="205"/>
  <c r="CL25" i="205"/>
  <c r="O28" i="205"/>
  <c r="CQ28" i="205"/>
  <c r="E11" i="205"/>
  <c r="CG11" i="205"/>
  <c r="U38" i="205"/>
  <c r="CW38" i="205"/>
  <c r="O7" i="205"/>
  <c r="CQ7" i="205"/>
  <c r="R33" i="205"/>
  <c r="CT33" i="205"/>
  <c r="O5" i="205"/>
  <c r="CQ5" i="205"/>
  <c r="BP53" i="205"/>
  <c r="CQ53" i="205" s="1"/>
  <c r="Z7" i="205"/>
  <c r="DB7" i="205"/>
  <c r="X24" i="205"/>
  <c r="CZ24" i="205"/>
  <c r="U5" i="205"/>
  <c r="CW5" i="205"/>
  <c r="BV53" i="205"/>
  <c r="CW53" i="205" s="1"/>
  <c r="T45" i="205"/>
  <c r="CV45" i="205"/>
  <c r="Z47" i="205"/>
  <c r="DB47" i="205"/>
  <c r="Z13" i="205"/>
  <c r="DB13" i="205"/>
  <c r="B11" i="205"/>
  <c r="CB11" i="205"/>
  <c r="CD11" i="205"/>
  <c r="U27" i="205"/>
  <c r="CW27" i="205"/>
  <c r="V26" i="205"/>
  <c r="CX26" i="205"/>
  <c r="M17" i="205"/>
  <c r="CO17" i="205"/>
  <c r="B13" i="205"/>
  <c r="CB13" i="205"/>
  <c r="CD13" i="205"/>
  <c r="P13" i="205"/>
  <c r="CR13" i="205"/>
  <c r="C17" i="205"/>
  <c r="CE17" i="205"/>
  <c r="E52" i="205"/>
  <c r="CG52" i="205"/>
  <c r="W52" i="205"/>
  <c r="CY52" i="205"/>
  <c r="G27" i="205"/>
  <c r="CI27" i="205"/>
  <c r="Z17" i="205"/>
  <c r="DB17" i="205"/>
  <c r="P14" i="205"/>
  <c r="CR14" i="205"/>
  <c r="Z37" i="205"/>
  <c r="DB37" i="205"/>
  <c r="P50" i="205"/>
  <c r="CR50" i="205"/>
  <c r="P51" i="205"/>
  <c r="CR51" i="205"/>
  <c r="N35" i="205"/>
  <c r="CP35" i="205"/>
  <c r="W29" i="205"/>
  <c r="CY29" i="205"/>
  <c r="H31" i="205"/>
  <c r="CJ31" i="205"/>
  <c r="F8" i="205"/>
  <c r="CH8" i="205"/>
  <c r="S45" i="205"/>
  <c r="CU45" i="205"/>
  <c r="I46" i="205"/>
  <c r="CK46" i="205"/>
  <c r="C6" i="205"/>
  <c r="CE6" i="205"/>
  <c r="H25" i="205"/>
  <c r="CJ25" i="205"/>
  <c r="C40" i="205"/>
  <c r="CE40" i="205"/>
  <c r="P7" i="205"/>
  <c r="CR7" i="205"/>
  <c r="J38" i="205"/>
  <c r="CL38" i="205"/>
  <c r="O37" i="205"/>
  <c r="CQ37" i="205"/>
  <c r="O10" i="205"/>
  <c r="CQ10" i="205"/>
  <c r="J8" i="205"/>
  <c r="CL8" i="205"/>
  <c r="C14" i="205"/>
  <c r="CE14" i="205"/>
  <c r="O36" i="205"/>
  <c r="CQ36" i="205"/>
  <c r="L27" i="205"/>
  <c r="CN27" i="205"/>
  <c r="X17" i="205"/>
  <c r="CZ17" i="205"/>
  <c r="M33" i="205"/>
  <c r="CO33" i="205"/>
  <c r="U13" i="205"/>
  <c r="CW13" i="205"/>
  <c r="X35" i="205"/>
  <c r="CZ35" i="205"/>
  <c r="U40" i="205"/>
  <c r="CW40" i="205"/>
  <c r="F26" i="205"/>
  <c r="CH26" i="205"/>
  <c r="Q44" i="205"/>
  <c r="CS44" i="205"/>
  <c r="U28" i="205"/>
  <c r="CW28" i="205"/>
  <c r="X16" i="205"/>
  <c r="CZ16" i="205"/>
  <c r="H35" i="205"/>
  <c r="CJ35" i="205"/>
  <c r="U22" i="205"/>
  <c r="CW22" i="205"/>
  <c r="S18" i="205"/>
  <c r="CU18" i="205"/>
  <c r="Z33" i="205"/>
  <c r="DB33" i="205"/>
  <c r="V49" i="205"/>
  <c r="CX49" i="205"/>
  <c r="Y9" i="205"/>
  <c r="DA9" i="205"/>
  <c r="F6" i="205"/>
  <c r="CH6" i="205"/>
  <c r="M22" i="205"/>
  <c r="CO22" i="205"/>
  <c r="E28" i="205"/>
  <c r="CG28" i="205"/>
  <c r="J29" i="205"/>
  <c r="CL29" i="205"/>
  <c r="C22" i="205"/>
  <c r="CE22" i="205"/>
  <c r="M29" i="205"/>
  <c r="CO29" i="205"/>
  <c r="O19" i="205"/>
  <c r="CQ19" i="205"/>
  <c r="K14" i="205"/>
  <c r="CM14" i="205"/>
  <c r="G37" i="205"/>
  <c r="CI37" i="205"/>
  <c r="S17" i="205"/>
  <c r="CU17" i="205"/>
  <c r="C47" i="205"/>
  <c r="CE47" i="205"/>
  <c r="O14" i="205"/>
  <c r="CQ14" i="205"/>
  <c r="Y26" i="205"/>
  <c r="DA26" i="205"/>
  <c r="X41" i="205"/>
  <c r="CZ41" i="205"/>
  <c r="K52" i="205"/>
  <c r="CM52" i="205"/>
  <c r="O38" i="205"/>
  <c r="CQ38" i="205"/>
  <c r="G8" i="205"/>
  <c r="CI8" i="205"/>
  <c r="C35" i="205"/>
  <c r="CE35" i="205"/>
  <c r="C51" i="205"/>
  <c r="CE51" i="205"/>
  <c r="Q51" i="205"/>
  <c r="CS51" i="205"/>
  <c r="Y24" i="205"/>
  <c r="DA24" i="205"/>
  <c r="Q49" i="205"/>
  <c r="CS49" i="205"/>
  <c r="M24" i="205"/>
  <c r="CO24" i="205"/>
  <c r="L40" i="205"/>
  <c r="CN40" i="205"/>
  <c r="B32" i="205"/>
  <c r="CB32" i="205"/>
  <c r="CD32" i="205"/>
  <c r="L8" i="205"/>
  <c r="CN8" i="205"/>
  <c r="F12" i="205"/>
  <c r="CH12" i="205"/>
  <c r="O18" i="205"/>
  <c r="CQ18" i="205"/>
  <c r="B39" i="205"/>
  <c r="CD39" i="205"/>
  <c r="CB39" i="205"/>
  <c r="J19" i="205"/>
  <c r="CL19" i="205"/>
  <c r="K5" i="205"/>
  <c r="CM5" i="205"/>
  <c r="BL53" i="205"/>
  <c r="CM53" i="205" s="1"/>
  <c r="B26" i="205"/>
  <c r="CD26" i="205"/>
  <c r="CB26" i="205"/>
  <c r="N10" i="205"/>
  <c r="CP10" i="205"/>
  <c r="K41" i="205"/>
  <c r="CM41" i="205"/>
  <c r="F10" i="205"/>
  <c r="CH10" i="205"/>
  <c r="C38" i="205"/>
  <c r="CE38" i="205"/>
  <c r="W38" i="205"/>
  <c r="CY38" i="205"/>
  <c r="L7" i="205"/>
  <c r="CN7" i="205"/>
  <c r="G41" i="205"/>
  <c r="CI41" i="205"/>
  <c r="J10" i="205"/>
  <c r="CL10" i="205"/>
  <c r="W48" i="205"/>
  <c r="CY48" i="205"/>
  <c r="F50" i="205"/>
  <c r="CH50" i="205"/>
  <c r="S44" i="205"/>
  <c r="CU44" i="205"/>
  <c r="R13" i="205"/>
  <c r="CT13" i="205"/>
  <c r="K31" i="205"/>
  <c r="CM31" i="205"/>
  <c r="K21" i="205"/>
  <c r="CM21" i="205"/>
  <c r="K33" i="205"/>
  <c r="CM33" i="205"/>
  <c r="Q32" i="205"/>
  <c r="CS32" i="205"/>
  <c r="V47" i="205"/>
  <c r="CX47" i="205"/>
  <c r="M19" i="205"/>
  <c r="CO19" i="205"/>
  <c r="Z46" i="205"/>
  <c r="DB46" i="205"/>
  <c r="K50" i="205"/>
  <c r="CM50" i="205"/>
  <c r="I45" i="205"/>
  <c r="CK45" i="205"/>
  <c r="J13" i="205"/>
  <c r="CL13" i="205"/>
  <c r="X6" i="205"/>
  <c r="CZ6" i="205"/>
  <c r="B41" i="205"/>
  <c r="CB41" i="205"/>
  <c r="CD41" i="205"/>
  <c r="S20" i="205"/>
  <c r="CU20" i="205"/>
  <c r="I41" i="205"/>
  <c r="CK41" i="205"/>
  <c r="E26" i="205"/>
  <c r="CG26" i="205"/>
  <c r="T35" i="205"/>
  <c r="CV35" i="205"/>
  <c r="E25" i="205"/>
  <c r="CG25" i="205"/>
  <c r="K13" i="205"/>
  <c r="CM13" i="205"/>
  <c r="R27" i="205"/>
  <c r="CT27" i="205"/>
  <c r="Q15" i="205"/>
  <c r="CS15" i="205"/>
  <c r="T29" i="205"/>
  <c r="CV29" i="205"/>
  <c r="T6" i="205"/>
  <c r="CV6" i="205"/>
  <c r="H33" i="205"/>
  <c r="CJ33" i="205"/>
  <c r="P48" i="205"/>
  <c r="CR48" i="205"/>
  <c r="H6" i="205"/>
  <c r="CJ6" i="205"/>
  <c r="D13" i="205"/>
  <c r="CF13" i="205"/>
  <c r="K27" i="205"/>
  <c r="CM27" i="205"/>
  <c r="I15" i="205"/>
  <c r="CK15" i="205"/>
  <c r="D6" i="205"/>
  <c r="CF6" i="205"/>
  <c r="P9" i="205"/>
  <c r="CR9" i="205"/>
  <c r="CV49" i="205"/>
  <c r="T49" i="205"/>
  <c r="Y11" i="205"/>
  <c r="DA11" i="205"/>
  <c r="L46" i="205"/>
  <c r="CN46" i="205"/>
  <c r="L32" i="205"/>
  <c r="CN32" i="205"/>
  <c r="J17" i="205"/>
  <c r="CL17" i="205"/>
  <c r="U41" i="205"/>
  <c r="CW41" i="205"/>
  <c r="N29" i="205"/>
  <c r="CP29" i="205"/>
  <c r="L16" i="205"/>
  <c r="CN16" i="205"/>
  <c r="N33" i="205"/>
  <c r="CP33" i="205"/>
  <c r="R15" i="205"/>
  <c r="CT15" i="205"/>
  <c r="W26" i="205"/>
  <c r="CY26" i="205"/>
  <c r="W6" i="205"/>
  <c r="CY6" i="205"/>
  <c r="T14" i="205"/>
  <c r="CV14" i="205"/>
  <c r="CV47" i="205"/>
  <c r="T47" i="205"/>
  <c r="DA50" i="205"/>
  <c r="Y50" i="205"/>
  <c r="Q41" i="205"/>
  <c r="CS41" i="205"/>
  <c r="V18" i="205"/>
  <c r="CX18" i="205"/>
  <c r="U8" i="205"/>
  <c r="CW8" i="205"/>
  <c r="Z12" i="205"/>
  <c r="DB12" i="205"/>
  <c r="Z30" i="205"/>
  <c r="DB30" i="205"/>
  <c r="K38" i="205"/>
  <c r="CM38" i="205"/>
  <c r="E50" i="205"/>
  <c r="CG50" i="205"/>
  <c r="D9" i="205"/>
  <c r="CF9" i="205"/>
  <c r="U6" i="205"/>
  <c r="CW6" i="205"/>
  <c r="N20" i="205"/>
  <c r="CP20" i="205"/>
  <c r="DA49" i="205"/>
  <c r="Y49" i="205"/>
  <c r="Q31" i="205"/>
  <c r="CS31" i="205"/>
  <c r="M21" i="205"/>
  <c r="CO21" i="205"/>
  <c r="K28" i="205"/>
  <c r="CM28" i="205"/>
  <c r="S19" i="205"/>
  <c r="CU19" i="205"/>
  <c r="F44" i="205"/>
  <c r="CH44" i="205"/>
  <c r="T9" i="205"/>
  <c r="CV9" i="205"/>
  <c r="M13" i="205"/>
  <c r="CO13" i="205"/>
  <c r="H27" i="205"/>
  <c r="CJ27" i="205"/>
  <c r="F28" i="205"/>
  <c r="CH28" i="205"/>
  <c r="T37" i="205"/>
  <c r="CV37" i="205"/>
  <c r="S10" i="205"/>
  <c r="CU10" i="205"/>
  <c r="F11" i="205"/>
  <c r="CH11" i="205"/>
  <c r="Q8" i="205"/>
  <c r="CS8" i="205"/>
  <c r="W9" i="205"/>
  <c r="CY9" i="205"/>
  <c r="G28" i="205"/>
  <c r="CI28" i="205"/>
  <c r="X45" i="205"/>
  <c r="CZ45" i="205"/>
  <c r="X29" i="205"/>
  <c r="CZ29" i="205"/>
  <c r="B7" i="205"/>
  <c r="CD7" i="205"/>
  <c r="CB7" i="205"/>
  <c r="D33" i="205"/>
  <c r="CF33" i="205"/>
  <c r="AF7" i="115"/>
  <c r="Z7" i="115" s="1"/>
  <c r="Z12" i="115"/>
  <c r="Z21" i="115"/>
  <c r="AG18" i="115"/>
  <c r="AF18" i="115"/>
  <c r="AG14" i="115"/>
  <c r="Z14" i="115" s="1"/>
  <c r="AF14" i="115"/>
  <c r="AF16" i="115"/>
  <c r="AG16" i="115"/>
  <c r="Z16" i="115" s="1"/>
  <c r="AF20" i="115"/>
  <c r="AG20" i="115"/>
  <c r="CB53" i="206" l="1"/>
  <c r="F36" i="183"/>
  <c r="S36" i="183"/>
  <c r="U36" i="183"/>
  <c r="D36" i="183"/>
  <c r="V36" i="183"/>
  <c r="I36" i="183"/>
  <c r="L36" i="183"/>
  <c r="E36" i="183"/>
  <c r="R36" i="183"/>
  <c r="Y36" i="183"/>
  <c r="W36" i="183"/>
  <c r="T36" i="183"/>
  <c r="M36" i="183"/>
  <c r="G36" i="183"/>
  <c r="P36" i="183"/>
  <c r="N36" i="183"/>
  <c r="AA36" i="183"/>
  <c r="K36" i="183"/>
  <c r="Y53" i="206"/>
  <c r="E53" i="206"/>
  <c r="W53" i="206"/>
  <c r="G53" i="206"/>
  <c r="Q53" i="206"/>
  <c r="I53" i="206"/>
  <c r="T53" i="206"/>
  <c r="N53" i="206"/>
  <c r="U53" i="206"/>
  <c r="J53" i="206"/>
  <c r="S53" i="206"/>
  <c r="L53" i="206"/>
  <c r="D53" i="206"/>
  <c r="F53" i="206"/>
  <c r="K53" i="206"/>
  <c r="O53" i="206"/>
  <c r="V53" i="206"/>
  <c r="C53" i="206"/>
  <c r="Z53" i="206"/>
  <c r="B53" i="206"/>
  <c r="R53" i="206"/>
  <c r="H53" i="206"/>
  <c r="M53" i="206"/>
  <c r="P53" i="206"/>
  <c r="X53" i="206"/>
  <c r="AB30" i="183"/>
  <c r="AB34" i="183"/>
  <c r="AB32" i="183"/>
  <c r="AF8" i="115"/>
  <c r="Z8" i="115" s="1"/>
  <c r="AF9" i="115"/>
  <c r="AG9" i="115"/>
  <c r="T53" i="205"/>
  <c r="Y53" i="205"/>
  <c r="F53" i="205"/>
  <c r="Z53" i="205"/>
  <c r="S53" i="205"/>
  <c r="CB53" i="205"/>
  <c r="L53" i="205"/>
  <c r="E53" i="205"/>
  <c r="J53" i="205"/>
  <c r="M53" i="205"/>
  <c r="C53" i="205"/>
  <c r="I53" i="205"/>
  <c r="O53" i="205"/>
  <c r="U53" i="205"/>
  <c r="G53" i="205"/>
  <c r="H53" i="205"/>
  <c r="X53" i="205"/>
  <c r="N53" i="205"/>
  <c r="B53" i="205"/>
  <c r="V53" i="205"/>
  <c r="K53" i="205"/>
  <c r="P53" i="205"/>
  <c r="Q53" i="205"/>
  <c r="R53" i="205"/>
  <c r="W53" i="205"/>
  <c r="D53" i="205"/>
  <c r="Z18" i="115"/>
  <c r="Z20" i="115"/>
  <c r="AK18" i="144"/>
  <c r="AN28" i="144"/>
  <c r="BA39" i="144"/>
  <c r="AD7" i="144"/>
  <c r="AY8" i="144"/>
  <c r="AT9" i="144"/>
  <c r="AY14" i="144"/>
  <c r="AX51" i="144"/>
  <c r="AY52" i="144"/>
  <c r="AD18" i="144"/>
  <c r="AS36" i="144"/>
  <c r="AV17" i="144"/>
  <c r="AM20" i="144"/>
  <c r="BA22" i="144"/>
  <c r="AD45" i="144"/>
  <c r="AC30" i="144"/>
  <c r="BA47" i="144"/>
  <c r="AT30" i="144"/>
  <c r="AK26" i="144"/>
  <c r="AG48" i="144"/>
  <c r="AK11" i="144"/>
  <c r="AC48" i="144"/>
  <c r="AR30" i="144"/>
  <c r="AS45" i="144"/>
  <c r="AL18" i="144"/>
  <c r="AL20" i="144"/>
  <c r="AN13" i="144"/>
  <c r="AK15" i="144"/>
  <c r="AL28" i="144"/>
  <c r="AN10" i="144"/>
  <c r="AO31" i="144"/>
  <c r="AM41" i="144"/>
  <c r="AS31" i="144"/>
  <c r="AQ6" i="144"/>
  <c r="AT11" i="144"/>
  <c r="BA28" i="144"/>
  <c r="AD19" i="144"/>
  <c r="AQ38" i="144"/>
  <c r="AZ6" i="144"/>
  <c r="AE45" i="144"/>
  <c r="AQ20" i="144"/>
  <c r="AU41" i="144"/>
  <c r="BA44" i="144"/>
  <c r="AU24" i="144"/>
  <c r="AK16" i="144"/>
  <c r="AJ31" i="144"/>
  <c r="AL24" i="144"/>
  <c r="AQ11" i="144"/>
  <c r="AI19" i="144"/>
  <c r="AV14" i="144"/>
  <c r="AF18" i="144"/>
  <c r="AQ15" i="144"/>
  <c r="AW24" i="144"/>
  <c r="AB11" i="144"/>
  <c r="AO17" i="144"/>
  <c r="BA7" i="144"/>
  <c r="AF52" i="144"/>
  <c r="AV48" i="144"/>
  <c r="AO49" i="144"/>
  <c r="AZ35" i="144"/>
  <c r="AB37" i="144"/>
  <c r="AX22" i="144"/>
  <c r="AL9" i="144"/>
  <c r="AI18" i="144"/>
  <c r="AG26" i="144"/>
  <c r="AY45" i="144"/>
  <c r="AS20" i="144"/>
  <c r="AV9" i="144"/>
  <c r="AI21" i="144"/>
  <c r="AS47" i="144"/>
  <c r="AK31" i="144"/>
  <c r="AR22" i="144"/>
  <c r="AE48" i="144"/>
  <c r="AZ32" i="144"/>
  <c r="AW21" i="144"/>
  <c r="AK21" i="144"/>
  <c r="AB21" i="144"/>
  <c r="AZ50" i="144"/>
  <c r="AT39" i="144"/>
  <c r="AN46" i="144"/>
  <c r="AU16" i="144"/>
  <c r="AK32" i="144"/>
  <c r="AP51" i="144"/>
  <c r="AG51" i="144"/>
  <c r="AW15" i="144"/>
  <c r="BA21" i="144"/>
  <c r="AK45" i="144"/>
  <c r="AX29" i="144"/>
  <c r="AC6" i="144"/>
  <c r="AS9" i="144"/>
  <c r="AL39" i="144"/>
  <c r="AM52" i="144"/>
  <c r="AN8" i="144"/>
  <c r="AT8" i="144"/>
  <c r="AT48" i="144"/>
  <c r="AL22" i="144"/>
  <c r="AO36" i="144"/>
  <c r="AU12" i="144"/>
  <c r="AI15" i="144"/>
  <c r="AY16" i="144"/>
  <c r="AZ12" i="144"/>
  <c r="AI47" i="144"/>
  <c r="AL47" i="144"/>
  <c r="AI17" i="144"/>
  <c r="AS26" i="144"/>
  <c r="AJ12" i="144"/>
  <c r="AG10" i="144"/>
  <c r="AE41" i="144"/>
  <c r="AW20" i="144"/>
  <c r="AM18" i="144"/>
  <c r="AM8" i="144"/>
  <c r="BA19" i="144"/>
  <c r="AJ19" i="144"/>
  <c r="AG41" i="144"/>
  <c r="AS48" i="144"/>
  <c r="AD40" i="144"/>
  <c r="AH50" i="144"/>
  <c r="AE20" i="144"/>
  <c r="BA8" i="144"/>
  <c r="AN11" i="144"/>
  <c r="BA11" i="144"/>
  <c r="AG14" i="144"/>
  <c r="AM26" i="144"/>
  <c r="BA33" i="144"/>
  <c r="AJ38" i="144"/>
  <c r="AR27" i="144"/>
  <c r="AB25" i="144"/>
  <c r="AT40" i="144"/>
  <c r="AW37" i="144"/>
  <c r="AL27" i="144"/>
  <c r="AE7" i="144"/>
  <c r="AH33" i="144"/>
  <c r="AP25" i="144"/>
  <c r="AP14" i="144"/>
  <c r="AZ18" i="144"/>
  <c r="BA12" i="144"/>
  <c r="AI49" i="144"/>
  <c r="AS28" i="144"/>
  <c r="AG40" i="144"/>
  <c r="AH39" i="144"/>
  <c r="AP36" i="144"/>
  <c r="AX15" i="144"/>
  <c r="AS46" i="144"/>
  <c r="AI39" i="144"/>
  <c r="AF51" i="144"/>
  <c r="BA37" i="144"/>
  <c r="AM48" i="144"/>
  <c r="AM9" i="144"/>
  <c r="BA17" i="144"/>
  <c r="AQ49" i="144"/>
  <c r="AO8" i="144"/>
  <c r="AM24" i="144"/>
  <c r="AR28" i="144"/>
  <c r="AE11" i="144"/>
  <c r="AI14" i="144"/>
  <c r="AX13" i="144"/>
  <c r="AI24" i="144"/>
  <c r="AO12" i="144"/>
  <c r="BA25" i="144"/>
  <c r="AH18" i="144"/>
  <c r="AX47" i="144"/>
  <c r="AR38" i="144"/>
  <c r="AW35" i="144"/>
  <c r="AG38" i="144"/>
  <c r="AY39" i="144"/>
  <c r="AP45" i="144"/>
  <c r="AF20" i="144"/>
  <c r="AQ12" i="144"/>
  <c r="AX19" i="144"/>
  <c r="AJ52" i="144"/>
  <c r="AN29" i="144"/>
  <c r="AO33" i="144"/>
  <c r="AD26" i="144"/>
  <c r="AU27" i="144"/>
  <c r="AL30" i="144"/>
  <c r="AN18" i="144"/>
  <c r="AB39" i="144"/>
  <c r="AR45" i="144"/>
  <c r="AT10" i="144"/>
  <c r="AT14" i="144"/>
  <c r="AH5" i="144"/>
  <c r="AX12" i="144"/>
  <c r="AB44" i="144"/>
  <c r="AL38" i="144"/>
  <c r="AY35" i="144"/>
  <c r="AW13" i="144"/>
  <c r="AD30" i="144"/>
  <c r="AT24" i="144"/>
  <c r="AH7" i="144"/>
  <c r="AU17" i="144"/>
  <c r="AG50" i="144"/>
  <c r="AG31" i="144"/>
  <c r="AS12" i="144"/>
  <c r="BA15" i="144"/>
  <c r="AR15" i="144"/>
  <c r="AH47" i="144"/>
  <c r="AG16" i="144"/>
  <c r="AX32" i="144"/>
  <c r="AX14" i="144"/>
  <c r="AO45" i="144"/>
  <c r="AE10" i="144"/>
  <c r="AR12" i="144"/>
  <c r="AZ24" i="144"/>
  <c r="AM17" i="144"/>
  <c r="AC13" i="144"/>
  <c r="AK17" i="144"/>
  <c r="AJ37" i="144"/>
  <c r="AC22" i="144"/>
  <c r="AU29" i="144"/>
  <c r="AI28" i="144"/>
  <c r="AZ40" i="144"/>
  <c r="AH22" i="144"/>
  <c r="AH48" i="144"/>
  <c r="AP44" i="144"/>
  <c r="AR9" i="144"/>
  <c r="AB49" i="144"/>
  <c r="AG6" i="144"/>
  <c r="AX10" i="144"/>
  <c r="AE47" i="144"/>
  <c r="AU46" i="144"/>
  <c r="AY12" i="144"/>
  <c r="AG46" i="144"/>
  <c r="AC26" i="144"/>
  <c r="AQ8" i="144"/>
  <c r="AL46" i="144"/>
  <c r="AN47" i="144"/>
  <c r="AU14" i="144"/>
  <c r="AD51" i="144"/>
  <c r="AN5" i="144"/>
  <c r="AK29" i="144"/>
  <c r="AI38" i="144"/>
  <c r="AD35" i="144"/>
  <c r="AB26" i="144"/>
  <c r="AK10" i="144"/>
  <c r="AS49" i="144"/>
  <c r="AW25" i="144"/>
  <c r="AO30" i="144"/>
  <c r="AH25" i="144"/>
  <c r="AW49" i="144"/>
  <c r="BA26" i="144"/>
  <c r="AE29" i="144"/>
  <c r="AV6" i="144"/>
  <c r="AO18" i="144"/>
  <c r="AN36" i="144"/>
  <c r="AI40" i="144"/>
  <c r="AS21" i="144"/>
  <c r="AM12" i="144"/>
  <c r="AL26" i="144"/>
  <c r="AI9" i="144"/>
  <c r="BA27" i="144"/>
  <c r="AZ5" i="144"/>
  <c r="AF39" i="144"/>
  <c r="AV33" i="144"/>
  <c r="AX25" i="144"/>
  <c r="AR49" i="144"/>
  <c r="AS27" i="144"/>
  <c r="AZ9" i="144"/>
  <c r="AK35" i="144"/>
  <c r="AF6" i="144"/>
  <c r="AF12" i="144"/>
  <c r="AS32" i="144"/>
  <c r="AF13" i="144"/>
  <c r="AP15" i="144"/>
  <c r="AF32" i="144"/>
  <c r="AL35" i="144"/>
  <c r="AE35" i="144"/>
  <c r="AN44" i="144"/>
  <c r="AC14" i="144"/>
  <c r="AQ22" i="144"/>
  <c r="AT25" i="144"/>
  <c r="AX8" i="144"/>
  <c r="AP52" i="144"/>
  <c r="AX46" i="144"/>
  <c r="AV40" i="144"/>
  <c r="AQ48" i="144"/>
  <c r="AS10" i="144"/>
  <c r="AG7" i="144"/>
  <c r="AY40" i="144"/>
  <c r="AM28" i="144"/>
  <c r="AT26" i="144"/>
  <c r="AR6" i="144"/>
  <c r="BA41" i="144"/>
  <c r="AR14" i="144"/>
  <c r="AY37" i="144"/>
  <c r="AG22" i="144"/>
  <c r="AP17" i="144"/>
  <c r="AE33" i="144"/>
  <c r="AH32" i="144"/>
  <c r="AT31" i="144"/>
  <c r="AM38" i="144"/>
  <c r="AO32" i="144"/>
  <c r="AT27" i="144"/>
  <c r="BA18" i="144"/>
  <c r="AV29" i="144"/>
  <c r="AM10" i="144"/>
  <c r="AC19" i="144"/>
  <c r="AH24" i="144"/>
  <c r="AT12" i="144"/>
  <c r="AF47" i="144"/>
  <c r="AZ21" i="144"/>
  <c r="AB10" i="144"/>
  <c r="AH35" i="144"/>
  <c r="AD6" i="144"/>
  <c r="AI26" i="144"/>
  <c r="AF40" i="144"/>
  <c r="AY32" i="144"/>
  <c r="AX35" i="144"/>
  <c r="AC10" i="144"/>
  <c r="AW8" i="144"/>
  <c r="AQ50" i="144"/>
  <c r="AL32" i="144"/>
  <c r="AQ37" i="144"/>
  <c r="AT33" i="144"/>
  <c r="AW11" i="144"/>
  <c r="AV7" i="144"/>
  <c r="AC47" i="144"/>
  <c r="AS11" i="144"/>
  <c r="AB14" i="144"/>
  <c r="AQ7" i="144"/>
  <c r="AL12" i="144"/>
  <c r="AM39" i="144"/>
  <c r="AG36" i="144"/>
  <c r="AZ10" i="144"/>
  <c r="AM14" i="144"/>
  <c r="AP28" i="144"/>
  <c r="AW50" i="144"/>
  <c r="AH31" i="144"/>
  <c r="AR46" i="144"/>
  <c r="AY19" i="144"/>
  <c r="AZ22" i="144"/>
  <c r="AW19" i="144"/>
  <c r="AN48" i="144"/>
  <c r="AL14" i="144"/>
  <c r="AF24" i="144"/>
  <c r="AF48" i="144"/>
  <c r="AX31" i="144"/>
  <c r="AS52" i="144"/>
  <c r="AR33" i="144"/>
  <c r="AD15" i="144"/>
  <c r="AF46" i="144"/>
  <c r="BA14" i="144"/>
  <c r="AD33" i="144"/>
  <c r="AZ30" i="144"/>
  <c r="AW36" i="144"/>
  <c r="AF36" i="144"/>
  <c r="AP30" i="144"/>
  <c r="AM44" i="144"/>
  <c r="AS24" i="144"/>
  <c r="AU38" i="144"/>
  <c r="AY33" i="144"/>
  <c r="AN25" i="144"/>
  <c r="AZ20" i="144"/>
  <c r="AT17" i="144"/>
  <c r="AB9" i="144"/>
  <c r="AR20" i="144"/>
  <c r="AY26" i="144"/>
  <c r="AN24" i="144"/>
  <c r="AC35" i="144"/>
  <c r="AV20" i="144"/>
  <c r="AN33" i="144"/>
  <c r="AE19" i="144"/>
  <c r="AJ7" i="144"/>
  <c r="AX44" i="144"/>
  <c r="AM7" i="144"/>
  <c r="AO7" i="144"/>
  <c r="AO27" i="144"/>
  <c r="AN19" i="144"/>
  <c r="AH19" i="144"/>
  <c r="AQ10" i="144"/>
  <c r="AR21" i="144"/>
  <c r="AQ33" i="144"/>
  <c r="AS50" i="144"/>
  <c r="AW32" i="144"/>
  <c r="AH52" i="144"/>
  <c r="AX49" i="144"/>
  <c r="AG17" i="144"/>
  <c r="AO16" i="144"/>
  <c r="AD14" i="144"/>
  <c r="AE12" i="144"/>
  <c r="AR17" i="144"/>
  <c r="AZ44" i="144"/>
  <c r="AK47" i="144"/>
  <c r="AI16" i="144"/>
  <c r="AI48" i="144"/>
  <c r="AN49" i="144"/>
  <c r="AW30" i="144"/>
  <c r="AV44" i="144"/>
  <c r="AR47" i="144"/>
  <c r="AY20" i="144"/>
  <c r="AN41" i="144"/>
  <c r="AW17" i="144"/>
  <c r="AY36" i="144"/>
  <c r="AY50" i="144"/>
  <c r="AK38" i="144"/>
  <c r="AX39" i="144"/>
  <c r="AN12" i="144"/>
  <c r="AB13" i="144"/>
  <c r="AO10" i="144"/>
  <c r="AT46" i="144"/>
  <c r="AT38" i="144"/>
  <c r="AO29" i="144"/>
  <c r="AO40" i="144"/>
  <c r="AF41" i="144"/>
  <c r="AK28" i="144"/>
  <c r="BA9" i="144"/>
  <c r="AD24" i="144"/>
  <c r="AF35" i="144"/>
  <c r="AS8" i="144"/>
  <c r="AH17" i="144"/>
  <c r="AW46" i="144"/>
  <c r="AC44" i="144"/>
  <c r="AE22" i="144"/>
  <c r="AE27" i="144"/>
  <c r="AJ20" i="144"/>
  <c r="AN32" i="144"/>
  <c r="AD48" i="144"/>
  <c r="AL15" i="144"/>
  <c r="AH16" i="144"/>
  <c r="AN30" i="144"/>
  <c r="AJ27" i="144"/>
  <c r="AS15" i="144"/>
  <c r="AM19" i="144"/>
  <c r="AI27" i="144"/>
  <c r="AS35" i="144"/>
  <c r="AW26" i="144"/>
  <c r="AF27" i="144"/>
  <c r="AB48" i="144"/>
  <c r="AF22" i="144"/>
  <c r="AQ14" i="144"/>
  <c r="AL13" i="144"/>
  <c r="AP20" i="144"/>
  <c r="AU8" i="144"/>
  <c r="AP12" i="144"/>
  <c r="AS7" i="144"/>
  <c r="AX26" i="144"/>
  <c r="AS13" i="144"/>
  <c r="AQ46" i="144"/>
  <c r="AV32" i="144"/>
  <c r="AN51" i="144"/>
  <c r="BA10" i="144"/>
  <c r="AG5" i="144"/>
  <c r="AF30" i="144"/>
  <c r="AP13" i="144"/>
  <c r="AB40" i="144"/>
  <c r="AM31" i="144"/>
  <c r="AQ26" i="144"/>
  <c r="AY29" i="144"/>
  <c r="AK51" i="144"/>
  <c r="AO46" i="144"/>
  <c r="AI36" i="144"/>
  <c r="AV5" i="144"/>
  <c r="AS25" i="144"/>
  <c r="AR19" i="144"/>
  <c r="AH9" i="144"/>
  <c r="AV52" i="144"/>
  <c r="AX20" i="144"/>
  <c r="AL52" i="144"/>
  <c r="AG37" i="144"/>
  <c r="AU26" i="144"/>
  <c r="AW47" i="144"/>
  <c r="AV15" i="144"/>
  <c r="AB6" i="144"/>
  <c r="AN21" i="144"/>
  <c r="AO13" i="144"/>
  <c r="AI44" i="144"/>
  <c r="AI22" i="144"/>
  <c r="AK13" i="144"/>
  <c r="AV46" i="144"/>
  <c r="AJ11" i="144"/>
  <c r="AP5" i="144"/>
  <c r="AO39" i="144"/>
  <c r="AT51" i="144"/>
  <c r="AG39" i="144"/>
  <c r="AD49" i="144"/>
  <c r="AW29" i="144"/>
  <c r="AV27" i="144"/>
  <c r="AM50" i="144"/>
  <c r="AB32" i="144"/>
  <c r="AP35" i="144"/>
  <c r="AD50" i="144"/>
  <c r="AB35" i="144"/>
  <c r="AB24" i="144"/>
  <c r="AU44" i="144"/>
  <c r="AO38" i="144"/>
  <c r="AD10" i="144"/>
  <c r="AL45" i="144"/>
  <c r="AE24" i="144"/>
  <c r="AZ41" i="144"/>
  <c r="AH12" i="144"/>
  <c r="AE39" i="144"/>
  <c r="AB46" i="144"/>
  <c r="AP38" i="144"/>
  <c r="AN39" i="144"/>
  <c r="AH30" i="144"/>
  <c r="AO35" i="144"/>
  <c r="AF11" i="144"/>
  <c r="AL6" i="144"/>
  <c r="AE15" i="144"/>
  <c r="AP22" i="144"/>
  <c r="AH15" i="144"/>
  <c r="AD44" i="144"/>
  <c r="AZ48" i="144"/>
  <c r="AP41" i="144"/>
  <c r="AO19" i="144"/>
  <c r="AC24" i="144"/>
  <c r="AL50" i="144"/>
  <c r="AZ38" i="144"/>
  <c r="AJ6" i="144"/>
  <c r="AV26" i="144"/>
  <c r="AN9" i="144"/>
  <c r="AT21" i="144"/>
  <c r="AR18" i="144"/>
  <c r="AG27" i="144"/>
  <c r="AE21" i="144"/>
  <c r="AI20" i="144"/>
  <c r="AW7" i="144"/>
  <c r="AY15" i="144"/>
  <c r="AR32" i="144"/>
  <c r="AL11" i="144"/>
  <c r="AV38" i="144"/>
  <c r="AY10" i="144"/>
  <c r="AL33" i="144"/>
  <c r="AC7" i="144"/>
  <c r="AV21" i="144"/>
  <c r="AW39" i="144"/>
  <c r="AO44" i="144"/>
  <c r="AH26" i="144"/>
  <c r="BA6" i="144"/>
  <c r="AC21" i="144"/>
  <c r="AH29" i="144"/>
  <c r="AU18" i="144"/>
  <c r="AZ27" i="144"/>
  <c r="AH28" i="144"/>
  <c r="AC46" i="144"/>
  <c r="AF45" i="144"/>
  <c r="AV12" i="144"/>
  <c r="AE36" i="144"/>
  <c r="AD52" i="144"/>
  <c r="AT50" i="144"/>
  <c r="AE32" i="144"/>
  <c r="AN14" i="144"/>
  <c r="AT28" i="144"/>
  <c r="AZ47" i="144"/>
  <c r="AU49" i="144"/>
  <c r="AE44" i="144"/>
  <c r="AT52" i="144"/>
  <c r="AL49" i="144"/>
  <c r="AR5" i="144"/>
  <c r="BA16" i="144"/>
  <c r="AG32" i="144"/>
  <c r="AO14" i="144"/>
  <c r="AY44" i="144"/>
  <c r="AC11" i="144"/>
  <c r="AE26" i="144"/>
  <c r="AQ44" i="144"/>
  <c r="AC39" i="144"/>
  <c r="AU45" i="144"/>
  <c r="AJ44" i="144"/>
  <c r="AB50" i="144"/>
  <c r="BA51" i="144"/>
  <c r="BA49" i="144"/>
  <c r="AC16" i="144"/>
  <c r="AY11" i="144"/>
  <c r="AH40" i="144"/>
  <c r="AB18" i="144"/>
  <c r="AE49" i="144"/>
  <c r="AR36" i="144"/>
  <c r="AC52" i="144"/>
  <c r="AF10" i="144"/>
  <c r="AV50" i="144"/>
  <c r="AL21" i="144"/>
  <c r="BA31" i="144"/>
  <c r="AI51" i="144"/>
  <c r="AC9" i="144"/>
  <c r="AU15" i="144"/>
  <c r="AU6" i="144"/>
  <c r="AU35" i="144"/>
  <c r="AL48" i="144"/>
  <c r="AU31" i="144"/>
  <c r="AE38" i="144"/>
  <c r="AV10" i="144"/>
  <c r="AJ49" i="144"/>
  <c r="AQ21" i="144"/>
  <c r="AY47" i="144"/>
  <c r="AK50" i="144"/>
  <c r="AI12" i="144"/>
  <c r="AI41" i="144"/>
  <c r="AW48" i="144"/>
  <c r="AI31" i="144"/>
  <c r="AT16" i="144"/>
  <c r="AN45" i="144"/>
  <c r="AU32" i="144"/>
  <c r="AV22" i="144"/>
  <c r="AD11" i="144"/>
  <c r="AM29" i="144"/>
  <c r="AI10" i="144"/>
  <c r="AD32" i="144"/>
  <c r="AM27" i="144"/>
  <c r="AN50" i="144"/>
  <c r="AC12" i="144"/>
  <c r="AK25" i="144"/>
  <c r="AZ15" i="144"/>
  <c r="AC18" i="144"/>
  <c r="AQ47" i="144"/>
  <c r="AU25" i="144"/>
  <c r="AK40" i="144"/>
  <c r="AJ16" i="144"/>
  <c r="AU7" i="144"/>
  <c r="AF19" i="144"/>
  <c r="AI50" i="144"/>
  <c r="AM15" i="144"/>
  <c r="AO28" i="144"/>
  <c r="AV11" i="144"/>
  <c r="AD36" i="144"/>
  <c r="AG24" i="144"/>
  <c r="AL19" i="144"/>
  <c r="AM11" i="144"/>
  <c r="AQ16" i="144"/>
  <c r="AY31" i="144"/>
  <c r="AL7" i="144"/>
  <c r="AR48" i="144"/>
  <c r="AE17" i="144"/>
  <c r="AW33" i="144"/>
  <c r="AK24" i="144"/>
  <c r="AH13" i="144"/>
  <c r="AE51" i="144"/>
  <c r="AC40" i="144"/>
  <c r="AW6" i="144"/>
  <c r="AG28" i="144"/>
  <c r="AR25" i="144"/>
  <c r="AX50" i="144"/>
  <c r="AB16" i="144"/>
  <c r="AP46" i="144"/>
  <c r="AZ46" i="144"/>
  <c r="AK36" i="144"/>
  <c r="AY13" i="144"/>
  <c r="AP31" i="144"/>
  <c r="AO11" i="144"/>
  <c r="AC27" i="144"/>
  <c r="BA20" i="144"/>
  <c r="AR50" i="144"/>
  <c r="AO21" i="144"/>
  <c r="AW9" i="144"/>
  <c r="AN17" i="144"/>
  <c r="AB38" i="144"/>
  <c r="AJ24" i="144"/>
  <c r="BA52" i="144"/>
  <c r="AI45" i="144"/>
  <c r="AB29" i="144"/>
  <c r="AQ13" i="144"/>
  <c r="AZ11" i="144"/>
  <c r="AY25" i="144"/>
  <c r="AV19" i="144"/>
  <c r="AD22" i="144"/>
  <c r="AP8" i="144"/>
  <c r="AN38" i="144"/>
  <c r="AL37" i="144"/>
  <c r="AP19" i="144"/>
  <c r="AK49" i="144"/>
  <c r="AK12" i="144"/>
  <c r="AB12" i="144"/>
  <c r="AY22" i="144"/>
  <c r="AD16" i="144"/>
  <c r="AP37" i="144"/>
  <c r="AE46" i="144"/>
  <c r="AJ33" i="144"/>
  <c r="BA30" i="144"/>
  <c r="AW41" i="144"/>
  <c r="AW18" i="144"/>
  <c r="AI7" i="144"/>
  <c r="AT18" i="144"/>
  <c r="AJ9" i="144"/>
  <c r="BA45" i="144"/>
  <c r="AR8" i="144"/>
  <c r="AT36" i="144"/>
  <c r="AN31" i="144"/>
  <c r="BA24" i="144"/>
  <c r="AU19" i="144"/>
  <c r="AW10" i="144"/>
  <c r="AB52" i="144"/>
  <c r="AJ50" i="144"/>
  <c r="AP10" i="144"/>
  <c r="BA46" i="144"/>
  <c r="AB22" i="144"/>
  <c r="AJ26" i="144"/>
  <c r="AU13" i="144"/>
  <c r="AJ35" i="144"/>
  <c r="AM5" i="144"/>
  <c r="AF49" i="144"/>
  <c r="AE18" i="144"/>
  <c r="AK46" i="144"/>
  <c r="AD39" i="144"/>
  <c r="AK5" i="144"/>
  <c r="AH46" i="144"/>
  <c r="AU5" i="144"/>
  <c r="AK9" i="144"/>
  <c r="AI33" i="144"/>
  <c r="AB31" i="144"/>
  <c r="AY51" i="144"/>
  <c r="AY30" i="144"/>
  <c r="AG30" i="144"/>
  <c r="AU48" i="144"/>
  <c r="AN6" i="144"/>
  <c r="AR51" i="144"/>
  <c r="AI37" i="144"/>
  <c r="AO48" i="144"/>
  <c r="AD38" i="144"/>
  <c r="AL17" i="144"/>
  <c r="AE16" i="144"/>
  <c r="AP26" i="144"/>
  <c r="AB30" i="144"/>
  <c r="AS14" i="144"/>
  <c r="AW27" i="144"/>
  <c r="AH14" i="144"/>
  <c r="AT44" i="144"/>
  <c r="AM35" i="144"/>
  <c r="AO37" i="144"/>
  <c r="AN52" i="144"/>
  <c r="AX9" i="144"/>
  <c r="AG25" i="144"/>
  <c r="AW31" i="144"/>
  <c r="AG13" i="144"/>
  <c r="AF7" i="144"/>
  <c r="AB17" i="144"/>
  <c r="BA38" i="144"/>
  <c r="AV24" i="144"/>
  <c r="AV47" i="144"/>
  <c r="AQ5" i="144"/>
  <c r="AY5" i="144"/>
  <c r="AP6" i="144"/>
  <c r="AI5" i="144"/>
  <c r="AW40" i="144"/>
  <c r="AG44" i="144"/>
  <c r="AH10" i="144"/>
  <c r="AJ41" i="144"/>
  <c r="AR7" i="144"/>
  <c r="AF21" i="144"/>
  <c r="AW22" i="144"/>
  <c r="AM25" i="144"/>
  <c r="AQ17" i="144"/>
  <c r="AJ32" i="144"/>
  <c r="AV36" i="144"/>
  <c r="AL16" i="144"/>
  <c r="AU50" i="144"/>
  <c r="AE37" i="144"/>
  <c r="AC15" i="144"/>
  <c r="BA13" i="144"/>
  <c r="AI8" i="144"/>
  <c r="AQ27" i="144"/>
  <c r="AC25" i="144"/>
  <c r="BA50" i="144"/>
  <c r="AV39" i="144"/>
  <c r="AP11" i="144"/>
  <c r="AW14" i="144"/>
  <c r="AI52" i="144"/>
  <c r="BA36" i="144"/>
  <c r="AV13" i="144"/>
  <c r="AO47" i="144"/>
  <c r="AZ51" i="144"/>
  <c r="AT37" i="144"/>
  <c r="AC36" i="144"/>
  <c r="AU39" i="144"/>
  <c r="AQ36" i="144"/>
  <c r="AR13" i="144"/>
  <c r="AP7" i="144"/>
  <c r="AC28" i="144"/>
  <c r="AU20" i="144"/>
  <c r="AX45" i="144"/>
  <c r="AE31" i="144"/>
  <c r="AL29" i="144"/>
  <c r="AQ29" i="144"/>
  <c r="AG12" i="144"/>
  <c r="AK27" i="144"/>
  <c r="AY7" i="144"/>
  <c r="AW28" i="144"/>
  <c r="AR29" i="144"/>
  <c r="AH11" i="144"/>
  <c r="AX18" i="144"/>
  <c r="AG18" i="144"/>
  <c r="AM49" i="144"/>
  <c r="AZ28" i="144"/>
  <c r="AV28" i="144"/>
  <c r="AY6" i="144"/>
  <c r="AO6" i="144"/>
  <c r="AO52" i="144"/>
  <c r="AV16" i="144"/>
  <c r="AT32" i="144"/>
  <c r="AY49" i="144"/>
  <c r="AZ45" i="144"/>
  <c r="AJ18" i="144"/>
  <c r="AT22" i="144"/>
  <c r="AX27" i="144"/>
  <c r="AH8" i="144"/>
  <c r="AN16" i="144"/>
  <c r="AY24" i="144"/>
  <c r="AI13" i="144"/>
  <c r="AC51" i="144"/>
  <c r="AX36" i="144"/>
  <c r="AZ14" i="144"/>
  <c r="AD12" i="144"/>
  <c r="AX48" i="144"/>
  <c r="AL31" i="144"/>
  <c r="AD29" i="144"/>
  <c r="AC41" i="144"/>
  <c r="BA32" i="144"/>
  <c r="AJ47" i="144"/>
  <c r="AY18" i="144"/>
  <c r="AN35" i="144"/>
  <c r="AB45" i="144"/>
  <c r="AP9" i="144"/>
  <c r="AT29" i="144"/>
  <c r="AF33" i="144"/>
  <c r="AD27" i="144"/>
  <c r="AM32" i="144"/>
  <c r="AL40" i="144"/>
  <c r="AJ48" i="144"/>
  <c r="AS16" i="144"/>
  <c r="AK14" i="144"/>
  <c r="AK8" i="144"/>
  <c r="AH37" i="144"/>
  <c r="AV51" i="144"/>
  <c r="AH27" i="144"/>
  <c r="AF37" i="144"/>
  <c r="AX52" i="144"/>
  <c r="AS19" i="144"/>
  <c r="AJ17" i="144"/>
  <c r="AO50" i="144"/>
  <c r="AZ16" i="144"/>
  <c r="AZ29" i="144"/>
  <c r="AD17" i="144"/>
  <c r="AY17" i="144"/>
  <c r="AC37" i="144"/>
  <c r="AU47" i="144"/>
  <c r="AZ13" i="144"/>
  <c r="BA40" i="144"/>
  <c r="AZ8" i="144"/>
  <c r="AO41" i="144"/>
  <c r="AS38" i="144"/>
  <c r="AU22" i="144"/>
  <c r="AT49" i="144"/>
  <c r="AK33" i="144"/>
  <c r="AC33" i="144"/>
  <c r="AI32" i="144"/>
  <c r="AD9" i="144"/>
  <c r="AC50" i="144"/>
  <c r="AM33" i="144"/>
  <c r="AI46" i="144"/>
  <c r="AS17" i="144"/>
  <c r="AO15" i="144"/>
  <c r="AK30" i="144"/>
  <c r="AB28" i="144"/>
  <c r="AM22" i="144"/>
  <c r="AK37" i="144"/>
  <c r="AB7" i="144"/>
  <c r="AT19" i="144"/>
  <c r="AB8" i="144"/>
  <c r="AJ46" i="144"/>
  <c r="AP39" i="144"/>
  <c r="AZ19" i="144"/>
  <c r="AS29" i="144"/>
  <c r="AS41" i="144"/>
  <c r="AV31" i="144"/>
  <c r="AE13" i="144"/>
  <c r="AG49" i="144"/>
  <c r="AT13" i="144"/>
  <c r="AR41" i="144"/>
  <c r="BA35" i="144"/>
  <c r="AP21" i="144"/>
  <c r="AJ40" i="144"/>
  <c r="AD41" i="144"/>
  <c r="AO5" i="144"/>
  <c r="AS44" i="144"/>
  <c r="AN27" i="144"/>
  <c r="AL36" i="144"/>
  <c r="AR26" i="144"/>
  <c r="AF14" i="144"/>
  <c r="AR37" i="144"/>
  <c r="AR40" i="144"/>
  <c r="AW44" i="144"/>
  <c r="AQ25" i="144"/>
  <c r="AC38" i="144"/>
  <c r="AE9" i="144"/>
  <c r="AJ30" i="144"/>
  <c r="AF38" i="144"/>
  <c r="AK7" i="144"/>
  <c r="AO22" i="144"/>
  <c r="AF15" i="144"/>
  <c r="AZ26" i="144"/>
  <c r="AQ24" i="144"/>
  <c r="AZ49" i="144"/>
  <c r="AM13" i="144"/>
  <c r="AU33" i="144"/>
  <c r="AD8" i="144"/>
  <c r="AY48" i="144"/>
  <c r="AW52" i="144"/>
  <c r="AH41" i="144"/>
  <c r="AJ22" i="144"/>
  <c r="AX21" i="144"/>
  <c r="AN26" i="144"/>
  <c r="AC45" i="144"/>
  <c r="AG11" i="144"/>
  <c r="AT6" i="144"/>
  <c r="AE30" i="144"/>
  <c r="AT15" i="144"/>
  <c r="AX11" i="144"/>
  <c r="AP27" i="144"/>
  <c r="AH51" i="144"/>
  <c r="AJ21" i="144"/>
  <c r="AJ51" i="144"/>
  <c r="AX38" i="144"/>
  <c r="AH49" i="144"/>
  <c r="AM47" i="144"/>
  <c r="AW16" i="144"/>
  <c r="AV49" i="144"/>
  <c r="AI6" i="144"/>
  <c r="AV8" i="144"/>
  <c r="AU40" i="144"/>
  <c r="AL25" i="144"/>
  <c r="AY46" i="144"/>
  <c r="AK19" i="144"/>
  <c r="AH44" i="144"/>
  <c r="AY9" i="144"/>
  <c r="AU9" i="144"/>
  <c r="AG19" i="144"/>
  <c r="AT45" i="144"/>
  <c r="AZ36" i="144"/>
  <c r="AR10" i="144"/>
  <c r="AU11" i="144"/>
  <c r="AM36" i="144"/>
  <c r="AP47" i="144"/>
  <c r="AP49" i="144"/>
  <c r="AY41" i="144"/>
  <c r="AT47" i="144"/>
  <c r="AK48" i="144"/>
  <c r="AY27" i="144"/>
  <c r="AO20" i="144"/>
  <c r="AC49" i="144"/>
  <c r="AL41" i="144"/>
  <c r="AQ18" i="144"/>
  <c r="AR52" i="144"/>
  <c r="AV45" i="144"/>
  <c r="AG15" i="144"/>
  <c r="AR24" i="144"/>
  <c r="AJ28" i="144"/>
  <c r="AK44" i="144"/>
  <c r="AP24" i="144"/>
  <c r="AP18" i="144"/>
  <c r="AQ41" i="144"/>
  <c r="AY21" i="144"/>
  <c r="AL8" i="144"/>
  <c r="AB51" i="144"/>
  <c r="AZ25" i="144"/>
  <c r="AM51" i="144"/>
  <c r="AU10" i="144"/>
  <c r="AQ51" i="144"/>
  <c r="AU52" i="144"/>
  <c r="AL10" i="144"/>
  <c r="AR44" i="144"/>
  <c r="AE40" i="144"/>
  <c r="AH21" i="144"/>
  <c r="AI30" i="144"/>
  <c r="AQ28" i="144"/>
  <c r="AJ15" i="144"/>
  <c r="AX41" i="144"/>
  <c r="AM30" i="144"/>
  <c r="AE52" i="144"/>
  <c r="AF26" i="144"/>
  <c r="AB27" i="144"/>
  <c r="AC17" i="144"/>
  <c r="AB41" i="144"/>
  <c r="AE8" i="144"/>
  <c r="AG21" i="144"/>
  <c r="AX6" i="144"/>
  <c r="AP32" i="144"/>
  <c r="AX28" i="144"/>
  <c r="AQ35" i="144"/>
  <c r="AT5" i="144"/>
  <c r="AT20" i="144"/>
  <c r="AJ45" i="144"/>
  <c r="AK41" i="144"/>
  <c r="AJ14" i="144"/>
  <c r="AS37" i="144"/>
  <c r="AG9" i="144"/>
  <c r="AH20" i="144"/>
  <c r="AP40" i="144"/>
  <c r="AQ32" i="144"/>
  <c r="AQ30" i="144"/>
  <c r="AS51" i="144"/>
  <c r="AZ39" i="144"/>
  <c r="AC32" i="144"/>
  <c r="AK52" i="144"/>
  <c r="AV35" i="144"/>
  <c r="AC31" i="144"/>
  <c r="BA29" i="144"/>
  <c r="AP50" i="144"/>
  <c r="AJ29" i="144"/>
  <c r="AJ5" i="144"/>
  <c r="AX37" i="144"/>
  <c r="AB15" i="144"/>
  <c r="AK22" i="144"/>
  <c r="AS33" i="144"/>
  <c r="AC8" i="144"/>
  <c r="AK20" i="144"/>
  <c r="AQ52" i="144"/>
  <c r="AJ10" i="144"/>
  <c r="AB36" i="144"/>
  <c r="AM6" i="144"/>
  <c r="AD46" i="144"/>
  <c r="AF17" i="144"/>
  <c r="AN40" i="144"/>
  <c r="AG52" i="144"/>
  <c r="AN20" i="144"/>
  <c r="AT7" i="144"/>
  <c r="AQ40" i="144"/>
  <c r="AN22" i="144"/>
  <c r="AD21" i="144"/>
  <c r="AV41" i="144"/>
  <c r="AS6" i="144"/>
  <c r="AH45" i="144"/>
  <c r="AP48" i="144"/>
  <c r="AM16" i="144"/>
  <c r="AM46" i="144"/>
  <c r="AO24" i="144"/>
  <c r="AF9" i="144"/>
  <c r="AW38" i="144"/>
  <c r="AS5" i="144"/>
  <c r="AO25" i="144"/>
  <c r="AG8" i="144"/>
  <c r="AQ9" i="144"/>
  <c r="AZ31" i="144"/>
  <c r="AP33" i="144"/>
  <c r="AM37" i="144"/>
  <c r="AE25" i="144"/>
  <c r="AR39" i="144"/>
  <c r="AZ17" i="144"/>
  <c r="AU21" i="144"/>
  <c r="AQ45" i="144"/>
  <c r="AU37" i="144"/>
  <c r="AD47" i="144"/>
  <c r="AZ37" i="144"/>
  <c r="AL44" i="144"/>
  <c r="AF44" i="144"/>
  <c r="AJ39" i="144"/>
  <c r="AF25" i="144"/>
  <c r="AH36" i="144"/>
  <c r="AV30" i="144"/>
  <c r="AL5" i="144"/>
  <c r="AX30" i="144"/>
  <c r="AO51" i="144"/>
  <c r="AZ52" i="144"/>
  <c r="AM21" i="144"/>
  <c r="AG20" i="144"/>
  <c r="AB19" i="144"/>
  <c r="AF29" i="144"/>
  <c r="AY28" i="144"/>
  <c r="AE50" i="144"/>
  <c r="AU36" i="144"/>
  <c r="AK6" i="144"/>
  <c r="AJ25" i="144"/>
  <c r="AZ33" i="144"/>
  <c r="BA48" i="144"/>
  <c r="AY38" i="144"/>
  <c r="AL51" i="144"/>
  <c r="AX17" i="144"/>
  <c r="AV25" i="144"/>
  <c r="AJ8" i="144"/>
  <c r="AD31" i="144"/>
  <c r="AS18" i="144"/>
  <c r="AV18" i="144"/>
  <c r="AH38" i="144"/>
  <c r="AW45" i="144"/>
  <c r="AP29" i="144"/>
  <c r="AD13" i="144"/>
  <c r="AZ7" i="144"/>
  <c r="AG29" i="144"/>
  <c r="AG47" i="144"/>
  <c r="AI29" i="144"/>
  <c r="AH6" i="144"/>
  <c r="AQ31" i="144"/>
  <c r="AX16" i="144"/>
  <c r="AB33" i="144"/>
  <c r="AD20" i="144"/>
  <c r="AM45" i="144"/>
  <c r="AI25" i="144"/>
  <c r="AM40" i="144"/>
  <c r="AW12" i="144"/>
  <c r="AC20" i="144"/>
  <c r="AV37" i="144"/>
  <c r="AP16" i="144"/>
  <c r="AO26" i="144"/>
  <c r="AC29" i="144"/>
  <c r="AS22" i="144"/>
  <c r="AG45" i="144"/>
  <c r="AU51" i="144"/>
  <c r="AF8" i="144"/>
  <c r="AR31" i="144"/>
  <c r="AF31" i="144"/>
  <c r="AX33" i="144"/>
  <c r="AF16" i="144"/>
  <c r="AJ13" i="144"/>
  <c r="AN7" i="144"/>
  <c r="AS30" i="144"/>
  <c r="AS40" i="144"/>
  <c r="AJ36" i="144"/>
  <c r="AF50" i="144"/>
  <c r="AX40" i="144"/>
  <c r="AU30" i="144"/>
  <c r="AK39" i="144"/>
  <c r="AG35" i="144"/>
  <c r="AR11" i="144"/>
  <c r="AW51" i="144"/>
  <c r="AG33" i="144"/>
  <c r="AT35" i="144"/>
  <c r="AT41" i="144"/>
  <c r="AW5" i="144"/>
  <c r="AB47" i="144"/>
  <c r="AX24" i="144"/>
  <c r="AX7" i="144"/>
  <c r="AE14" i="144"/>
  <c r="AQ39" i="144"/>
  <c r="AD25" i="144"/>
  <c r="AX5" i="144"/>
  <c r="AB20" i="144"/>
  <c r="AO9" i="144"/>
  <c r="AN37" i="144"/>
  <c r="AI35" i="144"/>
  <c r="AR35" i="144"/>
  <c r="AD37" i="144"/>
  <c r="AD28" i="144"/>
  <c r="AE6" i="144"/>
  <c r="AS39" i="144"/>
  <c r="AI11" i="144"/>
  <c r="AF28" i="144"/>
  <c r="AN15" i="144"/>
  <c r="AE28" i="144"/>
  <c r="AQ19" i="144"/>
  <c r="AR16" i="144"/>
  <c r="AU28" i="144"/>
  <c r="BA5" i="144"/>
  <c r="AB36" i="183" l="1"/>
  <c r="AC36" i="183" s="1"/>
  <c r="BA53" i="144"/>
  <c r="BW18" i="144" s="1"/>
  <c r="AJ53" i="144"/>
  <c r="AT53" i="144"/>
  <c r="AK53" i="144"/>
  <c r="AQ53" i="144"/>
  <c r="AM53" i="144"/>
  <c r="AR53" i="144"/>
  <c r="AO53" i="144"/>
  <c r="AI53" i="144"/>
  <c r="AU53" i="144"/>
  <c r="AV53" i="144"/>
  <c r="AZ53" i="144"/>
  <c r="AY53" i="144"/>
  <c r="AW53" i="144"/>
  <c r="AL53" i="144"/>
  <c r="AX53" i="144"/>
  <c r="AS53" i="144"/>
  <c r="AP53" i="144"/>
  <c r="AG53" i="144"/>
  <c r="AN53" i="144"/>
  <c r="AH53" i="144"/>
  <c r="BA2" i="144"/>
  <c r="BR24" i="144" l="1"/>
  <c r="BK5" i="144"/>
  <c r="BM8" i="144"/>
  <c r="BM18" i="144"/>
  <c r="BR7" i="144"/>
  <c r="BC45" i="144"/>
  <c r="BP27" i="144"/>
  <c r="BC24" i="144"/>
  <c r="BR47" i="144"/>
  <c r="BE52" i="144"/>
  <c r="BR40" i="144"/>
  <c r="BF30" i="144"/>
  <c r="BQ5" i="144"/>
  <c r="BK47" i="144"/>
  <c r="BN26" i="144"/>
  <c r="BL47" i="144"/>
  <c r="CM47" i="144" s="1"/>
  <c r="K47" i="179" s="1"/>
  <c r="BR36" i="144"/>
  <c r="CS36" i="144" s="1"/>
  <c r="Q36" i="179" s="1"/>
  <c r="BZ51" i="144"/>
  <c r="BY33" i="144"/>
  <c r="BC52" i="144"/>
  <c r="BI12" i="144"/>
  <c r="BG48" i="144"/>
  <c r="BO50" i="144"/>
  <c r="BF21" i="144"/>
  <c r="BF8" i="144"/>
  <c r="CG8" i="144" s="1"/>
  <c r="E8" i="179" s="1"/>
  <c r="BR5" i="144"/>
  <c r="CA27" i="144"/>
  <c r="BQ24" i="144"/>
  <c r="BC21" i="144"/>
  <c r="BH30" i="144"/>
  <c r="BR52" i="144"/>
  <c r="BM9" i="144"/>
  <c r="L9" i="144" s="1"/>
  <c r="CA16" i="144"/>
  <c r="DB16" i="144" s="1"/>
  <c r="Z16" i="179" s="1"/>
  <c r="BH22" i="144"/>
  <c r="BJ31" i="144"/>
  <c r="BX12" i="144"/>
  <c r="BC40" i="144"/>
  <c r="BO26" i="144"/>
  <c r="BO8" i="144"/>
  <c r="BV39" i="144"/>
  <c r="U39" i="144" s="1"/>
  <c r="BI36" i="144"/>
  <c r="CJ36" i="144" s="1"/>
  <c r="H36" i="179" s="1"/>
  <c r="BN36" i="144"/>
  <c r="BP36" i="144"/>
  <c r="BJ51" i="144"/>
  <c r="BW20" i="144"/>
  <c r="BS29" i="144"/>
  <c r="BC20" i="144"/>
  <c r="BH36" i="144"/>
  <c r="CI36" i="144" s="1"/>
  <c r="G36" i="179" s="1"/>
  <c r="BL5" i="144"/>
  <c r="K5" i="144" s="1"/>
  <c r="K5" i="160" s="1"/>
  <c r="BC47" i="144"/>
  <c r="BS25" i="144"/>
  <c r="BP13" i="144"/>
  <c r="BT16" i="144"/>
  <c r="CA52" i="144"/>
  <c r="BI49" i="144"/>
  <c r="BU6" i="144"/>
  <c r="CV6" i="144" s="1"/>
  <c r="T6" i="179" s="1"/>
  <c r="BL27" i="144"/>
  <c r="K27" i="144" s="1"/>
  <c r="BF51" i="144"/>
  <c r="BL9" i="144"/>
  <c r="BI50" i="144"/>
  <c r="H50" i="144" s="1"/>
  <c r="BZ37" i="144"/>
  <c r="BU52" i="144"/>
  <c r="BC29" i="144"/>
  <c r="BS50" i="144"/>
  <c r="R50" i="144" s="1"/>
  <c r="BG32" i="144"/>
  <c r="F32" i="144" s="1"/>
  <c r="BO36" i="144"/>
  <c r="BT15" i="144"/>
  <c r="BT21" i="144"/>
  <c r="BN16" i="144"/>
  <c r="U37" i="183"/>
  <c r="L37" i="183"/>
  <c r="Y37" i="183"/>
  <c r="J37" i="183"/>
  <c r="Z37" i="183"/>
  <c r="CA14" i="144"/>
  <c r="BV10" i="144"/>
  <c r="U10" i="144" s="1"/>
  <c r="BU16" i="144"/>
  <c r="BV40" i="144"/>
  <c r="BX39" i="144"/>
  <c r="BT32" i="144"/>
  <c r="CU32" i="144" s="1"/>
  <c r="S32" i="179" s="1"/>
  <c r="BD41" i="144"/>
  <c r="CE41" i="144" s="1"/>
  <c r="C41" i="179" s="1"/>
  <c r="BM51" i="144"/>
  <c r="BU5" i="144"/>
  <c r="BX14" i="144"/>
  <c r="BG27" i="144"/>
  <c r="I37" i="183"/>
  <c r="Q37" i="183"/>
  <c r="S37" i="183"/>
  <c r="W37" i="183"/>
  <c r="V37" i="183"/>
  <c r="H37" i="183"/>
  <c r="E37" i="183"/>
  <c r="P37" i="183"/>
  <c r="R37" i="183"/>
  <c r="D37" i="183"/>
  <c r="X37" i="183"/>
  <c r="T37" i="183"/>
  <c r="O37" i="183"/>
  <c r="AA37" i="183"/>
  <c r="N37" i="183"/>
  <c r="F37" i="183"/>
  <c r="C37" i="183"/>
  <c r="G37" i="183"/>
  <c r="M37" i="183"/>
  <c r="K37" i="183"/>
  <c r="BY45" i="144"/>
  <c r="BO38" i="144"/>
  <c r="BF38" i="144"/>
  <c r="BX27" i="144"/>
  <c r="BX45" i="144"/>
  <c r="BR38" i="144"/>
  <c r="BD17" i="144"/>
  <c r="CE17" i="144" s="1"/>
  <c r="C17" i="179" s="1"/>
  <c r="BW25" i="144"/>
  <c r="CX25" i="144" s="1"/>
  <c r="V25" i="179" s="1"/>
  <c r="BG9" i="144"/>
  <c r="BX41" i="144"/>
  <c r="BY26" i="144"/>
  <c r="BJ18" i="144"/>
  <c r="BV20" i="144"/>
  <c r="BW13" i="144"/>
  <c r="BD30" i="144"/>
  <c r="BR26" i="144"/>
  <c r="CS26" i="144" s="1"/>
  <c r="Q26" i="179" s="1"/>
  <c r="BI33" i="144"/>
  <c r="BC7" i="144"/>
  <c r="CD7" i="144" s="1"/>
  <c r="B7" i="179" s="1"/>
  <c r="BX36" i="144"/>
  <c r="BC33" i="144"/>
  <c r="BC32" i="144"/>
  <c r="BX5" i="144"/>
  <c r="BV5" i="144"/>
  <c r="CW5" i="144" s="1"/>
  <c r="U5" i="179" s="1"/>
  <c r="BC19" i="144"/>
  <c r="CD19" i="144" s="1"/>
  <c r="B19" i="179" s="1"/>
  <c r="BN50" i="144"/>
  <c r="BM7" i="144"/>
  <c r="BW7" i="144"/>
  <c r="BL38" i="144"/>
  <c r="BI5" i="144"/>
  <c r="BO37" i="144"/>
  <c r="CP37" i="144" s="1"/>
  <c r="N37" i="179" s="1"/>
  <c r="BC28" i="144"/>
  <c r="B28" i="144" s="1"/>
  <c r="BO45" i="144"/>
  <c r="CP45" i="144" s="1"/>
  <c r="N45" i="179" s="1"/>
  <c r="BG11" i="144"/>
  <c r="BJ30" i="144"/>
  <c r="BW50" i="144"/>
  <c r="BN29" i="144"/>
  <c r="BU38" i="144"/>
  <c r="BE37" i="144"/>
  <c r="BI24" i="144"/>
  <c r="CJ24" i="144" s="1"/>
  <c r="H24" i="179" s="1"/>
  <c r="BY30" i="144"/>
  <c r="X30" i="144" s="1"/>
  <c r="BQ9" i="144"/>
  <c r="BT41" i="144"/>
  <c r="BZ25" i="144"/>
  <c r="BY27" i="144"/>
  <c r="BI14" i="144"/>
  <c r="BS11" i="144"/>
  <c r="BO12" i="144"/>
  <c r="BW28" i="144"/>
  <c r="V28" i="144" s="1"/>
  <c r="BF40" i="144"/>
  <c r="BT48" i="144"/>
  <c r="BT12" i="144"/>
  <c r="S12" i="144" s="1"/>
  <c r="BP11" i="144"/>
  <c r="BY18" i="144"/>
  <c r="BD25" i="144"/>
  <c r="BR30" i="144"/>
  <c r="Q30" i="144" s="1"/>
  <c r="BE31" i="144"/>
  <c r="D31" i="144" s="1"/>
  <c r="BK48" i="144"/>
  <c r="CA11" i="144"/>
  <c r="BR37" i="144"/>
  <c r="Q37" i="144" s="1"/>
  <c r="BM26" i="144"/>
  <c r="CN26" i="144" s="1"/>
  <c r="L26" i="179" s="1"/>
  <c r="BN20" i="144"/>
  <c r="BP47" i="144"/>
  <c r="BZ49" i="144"/>
  <c r="BN17" i="144"/>
  <c r="M17" i="144" s="1"/>
  <c r="BI47" i="144"/>
  <c r="BO35" i="144"/>
  <c r="BR12" i="144"/>
  <c r="BM32" i="144"/>
  <c r="BI20" i="144"/>
  <c r="BH52" i="144"/>
  <c r="BS15" i="144"/>
  <c r="CT15" i="144" s="1"/>
  <c r="R15" i="179" s="1"/>
  <c r="BL35" i="144"/>
  <c r="CM35" i="144" s="1"/>
  <c r="K35" i="179" s="1"/>
  <c r="BL50" i="144"/>
  <c r="BP6" i="144"/>
  <c r="BZ8" i="144"/>
  <c r="Y8" i="144" s="1"/>
  <c r="BJ8" i="144"/>
  <c r="BC16" i="144"/>
  <c r="BD7" i="144"/>
  <c r="BL25" i="144"/>
  <c r="CM25" i="144" s="1"/>
  <c r="K25" i="179" s="1"/>
  <c r="BZ24" i="144"/>
  <c r="DA24" i="144" s="1"/>
  <c r="Y24" i="179" s="1"/>
  <c r="BC6" i="144"/>
  <c r="BU32" i="144"/>
  <c r="BV41" i="144"/>
  <c r="BL36" i="144"/>
  <c r="BD38" i="144"/>
  <c r="BC46" i="144"/>
  <c r="BC18" i="144"/>
  <c r="CD18" i="144" s="1"/>
  <c r="B18" i="179" s="1"/>
  <c r="BC15" i="144"/>
  <c r="CD15" i="144" s="1"/>
  <c r="B15" i="179" s="1"/>
  <c r="BK9" i="144"/>
  <c r="BE47" i="144"/>
  <c r="BG24" i="144"/>
  <c r="BY22" i="144"/>
  <c r="BJ5" i="144"/>
  <c r="BV6" i="144"/>
  <c r="BO49" i="144"/>
  <c r="BT51" i="144"/>
  <c r="S51" i="144" s="1"/>
  <c r="BD15" i="144"/>
  <c r="BP49" i="144"/>
  <c r="BI28" i="144"/>
  <c r="BS36" i="144"/>
  <c r="CT36" i="144" s="1"/>
  <c r="R36" i="179" s="1"/>
  <c r="BX47" i="144"/>
  <c r="BE7" i="144"/>
  <c r="D7" i="144" s="1"/>
  <c r="BU45" i="144"/>
  <c r="CV45" i="144" s="1"/>
  <c r="T45" i="179" s="1"/>
  <c r="BR16" i="144"/>
  <c r="Q16" i="144" s="1"/>
  <c r="BY49" i="144"/>
  <c r="BQ12" i="144"/>
  <c r="BW45" i="144"/>
  <c r="CX45" i="144" s="1"/>
  <c r="V45" i="179" s="1"/>
  <c r="BU26" i="144"/>
  <c r="BZ14" i="144"/>
  <c r="BK26" i="144"/>
  <c r="CL26" i="144" s="1"/>
  <c r="J26" i="179" s="1"/>
  <c r="BL41" i="144"/>
  <c r="CM41" i="144" s="1"/>
  <c r="K41" i="179" s="1"/>
  <c r="BR45" i="144"/>
  <c r="CS45" i="144" s="1"/>
  <c r="Q45" i="179" s="1"/>
  <c r="BI44" i="144"/>
  <c r="BE18" i="144"/>
  <c r="BJ47" i="144"/>
  <c r="CK47" i="144" s="1"/>
  <c r="I47" i="179" s="1"/>
  <c r="BV48" i="144"/>
  <c r="BF46" i="144"/>
  <c r="BW10" i="144"/>
  <c r="V10" i="144" s="1"/>
  <c r="BZ50" i="144"/>
  <c r="BW31" i="144"/>
  <c r="V31" i="144" s="1"/>
  <c r="BU46" i="144"/>
  <c r="BN13" i="144"/>
  <c r="BJ6" i="144"/>
  <c r="CK6" i="144" s="1"/>
  <c r="I6" i="179" s="1"/>
  <c r="BY13" i="144"/>
  <c r="BU22" i="144"/>
  <c r="BQ39" i="144"/>
  <c r="BP35" i="144"/>
  <c r="BP5" i="144"/>
  <c r="CQ5" i="144" s="1"/>
  <c r="O5" i="179" s="1"/>
  <c r="BN47" i="144"/>
  <c r="BH6" i="144"/>
  <c r="BI37" i="144"/>
  <c r="CJ37" i="144" s="1"/>
  <c r="H37" i="179" s="1"/>
  <c r="BH12" i="144"/>
  <c r="BP15" i="144"/>
  <c r="BM15" i="144"/>
  <c r="BX52" i="144"/>
  <c r="BJ17" i="144"/>
  <c r="I17" i="144" s="1"/>
  <c r="BG19" i="144"/>
  <c r="BK25" i="144"/>
  <c r="CL25" i="144" s="1"/>
  <c r="J25" i="179" s="1"/>
  <c r="BF14" i="144"/>
  <c r="E14" i="144" s="1"/>
  <c r="BR27" i="144"/>
  <c r="BL10" i="144"/>
  <c r="BJ21" i="144"/>
  <c r="BN35" i="144"/>
  <c r="CA44" i="144"/>
  <c r="DB44" i="144" s="1"/>
  <c r="Z44" i="179" s="1"/>
  <c r="BK28" i="144"/>
  <c r="BD35" i="144"/>
  <c r="CA22" i="144"/>
  <c r="Z22" i="144" s="1"/>
  <c r="BJ22" i="144"/>
  <c r="BG10" i="144"/>
  <c r="BE8" i="144"/>
  <c r="BG30" i="144"/>
  <c r="BL45" i="144"/>
  <c r="K45" i="144" s="1"/>
  <c r="BO51" i="144"/>
  <c r="BK31" i="144"/>
  <c r="BU17" i="144"/>
  <c r="T17" i="144" s="1"/>
  <c r="BW17" i="144"/>
  <c r="BD26" i="144"/>
  <c r="BV32" i="144"/>
  <c r="CA28" i="144"/>
  <c r="BW51" i="144"/>
  <c r="V51" i="144" s="1"/>
  <c r="BI40" i="144"/>
  <c r="BO46" i="144"/>
  <c r="BU47" i="144"/>
  <c r="T47" i="144" s="1"/>
  <c r="BO47" i="144"/>
  <c r="BR10" i="144"/>
  <c r="BV44" i="144"/>
  <c r="BU18" i="144"/>
  <c r="BV38" i="144"/>
  <c r="U38" i="144" s="1"/>
  <c r="BR6" i="144"/>
  <c r="BW44" i="144"/>
  <c r="V44" i="144" s="1"/>
  <c r="BT30" i="144"/>
  <c r="CU30" i="144" s="1"/>
  <c r="S30" i="179" s="1"/>
  <c r="BS27" i="144"/>
  <c r="BH41" i="144"/>
  <c r="BQ35" i="144"/>
  <c r="BF15" i="144"/>
  <c r="BQ52" i="144"/>
  <c r="P52" i="144" s="1"/>
  <c r="BI29" i="144"/>
  <c r="BZ18" i="144"/>
  <c r="BZ13" i="144"/>
  <c r="DA13" i="144" s="1"/>
  <c r="Y13" i="179" s="1"/>
  <c r="BU14" i="144"/>
  <c r="BJ12" i="144"/>
  <c r="BH47" i="144"/>
  <c r="BT37" i="144"/>
  <c r="BO28" i="144"/>
  <c r="CP28" i="144" s="1"/>
  <c r="N28" i="179" s="1"/>
  <c r="BH50" i="144"/>
  <c r="BH29" i="144"/>
  <c r="CI29" i="144" s="1"/>
  <c r="G29" i="179" s="1"/>
  <c r="BH19" i="144"/>
  <c r="CI19" i="144" s="1"/>
  <c r="G19" i="179" s="1"/>
  <c r="BI13" i="144"/>
  <c r="BM17" i="144"/>
  <c r="BJ20" i="144"/>
  <c r="BR31" i="144"/>
  <c r="BF28" i="144"/>
  <c r="CG28" i="144" s="1"/>
  <c r="E28" i="179" s="1"/>
  <c r="BS38" i="144"/>
  <c r="BL51" i="144"/>
  <c r="BR35" i="144"/>
  <c r="Q35" i="144" s="1"/>
  <c r="Q35" i="160" s="1"/>
  <c r="BX29" i="144"/>
  <c r="BG17" i="144"/>
  <c r="BR8" i="144"/>
  <c r="BD28" i="144"/>
  <c r="BW40" i="144"/>
  <c r="CX40" i="144" s="1"/>
  <c r="V40" i="179" s="1"/>
  <c r="BM25" i="144"/>
  <c r="BO40" i="144"/>
  <c r="CP40" i="144" s="1"/>
  <c r="N40" i="179" s="1"/>
  <c r="BE22" i="144"/>
  <c r="D22" i="144" s="1"/>
  <c r="BO39" i="144"/>
  <c r="BL30" i="144"/>
  <c r="BO30" i="144"/>
  <c r="BE44" i="144"/>
  <c r="BK15" i="144"/>
  <c r="J15" i="144" s="1"/>
  <c r="BS48" i="144"/>
  <c r="CA19" i="144"/>
  <c r="DB19" i="144" s="1"/>
  <c r="Z19" i="179" s="1"/>
  <c r="BM35" i="144"/>
  <c r="CN35" i="144" s="1"/>
  <c r="L35" i="179" s="1"/>
  <c r="BP12" i="144"/>
  <c r="BH5" i="144"/>
  <c r="BL33" i="144"/>
  <c r="K33" i="144" s="1"/>
  <c r="BI30" i="144"/>
  <c r="CJ30" i="144" s="1"/>
  <c r="H30" i="179" s="1"/>
  <c r="BV28" i="144"/>
  <c r="U28" i="144" s="1"/>
  <c r="BJ49" i="144"/>
  <c r="BQ6" i="144"/>
  <c r="BJ14" i="144"/>
  <c r="CK14" i="144" s="1"/>
  <c r="I14" i="179" s="1"/>
  <c r="BS44" i="144"/>
  <c r="BQ22" i="144"/>
  <c r="BO19" i="144"/>
  <c r="N19" i="144" s="1"/>
  <c r="BG44" i="144"/>
  <c r="F44" i="144" s="1"/>
  <c r="BE13" i="144"/>
  <c r="D13" i="144" s="1"/>
  <c r="BR13" i="144"/>
  <c r="BO16" i="144"/>
  <c r="CP16" i="144" s="1"/>
  <c r="N16" i="179" s="1"/>
  <c r="BK16" i="144"/>
  <c r="J16" i="144" s="1"/>
  <c r="BO48" i="144"/>
  <c r="BQ51" i="144"/>
  <c r="BF17" i="144"/>
  <c r="CG17" i="144" s="1"/>
  <c r="E17" i="179" s="1"/>
  <c r="BR49" i="144"/>
  <c r="Q49" i="144" s="1"/>
  <c r="BV18" i="144"/>
  <c r="U18" i="144" s="1"/>
  <c r="BP18" i="144"/>
  <c r="BV47" i="144"/>
  <c r="CW47" i="144" s="1"/>
  <c r="U47" i="179" s="1"/>
  <c r="CA12" i="144"/>
  <c r="Z12" i="144" s="1"/>
  <c r="BG52" i="144"/>
  <c r="BY47" i="144"/>
  <c r="BM28" i="144"/>
  <c r="CN28" i="144" s="1"/>
  <c r="L28" i="179" s="1"/>
  <c r="BE50" i="144"/>
  <c r="CF50" i="144" s="1"/>
  <c r="D50" i="179" s="1"/>
  <c r="BK41" i="144"/>
  <c r="J41" i="144" s="1"/>
  <c r="BR51" i="144"/>
  <c r="BG16" i="144"/>
  <c r="CH16" i="144" s="1"/>
  <c r="F16" i="179" s="1"/>
  <c r="BO14" i="144"/>
  <c r="N14" i="144" s="1"/>
  <c r="BZ48" i="144"/>
  <c r="BS51" i="144"/>
  <c r="BP17" i="144"/>
  <c r="CQ17" i="144" s="1"/>
  <c r="O17" i="179" s="1"/>
  <c r="BI45" i="144"/>
  <c r="H45" i="144" s="1"/>
  <c r="BN21" i="144"/>
  <c r="CO21" i="144" s="1"/>
  <c r="M21" i="179" s="1"/>
  <c r="BN37" i="144"/>
  <c r="BJ19" i="144"/>
  <c r="BQ44" i="144"/>
  <c r="P44" i="144" s="1"/>
  <c r="BQ46" i="144"/>
  <c r="BF52" i="144"/>
  <c r="BN25" i="144"/>
  <c r="M25" i="144" s="1"/>
  <c r="BS31" i="144"/>
  <c r="R31" i="144" s="1"/>
  <c r="BZ16" i="144"/>
  <c r="DA16" i="144" s="1"/>
  <c r="Y16" i="179" s="1"/>
  <c r="BG14" i="144"/>
  <c r="BX11" i="144"/>
  <c r="CY11" i="144" s="1"/>
  <c r="W11" i="179" s="1"/>
  <c r="CA37" i="144"/>
  <c r="Z37" i="144" s="1"/>
  <c r="BR33" i="144"/>
  <c r="BH33" i="144"/>
  <c r="BN32" i="144"/>
  <c r="CO32" i="144" s="1"/>
  <c r="M32" i="179" s="1"/>
  <c r="BN45" i="144"/>
  <c r="M45" i="144" s="1"/>
  <c r="BQ30" i="144"/>
  <c r="P30" i="144" s="1"/>
  <c r="BK46" i="144"/>
  <c r="BH8" i="144"/>
  <c r="CI8" i="144" s="1"/>
  <c r="G8" i="179" s="1"/>
  <c r="BJ33" i="144"/>
  <c r="CK33" i="144" s="1"/>
  <c r="I33" i="179" s="1"/>
  <c r="BF19" i="144"/>
  <c r="BN30" i="144"/>
  <c r="BF50" i="144"/>
  <c r="BK21" i="144"/>
  <c r="CL21" i="144" s="1"/>
  <c r="J21" i="179" s="1"/>
  <c r="BN49" i="144"/>
  <c r="M49" i="144" s="1"/>
  <c r="BP8" i="144"/>
  <c r="BO13" i="144"/>
  <c r="N13" i="144" s="1"/>
  <c r="BS37" i="144"/>
  <c r="CT37" i="144" s="1"/>
  <c r="R37" i="179" s="1"/>
  <c r="BS35" i="144"/>
  <c r="CA46" i="144"/>
  <c r="BW37" i="144"/>
  <c r="CX37" i="144" s="1"/>
  <c r="V37" i="179" s="1"/>
  <c r="BE27" i="144"/>
  <c r="CF27" i="144" s="1"/>
  <c r="D27" i="179" s="1"/>
  <c r="BL6" i="144"/>
  <c r="CM6" i="144" s="1"/>
  <c r="K6" i="179" s="1"/>
  <c r="BN48" i="144"/>
  <c r="BU39" i="144"/>
  <c r="CV39" i="144" s="1"/>
  <c r="T39" i="179" s="1"/>
  <c r="BR44" i="144"/>
  <c r="Q44" i="144" s="1"/>
  <c r="BQ33" i="144"/>
  <c r="BE49" i="144"/>
  <c r="BE32" i="144"/>
  <c r="CF32" i="144" s="1"/>
  <c r="D32" i="179" s="1"/>
  <c r="BO15" i="144"/>
  <c r="N15" i="144" s="1"/>
  <c r="BD29" i="144"/>
  <c r="C29" i="144" s="1"/>
  <c r="BV14" i="144"/>
  <c r="BY25" i="144"/>
  <c r="X25" i="144" s="1"/>
  <c r="BG51" i="144"/>
  <c r="CH51" i="144" s="1"/>
  <c r="F51" i="179" s="1"/>
  <c r="BU8" i="144"/>
  <c r="BQ17" i="144"/>
  <c r="BH20" i="144"/>
  <c r="BX31" i="144"/>
  <c r="BQ13" i="144"/>
  <c r="CR13" i="144" s="1"/>
  <c r="P13" i="179" s="1"/>
  <c r="BZ35" i="144"/>
  <c r="BW9" i="144"/>
  <c r="BO29" i="144"/>
  <c r="N29" i="144" s="1"/>
  <c r="BG31" i="144"/>
  <c r="BT26" i="144"/>
  <c r="BP52" i="144"/>
  <c r="O52" i="144" s="1"/>
  <c r="BL31" i="144"/>
  <c r="K31" i="144" s="1"/>
  <c r="BG45" i="144"/>
  <c r="CH45" i="144" s="1"/>
  <c r="F45" i="179" s="1"/>
  <c r="BV8" i="144"/>
  <c r="BT13" i="144"/>
  <c r="BR21" i="144"/>
  <c r="Q21" i="144" s="1"/>
  <c r="BU44" i="144"/>
  <c r="BG33" i="144"/>
  <c r="BD12" i="144"/>
  <c r="BI39" i="144"/>
  <c r="CA25" i="144"/>
  <c r="Z25" i="144" s="1"/>
  <c r="BR11" i="144"/>
  <c r="BO17" i="144"/>
  <c r="BM52" i="144"/>
  <c r="L52" i="144" s="1"/>
  <c r="BF20" i="144"/>
  <c r="BX33" i="144"/>
  <c r="BU19" i="144"/>
  <c r="BD31" i="144"/>
  <c r="BN9" i="144"/>
  <c r="CO9" i="144" s="1"/>
  <c r="M9" i="179" s="1"/>
  <c r="BG8" i="144"/>
  <c r="BY17" i="144"/>
  <c r="CZ17" i="144" s="1"/>
  <c r="X17" i="179" s="1"/>
  <c r="BG18" i="144"/>
  <c r="CH18" i="144" s="1"/>
  <c r="F18" i="179" s="1"/>
  <c r="BH45" i="144"/>
  <c r="BV26" i="144"/>
  <c r="BU25" i="144"/>
  <c r="BE20" i="144"/>
  <c r="D20" i="144" s="1"/>
  <c r="BL15" i="144"/>
  <c r="CM15" i="144" s="1"/>
  <c r="K15" i="179" s="1"/>
  <c r="BP22" i="144"/>
  <c r="BY10" i="144"/>
  <c r="X10" i="144" s="1"/>
  <c r="BG28" i="144"/>
  <c r="CH28" i="144" s="1"/>
  <c r="F28" i="179" s="1"/>
  <c r="BM39" i="144"/>
  <c r="BW46" i="144"/>
  <c r="BN28" i="144"/>
  <c r="BM11" i="144"/>
  <c r="CN11" i="144" s="1"/>
  <c r="L11" i="179" s="1"/>
  <c r="BG50" i="144"/>
  <c r="CH50" i="144" s="1"/>
  <c r="F50" i="179" s="1"/>
  <c r="BZ45" i="144"/>
  <c r="BL40" i="144"/>
  <c r="K40" i="144" s="1"/>
  <c r="BI38" i="144"/>
  <c r="CJ38" i="144" s="1"/>
  <c r="H38" i="179" s="1"/>
  <c r="BY39" i="144"/>
  <c r="BJ40" i="144"/>
  <c r="BG39" i="144"/>
  <c r="CH39" i="144" s="1"/>
  <c r="F39" i="179" s="1"/>
  <c r="CA9" i="144"/>
  <c r="DB9" i="144" s="1"/>
  <c r="Z9" i="179" s="1"/>
  <c r="CA32" i="144"/>
  <c r="DB32" i="144" s="1"/>
  <c r="Z32" i="179" s="1"/>
  <c r="BH9" i="144"/>
  <c r="BJ37" i="144"/>
  <c r="CK37" i="144" s="1"/>
  <c r="I37" i="179" s="1"/>
  <c r="BP26" i="144"/>
  <c r="CQ26" i="144" s="1"/>
  <c r="O26" i="179" s="1"/>
  <c r="BE35" i="144"/>
  <c r="BE12" i="144"/>
  <c r="BG22" i="144"/>
  <c r="CH22" i="144" s="1"/>
  <c r="F22" i="179" s="1"/>
  <c r="BR14" i="144"/>
  <c r="Q14" i="144" s="1"/>
  <c r="BY50" i="144"/>
  <c r="CZ50" i="144" s="1"/>
  <c r="X50" i="179" s="1"/>
  <c r="BC27" i="144"/>
  <c r="BQ19" i="144"/>
  <c r="BO31" i="144"/>
  <c r="CP31" i="144" s="1"/>
  <c r="N31" i="179" s="1"/>
  <c r="BD37" i="144"/>
  <c r="CA35" i="144"/>
  <c r="BD32" i="144"/>
  <c r="BI52" i="144"/>
  <c r="CJ52" i="144" s="1"/>
  <c r="H52" i="179" s="1"/>
  <c r="BU30" i="144"/>
  <c r="CV30" i="144" s="1"/>
  <c r="T30" i="179" s="1"/>
  <c r="BI22" i="144"/>
  <c r="BE9" i="144"/>
  <c r="BE16" i="144"/>
  <c r="CF16" i="144" s="1"/>
  <c r="D16" i="179" s="1"/>
  <c r="BR29" i="144"/>
  <c r="BM48" i="144"/>
  <c r="BD16" i="144"/>
  <c r="BS22" i="144"/>
  <c r="CT22" i="144" s="1"/>
  <c r="R22" i="179" s="1"/>
  <c r="BH16" i="144"/>
  <c r="G16" i="144" s="1"/>
  <c r="BI9" i="144"/>
  <c r="BW35" i="144"/>
  <c r="BZ21" i="144"/>
  <c r="DA21" i="144" s="1"/>
  <c r="Y21" i="179" s="1"/>
  <c r="BE39" i="144"/>
  <c r="BS13" i="144"/>
  <c r="BG13" i="144"/>
  <c r="BT52" i="144"/>
  <c r="S52" i="144" s="1"/>
  <c r="BO20" i="144"/>
  <c r="CP20" i="144" s="1"/>
  <c r="N20" i="179" s="1"/>
  <c r="BS16" i="144"/>
  <c r="BS45" i="144"/>
  <c r="BD9" i="144"/>
  <c r="C9" i="144" s="1"/>
  <c r="BG29" i="144"/>
  <c r="CA38" i="144"/>
  <c r="BK35" i="144"/>
  <c r="BO18" i="144"/>
  <c r="BK32" i="144"/>
  <c r="CL32" i="144" s="1"/>
  <c r="J32" i="179" s="1"/>
  <c r="BT10" i="144"/>
  <c r="BX26" i="144"/>
  <c r="BI17" i="144"/>
  <c r="CJ17" i="144" s="1"/>
  <c r="H17" i="179" s="1"/>
  <c r="BZ11" i="144"/>
  <c r="BM49" i="144"/>
  <c r="BM46" i="144"/>
  <c r="BW52" i="144"/>
  <c r="BY35" i="144"/>
  <c r="X35" i="144" s="1"/>
  <c r="X35" i="160" s="1"/>
  <c r="BR41" i="144"/>
  <c r="BE17" i="144"/>
  <c r="BK51" i="144"/>
  <c r="CL51" i="144" s="1"/>
  <c r="J51" i="179" s="1"/>
  <c r="BU49" i="144"/>
  <c r="BJ44" i="144"/>
  <c r="BG38" i="144"/>
  <c r="BD22" i="144"/>
  <c r="CE22" i="144" s="1"/>
  <c r="C22" i="179" s="1"/>
  <c r="BL13" i="144"/>
  <c r="K13" i="144" s="1"/>
  <c r="BH38" i="144"/>
  <c r="BU37" i="144"/>
  <c r="BE11" i="144"/>
  <c r="CF11" i="144" s="1"/>
  <c r="D11" i="179" s="1"/>
  <c r="BX49" i="144"/>
  <c r="BO9" i="144"/>
  <c r="BF18" i="144"/>
  <c r="BX50" i="144"/>
  <c r="CY50" i="144" s="1"/>
  <c r="W50" i="179" s="1"/>
  <c r="BU50" i="144"/>
  <c r="T50" i="144" s="1"/>
  <c r="BO10" i="144"/>
  <c r="BI27" i="144"/>
  <c r="BI26" i="144"/>
  <c r="BW47" i="144"/>
  <c r="BX28" i="144"/>
  <c r="CA33" i="144"/>
  <c r="BM20" i="144"/>
  <c r="L20" i="144" s="1"/>
  <c r="BY28" i="144"/>
  <c r="X28" i="144" s="1"/>
  <c r="BS26" i="144"/>
  <c r="BU15" i="144"/>
  <c r="BX13" i="144"/>
  <c r="BP29" i="144"/>
  <c r="BG12" i="144"/>
  <c r="BI25" i="144"/>
  <c r="BW6" i="144"/>
  <c r="BF13" i="144"/>
  <c r="E13" i="144" s="1"/>
  <c r="BZ30" i="144"/>
  <c r="BT33" i="144"/>
  <c r="BJ39" i="144"/>
  <c r="I39" i="144" s="1"/>
  <c r="BS21" i="144"/>
  <c r="BU33" i="144"/>
  <c r="BM27" i="144"/>
  <c r="BI10" i="144"/>
  <c r="BJ35" i="144"/>
  <c r="I35" i="144" s="1"/>
  <c r="I35" i="160" s="1"/>
  <c r="BH46" i="144"/>
  <c r="BE26" i="144"/>
  <c r="BU41" i="144"/>
  <c r="CV41" i="144" s="1"/>
  <c r="T41" i="179" s="1"/>
  <c r="BK38" i="144"/>
  <c r="BU13" i="144"/>
  <c r="BM50" i="144"/>
  <c r="BD20" i="144"/>
  <c r="BN10" i="144"/>
  <c r="M10" i="144" s="1"/>
  <c r="BM21" i="144"/>
  <c r="CA29" i="144"/>
  <c r="BV29" i="144"/>
  <c r="CW29" i="144" s="1"/>
  <c r="U29" i="179" s="1"/>
  <c r="BG37" i="144"/>
  <c r="BK12" i="144"/>
  <c r="BO27" i="144"/>
  <c r="BS49" i="144"/>
  <c r="BV27" i="144"/>
  <c r="CW27" i="144" s="1"/>
  <c r="U27" i="179" s="1"/>
  <c r="BL32" i="144"/>
  <c r="BU7" i="144"/>
  <c r="BH35" i="144"/>
  <c r="G35" i="144" s="1"/>
  <c r="G35" i="160" s="1"/>
  <c r="BU48" i="144"/>
  <c r="BS19" i="144"/>
  <c r="BE25" i="144"/>
  <c r="BP44" i="144"/>
  <c r="BT50" i="144"/>
  <c r="CU50" i="144" s="1"/>
  <c r="S50" i="179" s="1"/>
  <c r="BH44" i="144"/>
  <c r="BN27" i="144"/>
  <c r="BN22" i="144"/>
  <c r="CO22" i="144" s="1"/>
  <c r="M22" i="179" s="1"/>
  <c r="BX46" i="144"/>
  <c r="BJ41" i="144"/>
  <c r="BO52" i="144"/>
  <c r="BQ32" i="144"/>
  <c r="BO21" i="144"/>
  <c r="N21" i="144" s="1"/>
  <c r="BP51" i="144"/>
  <c r="BJ50" i="144"/>
  <c r="BW49" i="144"/>
  <c r="V49" i="144" s="1"/>
  <c r="BZ29" i="144"/>
  <c r="BQ11" i="144"/>
  <c r="BL37" i="144"/>
  <c r="BD46" i="144"/>
  <c r="BP37" i="144"/>
  <c r="O37" i="144" s="1"/>
  <c r="BU28" i="144"/>
  <c r="BT40" i="144"/>
  <c r="S40" i="144" s="1"/>
  <c r="BM41" i="144"/>
  <c r="CN41" i="144" s="1"/>
  <c r="L41" i="179" s="1"/>
  <c r="BJ28" i="144"/>
  <c r="CA13" i="144"/>
  <c r="BF49" i="144"/>
  <c r="BV21" i="144"/>
  <c r="BF45" i="144"/>
  <c r="E45" i="144" s="1"/>
  <c r="BT11" i="144"/>
  <c r="BE38" i="144"/>
  <c r="BJ38" i="144"/>
  <c r="CK38" i="144" s="1"/>
  <c r="I38" i="179" s="1"/>
  <c r="BQ37" i="144"/>
  <c r="BL52" i="144"/>
  <c r="BK30" i="144"/>
  <c r="BO32" i="144"/>
  <c r="BN6" i="144"/>
  <c r="CO6" i="144" s="1"/>
  <c r="M6" i="179" s="1"/>
  <c r="BJ15" i="144"/>
  <c r="BM13" i="144"/>
  <c r="BP38" i="144"/>
  <c r="BI46" i="144"/>
  <c r="BF31" i="144"/>
  <c r="BW21" i="144"/>
  <c r="CX21" i="144" s="1"/>
  <c r="V21" i="179" s="1"/>
  <c r="BI18" i="144"/>
  <c r="CJ18" i="144" s="1"/>
  <c r="H18" i="179" s="1"/>
  <c r="BT44" i="144"/>
  <c r="CU44" i="144" s="1"/>
  <c r="S44" i="179" s="1"/>
  <c r="BZ47" i="144"/>
  <c r="BE45" i="144"/>
  <c r="BH21" i="144"/>
  <c r="G21" i="144" s="1"/>
  <c r="BR19" i="144"/>
  <c r="BD21" i="144"/>
  <c r="BX35" i="144"/>
  <c r="BF12" i="144"/>
  <c r="E12" i="144" s="1"/>
  <c r="BF25" i="144"/>
  <c r="CG25" i="144" s="1"/>
  <c r="E25" i="179" s="1"/>
  <c r="BE14" i="144"/>
  <c r="BU31" i="144"/>
  <c r="BZ40" i="144"/>
  <c r="Y40" i="144" s="1"/>
  <c r="BW8" i="144"/>
  <c r="V8" i="144" s="1"/>
  <c r="BQ40" i="144"/>
  <c r="BS28" i="144"/>
  <c r="CA41" i="144"/>
  <c r="DB41" i="144" s="1"/>
  <c r="Z41" i="179" s="1"/>
  <c r="BI31" i="144"/>
  <c r="H31" i="144" s="1"/>
  <c r="BE51" i="144"/>
  <c r="BF48" i="144"/>
  <c r="BH32" i="144"/>
  <c r="CI32" i="144" s="1"/>
  <c r="G32" i="179" s="1"/>
  <c r="BY14" i="144"/>
  <c r="BH17" i="144"/>
  <c r="BX51" i="144"/>
  <c r="BO25" i="144"/>
  <c r="N25" i="144" s="1"/>
  <c r="BQ47" i="144"/>
  <c r="P47" i="144" s="1"/>
  <c r="BT38" i="144"/>
  <c r="BX24" i="144"/>
  <c r="BT9" i="144"/>
  <c r="S9" i="144" s="1"/>
  <c r="BT28" i="144"/>
  <c r="BD10" i="144"/>
  <c r="BX9" i="144"/>
  <c r="BD45" i="144"/>
  <c r="CE45" i="144" s="1"/>
  <c r="C45" i="179" s="1"/>
  <c r="BU29" i="144"/>
  <c r="T29" i="144" s="1"/>
  <c r="BD51" i="144"/>
  <c r="BN44" i="144"/>
  <c r="BY51" i="144"/>
  <c r="CZ51" i="144" s="1"/>
  <c r="X51" i="179" s="1"/>
  <c r="BL49" i="144"/>
  <c r="BL16" i="144"/>
  <c r="BQ15" i="144"/>
  <c r="BI16" i="144"/>
  <c r="H16" i="144" s="1"/>
  <c r="BX8" i="144"/>
  <c r="W8" i="144" s="1"/>
  <c r="BK22" i="144"/>
  <c r="BD44" i="144"/>
  <c r="CA48" i="144"/>
  <c r="Z48" i="144" s="1"/>
  <c r="BE28" i="144"/>
  <c r="BV35" i="144"/>
  <c r="BS17" i="144"/>
  <c r="BK49" i="144"/>
  <c r="CL49" i="144" s="1"/>
  <c r="J49" i="179" s="1"/>
  <c r="BJ48" i="144"/>
  <c r="I48" i="144" s="1"/>
  <c r="BU9" i="144"/>
  <c r="BU10" i="144"/>
  <c r="BR25" i="144"/>
  <c r="Q25" i="144" s="1"/>
  <c r="BN40" i="144"/>
  <c r="BD48" i="144"/>
  <c r="BR17" i="144"/>
  <c r="BL19" i="144"/>
  <c r="K19" i="144" s="1"/>
  <c r="BY5" i="144"/>
  <c r="X5" i="144" s="1"/>
  <c r="X5" i="160" s="1"/>
  <c r="BC38" i="144"/>
  <c r="BW36" i="144"/>
  <c r="CX36" i="144" s="1"/>
  <c r="V36" i="179" s="1"/>
  <c r="BN18" i="144"/>
  <c r="M18" i="144" s="1"/>
  <c r="BM37" i="144"/>
  <c r="BM6" i="144"/>
  <c r="BN19" i="144"/>
  <c r="M19" i="144" s="1"/>
  <c r="BF10" i="144"/>
  <c r="CG10" i="144" s="1"/>
  <c r="E10" i="179" s="1"/>
  <c r="BV25" i="144"/>
  <c r="U25" i="144" s="1"/>
  <c r="BR28" i="144"/>
  <c r="BG15" i="144"/>
  <c r="BJ11" i="144"/>
  <c r="I11" i="144" s="1"/>
  <c r="BT20" i="144"/>
  <c r="BJ13" i="144"/>
  <c r="BS30" i="144"/>
  <c r="R30" i="144" s="1"/>
  <c r="BN15" i="144"/>
  <c r="M15" i="144" s="1"/>
  <c r="BV33" i="144"/>
  <c r="CW33" i="144" s="1"/>
  <c r="U33" i="179" s="1"/>
  <c r="BW29" i="144"/>
  <c r="BH37" i="144"/>
  <c r="CI37" i="144" s="1"/>
  <c r="G37" i="179" s="1"/>
  <c r="BD27" i="144"/>
  <c r="CE27" i="144" s="1"/>
  <c r="C27" i="179" s="1"/>
  <c r="BW30" i="144"/>
  <c r="BV24" i="144"/>
  <c r="BQ48" i="144"/>
  <c r="BL18" i="144"/>
  <c r="BL11" i="144"/>
  <c r="CM11" i="144" s="1"/>
  <c r="K11" i="179" s="1"/>
  <c r="BH11" i="144"/>
  <c r="BG46" i="144"/>
  <c r="BK29" i="144"/>
  <c r="CL29" i="144" s="1"/>
  <c r="J29" i="179" s="1"/>
  <c r="BM36" i="144"/>
  <c r="CN36" i="144" s="1"/>
  <c r="L36" i="179" s="1"/>
  <c r="BX10" i="144"/>
  <c r="BY21" i="144"/>
  <c r="BG40" i="144"/>
  <c r="F40" i="144" s="1"/>
  <c r="BT39" i="144"/>
  <c r="S39" i="144" s="1"/>
  <c r="CA51" i="144"/>
  <c r="BY37" i="144"/>
  <c r="BY24" i="144"/>
  <c r="X24" i="144" s="1"/>
  <c r="CA36" i="144"/>
  <c r="BO7" i="144"/>
  <c r="BP33" i="144"/>
  <c r="CQ33" i="144" s="1"/>
  <c r="O33" i="179" s="1"/>
  <c r="BK36" i="144"/>
  <c r="J36" i="144" s="1"/>
  <c r="BT24" i="144"/>
  <c r="S24" i="144" s="1"/>
  <c r="CA49" i="144"/>
  <c r="BD49" i="144"/>
  <c r="BE40" i="144"/>
  <c r="CF40" i="144" s="1"/>
  <c r="D40" i="179" s="1"/>
  <c r="BK6" i="144"/>
  <c r="BN38" i="144"/>
  <c r="BJ32" i="144"/>
  <c r="CK32" i="144" s="1"/>
  <c r="I32" i="179" s="1"/>
  <c r="BJ46" i="144"/>
  <c r="I46" i="144" s="1"/>
  <c r="BD24" i="144"/>
  <c r="C24" i="144" s="1"/>
  <c r="BY36" i="144"/>
  <c r="BR9" i="144"/>
  <c r="BZ33" i="144"/>
  <c r="BP28" i="144"/>
  <c r="BW22" i="144"/>
  <c r="BQ10" i="144"/>
  <c r="BL17" i="144"/>
  <c r="K17" i="144" s="1"/>
  <c r="BC26" i="144"/>
  <c r="B26" i="144" s="1"/>
  <c r="BZ10" i="144"/>
  <c r="CA5" i="144"/>
  <c r="BT35" i="144"/>
  <c r="CU35" i="144" s="1"/>
  <c r="S35" i="179" s="1"/>
  <c r="BY19" i="144"/>
  <c r="BO24" i="144"/>
  <c r="CP24" i="144" s="1"/>
  <c r="N24" i="179" s="1"/>
  <c r="BZ6" i="144"/>
  <c r="BK24" i="144"/>
  <c r="BZ7" i="144"/>
  <c r="DA7" i="144" s="1"/>
  <c r="Y7" i="179" s="1"/>
  <c r="BU36" i="144"/>
  <c r="BI35" i="144"/>
  <c r="BC25" i="144"/>
  <c r="BZ12" i="144"/>
  <c r="BC17" i="144"/>
  <c r="BW16" i="144"/>
  <c r="BD14" i="144"/>
  <c r="BX15" i="144"/>
  <c r="W15" i="144" s="1"/>
  <c r="BR46" i="144"/>
  <c r="BC49" i="144"/>
  <c r="BT5" i="144"/>
  <c r="S5" i="144" s="1"/>
  <c r="S5" i="160" s="1"/>
  <c r="BZ39" i="144"/>
  <c r="BN41" i="144"/>
  <c r="CA7" i="144"/>
  <c r="BJ7" i="144"/>
  <c r="I7" i="144" s="1"/>
  <c r="BF32" i="144"/>
  <c r="E32" i="144" s="1"/>
  <c r="BD36" i="144"/>
  <c r="BT36" i="144"/>
  <c r="BF35" i="144"/>
  <c r="CG35" i="144" s="1"/>
  <c r="E35" i="179" s="1"/>
  <c r="BV51" i="144"/>
  <c r="CA20" i="144"/>
  <c r="BU51" i="144"/>
  <c r="BZ32" i="144"/>
  <c r="Y32" i="144" s="1"/>
  <c r="BI48" i="144"/>
  <c r="CJ48" i="144" s="1"/>
  <c r="H48" i="179" s="1"/>
  <c r="BF37" i="144"/>
  <c r="BW41" i="144"/>
  <c r="CX41" i="144" s="1"/>
  <c r="V41" i="179" s="1"/>
  <c r="BH10" i="144"/>
  <c r="BY20" i="144"/>
  <c r="BD19" i="144"/>
  <c r="BP46" i="144"/>
  <c r="BM44" i="144"/>
  <c r="CN44" i="144" s="1"/>
  <c r="L44" i="179" s="1"/>
  <c r="BM16" i="144"/>
  <c r="CN16" i="144" s="1"/>
  <c r="L16" i="179" s="1"/>
  <c r="BZ15" i="144"/>
  <c r="BE46" i="144"/>
  <c r="CF46" i="144" s="1"/>
  <c r="D46" i="179" s="1"/>
  <c r="BP20" i="144"/>
  <c r="CA8" i="144"/>
  <c r="BP25" i="144"/>
  <c r="BQ21" i="144"/>
  <c r="BW32" i="144"/>
  <c r="CX32" i="144" s="1"/>
  <c r="V32" i="179" s="1"/>
  <c r="BV46" i="144"/>
  <c r="CW46" i="144" s="1"/>
  <c r="U46" i="179" s="1"/>
  <c r="BP40" i="144"/>
  <c r="BN51" i="144"/>
  <c r="CO51" i="144" s="1"/>
  <c r="M51" i="179" s="1"/>
  <c r="BL22" i="144"/>
  <c r="BN8" i="144"/>
  <c r="BT6" i="144"/>
  <c r="BU12" i="144"/>
  <c r="BV15" i="144"/>
  <c r="BY29" i="144"/>
  <c r="X29" i="144" s="1"/>
  <c r="BF26" i="144"/>
  <c r="BV31" i="144"/>
  <c r="BS10" i="144"/>
  <c r="CT10" i="144" s="1"/>
  <c r="R10" i="179" s="1"/>
  <c r="BL12" i="144"/>
  <c r="BV49" i="144"/>
  <c r="BF22" i="144"/>
  <c r="CA31" i="144"/>
  <c r="DB31" i="144" s="1"/>
  <c r="Z31" i="179" s="1"/>
  <c r="BH51" i="144"/>
  <c r="CI51" i="144" s="1"/>
  <c r="G51" i="179" s="1"/>
  <c r="BX21" i="144"/>
  <c r="BM47" i="144"/>
  <c r="L47" i="144" s="1"/>
  <c r="BT29" i="144"/>
  <c r="CU29" i="144" s="1"/>
  <c r="S29" i="179" s="1"/>
  <c r="BK11" i="144"/>
  <c r="BZ31" i="144"/>
  <c r="BQ20" i="144"/>
  <c r="CR20" i="144" s="1"/>
  <c r="P20" i="179" s="1"/>
  <c r="BX25" i="144"/>
  <c r="W25" i="144" s="1"/>
  <c r="BQ28" i="144"/>
  <c r="P28" i="144" s="1"/>
  <c r="BP31" i="144"/>
  <c r="BG25" i="144"/>
  <c r="BX32" i="144"/>
  <c r="BO41" i="144"/>
  <c r="CP41" i="144" s="1"/>
  <c r="N41" i="179" s="1"/>
  <c r="BL21" i="144"/>
  <c r="BL46" i="144"/>
  <c r="CA6" i="144"/>
  <c r="BX40" i="144"/>
  <c r="CY40" i="144" s="1"/>
  <c r="W40" i="179" s="1"/>
  <c r="BD8" i="144"/>
  <c r="BV37" i="144"/>
  <c r="BK39" i="144"/>
  <c r="BY6" i="144"/>
  <c r="CZ6" i="144" s="1"/>
  <c r="X6" i="179" s="1"/>
  <c r="BG21" i="144"/>
  <c r="BI21" i="144"/>
  <c r="BP14" i="144"/>
  <c r="CQ14" i="144" s="1"/>
  <c r="O14" i="179" s="1"/>
  <c r="BD13" i="144"/>
  <c r="C13" i="144" s="1"/>
  <c r="BF41" i="144"/>
  <c r="BP45" i="144"/>
  <c r="BK45" i="144"/>
  <c r="J45" i="144" s="1"/>
  <c r="BF39" i="144"/>
  <c r="CG39" i="144" s="1"/>
  <c r="E39" i="179" s="1"/>
  <c r="BW26" i="144"/>
  <c r="BD40" i="144"/>
  <c r="BR22" i="144"/>
  <c r="BQ25" i="144"/>
  <c r="P25" i="144" s="1"/>
  <c r="BF6" i="144"/>
  <c r="BF33" i="144"/>
  <c r="BF27" i="144"/>
  <c r="BY15" i="144"/>
  <c r="CZ15" i="144" s="1"/>
  <c r="X15" i="179" s="1"/>
  <c r="BZ44" i="144"/>
  <c r="BG35" i="144"/>
  <c r="BR32" i="144"/>
  <c r="Q32" i="144" s="1"/>
  <c r="BX16" i="144"/>
  <c r="CY16" i="144" s="1"/>
  <c r="W16" i="179" s="1"/>
  <c r="BX30" i="144"/>
  <c r="BT18" i="144"/>
  <c r="BP32" i="144"/>
  <c r="CQ32" i="144" s="1"/>
  <c r="O32" i="179" s="1"/>
  <c r="BP21" i="144"/>
  <c r="O21" i="144" s="1"/>
  <c r="BX48" i="144"/>
  <c r="BL14" i="144"/>
  <c r="BQ29" i="144"/>
  <c r="BZ19" i="144"/>
  <c r="DA19" i="144" s="1"/>
  <c r="Y19" i="179" s="1"/>
  <c r="BG6" i="144"/>
  <c r="BN24" i="144"/>
  <c r="BI6" i="144"/>
  <c r="BE30" i="144"/>
  <c r="CF30" i="144" s="1"/>
  <c r="D30" i="179" s="1"/>
  <c r="BE41" i="144"/>
  <c r="BZ41" i="144"/>
  <c r="BM33" i="144"/>
  <c r="L33" i="144" s="1"/>
  <c r="BU27" i="144"/>
  <c r="CV27" i="144" s="1"/>
  <c r="T27" i="179" s="1"/>
  <c r="BS14" i="144"/>
  <c r="BJ52" i="144"/>
  <c r="BS33" i="144"/>
  <c r="CT33" i="144" s="1"/>
  <c r="R33" i="179" s="1"/>
  <c r="BI8" i="144"/>
  <c r="CJ8" i="144" s="1"/>
  <c r="H8" i="179" s="1"/>
  <c r="BJ26" i="144"/>
  <c r="CA17" i="144"/>
  <c r="BM14" i="144"/>
  <c r="BN5" i="144"/>
  <c r="CO5" i="144" s="1"/>
  <c r="M5" i="179" s="1"/>
  <c r="BK50" i="144"/>
  <c r="BM31" i="144"/>
  <c r="BO11" i="144"/>
  <c r="BD6" i="144"/>
  <c r="CE6" i="144" s="1"/>
  <c r="C6" i="179" s="1"/>
  <c r="BT47" i="144"/>
  <c r="BC35" i="144"/>
  <c r="BM5" i="144"/>
  <c r="L5" i="144" s="1"/>
  <c r="L5" i="160" s="1"/>
  <c r="BW5" i="144"/>
  <c r="V5" i="144" s="1"/>
  <c r="V5" i="160" s="1"/>
  <c r="BD11" i="144"/>
  <c r="BY12" i="144"/>
  <c r="CZ12" i="144" s="1"/>
  <c r="X12" i="179" s="1"/>
  <c r="CA47" i="144"/>
  <c r="Z47" i="144" s="1"/>
  <c r="BT27" i="144"/>
  <c r="BS32" i="144"/>
  <c r="BE29" i="144"/>
  <c r="BP39" i="144"/>
  <c r="CQ39" i="144" s="1"/>
  <c r="O39" i="179" s="1"/>
  <c r="BX22" i="144"/>
  <c r="W22" i="144" s="1"/>
  <c r="BX6" i="144"/>
  <c r="BH26" i="144"/>
  <c r="CI26" i="144" s="1"/>
  <c r="G26" i="179" s="1"/>
  <c r="BV50" i="144"/>
  <c r="U50" i="144" s="1"/>
  <c r="BF29" i="144"/>
  <c r="BI7" i="144"/>
  <c r="BQ38" i="144"/>
  <c r="P38" i="144" s="1"/>
  <c r="BS47" i="144"/>
  <c r="CT47" i="144" s="1"/>
  <c r="R47" i="179" s="1"/>
  <c r="BF16" i="144"/>
  <c r="E16" i="144" s="1"/>
  <c r="BC31" i="144"/>
  <c r="BF44" i="144"/>
  <c r="CA45" i="144"/>
  <c r="BQ26" i="144"/>
  <c r="BQ45" i="144"/>
  <c r="BK40" i="144"/>
  <c r="BW39" i="144"/>
  <c r="V39" i="144" s="1"/>
  <c r="BX18" i="144"/>
  <c r="CY18" i="144" s="1"/>
  <c r="W18" i="179" s="1"/>
  <c r="BU40" i="144"/>
  <c r="BX37" i="144"/>
  <c r="W37" i="144" s="1"/>
  <c r="BC22" i="144"/>
  <c r="BK44" i="144"/>
  <c r="BY46" i="144"/>
  <c r="BI11" i="144"/>
  <c r="BH18" i="144"/>
  <c r="G18" i="144" s="1"/>
  <c r="BY48" i="144"/>
  <c r="CZ48" i="144" s="1"/>
  <c r="X48" i="179" s="1"/>
  <c r="BO44" i="144"/>
  <c r="BN52" i="144"/>
  <c r="BK18" i="144"/>
  <c r="BL7" i="144"/>
  <c r="BV45" i="144"/>
  <c r="BC12" i="144"/>
  <c r="BC11" i="144"/>
  <c r="B11" i="144" s="1"/>
  <c r="BL44" i="144"/>
  <c r="CM44" i="144" s="1"/>
  <c r="K44" i="179" s="1"/>
  <c r="BC39" i="144"/>
  <c r="BQ27" i="144"/>
  <c r="CR27" i="144" s="1"/>
  <c r="P27" i="179" s="1"/>
  <c r="BF7" i="144"/>
  <c r="BC51" i="144"/>
  <c r="BL29" i="144"/>
  <c r="BG36" i="144"/>
  <c r="BI15" i="144"/>
  <c r="CJ15" i="144" s="1"/>
  <c r="H15" i="179" s="1"/>
  <c r="BE15" i="144"/>
  <c r="D15" i="144" s="1"/>
  <c r="BH49" i="144"/>
  <c r="BY38" i="144"/>
  <c r="BK27" i="144"/>
  <c r="BK7" i="144"/>
  <c r="BJ9" i="144"/>
  <c r="CA24" i="144"/>
  <c r="BV36" i="144"/>
  <c r="BZ17" i="144"/>
  <c r="DA17" i="144" s="1"/>
  <c r="Y17" i="179" s="1"/>
  <c r="BM19" i="144"/>
  <c r="BZ36" i="144"/>
  <c r="BQ14" i="144"/>
  <c r="BG7" i="144"/>
  <c r="BC36" i="144"/>
  <c r="BM12" i="144"/>
  <c r="L12" i="144" s="1"/>
  <c r="BW24" i="144"/>
  <c r="BT7" i="144"/>
  <c r="S7" i="144" s="1"/>
  <c r="BN12" i="144"/>
  <c r="BT49" i="144"/>
  <c r="BC8" i="144"/>
  <c r="CD8" i="144" s="1"/>
  <c r="B8" i="179" s="1"/>
  <c r="BR50" i="144"/>
  <c r="BW48" i="144"/>
  <c r="BQ36" i="144"/>
  <c r="BO5" i="144"/>
  <c r="BQ7" i="144"/>
  <c r="CR7" i="144" s="1"/>
  <c r="P7" i="179" s="1"/>
  <c r="BD47" i="144"/>
  <c r="BV7" i="144"/>
  <c r="CW7" i="144" s="1"/>
  <c r="U7" i="179" s="1"/>
  <c r="BI51" i="144"/>
  <c r="BS7" i="144"/>
  <c r="BU24" i="144"/>
  <c r="BE36" i="144"/>
  <c r="BY31" i="144"/>
  <c r="CZ31" i="144" s="1"/>
  <c r="X31" i="179" s="1"/>
  <c r="BC48" i="144"/>
  <c r="B48" i="144" s="1"/>
  <c r="BL28" i="144"/>
  <c r="BW33" i="144"/>
  <c r="BM24" i="144"/>
  <c r="L24" i="144" s="1"/>
  <c r="BG47" i="144"/>
  <c r="BE19" i="144"/>
  <c r="BY40" i="144"/>
  <c r="BI19" i="144"/>
  <c r="CJ19" i="144" s="1"/>
  <c r="H19" i="179" s="1"/>
  <c r="BC41" i="144"/>
  <c r="B41" i="144" s="1"/>
  <c r="BD50" i="144"/>
  <c r="BE6" i="144"/>
  <c r="D6" i="144" s="1"/>
  <c r="D6" i="160" s="1"/>
  <c r="BL24" i="144"/>
  <c r="CM24" i="144" s="1"/>
  <c r="K24" i="179" s="1"/>
  <c r="BY16" i="144"/>
  <c r="BN33" i="144"/>
  <c r="BJ45" i="144"/>
  <c r="I45" i="144" s="1"/>
  <c r="BY11" i="144"/>
  <c r="CZ11" i="144" s="1"/>
  <c r="X11" i="179" s="1"/>
  <c r="BS6" i="144"/>
  <c r="R6" i="144" s="1"/>
  <c r="R6" i="160" s="1"/>
  <c r="BW14" i="144"/>
  <c r="BU35" i="144"/>
  <c r="T35" i="144" s="1"/>
  <c r="T35" i="160" s="1"/>
  <c r="BT17" i="144"/>
  <c r="S17" i="144" s="1"/>
  <c r="BJ25" i="144"/>
  <c r="BX7" i="144"/>
  <c r="BT22" i="144"/>
  <c r="BO33" i="144"/>
  <c r="BD33" i="144"/>
  <c r="CE33" i="144" s="1"/>
  <c r="C33" i="179" s="1"/>
  <c r="BS46" i="144"/>
  <c r="BZ22" i="144"/>
  <c r="BM40" i="144"/>
  <c r="L40" i="144" s="1"/>
  <c r="BR18" i="144"/>
  <c r="BG20" i="144"/>
  <c r="CA21" i="144"/>
  <c r="BY9" i="144"/>
  <c r="CZ9" i="144" s="1"/>
  <c r="X9" i="179" s="1"/>
  <c r="BH40" i="144"/>
  <c r="G40" i="144" s="1"/>
  <c r="BY52" i="144"/>
  <c r="BN14" i="144"/>
  <c r="BF9" i="144"/>
  <c r="E9" i="144" s="1"/>
  <c r="BC13" i="144"/>
  <c r="BV16" i="144"/>
  <c r="BV12" i="144"/>
  <c r="BG49" i="144"/>
  <c r="F49" i="144" s="1"/>
  <c r="BS5" i="144"/>
  <c r="CT5" i="144" s="1"/>
  <c r="R5" i="179" s="1"/>
  <c r="BL39" i="144"/>
  <c r="BE33" i="144"/>
  <c r="BI41" i="144"/>
  <c r="H41" i="144" s="1"/>
  <c r="BW15" i="144"/>
  <c r="BG41" i="144"/>
  <c r="BP16" i="144"/>
  <c r="BM29" i="144"/>
  <c r="L29" i="144" s="1"/>
  <c r="BV19" i="144"/>
  <c r="U19" i="144" s="1"/>
  <c r="BK8" i="144"/>
  <c r="BV9" i="144"/>
  <c r="BP9" i="144"/>
  <c r="O9" i="144" s="1"/>
  <c r="BK52" i="144"/>
  <c r="BP30" i="144"/>
  <c r="BE48" i="144"/>
  <c r="BP19" i="144"/>
  <c r="O19" i="144" s="1"/>
  <c r="BC14" i="144"/>
  <c r="CD14" i="144" s="1"/>
  <c r="B14" i="179" s="1"/>
  <c r="BK37" i="144"/>
  <c r="BP48" i="144"/>
  <c r="BP41" i="144"/>
  <c r="CQ41" i="144" s="1"/>
  <c r="O41" i="179" s="1"/>
  <c r="BO22" i="144"/>
  <c r="BT8" i="144"/>
  <c r="BK13" i="144"/>
  <c r="BH25" i="144"/>
  <c r="BJ27" i="144"/>
  <c r="CK27" i="144" s="1"/>
  <c r="I27" i="179" s="1"/>
  <c r="BE21" i="144"/>
  <c r="BK10" i="144"/>
  <c r="BF47" i="144"/>
  <c r="BT25" i="144"/>
  <c r="BZ26" i="144"/>
  <c r="BO6" i="144"/>
  <c r="BZ9" i="144"/>
  <c r="BV30" i="144"/>
  <c r="CW30" i="144" s="1"/>
  <c r="U30" i="179" s="1"/>
  <c r="BS8" i="144"/>
  <c r="BM10" i="144"/>
  <c r="BP10" i="144"/>
  <c r="BN31" i="144"/>
  <c r="BZ20" i="144"/>
  <c r="BT19" i="144"/>
  <c r="BQ31" i="144"/>
  <c r="CA30" i="144"/>
  <c r="DB30" i="144" s="1"/>
  <c r="Z30" i="179" s="1"/>
  <c r="BJ29" i="144"/>
  <c r="BS20" i="144"/>
  <c r="R20" i="144" s="1"/>
  <c r="BH39" i="144"/>
  <c r="BU11" i="144"/>
  <c r="BU20" i="144"/>
  <c r="CA15" i="144"/>
  <c r="BC44" i="144"/>
  <c r="CD44" i="144" s="1"/>
  <c r="B44" i="179" s="1"/>
  <c r="BY7" i="144"/>
  <c r="CZ7" i="144" s="1"/>
  <c r="X7" i="179" s="1"/>
  <c r="BC37" i="144"/>
  <c r="BF24" i="144"/>
  <c r="BW11" i="144"/>
  <c r="V11" i="144" s="1"/>
  <c r="BQ8" i="144"/>
  <c r="BS39" i="144"/>
  <c r="BZ5" i="144"/>
  <c r="BY44" i="144"/>
  <c r="CZ44" i="144" s="1"/>
  <c r="X44" i="179" s="1"/>
  <c r="CA18" i="144"/>
  <c r="DB18" i="144" s="1"/>
  <c r="Z18" i="179" s="1"/>
  <c r="BJ24" i="144"/>
  <c r="BQ49" i="144"/>
  <c r="BT14" i="144"/>
  <c r="S14" i="144" s="1"/>
  <c r="BY32" i="144"/>
  <c r="BL26" i="144"/>
  <c r="BT31" i="144"/>
  <c r="BC50" i="144"/>
  <c r="B50" i="144" s="1"/>
  <c r="BJ16" i="144"/>
  <c r="I16" i="144" s="1"/>
  <c r="BP50" i="144"/>
  <c r="BJ10" i="144"/>
  <c r="BH7" i="144"/>
  <c r="CI7" i="144" s="1"/>
  <c r="G7" i="179" s="1"/>
  <c r="BW12" i="144"/>
  <c r="BF36" i="144"/>
  <c r="BZ27" i="144"/>
  <c r="Y27" i="144" s="1"/>
  <c r="CA10" i="144"/>
  <c r="DB10" i="144" s="1"/>
  <c r="Z10" i="179" s="1"/>
  <c r="BP24" i="144"/>
  <c r="CQ24" i="144" s="1"/>
  <c r="O24" i="179" s="1"/>
  <c r="BC30" i="144"/>
  <c r="BE24" i="144"/>
  <c r="BL8" i="144"/>
  <c r="CM8" i="144" s="1"/>
  <c r="K8" i="179" s="1"/>
  <c r="BN7" i="144"/>
  <c r="BP7" i="144"/>
  <c r="BQ50" i="144"/>
  <c r="BS24" i="144"/>
  <c r="CT24" i="144" s="1"/>
  <c r="R24" i="179" s="1"/>
  <c r="BV11" i="144"/>
  <c r="U11" i="144" s="1"/>
  <c r="CA50" i="144"/>
  <c r="BH14" i="144"/>
  <c r="BM45" i="144"/>
  <c r="CN45" i="144" s="1"/>
  <c r="L45" i="179" s="1"/>
  <c r="BS41" i="144"/>
  <c r="BK17" i="144"/>
  <c r="BC9" i="144"/>
  <c r="BC10" i="144"/>
  <c r="B10" i="144" s="1"/>
  <c r="BH27" i="144"/>
  <c r="CI27" i="144" s="1"/>
  <c r="G27" i="179" s="1"/>
  <c r="BI32" i="144"/>
  <c r="BJ36" i="144"/>
  <c r="BZ28" i="144"/>
  <c r="Y28" i="144" s="1"/>
  <c r="BH48" i="144"/>
  <c r="BX19" i="144"/>
  <c r="W19" i="144" s="1"/>
  <c r="BQ18" i="144"/>
  <c r="BH24" i="144"/>
  <c r="BM22" i="144"/>
  <c r="L22" i="144" s="1"/>
  <c r="BW19" i="144"/>
  <c r="BE10" i="144"/>
  <c r="BK20" i="144"/>
  <c r="J20" i="144" s="1"/>
  <c r="BH31" i="144"/>
  <c r="BL20" i="144"/>
  <c r="BS18" i="144"/>
  <c r="BZ46" i="144"/>
  <c r="DA46" i="144" s="1"/>
  <c r="Y46" i="179" s="1"/>
  <c r="CA26" i="144"/>
  <c r="DB26" i="144" s="1"/>
  <c r="Z26" i="179" s="1"/>
  <c r="CA40" i="144"/>
  <c r="BN11" i="144"/>
  <c r="BS9" i="144"/>
  <c r="CT9" i="144" s="1"/>
  <c r="R9" i="179" s="1"/>
  <c r="BH13" i="144"/>
  <c r="BM30" i="144"/>
  <c r="BY8" i="144"/>
  <c r="CA39" i="144"/>
  <c r="DB39" i="144" s="1"/>
  <c r="Z39" i="179" s="1"/>
  <c r="BY41" i="144"/>
  <c r="X41" i="144" s="1"/>
  <c r="BD52" i="144"/>
  <c r="BW27" i="144"/>
  <c r="CX27" i="144" s="1"/>
  <c r="V27" i="179" s="1"/>
  <c r="BS40" i="144"/>
  <c r="CT40" i="144" s="1"/>
  <c r="R40" i="179" s="1"/>
  <c r="BV17" i="144"/>
  <c r="BV13" i="144"/>
  <c r="BK33" i="144"/>
  <c r="BV52" i="144"/>
  <c r="U52" i="144" s="1"/>
  <c r="BN46" i="144"/>
  <c r="CO46" i="144" s="1"/>
  <c r="M46" i="179" s="1"/>
  <c r="BK14" i="144"/>
  <c r="BU21" i="144"/>
  <c r="BR15" i="144"/>
  <c r="CS15" i="144" s="1"/>
  <c r="Q15" i="179" s="1"/>
  <c r="BT46" i="144"/>
  <c r="BR48" i="144"/>
  <c r="BH28" i="144"/>
  <c r="BX44" i="144"/>
  <c r="W44" i="144" s="1"/>
  <c r="BX20" i="144"/>
  <c r="W20" i="144" s="1"/>
  <c r="BK19" i="144"/>
  <c r="BX38" i="144"/>
  <c r="BD18" i="144"/>
  <c r="BN39" i="144"/>
  <c r="BW38" i="144"/>
  <c r="BD39" i="144"/>
  <c r="BG26" i="144"/>
  <c r="F26" i="144" s="1"/>
  <c r="BQ41" i="144"/>
  <c r="P41" i="144" s="1"/>
  <c r="BH15" i="144"/>
  <c r="BS12" i="144"/>
  <c r="BL48" i="144"/>
  <c r="BM38" i="144"/>
  <c r="BV22" i="144"/>
  <c r="BZ38" i="144"/>
  <c r="BT45" i="144"/>
  <c r="BS52" i="144"/>
  <c r="CT52" i="144" s="1"/>
  <c r="R52" i="179" s="1"/>
  <c r="BX17" i="144"/>
  <c r="BR20" i="144"/>
  <c r="BR39" i="144"/>
  <c r="BQ16" i="144"/>
  <c r="BF11" i="144"/>
  <c r="BZ52" i="144"/>
  <c r="Y52" i="144" s="1"/>
  <c r="U5" i="144"/>
  <c r="U5" i="160" s="1"/>
  <c r="Q7" i="144"/>
  <c r="CS7" i="144"/>
  <c r="Q7" i="179" s="1"/>
  <c r="N24" i="144"/>
  <c r="CY19" i="144"/>
  <c r="W19" i="179" s="1"/>
  <c r="CK31" i="144"/>
  <c r="I31" i="179" s="1"/>
  <c r="I31" i="144"/>
  <c r="R36" i="144"/>
  <c r="CY47" i="144"/>
  <c r="W47" i="179" s="1"/>
  <c r="W47" i="144"/>
  <c r="B29" i="144"/>
  <c r="CD29" i="144"/>
  <c r="B29" i="179" s="1"/>
  <c r="S16" i="144"/>
  <c r="CU16" i="144"/>
  <c r="S16" i="179" s="1"/>
  <c r="CV5" i="144"/>
  <c r="T5" i="179" s="1"/>
  <c r="T5" i="144"/>
  <c r="T5" i="160" s="1"/>
  <c r="U40" i="144"/>
  <c r="CW40" i="144"/>
  <c r="U40" i="179" s="1"/>
  <c r="CX8" i="144"/>
  <c r="V8" i="179" s="1"/>
  <c r="L26" i="144"/>
  <c r="M20" i="144"/>
  <c r="CO20" i="144"/>
  <c r="M20" i="179" s="1"/>
  <c r="CX38" i="144"/>
  <c r="V38" i="179" s="1"/>
  <c r="V38" i="144"/>
  <c r="CY10" i="144"/>
  <c r="W10" i="179" s="1"/>
  <c r="W10" i="144"/>
  <c r="L36" i="144"/>
  <c r="CI11" i="144"/>
  <c r="G11" i="179" s="1"/>
  <c r="G11" i="144"/>
  <c r="CH20" i="144"/>
  <c r="F20" i="179" s="1"/>
  <c r="F20" i="144"/>
  <c r="S47" i="144"/>
  <c r="CU47" i="144"/>
  <c r="S47" i="179" s="1"/>
  <c r="J50" i="144"/>
  <c r="CL50" i="144"/>
  <c r="J50" i="179" s="1"/>
  <c r="CK26" i="144"/>
  <c r="I26" i="179" s="1"/>
  <c r="I26" i="144"/>
  <c r="H8" i="144"/>
  <c r="R14" i="144"/>
  <c r="CT14" i="144"/>
  <c r="R14" i="179" s="1"/>
  <c r="D41" i="144"/>
  <c r="CF41" i="144"/>
  <c r="D41" i="179" s="1"/>
  <c r="D30" i="144"/>
  <c r="CH6" i="144"/>
  <c r="F6" i="179" s="1"/>
  <c r="F6" i="144"/>
  <c r="F6" i="160" s="1"/>
  <c r="CY48" i="144"/>
  <c r="W48" i="179" s="1"/>
  <c r="W48" i="144"/>
  <c r="CQ21" i="144"/>
  <c r="O21" i="179" s="1"/>
  <c r="W30" i="144"/>
  <c r="CY30" i="144"/>
  <c r="W30" i="179" s="1"/>
  <c r="DA44" i="144"/>
  <c r="Y44" i="179" s="1"/>
  <c r="Y44" i="144"/>
  <c r="X15" i="144"/>
  <c r="CG6" i="144"/>
  <c r="E6" i="179" s="1"/>
  <c r="E6" i="144"/>
  <c r="E6" i="160" s="1"/>
  <c r="CX26" i="144"/>
  <c r="V26" i="179" s="1"/>
  <c r="V26" i="144"/>
  <c r="E39" i="144"/>
  <c r="CG41" i="144"/>
  <c r="E41" i="179" s="1"/>
  <c r="E41" i="144"/>
  <c r="CH21" i="144"/>
  <c r="F21" i="179" s="1"/>
  <c r="F21" i="144"/>
  <c r="X6" i="144"/>
  <c r="X6" i="160" s="1"/>
  <c r="CE8" i="144"/>
  <c r="C8" i="179" s="1"/>
  <c r="C8" i="144"/>
  <c r="CM21" i="144"/>
  <c r="K21" i="179" s="1"/>
  <c r="K21" i="144"/>
  <c r="N41" i="144"/>
  <c r="F9" i="144"/>
  <c r="CH9" i="144"/>
  <c r="F9" i="179" s="1"/>
  <c r="CY39" i="144"/>
  <c r="W39" i="179" s="1"/>
  <c r="W39" i="144"/>
  <c r="H44" i="144"/>
  <c r="CJ44" i="144"/>
  <c r="H44" i="179" s="1"/>
  <c r="I41" i="144"/>
  <c r="CK41" i="144"/>
  <c r="I41" i="179" s="1"/>
  <c r="CY46" i="144"/>
  <c r="W46" i="179" s="1"/>
  <c r="W46" i="144"/>
  <c r="CI44" i="144"/>
  <c r="G44" i="179" s="1"/>
  <c r="G44" i="144"/>
  <c r="R19" i="144"/>
  <c r="CT19" i="144"/>
  <c r="R19" i="179" s="1"/>
  <c r="CV48" i="144"/>
  <c r="T48" i="179" s="1"/>
  <c r="T48" i="144"/>
  <c r="CM32" i="144"/>
  <c r="K32" i="179" s="1"/>
  <c r="K32" i="144"/>
  <c r="CL12" i="144"/>
  <c r="J12" i="179" s="1"/>
  <c r="J12" i="144"/>
  <c r="CH37" i="144"/>
  <c r="F37" i="179" s="1"/>
  <c r="F37" i="144"/>
  <c r="U29" i="144"/>
  <c r="CN21" i="144"/>
  <c r="L21" i="179" s="1"/>
  <c r="L21" i="144"/>
  <c r="T13" i="144"/>
  <c r="CV13" i="144"/>
  <c r="T13" i="179" s="1"/>
  <c r="CL38" i="144"/>
  <c r="J38" i="179" s="1"/>
  <c r="J38" i="144"/>
  <c r="G46" i="144"/>
  <c r="CI46" i="144"/>
  <c r="G46" i="179" s="1"/>
  <c r="CV33" i="144"/>
  <c r="T33" i="179" s="1"/>
  <c r="T33" i="144"/>
  <c r="CT21" i="144"/>
  <c r="R21" i="179" s="1"/>
  <c r="R21" i="144"/>
  <c r="DA30" i="144"/>
  <c r="Y30" i="179" s="1"/>
  <c r="Y30" i="144"/>
  <c r="K30" i="144"/>
  <c r="CM30" i="144"/>
  <c r="K30" i="179" s="1"/>
  <c r="N39" i="144"/>
  <c r="CP39" i="144"/>
  <c r="N39" i="179" s="1"/>
  <c r="L25" i="144"/>
  <c r="CN25" i="144"/>
  <c r="L25" i="179" s="1"/>
  <c r="F17" i="144"/>
  <c r="CH17" i="144"/>
  <c r="F17" i="179" s="1"/>
  <c r="CY29" i="144"/>
  <c r="W29" i="179" s="1"/>
  <c r="W29" i="144"/>
  <c r="CT38" i="144"/>
  <c r="R38" i="179" s="1"/>
  <c r="R38" i="144"/>
  <c r="CN17" i="144"/>
  <c r="L17" i="179" s="1"/>
  <c r="L17" i="144"/>
  <c r="CJ13" i="144"/>
  <c r="H13" i="179" s="1"/>
  <c r="H13" i="144"/>
  <c r="G50" i="144"/>
  <c r="CI50" i="144"/>
  <c r="G50" i="179" s="1"/>
  <c r="CK12" i="144"/>
  <c r="I12" i="179" s="1"/>
  <c r="I12" i="144"/>
  <c r="T14" i="144"/>
  <c r="CV14" i="144"/>
  <c r="T14" i="179" s="1"/>
  <c r="Y13" i="144"/>
  <c r="H29" i="144"/>
  <c r="CJ29" i="144"/>
  <c r="H29" i="179" s="1"/>
  <c r="CI41" i="144"/>
  <c r="G41" i="179" s="1"/>
  <c r="G41" i="144"/>
  <c r="CT27" i="144"/>
  <c r="R27" i="179" s="1"/>
  <c r="R27" i="144"/>
  <c r="CX44" i="144"/>
  <c r="V44" i="179" s="1"/>
  <c r="CS6" i="144"/>
  <c r="Q6" i="179" s="1"/>
  <c r="Q6" i="144"/>
  <c r="Q6" i="160" s="1"/>
  <c r="CS10" i="144"/>
  <c r="Q10" i="179" s="1"/>
  <c r="Q10" i="144"/>
  <c r="CP47" i="144"/>
  <c r="N47" i="179" s="1"/>
  <c r="N47" i="144"/>
  <c r="H40" i="144"/>
  <c r="CJ40" i="144"/>
  <c r="H40" i="179" s="1"/>
  <c r="C26" i="144"/>
  <c r="CE26" i="144"/>
  <c r="C26" i="179" s="1"/>
  <c r="CX17" i="144"/>
  <c r="V17" i="179" s="1"/>
  <c r="V17" i="144"/>
  <c r="CV17" i="144"/>
  <c r="T17" i="179" s="1"/>
  <c r="CP51" i="144"/>
  <c r="N51" i="179" s="1"/>
  <c r="N51" i="144"/>
  <c r="CM45" i="144"/>
  <c r="K45" i="179" s="1"/>
  <c r="F10" i="144"/>
  <c r="CH10" i="144"/>
  <c r="F10" i="179" s="1"/>
  <c r="CK22" i="144"/>
  <c r="I22" i="179" s="1"/>
  <c r="I22" i="144"/>
  <c r="CL28" i="144"/>
  <c r="J28" i="179" s="1"/>
  <c r="J28" i="144"/>
  <c r="Z44" i="144"/>
  <c r="CM10" i="144"/>
  <c r="K10" i="179" s="1"/>
  <c r="K10" i="144"/>
  <c r="Q27" i="144"/>
  <c r="CS27" i="144"/>
  <c r="Q27" i="179" s="1"/>
  <c r="CH19" i="144"/>
  <c r="F19" i="179" s="1"/>
  <c r="F19" i="144"/>
  <c r="CK17" i="144"/>
  <c r="I17" i="179" s="1"/>
  <c r="CQ15" i="144"/>
  <c r="O15" i="179" s="1"/>
  <c r="O15" i="144"/>
  <c r="CI12" i="144"/>
  <c r="G12" i="179" s="1"/>
  <c r="G12" i="144"/>
  <c r="M47" i="144"/>
  <c r="CO47" i="144"/>
  <c r="M47" i="179" s="1"/>
  <c r="O5" i="144"/>
  <c r="O5" i="160" s="1"/>
  <c r="T22" i="144"/>
  <c r="CV22" i="144"/>
  <c r="T22" i="179" s="1"/>
  <c r="CM50" i="144"/>
  <c r="K50" i="179" s="1"/>
  <c r="K50" i="144"/>
  <c r="DA8" i="144"/>
  <c r="Y8" i="179" s="1"/>
  <c r="CK8" i="144"/>
  <c r="I8" i="179" s="1"/>
  <c r="I8" i="144"/>
  <c r="CD16" i="144"/>
  <c r="B16" i="179" s="1"/>
  <c r="B16" i="144"/>
  <c r="CD6" i="144"/>
  <c r="B6" i="179" s="1"/>
  <c r="B6" i="144"/>
  <c r="B6" i="160" s="1"/>
  <c r="CN18" i="144"/>
  <c r="L18" i="179" s="1"/>
  <c r="L18" i="144"/>
  <c r="K38" i="144"/>
  <c r="CM38" i="144"/>
  <c r="K38" i="179" s="1"/>
  <c r="Y39" i="144"/>
  <c r="DA39" i="144"/>
  <c r="Y39" i="179" s="1"/>
  <c r="CS46" i="144"/>
  <c r="Q46" i="179" s="1"/>
  <c r="Q46" i="144"/>
  <c r="CD17" i="144"/>
  <c r="B17" i="179" s="1"/>
  <c r="B17" i="144"/>
  <c r="CV36" i="144"/>
  <c r="T36" i="179" s="1"/>
  <c r="T36" i="144"/>
  <c r="CZ19" i="144"/>
  <c r="X19" i="179" s="1"/>
  <c r="X19" i="144"/>
  <c r="CQ28" i="144"/>
  <c r="O28" i="179" s="1"/>
  <c r="O28" i="144"/>
  <c r="X36" i="144"/>
  <c r="CZ36" i="144"/>
  <c r="X36" i="179" s="1"/>
  <c r="J6" i="144"/>
  <c r="J6" i="160" s="1"/>
  <c r="CL6" i="144"/>
  <c r="J6" i="179" s="1"/>
  <c r="DB49" i="144"/>
  <c r="Z49" i="179" s="1"/>
  <c r="Z49" i="144"/>
  <c r="CY7" i="144"/>
  <c r="W7" i="179" s="1"/>
  <c r="W7" i="144"/>
  <c r="H32" i="144"/>
  <c r="CJ32" i="144"/>
  <c r="H32" i="179" s="1"/>
  <c r="CT46" i="144"/>
  <c r="R46" i="179" s="1"/>
  <c r="R46" i="144"/>
  <c r="CI48" i="144"/>
  <c r="G48" i="179" s="1"/>
  <c r="G48" i="144"/>
  <c r="E51" i="144"/>
  <c r="CG51" i="144"/>
  <c r="E51" i="179" s="1"/>
  <c r="CP8" i="144"/>
  <c r="N8" i="179" s="1"/>
  <c r="N8" i="144"/>
  <c r="H14" i="144"/>
  <c r="CJ14" i="144"/>
  <c r="H14" i="179" s="1"/>
  <c r="CP36" i="144"/>
  <c r="N36" i="179" s="1"/>
  <c r="N36" i="144"/>
  <c r="CM9" i="144"/>
  <c r="K9" i="179" s="1"/>
  <c r="K9" i="144"/>
  <c r="CG40" i="144"/>
  <c r="E40" i="179" s="1"/>
  <c r="E40" i="144"/>
  <c r="CS16" i="144"/>
  <c r="Q16" i="179" s="1"/>
  <c r="X49" i="144"/>
  <c r="CZ49" i="144"/>
  <c r="X49" i="179" s="1"/>
  <c r="Y37" i="144"/>
  <c r="DA37" i="144"/>
  <c r="Y37" i="179" s="1"/>
  <c r="X18" i="144"/>
  <c r="CZ18" i="144"/>
  <c r="X18" i="179" s="1"/>
  <c r="CV26" i="144"/>
  <c r="T26" i="179" s="1"/>
  <c r="T26" i="144"/>
  <c r="CZ45" i="144"/>
  <c r="X45" i="179" s="1"/>
  <c r="X45" i="144"/>
  <c r="CO16" i="144"/>
  <c r="M16" i="179" s="1"/>
  <c r="M16" i="144"/>
  <c r="CF31" i="144"/>
  <c r="D31" i="179" s="1"/>
  <c r="CP38" i="144"/>
  <c r="N38" i="179" s="1"/>
  <c r="N38" i="144"/>
  <c r="D51" i="144"/>
  <c r="CF51" i="144"/>
  <c r="D51" i="179" s="1"/>
  <c r="CL19" i="144"/>
  <c r="J19" i="179" s="1"/>
  <c r="J19" i="144"/>
  <c r="CY41" i="144"/>
  <c r="W41" i="179" s="1"/>
  <c r="W41" i="144"/>
  <c r="CF21" i="144"/>
  <c r="D21" i="179" s="1"/>
  <c r="D21" i="144"/>
  <c r="CO39" i="144"/>
  <c r="M39" i="179" s="1"/>
  <c r="M39" i="144"/>
  <c r="CV16" i="144"/>
  <c r="T16" i="179" s="1"/>
  <c r="T16" i="144"/>
  <c r="S25" i="144"/>
  <c r="CU25" i="144"/>
  <c r="S25" i="179" s="1"/>
  <c r="CS38" i="144"/>
  <c r="Q38" i="179" s="1"/>
  <c r="Q38" i="144"/>
  <c r="CK18" i="144"/>
  <c r="I18" i="179" s="1"/>
  <c r="I18" i="144"/>
  <c r="CT26" i="144"/>
  <c r="R26" i="179" s="1"/>
  <c r="R26" i="144"/>
  <c r="CZ28" i="144"/>
  <c r="X28" i="179" s="1"/>
  <c r="W28" i="144"/>
  <c r="CY28" i="144"/>
  <c r="W28" i="179" s="1"/>
  <c r="CH8" i="144"/>
  <c r="F8" i="179" s="1"/>
  <c r="F8" i="144"/>
  <c r="CY33" i="144"/>
  <c r="W33" i="179" s="1"/>
  <c r="W33" i="144"/>
  <c r="CG20" i="144"/>
  <c r="E20" i="179" s="1"/>
  <c r="E20" i="144"/>
  <c r="CN52" i="144"/>
  <c r="L52" i="179" s="1"/>
  <c r="Q11" i="144"/>
  <c r="CS11" i="144"/>
  <c r="Q11" i="179" s="1"/>
  <c r="CH33" i="144"/>
  <c r="F33" i="179" s="1"/>
  <c r="F33" i="144"/>
  <c r="CV44" i="144"/>
  <c r="T44" i="179" s="1"/>
  <c r="T44" i="144"/>
  <c r="L49" i="144"/>
  <c r="CN49" i="144"/>
  <c r="L49" i="179" s="1"/>
  <c r="Y11" i="144"/>
  <c r="DA11" i="144"/>
  <c r="Y11" i="179" s="1"/>
  <c r="CH31" i="144"/>
  <c r="F31" i="179" s="1"/>
  <c r="F31" i="144"/>
  <c r="DB38" i="144"/>
  <c r="Z38" i="179" s="1"/>
  <c r="Z38" i="144"/>
  <c r="CT48" i="144"/>
  <c r="R48" i="179" s="1"/>
  <c r="R48" i="144"/>
  <c r="CD36" i="144"/>
  <c r="B36" i="179" s="1"/>
  <c r="B36" i="144"/>
  <c r="CS50" i="144"/>
  <c r="Q50" i="179" s="1"/>
  <c r="Q50" i="144"/>
  <c r="C47" i="144"/>
  <c r="CE47" i="144"/>
  <c r="C47" i="179" s="1"/>
  <c r="CT7" i="144"/>
  <c r="R7" i="179" s="1"/>
  <c r="R7" i="144"/>
  <c r="CM5" i="144"/>
  <c r="K5" i="179" s="1"/>
  <c r="CS40" i="144"/>
  <c r="Q40" i="179" s="1"/>
  <c r="Q40" i="144"/>
  <c r="M26" i="144"/>
  <c r="CO26" i="144"/>
  <c r="M26" i="179" s="1"/>
  <c r="CP50" i="144"/>
  <c r="N50" i="179" s="1"/>
  <c r="N50" i="144"/>
  <c r="CN9" i="144"/>
  <c r="L9" i="179" s="1"/>
  <c r="CY12" i="144"/>
  <c r="W12" i="179" s="1"/>
  <c r="W12" i="144"/>
  <c r="CQ36" i="144"/>
  <c r="O36" i="179" s="1"/>
  <c r="O36" i="144"/>
  <c r="O27" i="144"/>
  <c r="CQ27" i="144"/>
  <c r="O27" i="179" s="1"/>
  <c r="CD47" i="144"/>
  <c r="B47" i="179" s="1"/>
  <c r="B47" i="144"/>
  <c r="J9" i="144"/>
  <c r="CL9" i="144"/>
  <c r="J9" i="179" s="1"/>
  <c r="M29" i="144"/>
  <c r="CO29" i="144"/>
  <c r="M29" i="179" s="1"/>
  <c r="T38" i="144"/>
  <c r="CV38" i="144"/>
  <c r="T38" i="179" s="1"/>
  <c r="CZ22" i="144"/>
  <c r="X22" i="179" s="1"/>
  <c r="X22" i="144"/>
  <c r="CP7" i="144"/>
  <c r="N7" i="179" s="1"/>
  <c r="N7" i="144"/>
  <c r="Z51" i="144"/>
  <c r="DB51" i="144"/>
  <c r="Z51" i="179" s="1"/>
  <c r="CD52" i="144"/>
  <c r="B52" i="179" s="1"/>
  <c r="B52" i="144"/>
  <c r="B21" i="144"/>
  <c r="CD21" i="144"/>
  <c r="B21" i="179" s="1"/>
  <c r="CD24" i="144"/>
  <c r="B24" i="179" s="1"/>
  <c r="B24" i="144"/>
  <c r="CS24" i="144"/>
  <c r="Q24" i="179" s="1"/>
  <c r="Q24" i="144"/>
  <c r="CD20" i="144"/>
  <c r="B20" i="179" s="1"/>
  <c r="B20" i="144"/>
  <c r="D52" i="144"/>
  <c r="CF52" i="144"/>
  <c r="D52" i="179" s="1"/>
  <c r="CR5" i="144"/>
  <c r="P5" i="179" s="1"/>
  <c r="P5" i="144"/>
  <c r="P5" i="160" s="1"/>
  <c r="H12" i="144"/>
  <c r="CJ12" i="144"/>
  <c r="H12" i="179" s="1"/>
  <c r="G30" i="144"/>
  <c r="CI30" i="144"/>
  <c r="G30" i="179" s="1"/>
  <c r="CL5" i="144"/>
  <c r="J5" i="179" s="1"/>
  <c r="J5" i="144"/>
  <c r="J5" i="160" s="1"/>
  <c r="L8" i="144"/>
  <c r="CN8" i="144"/>
  <c r="L8" i="179" s="1"/>
  <c r="Z27" i="144"/>
  <c r="DB27" i="144"/>
  <c r="Z27" i="179" s="1"/>
  <c r="CL47" i="144"/>
  <c r="J47" i="179" s="1"/>
  <c r="J47" i="144"/>
  <c r="F48" i="144"/>
  <c r="CH48" i="144"/>
  <c r="F48" i="179" s="1"/>
  <c r="CS52" i="144"/>
  <c r="Q52" i="179" s="1"/>
  <c r="Q52" i="144"/>
  <c r="CQ50" i="144"/>
  <c r="O50" i="179" s="1"/>
  <c r="O50" i="144"/>
  <c r="CM28" i="144"/>
  <c r="K28" i="179" s="1"/>
  <c r="K28" i="144"/>
  <c r="CK9" i="144"/>
  <c r="I9" i="179" s="1"/>
  <c r="I9" i="144"/>
  <c r="CL7" i="144"/>
  <c r="J7" i="179" s="1"/>
  <c r="J7" i="144"/>
  <c r="CI49" i="144"/>
  <c r="G49" i="179" s="1"/>
  <c r="G49" i="144"/>
  <c r="CM29" i="144"/>
  <c r="K29" i="179" s="1"/>
  <c r="K29" i="144"/>
  <c r="CD51" i="144"/>
  <c r="B51" i="179" s="1"/>
  <c r="B51" i="144"/>
  <c r="CD39" i="144"/>
  <c r="B39" i="179" s="1"/>
  <c r="B39" i="144"/>
  <c r="U45" i="144"/>
  <c r="CW45" i="144"/>
  <c r="U45" i="179" s="1"/>
  <c r="CM7" i="144"/>
  <c r="K7" i="179" s="1"/>
  <c r="K7" i="144"/>
  <c r="CP44" i="144"/>
  <c r="N44" i="179" s="1"/>
  <c r="N44" i="144"/>
  <c r="CZ46" i="144"/>
  <c r="X46" i="179" s="1"/>
  <c r="X46" i="144"/>
  <c r="CL44" i="144"/>
  <c r="J44" i="179" s="1"/>
  <c r="J44" i="144"/>
  <c r="CV40" i="144"/>
  <c r="T40" i="179" s="1"/>
  <c r="T40" i="144"/>
  <c r="CR45" i="144"/>
  <c r="P45" i="179" s="1"/>
  <c r="P45" i="144"/>
  <c r="P26" i="144"/>
  <c r="CR26" i="144"/>
  <c r="P26" i="179" s="1"/>
  <c r="CD31" i="144"/>
  <c r="B31" i="179" s="1"/>
  <c r="B31" i="144"/>
  <c r="CK5" i="144"/>
  <c r="I5" i="179" s="1"/>
  <c r="I5" i="144"/>
  <c r="I5" i="160" s="1"/>
  <c r="G22" i="144"/>
  <c r="CI22" i="144"/>
  <c r="G22" i="179" s="1"/>
  <c r="N26" i="144"/>
  <c r="CP26" i="144"/>
  <c r="N26" i="179" s="1"/>
  <c r="CX20" i="144"/>
  <c r="V20" i="179" s="1"/>
  <c r="V20" i="144"/>
  <c r="Q47" i="144"/>
  <c r="CS47" i="144"/>
  <c r="Q47" i="179" s="1"/>
  <c r="O13" i="144"/>
  <c r="CQ13" i="144"/>
  <c r="O13" i="179" s="1"/>
  <c r="CR9" i="144"/>
  <c r="P9" i="179" s="1"/>
  <c r="P9" i="144"/>
  <c r="CG30" i="144"/>
  <c r="E30" i="179" s="1"/>
  <c r="E30" i="144"/>
  <c r="CU51" i="144"/>
  <c r="S51" i="179" s="1"/>
  <c r="DA51" i="144"/>
  <c r="Y51" i="179" s="1"/>
  <c r="Y51" i="144"/>
  <c r="CW24" i="144"/>
  <c r="U24" i="179" s="1"/>
  <c r="U24" i="144"/>
  <c r="CX19" i="144"/>
  <c r="V19" i="179" s="1"/>
  <c r="V19" i="144"/>
  <c r="X52" i="144"/>
  <c r="CZ52" i="144"/>
  <c r="X52" i="179" s="1"/>
  <c r="CI31" i="144"/>
  <c r="G31" i="179" s="1"/>
  <c r="G31" i="144"/>
  <c r="CG9" i="144"/>
  <c r="E9" i="179" s="1"/>
  <c r="CM20" i="144"/>
  <c r="K20" i="179" s="1"/>
  <c r="K20" i="144"/>
  <c r="CD13" i="144"/>
  <c r="B13" i="179" s="1"/>
  <c r="B13" i="144"/>
  <c r="CW16" i="144"/>
  <c r="U16" i="179" s="1"/>
  <c r="U16" i="144"/>
  <c r="DB40" i="144"/>
  <c r="Z40" i="179" s="1"/>
  <c r="Z40" i="144"/>
  <c r="K39" i="144"/>
  <c r="CM39" i="144"/>
  <c r="K39" i="179" s="1"/>
  <c r="CI13" i="144"/>
  <c r="G13" i="179" s="1"/>
  <c r="G13" i="144"/>
  <c r="CN30" i="144"/>
  <c r="L30" i="179" s="1"/>
  <c r="L30" i="144"/>
  <c r="CX15" i="144"/>
  <c r="V15" i="179" s="1"/>
  <c r="V15" i="144"/>
  <c r="CH41" i="144"/>
  <c r="F41" i="179" s="1"/>
  <c r="F41" i="144"/>
  <c r="CZ41" i="144"/>
  <c r="X41" i="179" s="1"/>
  <c r="CE52" i="144"/>
  <c r="C52" i="179" s="1"/>
  <c r="C52" i="144"/>
  <c r="J8" i="144"/>
  <c r="CL8" i="144"/>
  <c r="J8" i="179" s="1"/>
  <c r="CW17" i="144"/>
  <c r="U17" i="179" s="1"/>
  <c r="U17" i="144"/>
  <c r="CQ9" i="144"/>
  <c r="O9" i="179" s="1"/>
  <c r="CW13" i="144"/>
  <c r="U13" i="179" s="1"/>
  <c r="U13" i="144"/>
  <c r="J52" i="144"/>
  <c r="CL52" i="144"/>
  <c r="J52" i="179" s="1"/>
  <c r="O30" i="144"/>
  <c r="CQ30" i="144"/>
  <c r="O30" i="179" s="1"/>
  <c r="CL14" i="144"/>
  <c r="J14" i="179" s="1"/>
  <c r="J14" i="144"/>
  <c r="CL37" i="144"/>
  <c r="J37" i="179" s="1"/>
  <c r="J37" i="144"/>
  <c r="CU46" i="144"/>
  <c r="S46" i="179" s="1"/>
  <c r="S46" i="144"/>
  <c r="O41" i="144"/>
  <c r="O31" i="144"/>
  <c r="CQ31" i="144"/>
  <c r="O31" i="179" s="1"/>
  <c r="DA31" i="144"/>
  <c r="Y31" i="179" s="1"/>
  <c r="Y31" i="144"/>
  <c r="DA40" i="144"/>
  <c r="Y40" i="179" s="1"/>
  <c r="J11" i="144"/>
  <c r="CL11" i="144"/>
  <c r="J11" i="179" s="1"/>
  <c r="CF14" i="144"/>
  <c r="D14" i="179" s="1"/>
  <c r="D14" i="144"/>
  <c r="CY21" i="144"/>
  <c r="W21" i="179" s="1"/>
  <c r="W21" i="144"/>
  <c r="CE21" i="144"/>
  <c r="C21" i="179" s="1"/>
  <c r="C21" i="144"/>
  <c r="CS19" i="144"/>
  <c r="Q19" i="179" s="1"/>
  <c r="Q19" i="144"/>
  <c r="U49" i="144"/>
  <c r="CW49" i="144"/>
  <c r="U49" i="179" s="1"/>
  <c r="CI21" i="144"/>
  <c r="G21" i="179" s="1"/>
  <c r="K12" i="144"/>
  <c r="CM12" i="144"/>
  <c r="K12" i="179" s="1"/>
  <c r="DA47" i="144"/>
  <c r="Y47" i="179" s="1"/>
  <c r="Y47" i="144"/>
  <c r="S44" i="144"/>
  <c r="CG26" i="144"/>
  <c r="E26" i="179" s="1"/>
  <c r="E26" i="144"/>
  <c r="V21" i="144"/>
  <c r="E31" i="144"/>
  <c r="CG31" i="144"/>
  <c r="E31" i="179" s="1"/>
  <c r="H46" i="144"/>
  <c r="CJ46" i="144"/>
  <c r="H46" i="179" s="1"/>
  <c r="CU6" i="144"/>
  <c r="S6" i="179" s="1"/>
  <c r="S6" i="144"/>
  <c r="S6" i="160" s="1"/>
  <c r="CO8" i="144"/>
  <c r="M8" i="179" s="1"/>
  <c r="M8" i="144"/>
  <c r="CK15" i="144"/>
  <c r="I15" i="179" s="1"/>
  <c r="I15" i="144"/>
  <c r="O40" i="144"/>
  <c r="CQ40" i="144"/>
  <c r="O40" i="179" s="1"/>
  <c r="Q26" i="144"/>
  <c r="K52" i="144"/>
  <c r="CM52" i="144"/>
  <c r="K52" i="179" s="1"/>
  <c r="P37" i="144"/>
  <c r="CR37" i="144"/>
  <c r="P37" i="179" s="1"/>
  <c r="CW20" i="144"/>
  <c r="U20" i="179" s="1"/>
  <c r="U20" i="144"/>
  <c r="CQ25" i="144"/>
  <c r="O25" i="179" s="1"/>
  <c r="O25" i="144"/>
  <c r="CN38" i="144"/>
  <c r="L38" i="179" s="1"/>
  <c r="L38" i="144"/>
  <c r="H47" i="144"/>
  <c r="CJ47" i="144"/>
  <c r="H47" i="179" s="1"/>
  <c r="DB8" i="144"/>
  <c r="Z8" i="179" s="1"/>
  <c r="Z8" i="144"/>
  <c r="CF38" i="144"/>
  <c r="D38" i="179" s="1"/>
  <c r="CJ20" i="144"/>
  <c r="H20" i="179" s="1"/>
  <c r="H20" i="144"/>
  <c r="CW22" i="144"/>
  <c r="U22" i="179" s="1"/>
  <c r="U22" i="144"/>
  <c r="CU11" i="144"/>
  <c r="S11" i="179" s="1"/>
  <c r="S11" i="144"/>
  <c r="CX31" i="144"/>
  <c r="V31" i="179" s="1"/>
  <c r="M31" i="144"/>
  <c r="CO31" i="144"/>
  <c r="M31" i="179" s="1"/>
  <c r="V13" i="144"/>
  <c r="CX13" i="144"/>
  <c r="V13" i="179" s="1"/>
  <c r="DA15" i="144"/>
  <c r="Y15" i="179" s="1"/>
  <c r="Y15" i="144"/>
  <c r="Y20" i="144"/>
  <c r="DA20" i="144"/>
  <c r="Y20" i="179" s="1"/>
  <c r="Z13" i="144"/>
  <c r="DB13" i="144"/>
  <c r="Z13" i="179" s="1"/>
  <c r="CV46" i="144"/>
  <c r="T46" i="179" s="1"/>
  <c r="T46" i="144"/>
  <c r="CK28" i="144"/>
  <c r="I28" i="179" s="1"/>
  <c r="I28" i="144"/>
  <c r="C19" i="144"/>
  <c r="CE19" i="144"/>
  <c r="C19" i="179" s="1"/>
  <c r="L41" i="144"/>
  <c r="CZ20" i="144"/>
  <c r="X20" i="179" s="1"/>
  <c r="X20" i="144"/>
  <c r="W17" i="144"/>
  <c r="CY17" i="144"/>
  <c r="W17" i="179" s="1"/>
  <c r="CV28" i="144"/>
  <c r="T28" i="179" s="1"/>
  <c r="T28" i="144"/>
  <c r="V41" i="144"/>
  <c r="CJ33" i="144"/>
  <c r="H33" i="179" s="1"/>
  <c r="H33" i="144"/>
  <c r="E37" i="144"/>
  <c r="CG37" i="144"/>
  <c r="E37" i="179" s="1"/>
  <c r="CN32" i="144"/>
  <c r="L32" i="179" s="1"/>
  <c r="L32" i="144"/>
  <c r="I29" i="144"/>
  <c r="CK29" i="144"/>
  <c r="I29" i="179" s="1"/>
  <c r="CV11" i="144"/>
  <c r="T11" i="179" s="1"/>
  <c r="T11" i="144"/>
  <c r="CR11" i="144"/>
  <c r="P11" i="179" s="1"/>
  <c r="P11" i="144"/>
  <c r="Y29" i="144"/>
  <c r="DA29" i="144"/>
  <c r="Y29" i="179" s="1"/>
  <c r="T20" i="144"/>
  <c r="CV20" i="144"/>
  <c r="T20" i="179" s="1"/>
  <c r="DB20" i="144"/>
  <c r="Z20" i="179" s="1"/>
  <c r="Z20" i="144"/>
  <c r="P16" i="144"/>
  <c r="CR16" i="144"/>
  <c r="P16" i="179" s="1"/>
  <c r="CX18" i="144"/>
  <c r="V18" i="179" s="1"/>
  <c r="V18" i="144"/>
  <c r="CW51" i="144"/>
  <c r="U51" i="179" s="1"/>
  <c r="U51" i="144"/>
  <c r="E11" i="144"/>
  <c r="CG11" i="144"/>
  <c r="E11" i="179" s="1"/>
  <c r="DA52" i="144"/>
  <c r="Y52" i="179" s="1"/>
  <c r="CD33" i="144"/>
  <c r="B33" i="179" s="1"/>
  <c r="B33" i="144"/>
  <c r="CD32" i="144"/>
  <c r="B32" i="179" s="1"/>
  <c r="B32" i="144"/>
  <c r="M50" i="144"/>
  <c r="CO50" i="144"/>
  <c r="M50" i="179" s="1"/>
  <c r="CO36" i="144"/>
  <c r="M36" i="179" s="1"/>
  <c r="M36" i="144"/>
  <c r="CU5" i="144"/>
  <c r="S5" i="179" s="1"/>
  <c r="Y12" i="144"/>
  <c r="DA12" i="144"/>
  <c r="Y12" i="179" s="1"/>
  <c r="DA10" i="144"/>
  <c r="Y10" i="179" s="1"/>
  <c r="Y10" i="144"/>
  <c r="V22" i="144"/>
  <c r="CX22" i="144"/>
  <c r="V22" i="179" s="1"/>
  <c r="M38" i="144"/>
  <c r="CO38" i="144"/>
  <c r="M38" i="179" s="1"/>
  <c r="D40" i="144"/>
  <c r="CU24" i="144"/>
  <c r="S24" i="179" s="1"/>
  <c r="CN40" i="144"/>
  <c r="L40" i="179" s="1"/>
  <c r="CS18" i="144"/>
  <c r="Q18" i="179" s="1"/>
  <c r="Q18" i="144"/>
  <c r="DB52" i="144"/>
  <c r="Z52" i="179" s="1"/>
  <c r="Z52" i="144"/>
  <c r="CZ27" i="144"/>
  <c r="X27" i="179" s="1"/>
  <c r="X27" i="144"/>
  <c r="CV52" i="144"/>
  <c r="T52" i="179" s="1"/>
  <c r="T52" i="144"/>
  <c r="H49" i="144"/>
  <c r="CJ49" i="144"/>
  <c r="H49" i="179" s="1"/>
  <c r="R29" i="144"/>
  <c r="CT29" i="144"/>
  <c r="R29" i="179" s="1"/>
  <c r="CU15" i="144"/>
  <c r="S15" i="179" s="1"/>
  <c r="S15" i="144"/>
  <c r="CN51" i="144"/>
  <c r="L51" i="179" s="1"/>
  <c r="L51" i="144"/>
  <c r="O11" i="144"/>
  <c r="CQ11" i="144"/>
  <c r="O11" i="179" s="1"/>
  <c r="Z14" i="144"/>
  <c r="DB14" i="144"/>
  <c r="Z14" i="179" s="1"/>
  <c r="DA14" i="144"/>
  <c r="Y14" i="179" s="1"/>
  <c r="Y14" i="144"/>
  <c r="CL48" i="144"/>
  <c r="J48" i="179" s="1"/>
  <c r="J48" i="144"/>
  <c r="CR40" i="144"/>
  <c r="P40" i="179" s="1"/>
  <c r="P40" i="144"/>
  <c r="CH27" i="144"/>
  <c r="F27" i="179" s="1"/>
  <c r="F27" i="144"/>
  <c r="CY27" i="144"/>
  <c r="W27" i="179" s="1"/>
  <c r="W27" i="144"/>
  <c r="CW48" i="144"/>
  <c r="U48" i="179" s="1"/>
  <c r="U48" i="144"/>
  <c r="Y26" i="144"/>
  <c r="DA26" i="144"/>
  <c r="Y26" i="179" s="1"/>
  <c r="E46" i="144"/>
  <c r="CG46" i="144"/>
  <c r="E46" i="179" s="1"/>
  <c r="W45" i="144"/>
  <c r="CY45" i="144"/>
  <c r="W45" i="179" s="1"/>
  <c r="CI15" i="144"/>
  <c r="G15" i="179" s="1"/>
  <c r="G15" i="144"/>
  <c r="CT8" i="144"/>
  <c r="R8" i="179" s="1"/>
  <c r="R8" i="144"/>
  <c r="F12" i="144"/>
  <c r="CH12" i="144"/>
  <c r="F12" i="179" s="1"/>
  <c r="CQ29" i="144"/>
  <c r="O29" i="179" s="1"/>
  <c r="O29" i="144"/>
  <c r="CX46" i="144"/>
  <c r="V46" i="179" s="1"/>
  <c r="V46" i="144"/>
  <c r="CN39" i="144"/>
  <c r="L39" i="179" s="1"/>
  <c r="L39" i="144"/>
  <c r="CZ10" i="144"/>
  <c r="X10" i="179" s="1"/>
  <c r="CQ22" i="144"/>
  <c r="O22" i="179" s="1"/>
  <c r="O22" i="144"/>
  <c r="CX47" i="144"/>
  <c r="V47" i="179" s="1"/>
  <c r="V47" i="144"/>
  <c r="CW26" i="144"/>
  <c r="U26" i="179" s="1"/>
  <c r="U26" i="144"/>
  <c r="CI45" i="144"/>
  <c r="G45" i="179" s="1"/>
  <c r="G45" i="144"/>
  <c r="N10" i="144"/>
  <c r="CP10" i="144"/>
  <c r="N10" i="179" s="1"/>
  <c r="CV50" i="144"/>
  <c r="T50" i="179" s="1"/>
  <c r="CP9" i="144"/>
  <c r="N9" i="179" s="1"/>
  <c r="N9" i="144"/>
  <c r="CY49" i="144"/>
  <c r="W49" i="179" s="1"/>
  <c r="W49" i="144"/>
  <c r="G38" i="144"/>
  <c r="CI38" i="144"/>
  <c r="G38" i="179" s="1"/>
  <c r="CM13" i="144"/>
  <c r="K13" i="179" s="1"/>
  <c r="CK44" i="144"/>
  <c r="I44" i="179" s="1"/>
  <c r="I44" i="144"/>
  <c r="CV49" i="144"/>
  <c r="T49" i="179" s="1"/>
  <c r="T49" i="144"/>
  <c r="CS41" i="144"/>
  <c r="Q41" i="179" s="1"/>
  <c r="Q41" i="144"/>
  <c r="U8" i="144"/>
  <c r="CW8" i="144"/>
  <c r="U8" i="179" s="1"/>
  <c r="CU26" i="144"/>
  <c r="S26" i="179" s="1"/>
  <c r="S26" i="144"/>
  <c r="CU10" i="144"/>
  <c r="S10" i="179" s="1"/>
  <c r="S10" i="144"/>
  <c r="DA35" i="144"/>
  <c r="Y35" i="179" s="1"/>
  <c r="Y35" i="144"/>
  <c r="Y35" i="160" s="1"/>
  <c r="P13" i="144"/>
  <c r="F29" i="144"/>
  <c r="CH29" i="144"/>
  <c r="F29" i="179" s="1"/>
  <c r="CN12" i="144"/>
  <c r="L12" i="179" s="1"/>
  <c r="M12" i="144"/>
  <c r="CO12" i="144"/>
  <c r="M12" i="179" s="1"/>
  <c r="CX48" i="144"/>
  <c r="V48" i="179" s="1"/>
  <c r="V48" i="144"/>
  <c r="P7" i="144"/>
  <c r="T24" i="144"/>
  <c r="CV24" i="144"/>
  <c r="T24" i="179" s="1"/>
  <c r="CH7" i="144"/>
  <c r="F7" i="179" s="1"/>
  <c r="F7" i="144"/>
  <c r="L19" i="144"/>
  <c r="CN19" i="144"/>
  <c r="L19" i="179" s="1"/>
  <c r="CJ5" i="144"/>
  <c r="H5" i="179" s="1"/>
  <c r="H5" i="144"/>
  <c r="H5" i="160" s="1"/>
  <c r="CM36" i="144"/>
  <c r="K36" i="179" s="1"/>
  <c r="K36" i="144"/>
  <c r="C38" i="144"/>
  <c r="CE38" i="144"/>
  <c r="C38" i="179" s="1"/>
  <c r="B46" i="144"/>
  <c r="N45" i="144"/>
  <c r="CH11" i="144"/>
  <c r="F11" i="179" s="1"/>
  <c r="F11" i="144"/>
  <c r="CZ33" i="144"/>
  <c r="X33" i="179" s="1"/>
  <c r="X33" i="144"/>
  <c r="CG21" i="144"/>
  <c r="E21" i="179" s="1"/>
  <c r="E21" i="144"/>
  <c r="CD40" i="144"/>
  <c r="B40" i="179" s="1"/>
  <c r="B40" i="144"/>
  <c r="I51" i="144"/>
  <c r="CK51" i="144"/>
  <c r="I51" i="179" s="1"/>
  <c r="CD45" i="144"/>
  <c r="B45" i="179" s="1"/>
  <c r="B45" i="144"/>
  <c r="CT25" i="144"/>
  <c r="R25" i="179" s="1"/>
  <c r="R25" i="144"/>
  <c r="CR24" i="144"/>
  <c r="P24" i="179" s="1"/>
  <c r="P24" i="144"/>
  <c r="Z36" i="144"/>
  <c r="DB36" i="144"/>
  <c r="Z36" i="179" s="1"/>
  <c r="CZ24" i="144"/>
  <c r="X24" i="179" s="1"/>
  <c r="CD37" i="144"/>
  <c r="B37" i="179" s="1"/>
  <c r="B37" i="144"/>
  <c r="P8" i="144"/>
  <c r="CR8" i="144"/>
  <c r="P8" i="179" s="1"/>
  <c r="CT39" i="144"/>
  <c r="R39" i="179" s="1"/>
  <c r="R39" i="144"/>
  <c r="CK24" i="144"/>
  <c r="I24" i="179" s="1"/>
  <c r="I24" i="144"/>
  <c r="CU14" i="144"/>
  <c r="S14" i="179" s="1"/>
  <c r="CZ32" i="144"/>
  <c r="X32" i="179" s="1"/>
  <c r="X32" i="144"/>
  <c r="K26" i="144"/>
  <c r="CM26" i="144"/>
  <c r="K26" i="179" s="1"/>
  <c r="CE36" i="144"/>
  <c r="C36" i="179" s="1"/>
  <c r="C36" i="144"/>
  <c r="CG32" i="144"/>
  <c r="E32" i="179" s="1"/>
  <c r="M41" i="144"/>
  <c r="CO41" i="144"/>
  <c r="M41" i="179" s="1"/>
  <c r="CX12" i="144"/>
  <c r="V12" i="179" s="1"/>
  <c r="V12" i="144"/>
  <c r="CG36" i="144"/>
  <c r="E36" i="179" s="1"/>
  <c r="E36" i="144"/>
  <c r="CH47" i="144"/>
  <c r="F47" i="179" s="1"/>
  <c r="F47" i="144"/>
  <c r="CF19" i="144"/>
  <c r="D19" i="179" s="1"/>
  <c r="D19" i="144"/>
  <c r="CD30" i="144"/>
  <c r="B30" i="179" s="1"/>
  <c r="B30" i="144"/>
  <c r="CD41" i="144"/>
  <c r="B41" i="179" s="1"/>
  <c r="CE50" i="144"/>
  <c r="C50" i="179" s="1"/>
  <c r="C50" i="144"/>
  <c r="CF6" i="144"/>
  <c r="D6" i="179" s="1"/>
  <c r="CO7" i="144"/>
  <c r="M7" i="179" s="1"/>
  <c r="M7" i="144"/>
  <c r="K24" i="144"/>
  <c r="CQ7" i="144"/>
  <c r="O7" i="179" s="1"/>
  <c r="O7" i="144"/>
  <c r="CZ16" i="144"/>
  <c r="X16" i="179" s="1"/>
  <c r="X16" i="144"/>
  <c r="CO33" i="144"/>
  <c r="M33" i="179" s="1"/>
  <c r="M33" i="144"/>
  <c r="DB50" i="144"/>
  <c r="Z50" i="179" s="1"/>
  <c r="Z50" i="144"/>
  <c r="V14" i="144"/>
  <c r="CX14" i="144"/>
  <c r="V14" i="179" s="1"/>
  <c r="L45" i="144"/>
  <c r="R41" i="144"/>
  <c r="CT41" i="144"/>
  <c r="R41" i="179" s="1"/>
  <c r="CU17" i="144"/>
  <c r="S17" i="179" s="1"/>
  <c r="CL17" i="144"/>
  <c r="J17" i="179" s="1"/>
  <c r="J17" i="144"/>
  <c r="I25" i="144"/>
  <c r="CK25" i="144"/>
  <c r="I25" i="179" s="1"/>
  <c r="CG16" i="144"/>
  <c r="E16" i="179" s="1"/>
  <c r="CJ7" i="144"/>
  <c r="H7" i="179" s="1"/>
  <c r="H7" i="144"/>
  <c r="CG29" i="144"/>
  <c r="E29" i="179" s="1"/>
  <c r="E29" i="144"/>
  <c r="CY6" i="144"/>
  <c r="W6" i="179" s="1"/>
  <c r="W6" i="144"/>
  <c r="W6" i="160" s="1"/>
  <c r="O39" i="144"/>
  <c r="CT32" i="144"/>
  <c r="R32" i="179" s="1"/>
  <c r="R32" i="144"/>
  <c r="S27" i="144"/>
  <c r="CU27" i="144"/>
  <c r="S27" i="179" s="1"/>
  <c r="X12" i="144"/>
  <c r="CE11" i="144"/>
  <c r="C11" i="179" s="1"/>
  <c r="C11" i="144"/>
  <c r="CS5" i="144"/>
  <c r="Q5" i="179" s="1"/>
  <c r="Q5" i="144"/>
  <c r="Q5" i="160" s="1"/>
  <c r="C15" i="144"/>
  <c r="CE15" i="144"/>
  <c r="C15" i="179" s="1"/>
  <c r="CX30" i="144"/>
  <c r="V30" i="179" s="1"/>
  <c r="V30" i="144"/>
  <c r="C27" i="144"/>
  <c r="G37" i="144"/>
  <c r="CX29" i="144"/>
  <c r="V29" i="179" s="1"/>
  <c r="V29" i="144"/>
  <c r="CO15" i="144"/>
  <c r="M15" i="179" s="1"/>
  <c r="CK13" i="144"/>
  <c r="I13" i="179" s="1"/>
  <c r="I13" i="144"/>
  <c r="CU20" i="144"/>
  <c r="S20" i="179" s="1"/>
  <c r="S20" i="144"/>
  <c r="CS28" i="144"/>
  <c r="Q28" i="179" s="1"/>
  <c r="Q28" i="144"/>
  <c r="E10" i="144"/>
  <c r="CN6" i="144"/>
  <c r="L6" i="179" s="1"/>
  <c r="L6" i="144"/>
  <c r="L6" i="160" s="1"/>
  <c r="CN37" i="144"/>
  <c r="L37" i="179" s="1"/>
  <c r="L37" i="144"/>
  <c r="V36" i="144"/>
  <c r="CD38" i="144"/>
  <c r="B38" i="179" s="1"/>
  <c r="B38" i="144"/>
  <c r="CZ5" i="144"/>
  <c r="X5" i="179" s="1"/>
  <c r="CE48" i="144"/>
  <c r="C48" i="179" s="1"/>
  <c r="C48" i="144"/>
  <c r="M40" i="144"/>
  <c r="CO40" i="144"/>
  <c r="M40" i="179" s="1"/>
  <c r="CV9" i="144"/>
  <c r="T9" i="179" s="1"/>
  <c r="T9" i="144"/>
  <c r="J49" i="144"/>
  <c r="CW35" i="144"/>
  <c r="U35" i="179" s="1"/>
  <c r="U35" i="144"/>
  <c r="U35" i="160" s="1"/>
  <c r="D28" i="144"/>
  <c r="CF28" i="144"/>
  <c r="D28" i="179" s="1"/>
  <c r="CL22" i="144"/>
  <c r="J22" i="179" s="1"/>
  <c r="J22" i="144"/>
  <c r="K16" i="144"/>
  <c r="CM16" i="144"/>
  <c r="K16" i="179" s="1"/>
  <c r="K49" i="144"/>
  <c r="CM49" i="144"/>
  <c r="K49" i="179" s="1"/>
  <c r="C51" i="144"/>
  <c r="CE51" i="144"/>
  <c r="C51" i="179" s="1"/>
  <c r="CE10" i="144"/>
  <c r="C10" i="179" s="1"/>
  <c r="C10" i="144"/>
  <c r="S28" i="144"/>
  <c r="CU28" i="144"/>
  <c r="S28" i="179" s="1"/>
  <c r="CU38" i="144"/>
  <c r="S38" i="179" s="1"/>
  <c r="S38" i="144"/>
  <c r="CI17" i="144"/>
  <c r="G17" i="179" s="1"/>
  <c r="G17" i="144"/>
  <c r="CZ14" i="144"/>
  <c r="X14" i="179" s="1"/>
  <c r="X14" i="144"/>
  <c r="Q48" i="144"/>
  <c r="CS48" i="144"/>
  <c r="Q48" i="179" s="1"/>
  <c r="CP22" i="144"/>
  <c r="N22" i="179" s="1"/>
  <c r="N22" i="144"/>
  <c r="CU8" i="144"/>
  <c r="S8" i="179" s="1"/>
  <c r="S8" i="144"/>
  <c r="CE9" i="144"/>
  <c r="C9" i="179" s="1"/>
  <c r="CT16" i="144"/>
  <c r="R16" i="179" s="1"/>
  <c r="R16" i="144"/>
  <c r="R13" i="144"/>
  <c r="CT13" i="144"/>
  <c r="R13" i="179" s="1"/>
  <c r="CF39" i="144"/>
  <c r="D39" i="179" s="1"/>
  <c r="D39" i="144"/>
  <c r="Y21" i="144"/>
  <c r="CJ9" i="144"/>
  <c r="H9" i="179" s="1"/>
  <c r="H9" i="144"/>
  <c r="L48" i="144"/>
  <c r="CN48" i="144"/>
  <c r="L48" i="179" s="1"/>
  <c r="CS29" i="144"/>
  <c r="Q29" i="179" s="1"/>
  <c r="Q29" i="144"/>
  <c r="D16" i="144"/>
  <c r="CJ22" i="144"/>
  <c r="H22" i="179" s="1"/>
  <c r="H22" i="144"/>
  <c r="Z35" i="144"/>
  <c r="Z35" i="160" s="1"/>
  <c r="DB35" i="144"/>
  <c r="Z35" i="179" s="1"/>
  <c r="CE37" i="144"/>
  <c r="C37" i="179" s="1"/>
  <c r="C37" i="144"/>
  <c r="N31" i="144"/>
  <c r="B27" i="144"/>
  <c r="CD27" i="144"/>
  <c r="B27" i="179" s="1"/>
  <c r="X50" i="144"/>
  <c r="F22" i="144"/>
  <c r="D12" i="144"/>
  <c r="CF12" i="144"/>
  <c r="D12" i="179" s="1"/>
  <c r="D35" i="144"/>
  <c r="D35" i="160" s="1"/>
  <c r="CF35" i="144"/>
  <c r="D35" i="179" s="1"/>
  <c r="CI9" i="144"/>
  <c r="G9" i="179" s="1"/>
  <c r="G9" i="144"/>
  <c r="Z32" i="144"/>
  <c r="I40" i="144"/>
  <c r="CK40" i="144"/>
  <c r="I40" i="179" s="1"/>
  <c r="CZ39" i="144"/>
  <c r="X39" i="179" s="1"/>
  <c r="X39" i="144"/>
  <c r="DA45" i="144"/>
  <c r="Y45" i="179" s="1"/>
  <c r="Y45" i="144"/>
  <c r="CR17" i="144"/>
  <c r="P17" i="179" s="1"/>
  <c r="P17" i="144"/>
  <c r="T8" i="144"/>
  <c r="CV8" i="144"/>
  <c r="T8" i="179" s="1"/>
  <c r="CZ25" i="144"/>
  <c r="X25" i="179" s="1"/>
  <c r="CW14" i="144"/>
  <c r="U14" i="179" s="1"/>
  <c r="U14" i="144"/>
  <c r="CE29" i="144"/>
  <c r="C29" i="179" s="1"/>
  <c r="CF49" i="144"/>
  <c r="D49" i="179" s="1"/>
  <c r="D49" i="144"/>
  <c r="CR33" i="144"/>
  <c r="P33" i="179" s="1"/>
  <c r="P33" i="144"/>
  <c r="T39" i="144"/>
  <c r="CO48" i="144"/>
  <c r="M48" i="179" s="1"/>
  <c r="M48" i="144"/>
  <c r="Z46" i="144"/>
  <c r="DB46" i="144"/>
  <c r="Z46" i="179" s="1"/>
  <c r="R35" i="144"/>
  <c r="R35" i="160" s="1"/>
  <c r="CT35" i="144"/>
  <c r="R35" i="179" s="1"/>
  <c r="R37" i="144"/>
  <c r="CP13" i="144"/>
  <c r="N13" i="179" s="1"/>
  <c r="O8" i="144"/>
  <c r="CQ8" i="144"/>
  <c r="O8" i="179" s="1"/>
  <c r="E50" i="144"/>
  <c r="M30" i="144"/>
  <c r="CO30" i="144"/>
  <c r="M30" i="179" s="1"/>
  <c r="E19" i="144"/>
  <c r="CG19" i="144"/>
  <c r="E19" i="179" s="1"/>
  <c r="G8" i="144"/>
  <c r="J46" i="144"/>
  <c r="CL46" i="144"/>
  <c r="J46" i="179" s="1"/>
  <c r="CO45" i="144"/>
  <c r="M45" i="179" s="1"/>
  <c r="M32" i="144"/>
  <c r="G33" i="144"/>
  <c r="CI33" i="144"/>
  <c r="G33" i="179" s="1"/>
  <c r="CS33" i="144"/>
  <c r="Q33" i="179" s="1"/>
  <c r="Q33" i="144"/>
  <c r="DB37" i="144"/>
  <c r="Z37" i="179" s="1"/>
  <c r="W11" i="144"/>
  <c r="F14" i="144"/>
  <c r="CH14" i="144"/>
  <c r="F14" i="179" s="1"/>
  <c r="CO25" i="144"/>
  <c r="M25" i="179" s="1"/>
  <c r="E52" i="144"/>
  <c r="CG52" i="144"/>
  <c r="E52" i="179" s="1"/>
  <c r="CR46" i="144"/>
  <c r="P46" i="179" s="1"/>
  <c r="P46" i="144"/>
  <c r="I19" i="144"/>
  <c r="M37" i="144"/>
  <c r="CO37" i="144"/>
  <c r="M37" i="179" s="1"/>
  <c r="O17" i="144"/>
  <c r="CT51" i="144"/>
  <c r="R51" i="179" s="1"/>
  <c r="R51" i="144"/>
  <c r="DA48" i="144"/>
  <c r="Y48" i="179" s="1"/>
  <c r="Y48" i="144"/>
  <c r="CP14" i="144"/>
  <c r="N14" i="179" s="1"/>
  <c r="F16" i="144"/>
  <c r="Q51" i="144"/>
  <c r="CS51" i="144"/>
  <c r="Q51" i="179" s="1"/>
  <c r="CL41" i="144"/>
  <c r="J41" i="179" s="1"/>
  <c r="L28" i="144"/>
  <c r="CZ47" i="144"/>
  <c r="X47" i="179" s="1"/>
  <c r="X47" i="144"/>
  <c r="F52" i="144"/>
  <c r="CH52" i="144"/>
  <c r="F52" i="179" s="1"/>
  <c r="U47" i="144"/>
  <c r="CQ18" i="144"/>
  <c r="O18" i="179" s="1"/>
  <c r="O18" i="144"/>
  <c r="E17" i="144"/>
  <c r="CR51" i="144"/>
  <c r="P51" i="179" s="1"/>
  <c r="P51" i="144"/>
  <c r="CP48" i="144"/>
  <c r="N48" i="179" s="1"/>
  <c r="N48" i="144"/>
  <c r="CL16" i="144"/>
  <c r="J16" i="179" s="1"/>
  <c r="N16" i="144"/>
  <c r="CS13" i="144"/>
  <c r="Q13" i="179" s="1"/>
  <c r="Q13" i="144"/>
  <c r="CP19" i="144"/>
  <c r="N19" i="179" s="1"/>
  <c r="CR22" i="144"/>
  <c r="P22" i="179" s="1"/>
  <c r="P22" i="144"/>
  <c r="CT44" i="144"/>
  <c r="R44" i="179" s="1"/>
  <c r="R44" i="144"/>
  <c r="P6" i="144"/>
  <c r="P6" i="160" s="1"/>
  <c r="I49" i="144"/>
  <c r="CK49" i="144"/>
  <c r="I49" i="179" s="1"/>
  <c r="CW28" i="144"/>
  <c r="U28" i="179" s="1"/>
  <c r="CM33" i="144"/>
  <c r="K33" i="179" s="1"/>
  <c r="CI5" i="144"/>
  <c r="G5" i="179" s="1"/>
  <c r="G5" i="144"/>
  <c r="G5" i="160" s="1"/>
  <c r="O12" i="144"/>
  <c r="CQ12" i="144"/>
  <c r="O12" i="179" s="1"/>
  <c r="L35" i="144"/>
  <c r="L35" i="160" s="1"/>
  <c r="Z19" i="144"/>
  <c r="O51" i="144"/>
  <c r="CQ51" i="144"/>
  <c r="O51" i="179" s="1"/>
  <c r="X13" i="144"/>
  <c r="CZ13" i="144"/>
  <c r="X13" i="179" s="1"/>
  <c r="Z30" i="144" l="1"/>
  <c r="Z26" i="144"/>
  <c r="CW11" i="144"/>
  <c r="U11" i="179" s="1"/>
  <c r="Y7" i="144"/>
  <c r="Y7" i="160" s="1"/>
  <c r="Y7" i="138" s="1"/>
  <c r="CY20" i="144"/>
  <c r="W20" i="179" s="1"/>
  <c r="J29" i="144"/>
  <c r="E25" i="144"/>
  <c r="CR28" i="144"/>
  <c r="P28" i="179" s="1"/>
  <c r="CE13" i="144"/>
  <c r="C13" i="179" s="1"/>
  <c r="CF13" i="144"/>
  <c r="D13" i="179" s="1"/>
  <c r="CJ45" i="144"/>
  <c r="H45" i="179" s="1"/>
  <c r="CR30" i="144"/>
  <c r="P30" i="179" s="1"/>
  <c r="T30" i="144"/>
  <c r="CI16" i="144"/>
  <c r="G16" i="179" s="1"/>
  <c r="CP25" i="144"/>
  <c r="N25" i="179" s="1"/>
  <c r="CW25" i="144"/>
  <c r="U25" i="179" s="1"/>
  <c r="U33" i="144"/>
  <c r="R24" i="144"/>
  <c r="Q36" i="144"/>
  <c r="K47" i="144"/>
  <c r="K47" i="160" s="1"/>
  <c r="K47" i="138" s="1"/>
  <c r="F45" i="144"/>
  <c r="K15" i="144"/>
  <c r="CJ31" i="144"/>
  <c r="H31" i="179" s="1"/>
  <c r="R52" i="144"/>
  <c r="R52" i="160" s="1"/>
  <c r="R52" i="138" s="1"/>
  <c r="U46" i="144"/>
  <c r="B14" i="144"/>
  <c r="CN22" i="144"/>
  <c r="L22" i="179" s="1"/>
  <c r="CZ30" i="144"/>
  <c r="X30" i="179" s="1"/>
  <c r="G36" i="144"/>
  <c r="Y17" i="144"/>
  <c r="DB25" i="144"/>
  <c r="Z25" i="179" s="1"/>
  <c r="M9" i="144"/>
  <c r="M9" i="160" s="1"/>
  <c r="M9" i="138" s="1"/>
  <c r="CD26" i="144"/>
  <c r="B26" i="179" s="1"/>
  <c r="CX51" i="144"/>
  <c r="V51" i="179" s="1"/>
  <c r="CW38" i="144"/>
  <c r="U38" i="179" s="1"/>
  <c r="CR52" i="144"/>
  <c r="P52" i="179" s="1"/>
  <c r="CH32" i="144"/>
  <c r="F32" i="179" s="1"/>
  <c r="CT50" i="144"/>
  <c r="R50" i="179" s="1"/>
  <c r="T27" i="144"/>
  <c r="T27" i="160" s="1"/>
  <c r="T27" i="138" s="1"/>
  <c r="M21" i="144"/>
  <c r="M21" i="160" s="1"/>
  <c r="M21" i="138" s="1"/>
  <c r="CO49" i="144"/>
  <c r="M49" i="179" s="1"/>
  <c r="N20" i="144"/>
  <c r="CR47" i="144"/>
  <c r="P47" i="179" s="1"/>
  <c r="C45" i="144"/>
  <c r="C45" i="160" s="1"/>
  <c r="C45" i="138" s="1"/>
  <c r="CT6" i="144"/>
  <c r="R6" i="179" s="1"/>
  <c r="O24" i="144"/>
  <c r="CK16" i="144"/>
  <c r="I16" i="179" s="1"/>
  <c r="CZ29" i="144"/>
  <c r="X29" i="179" s="1"/>
  <c r="CW19" i="144"/>
  <c r="U19" i="179" s="1"/>
  <c r="E8" i="144"/>
  <c r="W18" i="144"/>
  <c r="X48" i="144"/>
  <c r="X48" i="160" s="1"/>
  <c r="X48" i="138" s="1"/>
  <c r="CD11" i="144"/>
  <c r="B11" i="179" s="1"/>
  <c r="CM27" i="144"/>
  <c r="K27" i="179" s="1"/>
  <c r="CX28" i="144"/>
  <c r="V28" i="179" s="1"/>
  <c r="Y24" i="144"/>
  <c r="Y24" i="160" s="1"/>
  <c r="Y24" i="138" s="1"/>
  <c r="N28" i="144"/>
  <c r="E28" i="144"/>
  <c r="V40" i="144"/>
  <c r="CL15" i="144"/>
  <c r="J15" i="179" s="1"/>
  <c r="W40" i="144"/>
  <c r="Y19" i="144"/>
  <c r="CS49" i="144"/>
  <c r="Q49" i="179" s="1"/>
  <c r="CV29" i="144"/>
  <c r="T29" i="179" s="1"/>
  <c r="CJ16" i="144"/>
  <c r="H16" i="179" s="1"/>
  <c r="Z18" i="144"/>
  <c r="X7" i="144"/>
  <c r="J32" i="144"/>
  <c r="CY15" i="144"/>
  <c r="W15" i="179" s="1"/>
  <c r="CG45" i="144"/>
  <c r="E45" i="179" s="1"/>
  <c r="G51" i="144"/>
  <c r="G51" i="160" s="1"/>
  <c r="G51" i="138" s="1"/>
  <c r="R5" i="144"/>
  <c r="R5" i="160" s="1"/>
  <c r="K44" i="144"/>
  <c r="CF15" i="144"/>
  <c r="D15" i="179" s="1"/>
  <c r="CL36" i="144"/>
  <c r="J36" i="179" s="1"/>
  <c r="F50" i="144"/>
  <c r="F50" i="160" s="1"/>
  <c r="F50" i="138" s="1"/>
  <c r="U30" i="144"/>
  <c r="Y16" i="144"/>
  <c r="K6" i="144"/>
  <c r="K6" i="160" s="1"/>
  <c r="B15" i="144"/>
  <c r="B15" i="160" s="1"/>
  <c r="B15" i="138" s="1"/>
  <c r="G27" i="144"/>
  <c r="B19" i="144"/>
  <c r="CG13" i="144"/>
  <c r="E13" i="179" s="1"/>
  <c r="CK35" i="144"/>
  <c r="I35" i="179" s="1"/>
  <c r="CO10" i="144"/>
  <c r="M10" i="179" s="1"/>
  <c r="W16" i="144"/>
  <c r="K11" i="144"/>
  <c r="K11" i="160" s="1"/>
  <c r="K11" i="138" s="1"/>
  <c r="V25" i="144"/>
  <c r="V25" i="160" s="1"/>
  <c r="V25" i="138" s="1"/>
  <c r="CE24" i="144"/>
  <c r="C24" i="179" s="1"/>
  <c r="CY8" i="144"/>
  <c r="W8" i="179" s="1"/>
  <c r="H30" i="144"/>
  <c r="R47" i="144"/>
  <c r="R47" i="160" s="1"/>
  <c r="R47" i="138" s="1"/>
  <c r="B44" i="144"/>
  <c r="Z16" i="144"/>
  <c r="CZ35" i="144"/>
  <c r="X35" i="179" s="1"/>
  <c r="C22" i="144"/>
  <c r="C22" i="160" s="1"/>
  <c r="C22" i="138" s="1"/>
  <c r="I27" i="144"/>
  <c r="C41" i="144"/>
  <c r="K35" i="144"/>
  <c r="K35" i="160" s="1"/>
  <c r="H48" i="144"/>
  <c r="H48" i="160" s="1"/>
  <c r="H48" i="138" s="1"/>
  <c r="CQ37" i="144"/>
  <c r="O37" i="179" s="1"/>
  <c r="L16" i="144"/>
  <c r="M6" i="144"/>
  <c r="M6" i="160" s="1"/>
  <c r="M46" i="144"/>
  <c r="M46" i="160" s="1"/>
  <c r="M46" i="138" s="1"/>
  <c r="CI40" i="144"/>
  <c r="G40" i="179" s="1"/>
  <c r="CD48" i="144"/>
  <c r="B48" i="179" s="1"/>
  <c r="H36" i="144"/>
  <c r="CW39" i="144"/>
  <c r="U39" i="179" s="1"/>
  <c r="CU39" i="144"/>
  <c r="S39" i="179" s="1"/>
  <c r="CO17" i="144"/>
  <c r="M17" i="179" s="1"/>
  <c r="K41" i="144"/>
  <c r="K41" i="160" s="1"/>
  <c r="K41" i="138" s="1"/>
  <c r="U27" i="144"/>
  <c r="U27" i="160" s="1"/>
  <c r="U27" i="138" s="1"/>
  <c r="S50" i="144"/>
  <c r="CP21" i="144"/>
  <c r="N21" i="179" s="1"/>
  <c r="Q45" i="144"/>
  <c r="CW18" i="144"/>
  <c r="U18" i="179" s="1"/>
  <c r="CP15" i="144"/>
  <c r="N15" i="179" s="1"/>
  <c r="Z9" i="144"/>
  <c r="CK48" i="144"/>
  <c r="I48" i="179" s="1"/>
  <c r="CM19" i="144"/>
  <c r="K19" i="179" s="1"/>
  <c r="CY22" i="144"/>
  <c r="W22" i="179" s="1"/>
  <c r="X11" i="144"/>
  <c r="X11" i="160" s="1"/>
  <c r="X11" i="138" s="1"/>
  <c r="V32" i="144"/>
  <c r="CJ41" i="144"/>
  <c r="H41" i="179" s="1"/>
  <c r="CR25" i="144"/>
  <c r="P25" i="179" s="1"/>
  <c r="C18" i="144"/>
  <c r="CE18" i="144"/>
  <c r="C18" i="179" s="1"/>
  <c r="CQ10" i="144"/>
  <c r="O10" i="179" s="1"/>
  <c r="O10" i="144"/>
  <c r="H51" i="144"/>
  <c r="CJ51" i="144"/>
  <c r="H51" i="179" s="1"/>
  <c r="CP5" i="144"/>
  <c r="N5" i="179" s="1"/>
  <c r="N5" i="144"/>
  <c r="N5" i="160" s="1"/>
  <c r="CX24" i="144"/>
  <c r="V24" i="179" s="1"/>
  <c r="V24" i="144"/>
  <c r="V24" i="160" s="1"/>
  <c r="V24" i="138" s="1"/>
  <c r="CW36" i="144"/>
  <c r="U36" i="179" s="1"/>
  <c r="U36" i="144"/>
  <c r="CL27" i="144"/>
  <c r="J27" i="179" s="1"/>
  <c r="J27" i="144"/>
  <c r="E7" i="144"/>
  <c r="E7" i="160" s="1"/>
  <c r="E7" i="138" s="1"/>
  <c r="CG7" i="144"/>
  <c r="E7" i="179" s="1"/>
  <c r="N11" i="144"/>
  <c r="CP11" i="144"/>
  <c r="N11" i="179" s="1"/>
  <c r="L14" i="144"/>
  <c r="L14" i="160" s="1"/>
  <c r="L14" i="138" s="1"/>
  <c r="CN14" i="144"/>
  <c r="L14" i="179" s="1"/>
  <c r="CS22" i="144"/>
  <c r="Q22" i="179" s="1"/>
  <c r="Q22" i="144"/>
  <c r="Q22" i="160" s="1"/>
  <c r="Q22" i="138" s="1"/>
  <c r="CI10" i="144"/>
  <c r="G10" i="179" s="1"/>
  <c r="G10" i="144"/>
  <c r="CD25" i="144"/>
  <c r="B25" i="179" s="1"/>
  <c r="B25" i="144"/>
  <c r="B25" i="160" s="1"/>
  <c r="B25" i="138" s="1"/>
  <c r="CW21" i="144"/>
  <c r="U21" i="179" s="1"/>
  <c r="U21" i="144"/>
  <c r="CT49" i="144"/>
  <c r="R49" i="179" s="1"/>
  <c r="R49" i="144"/>
  <c r="CE20" i="144"/>
  <c r="C20" i="179" s="1"/>
  <c r="C20" i="144"/>
  <c r="CS31" i="144"/>
  <c r="Q31" i="179" s="1"/>
  <c r="Q31" i="144"/>
  <c r="Q31" i="160" s="1"/>
  <c r="Q31" i="138" s="1"/>
  <c r="H28" i="144"/>
  <c r="H28" i="160" s="1"/>
  <c r="H28" i="138" s="1"/>
  <c r="CJ28" i="144"/>
  <c r="H28" i="179" s="1"/>
  <c r="F24" i="144"/>
  <c r="CH24" i="144"/>
  <c r="F24" i="179" s="1"/>
  <c r="CP12" i="144"/>
  <c r="N12" i="179" s="1"/>
  <c r="N12" i="144"/>
  <c r="Y25" i="144"/>
  <c r="DA25" i="144"/>
  <c r="Y25" i="179" s="1"/>
  <c r="CX50" i="144"/>
  <c r="V50" i="179" s="1"/>
  <c r="V50" i="144"/>
  <c r="V7" i="144"/>
  <c r="CX7" i="144"/>
  <c r="V7" i="179" s="1"/>
  <c r="CY36" i="144"/>
  <c r="W36" i="179" s="1"/>
  <c r="W36" i="144"/>
  <c r="CE30" i="144"/>
  <c r="C30" i="179" s="1"/>
  <c r="C30" i="144"/>
  <c r="C30" i="160" s="1"/>
  <c r="C30" i="138" s="1"/>
  <c r="X26" i="144"/>
  <c r="X26" i="160" s="1"/>
  <c r="X26" i="138" s="1"/>
  <c r="CZ26" i="144"/>
  <c r="X26" i="179" s="1"/>
  <c r="CG38" i="144"/>
  <c r="E38" i="179" s="1"/>
  <c r="E38" i="144"/>
  <c r="CY14" i="144"/>
  <c r="W14" i="179" s="1"/>
  <c r="W14" i="144"/>
  <c r="CU21" i="144"/>
  <c r="S21" i="179" s="1"/>
  <c r="S21" i="144"/>
  <c r="S21" i="160" s="1"/>
  <c r="S21" i="138" s="1"/>
  <c r="CP33" i="144"/>
  <c r="N33" i="179" s="1"/>
  <c r="N33" i="144"/>
  <c r="CL18" i="144"/>
  <c r="J18" i="179" s="1"/>
  <c r="J18" i="144"/>
  <c r="DB6" i="144"/>
  <c r="Z6" i="179" s="1"/>
  <c r="Z6" i="144"/>
  <c r="Z6" i="160" s="1"/>
  <c r="CQ44" i="144"/>
  <c r="O44" i="179" s="1"/>
  <c r="O44" i="144"/>
  <c r="O44" i="160" s="1"/>
  <c r="O44" i="138" s="1"/>
  <c r="H39" i="144"/>
  <c r="H39" i="160" s="1"/>
  <c r="H39" i="138" s="1"/>
  <c r="CJ39" i="144"/>
  <c r="H39" i="179" s="1"/>
  <c r="CY31" i="144"/>
  <c r="W31" i="179" s="1"/>
  <c r="W31" i="144"/>
  <c r="W31" i="160" s="1"/>
  <c r="W31" i="138" s="1"/>
  <c r="CF44" i="144"/>
  <c r="D44" i="179" s="1"/>
  <c r="D44" i="144"/>
  <c r="CE28" i="144"/>
  <c r="C28" i="179" s="1"/>
  <c r="C28" i="144"/>
  <c r="M35" i="144"/>
  <c r="M35" i="160" s="1"/>
  <c r="CO35" i="144"/>
  <c r="M35" i="179" s="1"/>
  <c r="CH44" i="144"/>
  <c r="F44" i="179" s="1"/>
  <c r="D50" i="144"/>
  <c r="D50" i="160" s="1"/>
  <c r="D50" i="138" s="1"/>
  <c r="R22" i="144"/>
  <c r="CU52" i="144"/>
  <c r="S52" i="179" s="1"/>
  <c r="CY44" i="144"/>
  <c r="W44" i="179" s="1"/>
  <c r="G32" i="144"/>
  <c r="G32" i="160" s="1"/>
  <c r="G32" i="138" s="1"/>
  <c r="CU9" i="144"/>
  <c r="S9" i="179" s="1"/>
  <c r="X51" i="144"/>
  <c r="DB48" i="144"/>
  <c r="Z48" i="179" s="1"/>
  <c r="CS25" i="144"/>
  <c r="Q25" i="179" s="1"/>
  <c r="K8" i="144"/>
  <c r="K8" i="160" s="1"/>
  <c r="H19" i="144"/>
  <c r="Z10" i="144"/>
  <c r="CN24" i="144"/>
  <c r="L24" i="179" s="1"/>
  <c r="X44" i="144"/>
  <c r="X44" i="160" s="1"/>
  <c r="X44" i="138" s="1"/>
  <c r="B18" i="144"/>
  <c r="CD28" i="144"/>
  <c r="B28" i="179" s="1"/>
  <c r="D11" i="144"/>
  <c r="D11" i="160" s="1"/>
  <c r="D11" i="138" s="1"/>
  <c r="V45" i="144"/>
  <c r="V45" i="160" s="1"/>
  <c r="V45" i="138" s="1"/>
  <c r="T45" i="144"/>
  <c r="CD10" i="144"/>
  <c r="B10" i="179" s="1"/>
  <c r="S35" i="144"/>
  <c r="S35" i="160" s="1"/>
  <c r="I6" i="144"/>
  <c r="I6" i="160" s="1"/>
  <c r="E35" i="144"/>
  <c r="E35" i="160" s="1"/>
  <c r="R15" i="144"/>
  <c r="R15" i="160" s="1"/>
  <c r="R15" i="138" s="1"/>
  <c r="I38" i="144"/>
  <c r="I38" i="160" s="1"/>
  <c r="I38" i="138" s="1"/>
  <c r="R10" i="144"/>
  <c r="R10" i="160" s="1"/>
  <c r="R10" i="138" s="1"/>
  <c r="S29" i="144"/>
  <c r="CW52" i="144"/>
  <c r="U52" i="179" s="1"/>
  <c r="Z39" i="144"/>
  <c r="Z39" i="160" s="1"/>
  <c r="Z39" i="138" s="1"/>
  <c r="Y46" i="144"/>
  <c r="Y46" i="160" s="1"/>
  <c r="Y46" i="138" s="1"/>
  <c r="H24" i="144"/>
  <c r="H15" i="144"/>
  <c r="H15" i="160" s="1"/>
  <c r="H15" i="138" s="1"/>
  <c r="X31" i="144"/>
  <c r="X31" i="160" s="1"/>
  <c r="X31" i="138" s="1"/>
  <c r="F18" i="144"/>
  <c r="F18" i="160" s="1"/>
  <c r="F18" i="138" s="1"/>
  <c r="CN20" i="144"/>
  <c r="L20" i="179" s="1"/>
  <c r="CS37" i="144"/>
  <c r="Q37" i="179" s="1"/>
  <c r="K25" i="144"/>
  <c r="K25" i="160" s="1"/>
  <c r="K25" i="138" s="1"/>
  <c r="CV47" i="144"/>
  <c r="T47" i="179" s="1"/>
  <c r="G19" i="144"/>
  <c r="CI35" i="144"/>
  <c r="G35" i="179" s="1"/>
  <c r="CW10" i="144"/>
  <c r="U10" i="179" s="1"/>
  <c r="CS32" i="144"/>
  <c r="Q32" i="179" s="1"/>
  <c r="O32" i="144"/>
  <c r="CH26" i="144"/>
  <c r="F26" i="179" s="1"/>
  <c r="S45" i="144"/>
  <c r="S45" i="160" s="1"/>
  <c r="S45" i="138" s="1"/>
  <c r="CU45" i="144"/>
  <c r="S45" i="179" s="1"/>
  <c r="CG27" i="144"/>
  <c r="E27" i="179" s="1"/>
  <c r="E27" i="144"/>
  <c r="DA33" i="144"/>
  <c r="Y33" i="179" s="1"/>
  <c r="Y33" i="144"/>
  <c r="CM18" i="144"/>
  <c r="K18" i="179" s="1"/>
  <c r="K18" i="144"/>
  <c r="CQ38" i="144"/>
  <c r="O38" i="179" s="1"/>
  <c r="O38" i="144"/>
  <c r="O38" i="160" s="1"/>
  <c r="O38" i="138" s="1"/>
  <c r="CP32" i="144"/>
  <c r="N32" i="179" s="1"/>
  <c r="N32" i="144"/>
  <c r="P32" i="144"/>
  <c r="CR32" i="144"/>
  <c r="P32" i="179" s="1"/>
  <c r="CJ10" i="144"/>
  <c r="H10" i="179" s="1"/>
  <c r="H10" i="144"/>
  <c r="V6" i="144"/>
  <c r="V6" i="160" s="1"/>
  <c r="CX6" i="144"/>
  <c r="V6" i="179" s="1"/>
  <c r="CJ26" i="144"/>
  <c r="H26" i="179" s="1"/>
  <c r="H26" i="144"/>
  <c r="CP18" i="144"/>
  <c r="N18" i="179" s="1"/>
  <c r="N18" i="144"/>
  <c r="S37" i="144"/>
  <c r="CU37" i="144"/>
  <c r="S37" i="179" s="1"/>
  <c r="CY52" i="144"/>
  <c r="W52" i="179" s="1"/>
  <c r="W52" i="144"/>
  <c r="W52" i="160" s="1"/>
  <c r="W52" i="138" s="1"/>
  <c r="H37" i="144"/>
  <c r="CB37" i="144"/>
  <c r="CQ35" i="144"/>
  <c r="O35" i="179" s="1"/>
  <c r="O35" i="144"/>
  <c r="O35" i="160" s="1"/>
  <c r="Y50" i="144"/>
  <c r="DA50" i="144"/>
  <c r="Y50" i="179" s="1"/>
  <c r="N49" i="144"/>
  <c r="N49" i="160" s="1"/>
  <c r="N49" i="138" s="1"/>
  <c r="CP49" i="144"/>
  <c r="N49" i="179" s="1"/>
  <c r="U41" i="144"/>
  <c r="CW41" i="144"/>
  <c r="U41" i="179" s="1"/>
  <c r="Y49" i="144"/>
  <c r="Y49" i="160" s="1"/>
  <c r="Y49" i="138" s="1"/>
  <c r="DA49" i="144"/>
  <c r="Y49" i="179" s="1"/>
  <c r="CT31" i="144"/>
  <c r="R31" i="179" s="1"/>
  <c r="J21" i="144"/>
  <c r="CS44" i="144"/>
  <c r="Q44" i="179" s="1"/>
  <c r="CS14" i="144"/>
  <c r="Q14" i="179" s="1"/>
  <c r="H52" i="144"/>
  <c r="I14" i="144"/>
  <c r="I14" i="160" s="1"/>
  <c r="I14" i="138" s="1"/>
  <c r="DB12" i="144"/>
  <c r="Z12" i="179" s="1"/>
  <c r="CR44" i="144"/>
  <c r="P44" i="179" s="1"/>
  <c r="I33" i="144"/>
  <c r="D27" i="144"/>
  <c r="D27" i="160" s="1"/>
  <c r="D27" i="138" s="1"/>
  <c r="F51" i="144"/>
  <c r="F51" i="160" s="1"/>
  <c r="F51" i="138" s="1"/>
  <c r="H38" i="144"/>
  <c r="H38" i="160" s="1"/>
  <c r="H38" i="138" s="1"/>
  <c r="O26" i="144"/>
  <c r="CO18" i="144"/>
  <c r="M18" i="179" s="1"/>
  <c r="CK11" i="144"/>
  <c r="I11" i="179" s="1"/>
  <c r="DB47" i="144"/>
  <c r="Z47" i="179" s="1"/>
  <c r="CW50" i="144"/>
  <c r="U50" i="179" s="1"/>
  <c r="CD50" i="144"/>
  <c r="B50" i="179" s="1"/>
  <c r="CX11" i="144"/>
  <c r="V11" i="179" s="1"/>
  <c r="CH40" i="144"/>
  <c r="F40" i="179" s="1"/>
  <c r="B8" i="144"/>
  <c r="CM31" i="144"/>
  <c r="K31" i="179" s="1"/>
  <c r="W50" i="144"/>
  <c r="F28" i="144"/>
  <c r="F28" i="160" s="1"/>
  <c r="F28" i="138" s="1"/>
  <c r="C17" i="144"/>
  <c r="CJ50" i="144"/>
  <c r="H50" i="179" s="1"/>
  <c r="CM17" i="144"/>
  <c r="K17" i="179" s="1"/>
  <c r="CX49" i="144"/>
  <c r="V49" i="179" s="1"/>
  <c r="H18" i="144"/>
  <c r="CG12" i="144"/>
  <c r="E12" i="179" s="1"/>
  <c r="CQ19" i="144"/>
  <c r="O19" i="179" s="1"/>
  <c r="CN29" i="144"/>
  <c r="L29" i="179" s="1"/>
  <c r="CH49" i="144"/>
  <c r="F49" i="179" s="1"/>
  <c r="X9" i="144"/>
  <c r="CX39" i="144"/>
  <c r="V39" i="179" s="1"/>
  <c r="G7" i="144"/>
  <c r="G7" i="160" s="1"/>
  <c r="G7" i="138" s="1"/>
  <c r="H17" i="144"/>
  <c r="CF20" i="144"/>
  <c r="D20" i="179" s="1"/>
  <c r="L11" i="144"/>
  <c r="L11" i="160" s="1"/>
  <c r="L11" i="138" s="1"/>
  <c r="I47" i="144"/>
  <c r="CN5" i="144"/>
  <c r="L5" i="179" s="1"/>
  <c r="CG14" i="144"/>
  <c r="E14" i="179" s="1"/>
  <c r="CS35" i="144"/>
  <c r="Q35" i="179" s="1"/>
  <c r="CK39" i="144"/>
  <c r="I39" i="179" s="1"/>
  <c r="M22" i="144"/>
  <c r="Z41" i="144"/>
  <c r="CS39" i="144"/>
  <c r="Q39" i="179" s="1"/>
  <c r="Q39" i="144"/>
  <c r="Q39" i="160" s="1"/>
  <c r="Q39" i="138" s="1"/>
  <c r="K48" i="144"/>
  <c r="CM48" i="144"/>
  <c r="K48" i="179" s="1"/>
  <c r="CI24" i="144"/>
  <c r="G24" i="179" s="1"/>
  <c r="G24" i="144"/>
  <c r="G24" i="160" s="1"/>
  <c r="G24" i="138" s="1"/>
  <c r="G39" i="144"/>
  <c r="CI39" i="144"/>
  <c r="G39" i="179" s="1"/>
  <c r="P31" i="144"/>
  <c r="CR31" i="144"/>
  <c r="P31" i="179" s="1"/>
  <c r="Y9" i="144"/>
  <c r="DA9" i="144"/>
  <c r="Y9" i="179" s="1"/>
  <c r="E47" i="144"/>
  <c r="CG47" i="144"/>
  <c r="E47" i="179" s="1"/>
  <c r="G25" i="144"/>
  <c r="CI25" i="144"/>
  <c r="G25" i="179" s="1"/>
  <c r="P14" i="144"/>
  <c r="P14" i="160" s="1"/>
  <c r="P14" i="138" s="1"/>
  <c r="CR14" i="144"/>
  <c r="P14" i="179" s="1"/>
  <c r="CD22" i="144"/>
  <c r="B22" i="179" s="1"/>
  <c r="B22" i="144"/>
  <c r="DB45" i="144"/>
  <c r="Z45" i="179" s="1"/>
  <c r="Z45" i="144"/>
  <c r="Z45" i="160" s="1"/>
  <c r="Z45" i="138" s="1"/>
  <c r="CJ6" i="144"/>
  <c r="H6" i="179" s="1"/>
  <c r="H6" i="144"/>
  <c r="H6" i="160" s="1"/>
  <c r="CR29" i="144"/>
  <c r="P29" i="179" s="1"/>
  <c r="P29" i="144"/>
  <c r="CL39" i="144"/>
  <c r="J39" i="179" s="1"/>
  <c r="J39" i="144"/>
  <c r="W32" i="144"/>
  <c r="W32" i="160" s="1"/>
  <c r="W32" i="138" s="1"/>
  <c r="CY32" i="144"/>
  <c r="W32" i="179" s="1"/>
  <c r="U15" i="144"/>
  <c r="CW15" i="144"/>
  <c r="U15" i="179" s="1"/>
  <c r="K22" i="144"/>
  <c r="CM22" i="144"/>
  <c r="K22" i="179" s="1"/>
  <c r="CQ20" i="144"/>
  <c r="O20" i="179" s="1"/>
  <c r="O20" i="144"/>
  <c r="CE14" i="144"/>
  <c r="C14" i="179" s="1"/>
  <c r="C14" i="144"/>
  <c r="C14" i="160" s="1"/>
  <c r="C14" i="138" s="1"/>
  <c r="J24" i="144"/>
  <c r="CL24" i="144"/>
  <c r="J24" i="179" s="1"/>
  <c r="C46" i="144"/>
  <c r="CE46" i="144"/>
  <c r="C46" i="179" s="1"/>
  <c r="W13" i="144"/>
  <c r="CY13" i="144"/>
  <c r="W13" i="179" s="1"/>
  <c r="CX52" i="144"/>
  <c r="V52" i="179" s="1"/>
  <c r="V52" i="144"/>
  <c r="V52" i="160" s="1"/>
  <c r="V52" i="138" s="1"/>
  <c r="C31" i="144"/>
  <c r="CE31" i="144"/>
  <c r="C31" i="179" s="1"/>
  <c r="CG15" i="144"/>
  <c r="E15" i="179" s="1"/>
  <c r="E15" i="144"/>
  <c r="E15" i="160" s="1"/>
  <c r="E15" i="138" s="1"/>
  <c r="T18" i="144"/>
  <c r="CV18" i="144"/>
  <c r="T18" i="179" s="1"/>
  <c r="DB28" i="144"/>
  <c r="Z28" i="179" s="1"/>
  <c r="Z28" i="144"/>
  <c r="Z28" i="160" s="1"/>
  <c r="Z28" i="138" s="1"/>
  <c r="F30" i="144"/>
  <c r="CH30" i="144"/>
  <c r="F30" i="179" s="1"/>
  <c r="CS12" i="144"/>
  <c r="Q12" i="179" s="1"/>
  <c r="Q12" i="144"/>
  <c r="Q12" i="160" s="1"/>
  <c r="Q12" i="138" s="1"/>
  <c r="CK7" i="144"/>
  <c r="I7" i="179" s="1"/>
  <c r="J51" i="144"/>
  <c r="J51" i="160" s="1"/>
  <c r="J51" i="138" s="1"/>
  <c r="CS30" i="144"/>
  <c r="Q30" i="179" s="1"/>
  <c r="CK46" i="144"/>
  <c r="I46" i="179" s="1"/>
  <c r="DA32" i="144"/>
  <c r="Y32" i="179" s="1"/>
  <c r="L44" i="144"/>
  <c r="L44" i="160" s="1"/>
  <c r="L44" i="138" s="1"/>
  <c r="Z31" i="144"/>
  <c r="Z31" i="160" s="1"/>
  <c r="Z31" i="138" s="1"/>
  <c r="CY25" i="144"/>
  <c r="W25" i="179" s="1"/>
  <c r="Q15" i="144"/>
  <c r="R40" i="144"/>
  <c r="R9" i="144"/>
  <c r="R9" i="160" s="1"/>
  <c r="R9" i="138" s="1"/>
  <c r="CL20" i="144"/>
  <c r="J20" i="179" s="1"/>
  <c r="CI18" i="144"/>
  <c r="G18" i="179" s="1"/>
  <c r="CP29" i="144"/>
  <c r="N29" i="179" s="1"/>
  <c r="CS21" i="144"/>
  <c r="Q21" i="179" s="1"/>
  <c r="S32" i="144"/>
  <c r="S32" i="160" s="1"/>
  <c r="S32" i="138" s="1"/>
  <c r="CU12" i="144"/>
  <c r="S12" i="179" s="1"/>
  <c r="DB22" i="144"/>
  <c r="Z22" i="179" s="1"/>
  <c r="S30" i="144"/>
  <c r="S30" i="160" s="1"/>
  <c r="S30" i="138" s="1"/>
  <c r="CF22" i="144"/>
  <c r="D22" i="179" s="1"/>
  <c r="T41" i="144"/>
  <c r="O14" i="144"/>
  <c r="O14" i="160" s="1"/>
  <c r="O14" i="138" s="1"/>
  <c r="CL45" i="144"/>
  <c r="J45" i="179" s="1"/>
  <c r="CN33" i="144"/>
  <c r="L33" i="179" s="1"/>
  <c r="R33" i="144"/>
  <c r="T6" i="144"/>
  <c r="T6" i="160" s="1"/>
  <c r="CB28" i="144"/>
  <c r="BY53" i="144"/>
  <c r="CZ53" i="144" s="1"/>
  <c r="BN53" i="144"/>
  <c r="CO53" i="144" s="1"/>
  <c r="M5" i="144"/>
  <c r="M5" i="160" s="1"/>
  <c r="C6" i="144"/>
  <c r="C6" i="160" s="1"/>
  <c r="CU7" i="144"/>
  <c r="S7" i="179" s="1"/>
  <c r="DA28" i="144"/>
  <c r="Y28" i="179" s="1"/>
  <c r="CX5" i="144"/>
  <c r="V5" i="179" s="1"/>
  <c r="AB37" i="183"/>
  <c r="Q33" i="160"/>
  <c r="Q33" i="138" s="1"/>
  <c r="O12" i="160"/>
  <c r="O12" i="138" s="1"/>
  <c r="D13" i="160"/>
  <c r="D13" i="138" s="1"/>
  <c r="Q49" i="160"/>
  <c r="Q49" i="138" s="1"/>
  <c r="X13" i="160"/>
  <c r="X13" i="138" s="1"/>
  <c r="H30" i="160"/>
  <c r="H30" i="138" s="1"/>
  <c r="R44" i="160"/>
  <c r="R44" i="138" s="1"/>
  <c r="R51" i="160"/>
  <c r="R51" i="138" s="1"/>
  <c r="M37" i="160"/>
  <c r="M37" i="138" s="1"/>
  <c r="P46" i="160"/>
  <c r="P46" i="138" s="1"/>
  <c r="M49" i="160"/>
  <c r="M49" i="138" s="1"/>
  <c r="T39" i="160"/>
  <c r="T39" i="138" s="1"/>
  <c r="X39" i="160"/>
  <c r="X39" i="138" s="1"/>
  <c r="D16" i="160"/>
  <c r="D16" i="138" s="1"/>
  <c r="G16" i="160"/>
  <c r="G16" i="138" s="1"/>
  <c r="Y21" i="160"/>
  <c r="Y21" i="138" s="1"/>
  <c r="Q48" i="160"/>
  <c r="Q48" i="138" s="1"/>
  <c r="S28" i="160"/>
  <c r="S28" i="138" s="1"/>
  <c r="C51" i="160"/>
  <c r="C51" i="138" s="1"/>
  <c r="K49" i="160"/>
  <c r="K49" i="138" s="1"/>
  <c r="D28" i="160"/>
  <c r="D28" i="138" s="1"/>
  <c r="J49" i="160"/>
  <c r="J49" i="138" s="1"/>
  <c r="M40" i="160"/>
  <c r="M40" i="138" s="1"/>
  <c r="L37" i="160"/>
  <c r="L37" i="138" s="1"/>
  <c r="E10" i="160"/>
  <c r="E10" i="138" s="1"/>
  <c r="Q28" i="160"/>
  <c r="Q28" i="138" s="1"/>
  <c r="S20" i="160"/>
  <c r="S20" i="138" s="1"/>
  <c r="V29" i="160"/>
  <c r="V29" i="138" s="1"/>
  <c r="C27" i="160"/>
  <c r="C27" i="138" s="1"/>
  <c r="C15" i="160"/>
  <c r="C15" i="138" s="1"/>
  <c r="O39" i="160"/>
  <c r="O39" i="138" s="1"/>
  <c r="E29" i="160"/>
  <c r="E29" i="138" s="1"/>
  <c r="L45" i="160"/>
  <c r="L45" i="138" s="1"/>
  <c r="R24" i="160"/>
  <c r="R24" i="138" s="1"/>
  <c r="X16" i="160"/>
  <c r="X16" i="138" s="1"/>
  <c r="K24" i="160"/>
  <c r="K24" i="138" s="1"/>
  <c r="P8" i="160"/>
  <c r="P8" i="138" s="1"/>
  <c r="B37" i="160"/>
  <c r="B37" i="138" s="1"/>
  <c r="B44" i="160"/>
  <c r="B44" i="138" s="1"/>
  <c r="X24" i="160"/>
  <c r="X24" i="138" s="1"/>
  <c r="Q36" i="160"/>
  <c r="Q36" i="138" s="1"/>
  <c r="R25" i="160"/>
  <c r="R25" i="138" s="1"/>
  <c r="Z16" i="160"/>
  <c r="Z16" i="138" s="1"/>
  <c r="F11" i="160"/>
  <c r="F11" i="138" s="1"/>
  <c r="N45" i="160"/>
  <c r="N45" i="138" s="1"/>
  <c r="L19" i="160"/>
  <c r="L19" i="138" s="1"/>
  <c r="T24" i="160"/>
  <c r="T24" i="138" s="1"/>
  <c r="M12" i="160"/>
  <c r="M12" i="138" s="1"/>
  <c r="P13" i="160"/>
  <c r="P13" i="138" s="1"/>
  <c r="J32" i="160"/>
  <c r="J32" i="138" s="1"/>
  <c r="S26" i="160"/>
  <c r="S26" i="138" s="1"/>
  <c r="F45" i="160"/>
  <c r="F45" i="138" s="1"/>
  <c r="I44" i="160"/>
  <c r="I44" i="138" s="1"/>
  <c r="K13" i="160"/>
  <c r="K13" i="138" s="1"/>
  <c r="N9" i="160"/>
  <c r="N9" i="138" s="1"/>
  <c r="T50" i="160"/>
  <c r="T50" i="138" s="1"/>
  <c r="G45" i="160"/>
  <c r="G45" i="138" s="1"/>
  <c r="V47" i="160"/>
  <c r="V47" i="138" s="1"/>
  <c r="O22" i="160"/>
  <c r="O22" i="138" s="1"/>
  <c r="F12" i="160"/>
  <c r="F12" i="138" s="1"/>
  <c r="W45" i="160"/>
  <c r="W45" i="138" s="1"/>
  <c r="Y26" i="160"/>
  <c r="Y26" i="138" s="1"/>
  <c r="C17" i="160"/>
  <c r="C17" i="138" s="1"/>
  <c r="T45" i="160"/>
  <c r="T45" i="138" s="1"/>
  <c r="R29" i="160"/>
  <c r="R29" i="138" s="1"/>
  <c r="D40" i="160"/>
  <c r="D40" i="138" s="1"/>
  <c r="Y12" i="160"/>
  <c r="Y12" i="138" s="1"/>
  <c r="M50" i="160"/>
  <c r="M50" i="138" s="1"/>
  <c r="U51" i="160"/>
  <c r="U51" i="138" s="1"/>
  <c r="Z20" i="160"/>
  <c r="Z20" i="138" s="1"/>
  <c r="P11" i="160"/>
  <c r="P11" i="138" s="1"/>
  <c r="L32" i="160"/>
  <c r="L32" i="138" s="1"/>
  <c r="V41" i="160"/>
  <c r="V41" i="138" s="1"/>
  <c r="W17" i="160"/>
  <c r="W17" i="138" s="1"/>
  <c r="L41" i="160"/>
  <c r="L41" i="138" s="1"/>
  <c r="C19" i="160"/>
  <c r="C19" i="138" s="1"/>
  <c r="Z13" i="160"/>
  <c r="Z13" i="138" s="1"/>
  <c r="E45" i="160"/>
  <c r="E45" i="138" s="1"/>
  <c r="V31" i="160"/>
  <c r="V31" i="138" s="1"/>
  <c r="Z8" i="160"/>
  <c r="Z8" i="138" s="1"/>
  <c r="O25" i="160"/>
  <c r="O25" i="138" s="1"/>
  <c r="V32" i="160"/>
  <c r="V32" i="138" s="1"/>
  <c r="U46" i="160"/>
  <c r="U46" i="138" s="1"/>
  <c r="I15" i="160"/>
  <c r="I15" i="138" s="1"/>
  <c r="M8" i="160"/>
  <c r="M8" i="138" s="1"/>
  <c r="V21" i="160"/>
  <c r="V21" i="138" s="1"/>
  <c r="H18" i="160"/>
  <c r="H18" i="138" s="1"/>
  <c r="S44" i="160"/>
  <c r="S44" i="138" s="1"/>
  <c r="S29" i="160"/>
  <c r="S29" i="138" s="1"/>
  <c r="O31" i="160"/>
  <c r="O31" i="138" s="1"/>
  <c r="O41" i="160"/>
  <c r="O41" i="138" s="1"/>
  <c r="Q15" i="160"/>
  <c r="Q15" i="138" s="1"/>
  <c r="J52" i="160"/>
  <c r="J52" i="138" s="1"/>
  <c r="R40" i="160"/>
  <c r="R40" i="138" s="1"/>
  <c r="U19" i="160"/>
  <c r="U19" i="138" s="1"/>
  <c r="X9" i="160"/>
  <c r="X9" i="138" s="1"/>
  <c r="O13" i="160"/>
  <c r="O13" i="138" s="1"/>
  <c r="Q47" i="160"/>
  <c r="Q47" i="138" s="1"/>
  <c r="H24" i="160"/>
  <c r="H24" i="138" s="1"/>
  <c r="P26" i="160"/>
  <c r="P26" i="138" s="1"/>
  <c r="B48" i="160"/>
  <c r="B48" i="138" s="1"/>
  <c r="F48" i="160"/>
  <c r="F48" i="138" s="1"/>
  <c r="Z27" i="160"/>
  <c r="Z27" i="138" s="1"/>
  <c r="L8" i="160"/>
  <c r="L8" i="138" s="1"/>
  <c r="H12" i="160"/>
  <c r="H12" i="138" s="1"/>
  <c r="D52" i="160"/>
  <c r="D52" i="138" s="1"/>
  <c r="Z51" i="160"/>
  <c r="Z51" i="138" s="1"/>
  <c r="T38" i="160"/>
  <c r="T38" i="138" s="1"/>
  <c r="M29" i="160"/>
  <c r="M29" i="138" s="1"/>
  <c r="J9" i="160"/>
  <c r="J9" i="138" s="1"/>
  <c r="M26" i="160"/>
  <c r="M26" i="138" s="1"/>
  <c r="Y17" i="160"/>
  <c r="Y17" i="138" s="1"/>
  <c r="C47" i="160"/>
  <c r="C47" i="138" s="1"/>
  <c r="H17" i="160"/>
  <c r="H17" i="138" s="1"/>
  <c r="L49" i="160"/>
  <c r="L49" i="138" s="1"/>
  <c r="M17" i="160"/>
  <c r="M17" i="138" s="1"/>
  <c r="I47" i="160"/>
  <c r="I47" i="138" s="1"/>
  <c r="D51" i="160"/>
  <c r="D51" i="138" s="1"/>
  <c r="Y37" i="160"/>
  <c r="Y37" i="138" s="1"/>
  <c r="V28" i="160"/>
  <c r="V28" i="138" s="1"/>
  <c r="H14" i="160"/>
  <c r="H14" i="138" s="1"/>
  <c r="E51" i="160"/>
  <c r="E51" i="138" s="1"/>
  <c r="X36" i="160"/>
  <c r="X36" i="138" s="1"/>
  <c r="K38" i="160"/>
  <c r="K38" i="138" s="1"/>
  <c r="T22" i="160"/>
  <c r="T22" i="138" s="1"/>
  <c r="I17" i="160"/>
  <c r="I17" i="138" s="1"/>
  <c r="F10" i="160"/>
  <c r="F10" i="138" s="1"/>
  <c r="K45" i="160"/>
  <c r="K45" i="138" s="1"/>
  <c r="C26" i="160"/>
  <c r="C26" i="138" s="1"/>
  <c r="G41" i="160"/>
  <c r="G41" i="138" s="1"/>
  <c r="Y13" i="160"/>
  <c r="Y13" i="138" s="1"/>
  <c r="I12" i="160"/>
  <c r="I12" i="138" s="1"/>
  <c r="N28" i="160"/>
  <c r="N28" i="138" s="1"/>
  <c r="G19" i="160"/>
  <c r="G19" i="138" s="1"/>
  <c r="L17" i="160"/>
  <c r="L17" i="138" s="1"/>
  <c r="E28" i="160"/>
  <c r="E28" i="138" s="1"/>
  <c r="V40" i="160"/>
  <c r="V40" i="138" s="1"/>
  <c r="T33" i="160"/>
  <c r="T33" i="138" s="1"/>
  <c r="T41" i="160"/>
  <c r="T41" i="138" s="1"/>
  <c r="U29" i="160"/>
  <c r="U29" i="138" s="1"/>
  <c r="J12" i="160"/>
  <c r="J12" i="138" s="1"/>
  <c r="S50" i="160"/>
  <c r="S50" i="138" s="1"/>
  <c r="M22" i="160"/>
  <c r="M22" i="138" s="1"/>
  <c r="C8" i="160"/>
  <c r="C8" i="138" s="1"/>
  <c r="X15" i="160"/>
  <c r="X15" i="138" s="1"/>
  <c r="O32" i="160"/>
  <c r="O32" i="138" s="1"/>
  <c r="D30" i="160"/>
  <c r="D30" i="138" s="1"/>
  <c r="R33" i="160"/>
  <c r="R33" i="138" s="1"/>
  <c r="G11" i="160"/>
  <c r="G11" i="138" s="1"/>
  <c r="L36" i="160"/>
  <c r="L36" i="138" s="1"/>
  <c r="F26" i="160"/>
  <c r="F26" i="138" s="1"/>
  <c r="M20" i="160"/>
  <c r="M20" i="138" s="1"/>
  <c r="R36" i="160"/>
  <c r="R36" i="138" s="1"/>
  <c r="P41" i="160"/>
  <c r="P41" i="138" s="1"/>
  <c r="S7" i="160"/>
  <c r="S7" i="138" s="1"/>
  <c r="O21" i="160"/>
  <c r="O21" i="138" s="1"/>
  <c r="P25" i="160"/>
  <c r="P25" i="138" s="1"/>
  <c r="C13" i="160"/>
  <c r="C13" i="138" s="1"/>
  <c r="C24" i="160"/>
  <c r="C24" i="138" s="1"/>
  <c r="V8" i="160"/>
  <c r="V8" i="138" s="1"/>
  <c r="O51" i="160"/>
  <c r="O51" i="138" s="1"/>
  <c r="N48" i="160"/>
  <c r="N48" i="138" s="1"/>
  <c r="U18" i="160"/>
  <c r="U18" i="138" s="1"/>
  <c r="Q51" i="160"/>
  <c r="Q51" i="138" s="1"/>
  <c r="O17" i="160"/>
  <c r="O17" i="138" s="1"/>
  <c r="F14" i="160"/>
  <c r="F14" i="138" s="1"/>
  <c r="Z19" i="160"/>
  <c r="Z19" i="138" s="1"/>
  <c r="Z12" i="160"/>
  <c r="Z12" i="138" s="1"/>
  <c r="I49" i="160"/>
  <c r="I49" i="138" s="1"/>
  <c r="P51" i="160"/>
  <c r="P51" i="138" s="1"/>
  <c r="L28" i="160"/>
  <c r="L28" i="138" s="1"/>
  <c r="J46" i="160"/>
  <c r="J46" i="138" s="1"/>
  <c r="E50" i="160"/>
  <c r="E50" i="138" s="1"/>
  <c r="R37" i="160"/>
  <c r="R37" i="138" s="1"/>
  <c r="Y45" i="160"/>
  <c r="Y45" i="138" s="1"/>
  <c r="Z9" i="160"/>
  <c r="Z9" i="138" s="1"/>
  <c r="G9" i="160"/>
  <c r="G9" i="138" s="1"/>
  <c r="F22" i="160"/>
  <c r="F22" i="138" s="1"/>
  <c r="N31" i="160"/>
  <c r="N31" i="138" s="1"/>
  <c r="T30" i="160"/>
  <c r="T30" i="138" s="1"/>
  <c r="L48" i="160"/>
  <c r="L48" i="138" s="1"/>
  <c r="R13" i="160"/>
  <c r="R13" i="138" s="1"/>
  <c r="U28" i="160"/>
  <c r="U28" i="138" s="1"/>
  <c r="Q13" i="160"/>
  <c r="Q13" i="138" s="1"/>
  <c r="J16" i="160"/>
  <c r="J16" i="138" s="1"/>
  <c r="U47" i="160"/>
  <c r="U47" i="138" s="1"/>
  <c r="F52" i="160"/>
  <c r="F52" i="138" s="1"/>
  <c r="N14" i="160"/>
  <c r="N14" i="138" s="1"/>
  <c r="I19" i="160"/>
  <c r="I19" i="138" s="1"/>
  <c r="Z37" i="160"/>
  <c r="Z37" i="138" s="1"/>
  <c r="G33" i="160"/>
  <c r="G33" i="138" s="1"/>
  <c r="P30" i="160"/>
  <c r="P30" i="138" s="1"/>
  <c r="G8" i="160"/>
  <c r="G8" i="138" s="1"/>
  <c r="E19" i="160"/>
  <c r="E19" i="138" s="1"/>
  <c r="J21" i="160"/>
  <c r="J21" i="138" s="1"/>
  <c r="Z46" i="160"/>
  <c r="Z46" i="138" s="1"/>
  <c r="D49" i="160"/>
  <c r="D49" i="138" s="1"/>
  <c r="C29" i="160"/>
  <c r="C29" i="138" s="1"/>
  <c r="T8" i="160"/>
  <c r="T8" i="138" s="1"/>
  <c r="C37" i="160"/>
  <c r="C37" i="138" s="1"/>
  <c r="H52" i="160"/>
  <c r="H52" i="138" s="1"/>
  <c r="H22" i="160"/>
  <c r="H22" i="138" s="1"/>
  <c r="Q29" i="160"/>
  <c r="Q29" i="138" s="1"/>
  <c r="R22" i="160"/>
  <c r="R22" i="138" s="1"/>
  <c r="H9" i="160"/>
  <c r="H9" i="138" s="1"/>
  <c r="D39" i="160"/>
  <c r="D39" i="138" s="1"/>
  <c r="R16" i="160"/>
  <c r="R16" i="138" s="1"/>
  <c r="N22" i="160"/>
  <c r="N22" i="138" s="1"/>
  <c r="G17" i="160"/>
  <c r="G17" i="138" s="1"/>
  <c r="C10" i="160"/>
  <c r="C10" i="138" s="1"/>
  <c r="X51" i="160"/>
  <c r="X51" i="138" s="1"/>
  <c r="C48" i="160"/>
  <c r="C48" i="138" s="1"/>
  <c r="V36" i="160"/>
  <c r="V36" i="138" s="1"/>
  <c r="M15" i="160"/>
  <c r="M15" i="138" s="1"/>
  <c r="V30" i="160"/>
  <c r="V30" i="138" s="1"/>
  <c r="X12" i="160"/>
  <c r="X12" i="138" s="1"/>
  <c r="S27" i="160"/>
  <c r="S27" i="138" s="1"/>
  <c r="I25" i="160"/>
  <c r="I25" i="138" s="1"/>
  <c r="S17" i="160"/>
  <c r="S17" i="138" s="1"/>
  <c r="B41" i="160"/>
  <c r="B41" i="138" s="1"/>
  <c r="H19" i="160"/>
  <c r="H19" i="138" s="1"/>
  <c r="Z10" i="160"/>
  <c r="Z10" i="138" s="1"/>
  <c r="F47" i="160"/>
  <c r="F47" i="138" s="1"/>
  <c r="E32" i="160"/>
  <c r="E32" i="138" s="1"/>
  <c r="S14" i="160"/>
  <c r="S14" i="138" s="1"/>
  <c r="Z18" i="160"/>
  <c r="Z18" i="138" s="1"/>
  <c r="R39" i="160"/>
  <c r="R39" i="138" s="1"/>
  <c r="I51" i="160"/>
  <c r="I51" i="138" s="1"/>
  <c r="F7" i="160"/>
  <c r="F7" i="138" s="1"/>
  <c r="L39" i="160"/>
  <c r="L39" i="138" s="1"/>
  <c r="O29" i="160"/>
  <c r="O29" i="138" s="1"/>
  <c r="R8" i="160"/>
  <c r="R8" i="138" s="1"/>
  <c r="F27" i="160"/>
  <c r="F27" i="138" s="1"/>
  <c r="W14" i="160"/>
  <c r="W14" i="138" s="1"/>
  <c r="Y14" i="160"/>
  <c r="Y14" i="138" s="1"/>
  <c r="C41" i="160"/>
  <c r="C41" i="138" s="1"/>
  <c r="S15" i="160"/>
  <c r="S15" i="138" s="1"/>
  <c r="X27" i="160"/>
  <c r="X27" i="138" s="1"/>
  <c r="Q18" i="160"/>
  <c r="Q18" i="138" s="1"/>
  <c r="N33" i="160"/>
  <c r="N33" i="138" s="1"/>
  <c r="S24" i="160"/>
  <c r="S24" i="138" s="1"/>
  <c r="Y10" i="160"/>
  <c r="Y10" i="138" s="1"/>
  <c r="B32" i="160"/>
  <c r="B32" i="138" s="1"/>
  <c r="W36" i="160"/>
  <c r="W36" i="138" s="1"/>
  <c r="V49" i="160"/>
  <c r="V49" i="138" s="1"/>
  <c r="Y29" i="160"/>
  <c r="Y29" i="138" s="1"/>
  <c r="Y32" i="160"/>
  <c r="Y32" i="138" s="1"/>
  <c r="I29" i="160"/>
  <c r="I29" i="138" s="1"/>
  <c r="E37" i="160"/>
  <c r="E37" i="138" s="1"/>
  <c r="O37" i="160"/>
  <c r="O37" i="138" s="1"/>
  <c r="T28" i="160"/>
  <c r="T28" i="138" s="1"/>
  <c r="G10" i="160"/>
  <c r="G10" i="138" s="1"/>
  <c r="T46" i="160"/>
  <c r="T46" i="138" s="1"/>
  <c r="U21" i="160"/>
  <c r="U21" i="138" s="1"/>
  <c r="S11" i="160"/>
  <c r="S11" i="138" s="1"/>
  <c r="O20" i="160"/>
  <c r="O20" i="138" s="1"/>
  <c r="P37" i="160"/>
  <c r="P37" i="138" s="1"/>
  <c r="K52" i="160"/>
  <c r="K52" i="138" s="1"/>
  <c r="O40" i="160"/>
  <c r="O40" i="138" s="1"/>
  <c r="E31" i="160"/>
  <c r="E31" i="138" s="1"/>
  <c r="E26" i="160"/>
  <c r="E26" i="138" s="1"/>
  <c r="Y47" i="160"/>
  <c r="Y47" i="138" s="1"/>
  <c r="C21" i="160"/>
  <c r="C21" i="138" s="1"/>
  <c r="W21" i="160"/>
  <c r="W21" i="138" s="1"/>
  <c r="D14" i="160"/>
  <c r="D14" i="138" s="1"/>
  <c r="Y31" i="160"/>
  <c r="Y31" i="138" s="1"/>
  <c r="S46" i="160"/>
  <c r="S46" i="138" s="1"/>
  <c r="J37" i="160"/>
  <c r="J37" i="138" s="1"/>
  <c r="J14" i="160"/>
  <c r="J14" i="138" s="1"/>
  <c r="U13" i="160"/>
  <c r="U13" i="138" s="1"/>
  <c r="U17" i="160"/>
  <c r="U17" i="138" s="1"/>
  <c r="C52" i="160"/>
  <c r="C52" i="138" s="1"/>
  <c r="X41" i="160"/>
  <c r="X41" i="138" s="1"/>
  <c r="F41" i="160"/>
  <c r="F41" i="138" s="1"/>
  <c r="L30" i="160"/>
  <c r="L30" i="138" s="1"/>
  <c r="G13" i="160"/>
  <c r="G13" i="138" s="1"/>
  <c r="Z40" i="160"/>
  <c r="Z40" i="138" s="1"/>
  <c r="Z26" i="160"/>
  <c r="Z26" i="138" s="1"/>
  <c r="U16" i="160"/>
  <c r="U16" i="138" s="1"/>
  <c r="K20" i="160"/>
  <c r="K20" i="138" s="1"/>
  <c r="G31" i="160"/>
  <c r="G31" i="138" s="1"/>
  <c r="V19" i="160"/>
  <c r="V19" i="138" s="1"/>
  <c r="L22" i="160"/>
  <c r="L22" i="138" s="1"/>
  <c r="K18" i="160"/>
  <c r="K18" i="138" s="1"/>
  <c r="S51" i="160"/>
  <c r="S51" i="138" s="1"/>
  <c r="P9" i="160"/>
  <c r="P9" i="138" s="1"/>
  <c r="X30" i="160"/>
  <c r="X30" i="138" s="1"/>
  <c r="E8" i="160"/>
  <c r="E8" i="138" s="1"/>
  <c r="P45" i="160"/>
  <c r="P45" i="138" s="1"/>
  <c r="W18" i="160"/>
  <c r="W18" i="138" s="1"/>
  <c r="B22" i="160"/>
  <c r="B22" i="138" s="1"/>
  <c r="X46" i="160"/>
  <c r="X46" i="138" s="1"/>
  <c r="J18" i="160"/>
  <c r="J18" i="138" s="1"/>
  <c r="K44" i="160"/>
  <c r="K44" i="138" s="1"/>
  <c r="K29" i="160"/>
  <c r="K29" i="138" s="1"/>
  <c r="J27" i="160"/>
  <c r="J27" i="138" s="1"/>
  <c r="I9" i="160"/>
  <c r="I9" i="138" s="1"/>
  <c r="K28" i="160"/>
  <c r="K28" i="138" s="1"/>
  <c r="O50" i="160"/>
  <c r="O50" i="138" s="1"/>
  <c r="Q52" i="160"/>
  <c r="Q52" i="138" s="1"/>
  <c r="J47" i="160"/>
  <c r="J47" i="138" s="1"/>
  <c r="G36" i="160"/>
  <c r="G36" i="138" s="1"/>
  <c r="H36" i="160"/>
  <c r="H36" i="138" s="1"/>
  <c r="B20" i="160"/>
  <c r="B20" i="138" s="1"/>
  <c r="N7" i="160"/>
  <c r="N7" i="138" s="1"/>
  <c r="X22" i="160"/>
  <c r="X22" i="138" s="1"/>
  <c r="V50" i="160"/>
  <c r="V50" i="138" s="1"/>
  <c r="W12" i="160"/>
  <c r="W12" i="138" s="1"/>
  <c r="N50" i="160"/>
  <c r="N50" i="138" s="1"/>
  <c r="Q40" i="160"/>
  <c r="Q40" i="138" s="1"/>
  <c r="U36" i="160"/>
  <c r="U36" i="138" s="1"/>
  <c r="R48" i="160"/>
  <c r="R48" i="138" s="1"/>
  <c r="N18" i="160"/>
  <c r="N18" i="138" s="1"/>
  <c r="F31" i="160"/>
  <c r="F31" i="138" s="1"/>
  <c r="T44" i="160"/>
  <c r="T44" i="138" s="1"/>
  <c r="E20" i="160"/>
  <c r="E20" i="138" s="1"/>
  <c r="F8" i="160"/>
  <c r="F8" i="138" s="1"/>
  <c r="H26" i="160"/>
  <c r="H26" i="138" s="1"/>
  <c r="I18" i="160"/>
  <c r="I18" i="138" s="1"/>
  <c r="M39" i="160"/>
  <c r="M39" i="138" s="1"/>
  <c r="D21" i="160"/>
  <c r="D21" i="138" s="1"/>
  <c r="J19" i="160"/>
  <c r="J19" i="138" s="1"/>
  <c r="N38" i="160"/>
  <c r="N38" i="138" s="1"/>
  <c r="D31" i="160"/>
  <c r="D31" i="138" s="1"/>
  <c r="X45" i="160"/>
  <c r="X45" i="138" s="1"/>
  <c r="E40" i="160"/>
  <c r="E40" i="138" s="1"/>
  <c r="N12" i="160"/>
  <c r="N12" i="138" s="1"/>
  <c r="N36" i="160"/>
  <c r="N36" i="138" s="1"/>
  <c r="N8" i="160"/>
  <c r="N8" i="138" s="1"/>
  <c r="G48" i="160"/>
  <c r="G48" i="138" s="1"/>
  <c r="W7" i="160"/>
  <c r="W7" i="138" s="1"/>
  <c r="Y33" i="160"/>
  <c r="Y33" i="138" s="1"/>
  <c r="B26" i="160"/>
  <c r="B26" i="138" s="1"/>
  <c r="L18" i="160"/>
  <c r="L18" i="138" s="1"/>
  <c r="B19" i="160"/>
  <c r="B19" i="138" s="1"/>
  <c r="I8" i="160"/>
  <c r="I8" i="138" s="1"/>
  <c r="K50" i="160"/>
  <c r="K50" i="138" s="1"/>
  <c r="G12" i="160"/>
  <c r="G12" i="138" s="1"/>
  <c r="F19" i="160"/>
  <c r="F19" i="138" s="1"/>
  <c r="J28" i="160"/>
  <c r="J28" i="138" s="1"/>
  <c r="I22" i="160"/>
  <c r="I22" i="138" s="1"/>
  <c r="N51" i="160"/>
  <c r="N51" i="138" s="1"/>
  <c r="V17" i="160"/>
  <c r="V17" i="138" s="1"/>
  <c r="N47" i="160"/>
  <c r="N47" i="138" s="1"/>
  <c r="P52" i="160"/>
  <c r="P52" i="138" s="1"/>
  <c r="F17" i="160"/>
  <c r="F17" i="138" s="1"/>
  <c r="D22" i="160"/>
  <c r="D22" i="138" s="1"/>
  <c r="K30" i="160"/>
  <c r="K30" i="138" s="1"/>
  <c r="J15" i="160"/>
  <c r="J15" i="138" s="1"/>
  <c r="E13" i="160"/>
  <c r="E13" i="138" s="1"/>
  <c r="I39" i="160"/>
  <c r="I39" i="138" s="1"/>
  <c r="T13" i="160"/>
  <c r="T13" i="138" s="1"/>
  <c r="M10" i="160"/>
  <c r="M10" i="138" s="1"/>
  <c r="R19" i="160"/>
  <c r="R19" i="138" s="1"/>
  <c r="I41" i="160"/>
  <c r="I41" i="138" s="1"/>
  <c r="N21" i="160"/>
  <c r="N21" i="138" s="1"/>
  <c r="H44" i="160"/>
  <c r="H44" i="138" s="1"/>
  <c r="F9" i="160"/>
  <c r="F9" i="138" s="1"/>
  <c r="U10" i="160"/>
  <c r="U10" i="138" s="1"/>
  <c r="F21" i="160"/>
  <c r="F21" i="138" s="1"/>
  <c r="J45" i="160"/>
  <c r="J45" i="138" s="1"/>
  <c r="Y44" i="160"/>
  <c r="Y44" i="138" s="1"/>
  <c r="W16" i="160"/>
  <c r="W16" i="138" s="1"/>
  <c r="P29" i="160"/>
  <c r="P29" i="138" s="1"/>
  <c r="J50" i="160"/>
  <c r="J50" i="138" s="1"/>
  <c r="F20" i="160"/>
  <c r="F20" i="138" s="1"/>
  <c r="W10" i="160"/>
  <c r="W10" i="138" s="1"/>
  <c r="V38" i="160"/>
  <c r="V38" i="138" s="1"/>
  <c r="F32" i="160"/>
  <c r="F32" i="138" s="1"/>
  <c r="S16" i="160"/>
  <c r="S16" i="138" s="1"/>
  <c r="B29" i="160"/>
  <c r="B29" i="138" s="1"/>
  <c r="N24" i="160"/>
  <c r="N24" i="138" s="1"/>
  <c r="Y28" i="160"/>
  <c r="Y28" i="138" s="1"/>
  <c r="P22" i="160"/>
  <c r="P22" i="138" s="1"/>
  <c r="Y48" i="160"/>
  <c r="Y48" i="138" s="1"/>
  <c r="M32" i="160"/>
  <c r="M32" i="138" s="1"/>
  <c r="I33" i="160"/>
  <c r="I33" i="138" s="1"/>
  <c r="Q44" i="160"/>
  <c r="Q44" i="138" s="1"/>
  <c r="P17" i="160"/>
  <c r="P17" i="138" s="1"/>
  <c r="O26" i="160"/>
  <c r="O26" i="138" s="1"/>
  <c r="Q14" i="160"/>
  <c r="Q14" i="138" s="1"/>
  <c r="B27" i="160"/>
  <c r="B27" i="138" s="1"/>
  <c r="S52" i="160"/>
  <c r="S52" i="138" s="1"/>
  <c r="W44" i="160"/>
  <c r="W44" i="138" s="1"/>
  <c r="P47" i="160"/>
  <c r="P47" i="138" s="1"/>
  <c r="S9" i="160"/>
  <c r="S9" i="138" s="1"/>
  <c r="T29" i="160"/>
  <c r="T29" i="138" s="1"/>
  <c r="K16" i="160"/>
  <c r="K16" i="138" s="1"/>
  <c r="W8" i="160"/>
  <c r="W8" i="138" s="1"/>
  <c r="Z48" i="160"/>
  <c r="Z48" i="138" s="1"/>
  <c r="I48" i="160"/>
  <c r="I48" i="138" s="1"/>
  <c r="Q25" i="160"/>
  <c r="Q25" i="138" s="1"/>
  <c r="U25" i="160"/>
  <c r="U25" i="138" s="1"/>
  <c r="I13" i="160"/>
  <c r="I13" i="138" s="1"/>
  <c r="U33" i="160"/>
  <c r="U33" i="138" s="1"/>
  <c r="G37" i="160"/>
  <c r="G37" i="138" s="1"/>
  <c r="R32" i="160"/>
  <c r="R32" i="138" s="1"/>
  <c r="H7" i="160"/>
  <c r="H7" i="138" s="1"/>
  <c r="E16" i="160"/>
  <c r="E16" i="138" s="1"/>
  <c r="J17" i="160"/>
  <c r="J17" i="138" s="1"/>
  <c r="Z50" i="160"/>
  <c r="Z50" i="138" s="1"/>
  <c r="M33" i="160"/>
  <c r="M33" i="138" s="1"/>
  <c r="O7" i="160"/>
  <c r="O7" i="138" s="1"/>
  <c r="M7" i="160"/>
  <c r="M7" i="138" s="1"/>
  <c r="L24" i="160"/>
  <c r="L24" i="138" s="1"/>
  <c r="M41" i="160"/>
  <c r="M41" i="138" s="1"/>
  <c r="I16" i="160"/>
  <c r="I16" i="138" s="1"/>
  <c r="K26" i="160"/>
  <c r="K26" i="138" s="1"/>
  <c r="V11" i="160"/>
  <c r="V11" i="138" s="1"/>
  <c r="X7" i="160"/>
  <c r="X7" i="138" s="1"/>
  <c r="P24" i="160"/>
  <c r="P24" i="138" s="1"/>
  <c r="B45" i="160"/>
  <c r="B45" i="138" s="1"/>
  <c r="B40" i="160"/>
  <c r="B40" i="138" s="1"/>
  <c r="E21" i="160"/>
  <c r="E21" i="138" s="1"/>
  <c r="X33" i="160"/>
  <c r="X33" i="138" s="1"/>
  <c r="B18" i="160"/>
  <c r="B18" i="138" s="1"/>
  <c r="B46" i="160"/>
  <c r="B46" i="138" s="1"/>
  <c r="C38" i="160"/>
  <c r="C38" i="138" s="1"/>
  <c r="P7" i="160"/>
  <c r="P7" i="138" s="1"/>
  <c r="B8" i="160"/>
  <c r="B8" i="138" s="1"/>
  <c r="S10" i="160"/>
  <c r="S10" i="138" s="1"/>
  <c r="Q41" i="160"/>
  <c r="Q41" i="138" s="1"/>
  <c r="T49" i="160"/>
  <c r="T49" i="138" s="1"/>
  <c r="W49" i="160"/>
  <c r="W49" i="138" s="1"/>
  <c r="W50" i="160"/>
  <c r="W50" i="138" s="1"/>
  <c r="U26" i="160"/>
  <c r="U26" i="138" s="1"/>
  <c r="Y9" i="160"/>
  <c r="Y9" i="138" s="1"/>
  <c r="E46" i="160"/>
  <c r="E46" i="138" s="1"/>
  <c r="E47" i="160"/>
  <c r="E47" i="138" s="1"/>
  <c r="G25" i="160"/>
  <c r="G25" i="138" s="1"/>
  <c r="H31" i="160"/>
  <c r="H31" i="138" s="1"/>
  <c r="Z14" i="160"/>
  <c r="Z14" i="138" s="1"/>
  <c r="O11" i="160"/>
  <c r="O11" i="138" s="1"/>
  <c r="H49" i="160"/>
  <c r="H49" i="138" s="1"/>
  <c r="M38" i="160"/>
  <c r="M38" i="138" s="1"/>
  <c r="V22" i="160"/>
  <c r="V22" i="138" s="1"/>
  <c r="W15" i="160"/>
  <c r="W15" i="138" s="1"/>
  <c r="U41" i="160"/>
  <c r="U41" i="138" s="1"/>
  <c r="V7" i="160"/>
  <c r="V7" i="138" s="1"/>
  <c r="V18" i="160"/>
  <c r="V18" i="138" s="1"/>
  <c r="T11" i="160"/>
  <c r="T11" i="138" s="1"/>
  <c r="H33" i="160"/>
  <c r="H33" i="138" s="1"/>
  <c r="Z30" i="160"/>
  <c r="Z30" i="138" s="1"/>
  <c r="P31" i="160"/>
  <c r="P31" i="138" s="1"/>
  <c r="Y20" i="160"/>
  <c r="Y20" i="138" s="1"/>
  <c r="V13" i="160"/>
  <c r="V13" i="138" s="1"/>
  <c r="M31" i="160"/>
  <c r="M31" i="138" s="1"/>
  <c r="O10" i="160"/>
  <c r="O10" i="138" s="1"/>
  <c r="L38" i="160"/>
  <c r="L38" i="138" s="1"/>
  <c r="U20" i="160"/>
  <c r="U20" i="138" s="1"/>
  <c r="Q26" i="160"/>
  <c r="Q26" i="138" s="1"/>
  <c r="N32" i="160"/>
  <c r="N32" i="138" s="1"/>
  <c r="X29" i="160"/>
  <c r="X29" i="138" s="1"/>
  <c r="K12" i="160"/>
  <c r="K12" i="138" s="1"/>
  <c r="U49" i="160"/>
  <c r="U49" i="138" s="1"/>
  <c r="J11" i="160"/>
  <c r="J11" i="138" s="1"/>
  <c r="P28" i="160"/>
  <c r="P28" i="138" s="1"/>
  <c r="O30" i="160"/>
  <c r="O30" i="138" s="1"/>
  <c r="J8" i="160"/>
  <c r="J8" i="138" s="1"/>
  <c r="K39" i="160"/>
  <c r="K39" i="138" s="1"/>
  <c r="X52" i="160"/>
  <c r="X52" i="138" s="1"/>
  <c r="N26" i="160"/>
  <c r="N26" i="138" s="1"/>
  <c r="G22" i="160"/>
  <c r="G22" i="138" s="1"/>
  <c r="U45" i="160"/>
  <c r="U45" i="138" s="1"/>
  <c r="D15" i="160"/>
  <c r="D15" i="138" s="1"/>
  <c r="G30" i="160"/>
  <c r="G30" i="138" s="1"/>
  <c r="U39" i="160"/>
  <c r="U39" i="138" s="1"/>
  <c r="B21" i="160"/>
  <c r="B21" i="138" s="1"/>
  <c r="S39" i="160"/>
  <c r="S39" i="138" s="1"/>
  <c r="F24" i="160"/>
  <c r="F24" i="138" s="1"/>
  <c r="O27" i="160"/>
  <c r="O27" i="138" s="1"/>
  <c r="H51" i="160"/>
  <c r="H51" i="138" s="1"/>
  <c r="Y11" i="160"/>
  <c r="Y11" i="138" s="1"/>
  <c r="Q11" i="160"/>
  <c r="Q11" i="138" s="1"/>
  <c r="C31" i="160"/>
  <c r="C31" i="138" s="1"/>
  <c r="W28" i="160"/>
  <c r="W28" i="138" s="1"/>
  <c r="X28" i="160"/>
  <c r="X28" i="138" s="1"/>
  <c r="W13" i="160"/>
  <c r="W13" i="138" s="1"/>
  <c r="S25" i="160"/>
  <c r="S25" i="138" s="1"/>
  <c r="W20" i="160"/>
  <c r="W20" i="138" s="1"/>
  <c r="X18" i="160"/>
  <c r="X18" i="138" s="1"/>
  <c r="K27" i="160"/>
  <c r="K27" i="138" s="1"/>
  <c r="X49" i="160"/>
  <c r="X49" i="138" s="1"/>
  <c r="Y25" i="160"/>
  <c r="Y25" i="138" s="1"/>
  <c r="H32" i="160"/>
  <c r="H32" i="138" s="1"/>
  <c r="J24" i="160"/>
  <c r="J24" i="138" s="1"/>
  <c r="Y39" i="160"/>
  <c r="Y39" i="138" s="1"/>
  <c r="M47" i="160"/>
  <c r="M47" i="138" s="1"/>
  <c r="Q27" i="160"/>
  <c r="Q27" i="138" s="1"/>
  <c r="F30" i="160"/>
  <c r="F30" i="138" s="1"/>
  <c r="H40" i="160"/>
  <c r="H40" i="138" s="1"/>
  <c r="T18" i="160"/>
  <c r="T18" i="138" s="1"/>
  <c r="R27" i="160"/>
  <c r="R27" i="138" s="1"/>
  <c r="H13" i="160"/>
  <c r="H13" i="138" s="1"/>
  <c r="R38" i="160"/>
  <c r="R38" i="138" s="1"/>
  <c r="W29" i="160"/>
  <c r="W29" i="138" s="1"/>
  <c r="C28" i="160"/>
  <c r="C28" i="138" s="1"/>
  <c r="D44" i="160"/>
  <c r="D44" i="138" s="1"/>
  <c r="Y30" i="160"/>
  <c r="Y30" i="138" s="1"/>
  <c r="R21" i="160"/>
  <c r="R21" i="138" s="1"/>
  <c r="H10" i="160"/>
  <c r="H10" i="138" s="1"/>
  <c r="J38" i="160"/>
  <c r="J38" i="138" s="1"/>
  <c r="C20" i="160"/>
  <c r="C20" i="138" s="1"/>
  <c r="L21" i="160"/>
  <c r="L21" i="138" s="1"/>
  <c r="F37" i="160"/>
  <c r="F37" i="138" s="1"/>
  <c r="R49" i="160"/>
  <c r="R49" i="138" s="1"/>
  <c r="K32" i="160"/>
  <c r="K32" i="138" s="1"/>
  <c r="T48" i="160"/>
  <c r="T48" i="138" s="1"/>
  <c r="G44" i="160"/>
  <c r="G44" i="138" s="1"/>
  <c r="W46" i="160"/>
  <c r="W46" i="138" s="1"/>
  <c r="E38" i="160"/>
  <c r="E38" i="138" s="1"/>
  <c r="W39" i="160"/>
  <c r="W39" i="138" s="1"/>
  <c r="Q45" i="160"/>
  <c r="Q45" i="138" s="1"/>
  <c r="N41" i="160"/>
  <c r="N41" i="138" s="1"/>
  <c r="J39" i="160"/>
  <c r="J39" i="138" s="1"/>
  <c r="E41" i="160"/>
  <c r="E41" i="138" s="1"/>
  <c r="E39" i="160"/>
  <c r="E39" i="138" s="1"/>
  <c r="E27" i="160"/>
  <c r="E27" i="138" s="1"/>
  <c r="D41" i="160"/>
  <c r="D41" i="138" s="1"/>
  <c r="H8" i="160"/>
  <c r="H8" i="138" s="1"/>
  <c r="S47" i="160"/>
  <c r="S47" i="138" s="1"/>
  <c r="J29" i="160"/>
  <c r="J29" i="138" s="1"/>
  <c r="U30" i="160"/>
  <c r="U30" i="138" s="1"/>
  <c r="C18" i="160"/>
  <c r="C18" i="138" s="1"/>
  <c r="R50" i="160"/>
  <c r="R50" i="138" s="1"/>
  <c r="W47" i="160"/>
  <c r="W47" i="138" s="1"/>
  <c r="Y52" i="160"/>
  <c r="Y52" i="138" s="1"/>
  <c r="Y27" i="160"/>
  <c r="Y27" i="138" s="1"/>
  <c r="R20" i="160"/>
  <c r="R20" i="138" s="1"/>
  <c r="I45" i="160"/>
  <c r="I45" i="138" s="1"/>
  <c r="L12" i="160"/>
  <c r="L12" i="138" s="1"/>
  <c r="W37" i="160"/>
  <c r="W37" i="138" s="1"/>
  <c r="P38" i="160"/>
  <c r="P38" i="138" s="1"/>
  <c r="L47" i="160"/>
  <c r="L47" i="138" s="1"/>
  <c r="R30" i="160"/>
  <c r="R30" i="138" s="1"/>
  <c r="M19" i="160"/>
  <c r="M19" i="138" s="1"/>
  <c r="S40" i="160"/>
  <c r="S40" i="138" s="1"/>
  <c r="K40" i="160"/>
  <c r="K40" i="138" s="1"/>
  <c r="X10" i="160"/>
  <c r="X10" i="138" s="1"/>
  <c r="O52" i="160"/>
  <c r="O52" i="138" s="1"/>
  <c r="X25" i="160"/>
  <c r="X25" i="138" s="1"/>
  <c r="N13" i="160"/>
  <c r="N13" i="138" s="1"/>
  <c r="M25" i="160"/>
  <c r="M25" i="138" s="1"/>
  <c r="N19" i="160"/>
  <c r="N19" i="138" s="1"/>
  <c r="K33" i="160"/>
  <c r="K33" i="138" s="1"/>
  <c r="V44" i="160"/>
  <c r="V44" i="138" s="1"/>
  <c r="V10" i="160"/>
  <c r="V10" i="138" s="1"/>
  <c r="D7" i="160"/>
  <c r="D7" i="138" s="1"/>
  <c r="F44" i="160"/>
  <c r="F44" i="138" s="1"/>
  <c r="E17" i="160"/>
  <c r="E17" i="138" s="1"/>
  <c r="X47" i="160"/>
  <c r="X47" i="138" s="1"/>
  <c r="R31" i="160"/>
  <c r="R31" i="138" s="1"/>
  <c r="O8" i="160"/>
  <c r="O8" i="138" s="1"/>
  <c r="M48" i="160"/>
  <c r="M48" i="138" s="1"/>
  <c r="N16" i="160"/>
  <c r="N16" i="138" s="1"/>
  <c r="O18" i="160"/>
  <c r="O18" i="138" s="1"/>
  <c r="J41" i="160"/>
  <c r="J41" i="138" s="1"/>
  <c r="F16" i="160"/>
  <c r="F16" i="138" s="1"/>
  <c r="H45" i="160"/>
  <c r="H45" i="138" s="1"/>
  <c r="P44" i="160"/>
  <c r="P44" i="138" s="1"/>
  <c r="E52" i="160"/>
  <c r="E52" i="138" s="1"/>
  <c r="Y16" i="160"/>
  <c r="Y16" i="138" s="1"/>
  <c r="W11" i="160"/>
  <c r="W11" i="138" s="1"/>
  <c r="M45" i="160"/>
  <c r="M45" i="138" s="1"/>
  <c r="M30" i="160"/>
  <c r="M30" i="138" s="1"/>
  <c r="P33" i="160"/>
  <c r="P33" i="138" s="1"/>
  <c r="N15" i="160"/>
  <c r="N15" i="138" s="1"/>
  <c r="U14" i="160"/>
  <c r="U14" i="138" s="1"/>
  <c r="I40" i="160"/>
  <c r="I40" i="138" s="1"/>
  <c r="Z32" i="160"/>
  <c r="Z32" i="138" s="1"/>
  <c r="D12" i="160"/>
  <c r="D12" i="138" s="1"/>
  <c r="X50" i="160"/>
  <c r="X50" i="138" s="1"/>
  <c r="N20" i="160"/>
  <c r="N20" i="138" s="1"/>
  <c r="C9" i="160"/>
  <c r="C9" i="138" s="1"/>
  <c r="S8" i="160"/>
  <c r="S8" i="138" s="1"/>
  <c r="X14" i="160"/>
  <c r="X14" i="138" s="1"/>
  <c r="N25" i="160"/>
  <c r="N25" i="138" s="1"/>
  <c r="S38" i="160"/>
  <c r="S38" i="138" s="1"/>
  <c r="H16" i="160"/>
  <c r="H16" i="138" s="1"/>
  <c r="J22" i="160"/>
  <c r="J22" i="138" s="1"/>
  <c r="T9" i="160"/>
  <c r="T9" i="138" s="1"/>
  <c r="K19" i="160"/>
  <c r="K19" i="138" s="1"/>
  <c r="B38" i="160"/>
  <c r="B38" i="138" s="1"/>
  <c r="M18" i="160"/>
  <c r="M18" i="138" s="1"/>
  <c r="I11" i="160"/>
  <c r="I11" i="138" s="1"/>
  <c r="C11" i="160"/>
  <c r="C11" i="138" s="1"/>
  <c r="Z47" i="160"/>
  <c r="Z47" i="138" s="1"/>
  <c r="W22" i="160"/>
  <c r="W22" i="138" s="1"/>
  <c r="U50" i="160"/>
  <c r="U50" i="138" s="1"/>
  <c r="R41" i="160"/>
  <c r="R41" i="138" s="1"/>
  <c r="V14" i="160"/>
  <c r="V14" i="138" s="1"/>
  <c r="U11" i="160"/>
  <c r="U11" i="138" s="1"/>
  <c r="C50" i="160"/>
  <c r="C50" i="138" s="1"/>
  <c r="B30" i="160"/>
  <c r="B30" i="138" s="1"/>
  <c r="O24" i="160"/>
  <c r="O24" i="138" s="1"/>
  <c r="D19" i="160"/>
  <c r="D19" i="138" s="1"/>
  <c r="E36" i="160"/>
  <c r="E36" i="138" s="1"/>
  <c r="V12" i="160"/>
  <c r="V12" i="138" s="1"/>
  <c r="I7" i="160"/>
  <c r="I7" i="138" s="1"/>
  <c r="C36" i="160"/>
  <c r="C36" i="138" s="1"/>
  <c r="B50" i="160"/>
  <c r="B50" i="138" s="1"/>
  <c r="X32" i="160"/>
  <c r="X32" i="138" s="1"/>
  <c r="I24" i="160"/>
  <c r="I24" i="138" s="1"/>
  <c r="F40" i="160"/>
  <c r="F40" i="138" s="1"/>
  <c r="Z36" i="160"/>
  <c r="Z36" i="138" s="1"/>
  <c r="B28" i="160"/>
  <c r="B28" i="138" s="1"/>
  <c r="K36" i="160"/>
  <c r="K36" i="138" s="1"/>
  <c r="V48" i="160"/>
  <c r="V48" i="138" s="1"/>
  <c r="F29" i="160"/>
  <c r="F29" i="138" s="1"/>
  <c r="K31" i="160"/>
  <c r="K31" i="138" s="1"/>
  <c r="U8" i="160"/>
  <c r="U8" i="138" s="1"/>
  <c r="G38" i="160"/>
  <c r="G38" i="138" s="1"/>
  <c r="N10" i="160"/>
  <c r="N10" i="138" s="1"/>
  <c r="K15" i="160"/>
  <c r="K15" i="138" s="1"/>
  <c r="V46" i="160"/>
  <c r="V46" i="138" s="1"/>
  <c r="G15" i="160"/>
  <c r="G15" i="138" s="1"/>
  <c r="U48" i="160"/>
  <c r="U48" i="138" s="1"/>
  <c r="W27" i="160"/>
  <c r="W27" i="138" s="1"/>
  <c r="I27" i="160"/>
  <c r="I27" i="138" s="1"/>
  <c r="P40" i="160"/>
  <c r="P40" i="138" s="1"/>
  <c r="J48" i="160"/>
  <c r="J48" i="138" s="1"/>
  <c r="Q30" i="160"/>
  <c r="Q30" i="138" s="1"/>
  <c r="L51" i="160"/>
  <c r="L51" i="138" s="1"/>
  <c r="H50" i="160"/>
  <c r="H50" i="138" s="1"/>
  <c r="T52" i="160"/>
  <c r="T52" i="138" s="1"/>
  <c r="Z52" i="160"/>
  <c r="Z52" i="138" s="1"/>
  <c r="L40" i="160"/>
  <c r="L40" i="138" s="1"/>
  <c r="B10" i="160"/>
  <c r="B10" i="138" s="1"/>
  <c r="I46" i="160"/>
  <c r="I46" i="138" s="1"/>
  <c r="K17" i="160"/>
  <c r="K17" i="138" s="1"/>
  <c r="M36" i="160"/>
  <c r="M36" i="138" s="1"/>
  <c r="B33" i="160"/>
  <c r="B33" i="138" s="1"/>
  <c r="E11" i="160"/>
  <c r="E11" i="138" s="1"/>
  <c r="G39" i="160"/>
  <c r="G39" i="138" s="1"/>
  <c r="P16" i="160"/>
  <c r="P16" i="138" s="1"/>
  <c r="T20" i="160"/>
  <c r="T20" i="138" s="1"/>
  <c r="C46" i="160"/>
  <c r="C46" i="138" s="1"/>
  <c r="X20" i="160"/>
  <c r="X20" i="138" s="1"/>
  <c r="I28" i="160"/>
  <c r="I28" i="138" s="1"/>
  <c r="L16" i="160"/>
  <c r="L16" i="138" s="1"/>
  <c r="Y15" i="160"/>
  <c r="Y15" i="138" s="1"/>
  <c r="U22" i="160"/>
  <c r="U22" i="138" s="1"/>
  <c r="H20" i="160"/>
  <c r="H20" i="138" s="1"/>
  <c r="H47" i="160"/>
  <c r="H47" i="138" s="1"/>
  <c r="Y50" i="160"/>
  <c r="Y50" i="138" s="1"/>
  <c r="K48" i="160"/>
  <c r="K48" i="138" s="1"/>
  <c r="K22" i="160"/>
  <c r="K22" i="138" s="1"/>
  <c r="H46" i="160"/>
  <c r="H46" i="138" s="1"/>
  <c r="U15" i="160"/>
  <c r="U15" i="138" s="1"/>
  <c r="G21" i="160"/>
  <c r="G21" i="138" s="1"/>
  <c r="Q19" i="160"/>
  <c r="Q19" i="138" s="1"/>
  <c r="E12" i="160"/>
  <c r="E12" i="138" s="1"/>
  <c r="E25" i="160"/>
  <c r="E25" i="138" s="1"/>
  <c r="Y40" i="160"/>
  <c r="Y40" i="138" s="1"/>
  <c r="W25" i="160"/>
  <c r="W25" i="138" s="1"/>
  <c r="B14" i="160"/>
  <c r="B14" i="138" s="1"/>
  <c r="O19" i="160"/>
  <c r="O19" i="138" s="1"/>
  <c r="U52" i="160"/>
  <c r="U52" i="138" s="1"/>
  <c r="O9" i="160"/>
  <c r="O9" i="138" s="1"/>
  <c r="L29" i="160"/>
  <c r="L29" i="138" s="1"/>
  <c r="V15" i="160"/>
  <c r="V15" i="138" s="1"/>
  <c r="H41" i="160"/>
  <c r="H41" i="138" s="1"/>
  <c r="F49" i="160"/>
  <c r="F49" i="138" s="1"/>
  <c r="B13" i="160"/>
  <c r="B13" i="138" s="1"/>
  <c r="E9" i="160"/>
  <c r="E9" i="138" s="1"/>
  <c r="J20" i="160"/>
  <c r="J20" i="138" s="1"/>
  <c r="G40" i="160"/>
  <c r="G40" i="138" s="1"/>
  <c r="U24" i="160"/>
  <c r="U24" i="138" s="1"/>
  <c r="Y51" i="160"/>
  <c r="Y51" i="138" s="1"/>
  <c r="E30" i="160"/>
  <c r="E30" i="138" s="1"/>
  <c r="V20" i="160"/>
  <c r="V20" i="138" s="1"/>
  <c r="B31" i="160"/>
  <c r="B31" i="138" s="1"/>
  <c r="V39" i="160"/>
  <c r="V39" i="138" s="1"/>
  <c r="T40" i="160"/>
  <c r="T40" i="138" s="1"/>
  <c r="J44" i="160"/>
  <c r="J44" i="138" s="1"/>
  <c r="G18" i="160"/>
  <c r="G18" i="138" s="1"/>
  <c r="N44" i="160"/>
  <c r="N44" i="138" s="1"/>
  <c r="K7" i="160"/>
  <c r="K7" i="138" s="1"/>
  <c r="B11" i="160"/>
  <c r="B11" i="138" s="1"/>
  <c r="B39" i="160"/>
  <c r="B39" i="138" s="1"/>
  <c r="B51" i="160"/>
  <c r="B51" i="138" s="1"/>
  <c r="G49" i="160"/>
  <c r="G49" i="138" s="1"/>
  <c r="J7" i="160"/>
  <c r="J7" i="138" s="1"/>
  <c r="Q24" i="160"/>
  <c r="Q24" i="138" s="1"/>
  <c r="B24" i="160"/>
  <c r="B24" i="138" s="1"/>
  <c r="B52" i="160"/>
  <c r="B52" i="138" s="1"/>
  <c r="J36" i="160"/>
  <c r="J36" i="138" s="1"/>
  <c r="B47" i="160"/>
  <c r="B47" i="138" s="1"/>
  <c r="O36" i="160"/>
  <c r="O36" i="138" s="1"/>
  <c r="L9" i="160"/>
  <c r="L9" i="138" s="1"/>
  <c r="R7" i="160"/>
  <c r="R7" i="138" s="1"/>
  <c r="Q50" i="160"/>
  <c r="Q50" i="138" s="1"/>
  <c r="B36" i="160"/>
  <c r="B36" i="138" s="1"/>
  <c r="Z38" i="160"/>
  <c r="Z38" i="138" s="1"/>
  <c r="N29" i="160"/>
  <c r="N29" i="138" s="1"/>
  <c r="Q21" i="160"/>
  <c r="Q21" i="138" s="1"/>
  <c r="F33" i="160"/>
  <c r="F33" i="138" s="1"/>
  <c r="Z25" i="160"/>
  <c r="Z25" i="138" s="1"/>
  <c r="L52" i="160"/>
  <c r="L52" i="138" s="1"/>
  <c r="W33" i="160"/>
  <c r="W33" i="138" s="1"/>
  <c r="D20" i="160"/>
  <c r="D20" i="138" s="1"/>
  <c r="L20" i="160"/>
  <c r="L20" i="138" s="1"/>
  <c r="R26" i="160"/>
  <c r="R26" i="138" s="1"/>
  <c r="Q38" i="160"/>
  <c r="Q38" i="138" s="1"/>
  <c r="T16" i="160"/>
  <c r="T16" i="138" s="1"/>
  <c r="W41" i="160"/>
  <c r="W41" i="138" s="1"/>
  <c r="Q37" i="160"/>
  <c r="Q37" i="138" s="1"/>
  <c r="M16" i="160"/>
  <c r="M16" i="138" s="1"/>
  <c r="T26" i="160"/>
  <c r="T26" i="138" s="1"/>
  <c r="S12" i="160"/>
  <c r="S12" i="138" s="1"/>
  <c r="Q16" i="160"/>
  <c r="Q16" i="138" s="1"/>
  <c r="K9" i="160"/>
  <c r="K9" i="138" s="1"/>
  <c r="R46" i="160"/>
  <c r="R46" i="138" s="1"/>
  <c r="G27" i="160"/>
  <c r="G27" i="138" s="1"/>
  <c r="Z49" i="160"/>
  <c r="Z49" i="138" s="1"/>
  <c r="O28" i="160"/>
  <c r="O28" i="138" s="1"/>
  <c r="X19" i="160"/>
  <c r="X19" i="138" s="1"/>
  <c r="T36" i="160"/>
  <c r="T36" i="138" s="1"/>
  <c r="B17" i="160"/>
  <c r="B17" i="138" s="1"/>
  <c r="Q46" i="160"/>
  <c r="Q46" i="138" s="1"/>
  <c r="B16" i="160"/>
  <c r="B16" i="138" s="1"/>
  <c r="Y8" i="160"/>
  <c r="Y8" i="138" s="1"/>
  <c r="H37" i="160"/>
  <c r="H37" i="138" s="1"/>
  <c r="O15" i="160"/>
  <c r="O15" i="138" s="1"/>
  <c r="E14" i="160"/>
  <c r="E14" i="138" s="1"/>
  <c r="K10" i="160"/>
  <c r="K10" i="138" s="1"/>
  <c r="Z44" i="160"/>
  <c r="Z44" i="138" s="1"/>
  <c r="Z22" i="160"/>
  <c r="Z22" i="138" s="1"/>
  <c r="T17" i="160"/>
  <c r="T17" i="138" s="1"/>
  <c r="V51" i="160"/>
  <c r="V51" i="138" s="1"/>
  <c r="T47" i="160"/>
  <c r="T47" i="138" s="1"/>
  <c r="Q10" i="160"/>
  <c r="Q10" i="138" s="1"/>
  <c r="U38" i="160"/>
  <c r="U38" i="138" s="1"/>
  <c r="H29" i="160"/>
  <c r="H29" i="138" s="1"/>
  <c r="T14" i="160"/>
  <c r="T14" i="138" s="1"/>
  <c r="S37" i="160"/>
  <c r="S37" i="138" s="1"/>
  <c r="G50" i="160"/>
  <c r="G50" i="138" s="1"/>
  <c r="L25" i="160"/>
  <c r="L25" i="138" s="1"/>
  <c r="N39" i="160"/>
  <c r="N39" i="138" s="1"/>
  <c r="G46" i="160"/>
  <c r="G46" i="138" s="1"/>
  <c r="P32" i="160"/>
  <c r="P32" i="138" s="1"/>
  <c r="K21" i="160"/>
  <c r="K21" i="138" s="1"/>
  <c r="W40" i="160"/>
  <c r="W40" i="138" s="1"/>
  <c r="V26" i="160"/>
  <c r="V26" i="138" s="1"/>
  <c r="Q32" i="160"/>
  <c r="Q32" i="138" s="1"/>
  <c r="W30" i="160"/>
  <c r="W30" i="138" s="1"/>
  <c r="W48" i="160"/>
  <c r="W48" i="138" s="1"/>
  <c r="Y19" i="160"/>
  <c r="Y19" i="138" s="1"/>
  <c r="L33" i="160"/>
  <c r="L33" i="138" s="1"/>
  <c r="R14" i="160"/>
  <c r="R14" i="138" s="1"/>
  <c r="I26" i="160"/>
  <c r="I26" i="138" s="1"/>
  <c r="N11" i="160"/>
  <c r="N11" i="138" s="1"/>
  <c r="L26" i="160"/>
  <c r="L26" i="138" s="1"/>
  <c r="Z41" i="160"/>
  <c r="Z41" i="138" s="1"/>
  <c r="U40" i="160"/>
  <c r="U40" i="138" s="1"/>
  <c r="I31" i="160"/>
  <c r="I31" i="138" s="1"/>
  <c r="Q7" i="160"/>
  <c r="Q7" i="138" s="1"/>
  <c r="W19" i="160"/>
  <c r="W19" i="138" s="1"/>
  <c r="CR41" i="144"/>
  <c r="P41" i="179" s="1"/>
  <c r="C33" i="144"/>
  <c r="Y38" i="144"/>
  <c r="DA38" i="144"/>
  <c r="Y38" i="179" s="1"/>
  <c r="CE39" i="144"/>
  <c r="C39" i="179" s="1"/>
  <c r="C39" i="144"/>
  <c r="CB39" i="144"/>
  <c r="CV21" i="144"/>
  <c r="T21" i="179" s="1"/>
  <c r="T21" i="144"/>
  <c r="CL33" i="144"/>
  <c r="J33" i="179" s="1"/>
  <c r="J33" i="144"/>
  <c r="CN10" i="144"/>
  <c r="L10" i="179" s="1"/>
  <c r="L10" i="144"/>
  <c r="BK53" i="144"/>
  <c r="CL53" i="144" s="1"/>
  <c r="CL10" i="144"/>
  <c r="J10" i="179" s="1"/>
  <c r="J10" i="144"/>
  <c r="J13" i="144"/>
  <c r="CL13" i="144"/>
  <c r="J13" i="179" s="1"/>
  <c r="CQ48" i="144"/>
  <c r="O48" i="179" s="1"/>
  <c r="O48" i="144"/>
  <c r="CW9" i="144"/>
  <c r="U9" i="179" s="1"/>
  <c r="U9" i="144"/>
  <c r="CQ16" i="144"/>
  <c r="O16" i="179" s="1"/>
  <c r="O16" i="144"/>
  <c r="CF33" i="144"/>
  <c r="D33" i="179" s="1"/>
  <c r="D33" i="144"/>
  <c r="CB33" i="144"/>
  <c r="U12" i="144"/>
  <c r="CW12" i="144"/>
  <c r="U12" i="179" s="1"/>
  <c r="DB21" i="144"/>
  <c r="Z21" i="179" s="1"/>
  <c r="Z21" i="144"/>
  <c r="Y22" i="144"/>
  <c r="DA22" i="144"/>
  <c r="Y22" i="179" s="1"/>
  <c r="S22" i="144"/>
  <c r="CU22" i="144"/>
  <c r="S22" i="179" s="1"/>
  <c r="X40" i="144"/>
  <c r="CZ40" i="144"/>
  <c r="X40" i="179" s="1"/>
  <c r="V33" i="144"/>
  <c r="CX33" i="144"/>
  <c r="V33" i="179" s="1"/>
  <c r="CF36" i="144"/>
  <c r="D36" i="179" s="1"/>
  <c r="CB36" i="144"/>
  <c r="D36" i="144"/>
  <c r="P36" i="144"/>
  <c r="CR36" i="144"/>
  <c r="P36" i="179" s="1"/>
  <c r="S49" i="144"/>
  <c r="CU49" i="144"/>
  <c r="S49" i="179" s="1"/>
  <c r="Y36" i="144"/>
  <c r="DA36" i="144"/>
  <c r="Y36" i="179" s="1"/>
  <c r="DB24" i="144"/>
  <c r="Z24" i="179" s="1"/>
  <c r="Z24" i="144"/>
  <c r="X38" i="144"/>
  <c r="CZ38" i="144"/>
  <c r="X38" i="179" s="1"/>
  <c r="CB12" i="144"/>
  <c r="CD12" i="144"/>
  <c r="B12" i="179" s="1"/>
  <c r="B12" i="144"/>
  <c r="CO52" i="144"/>
  <c r="M52" i="179" s="1"/>
  <c r="M52" i="144"/>
  <c r="CB11" i="144"/>
  <c r="H11" i="144"/>
  <c r="CJ11" i="144"/>
  <c r="H11" i="179" s="1"/>
  <c r="CL40" i="144"/>
  <c r="J40" i="179" s="1"/>
  <c r="J40" i="144"/>
  <c r="E44" i="144"/>
  <c r="CG44" i="144"/>
  <c r="E44" i="179" s="1"/>
  <c r="CB29" i="144"/>
  <c r="D29" i="144"/>
  <c r="CD35" i="144"/>
  <c r="B35" i="179" s="1"/>
  <c r="CB35" i="144"/>
  <c r="B35" i="144"/>
  <c r="B35" i="160" s="1"/>
  <c r="L31" i="144"/>
  <c r="CN31" i="144"/>
  <c r="L31" i="179" s="1"/>
  <c r="DB17" i="144"/>
  <c r="Z17" i="179" s="1"/>
  <c r="Z17" i="144"/>
  <c r="CK52" i="144"/>
  <c r="I52" i="179" s="1"/>
  <c r="I52" i="144"/>
  <c r="Y41" i="144"/>
  <c r="DA41" i="144"/>
  <c r="Y41" i="179" s="1"/>
  <c r="CO24" i="144"/>
  <c r="M24" i="179" s="1"/>
  <c r="M24" i="144"/>
  <c r="CM14" i="144"/>
  <c r="K14" i="179" s="1"/>
  <c r="BL53" i="144"/>
  <c r="CM53" i="144" s="1"/>
  <c r="K14" i="144"/>
  <c r="CU18" i="144"/>
  <c r="S18" i="179" s="1"/>
  <c r="S18" i="144"/>
  <c r="CH35" i="144"/>
  <c r="F35" i="179" s="1"/>
  <c r="F35" i="144"/>
  <c r="F35" i="160" s="1"/>
  <c r="E33" i="144"/>
  <c r="CG33" i="144"/>
  <c r="E33" i="179" s="1"/>
  <c r="CE40" i="144"/>
  <c r="C40" i="179" s="1"/>
  <c r="C40" i="144"/>
  <c r="CB40" i="144"/>
  <c r="O45" i="144"/>
  <c r="CQ45" i="144"/>
  <c r="O45" i="179" s="1"/>
  <c r="CJ21" i="144"/>
  <c r="H21" i="179" s="1"/>
  <c r="H21" i="144"/>
  <c r="CB21" i="144"/>
  <c r="CW37" i="144"/>
  <c r="U37" i="179" s="1"/>
  <c r="U37" i="144"/>
  <c r="CM46" i="144"/>
  <c r="K46" i="179" s="1"/>
  <c r="K46" i="144"/>
  <c r="CH25" i="144"/>
  <c r="F25" i="179" s="1"/>
  <c r="F25" i="144"/>
  <c r="CB22" i="144"/>
  <c r="E22" i="144"/>
  <c r="CG22" i="144"/>
  <c r="E22" i="179" s="1"/>
  <c r="U31" i="144"/>
  <c r="CW31" i="144"/>
  <c r="U31" i="179" s="1"/>
  <c r="CV12" i="144"/>
  <c r="T12" i="179" s="1"/>
  <c r="T12" i="144"/>
  <c r="P21" i="144"/>
  <c r="CR21" i="144"/>
  <c r="P21" i="179" s="1"/>
  <c r="O46" i="144"/>
  <c r="CQ46" i="144"/>
  <c r="O46" i="179" s="1"/>
  <c r="T51" i="144"/>
  <c r="CV51" i="144"/>
  <c r="T51" i="179" s="1"/>
  <c r="CU36" i="144"/>
  <c r="S36" i="179" s="1"/>
  <c r="S36" i="144"/>
  <c r="DB7" i="144"/>
  <c r="Z7" i="179" s="1"/>
  <c r="Z7" i="144"/>
  <c r="CB49" i="144"/>
  <c r="CD49" i="144"/>
  <c r="B49" i="179" s="1"/>
  <c r="B49" i="144"/>
  <c r="CX16" i="144"/>
  <c r="V16" i="179" s="1"/>
  <c r="V16" i="144"/>
  <c r="CJ35" i="144"/>
  <c r="H35" i="179" s="1"/>
  <c r="H35" i="144"/>
  <c r="H35" i="160" s="1"/>
  <c r="Y6" i="144"/>
  <c r="Y6" i="160" s="1"/>
  <c r="DA6" i="144"/>
  <c r="Y6" i="179" s="1"/>
  <c r="CA53" i="144"/>
  <c r="DB53" i="144" s="1"/>
  <c r="Z5" i="144"/>
  <c r="Z5" i="160" s="1"/>
  <c r="DB5" i="144"/>
  <c r="Z5" i="179" s="1"/>
  <c r="CR10" i="144"/>
  <c r="P10" i="179" s="1"/>
  <c r="P10" i="144"/>
  <c r="CS9" i="144"/>
  <c r="Q9" i="179" s="1"/>
  <c r="Q9" i="144"/>
  <c r="C49" i="144"/>
  <c r="CE49" i="144"/>
  <c r="C49" i="179" s="1"/>
  <c r="CZ37" i="144"/>
  <c r="X37" i="179" s="1"/>
  <c r="X37" i="144"/>
  <c r="CZ21" i="144"/>
  <c r="X21" i="179" s="1"/>
  <c r="X21" i="144"/>
  <c r="F46" i="144"/>
  <c r="CH46" i="144"/>
  <c r="F46" i="179" s="1"/>
  <c r="P48" i="144"/>
  <c r="CR48" i="144"/>
  <c r="P48" i="179" s="1"/>
  <c r="CB15" i="144"/>
  <c r="CH15" i="144"/>
  <c r="F15" i="179" s="1"/>
  <c r="CS17" i="144"/>
  <c r="Q17" i="179" s="1"/>
  <c r="Q17" i="144"/>
  <c r="CV10" i="144"/>
  <c r="T10" i="179" s="1"/>
  <c r="T10" i="144"/>
  <c r="CT17" i="144"/>
  <c r="R17" i="179" s="1"/>
  <c r="R17" i="144"/>
  <c r="CB44" i="144"/>
  <c r="CE44" i="144"/>
  <c r="C44" i="179" s="1"/>
  <c r="C44" i="144"/>
  <c r="P15" i="144"/>
  <c r="CR15" i="144"/>
  <c r="P15" i="179" s="1"/>
  <c r="M44" i="144"/>
  <c r="CO44" i="144"/>
  <c r="M44" i="179" s="1"/>
  <c r="CY9" i="144"/>
  <c r="W9" i="179" s="1"/>
  <c r="W9" i="144"/>
  <c r="CY24" i="144"/>
  <c r="W24" i="179" s="1"/>
  <c r="W24" i="144"/>
  <c r="CY51" i="144"/>
  <c r="W51" i="179" s="1"/>
  <c r="W51" i="144"/>
  <c r="CG48" i="144"/>
  <c r="E48" i="179" s="1"/>
  <c r="E48" i="144"/>
  <c r="R28" i="144"/>
  <c r="CT28" i="144"/>
  <c r="R28" i="179" s="1"/>
  <c r="CV31" i="144"/>
  <c r="T31" i="179" s="1"/>
  <c r="T31" i="144"/>
  <c r="CY35" i="144"/>
  <c r="W35" i="179" s="1"/>
  <c r="W35" i="144"/>
  <c r="W35" i="160" s="1"/>
  <c r="D45" i="144"/>
  <c r="CB45" i="144"/>
  <c r="CN13" i="144"/>
  <c r="L13" i="179" s="1"/>
  <c r="L13" i="144"/>
  <c r="CL30" i="144"/>
  <c r="J30" i="179" s="1"/>
  <c r="J30" i="144"/>
  <c r="D38" i="144"/>
  <c r="CB38" i="144"/>
  <c r="E49" i="144"/>
  <c r="CG49" i="144"/>
  <c r="E49" i="179" s="1"/>
  <c r="K37" i="144"/>
  <c r="CM37" i="144"/>
  <c r="K37" i="179" s="1"/>
  <c r="I50" i="144"/>
  <c r="CK50" i="144"/>
  <c r="I50" i="179" s="1"/>
  <c r="CP52" i="144"/>
  <c r="N52" i="179" s="1"/>
  <c r="N52" i="144"/>
  <c r="M27" i="144"/>
  <c r="CO27" i="144"/>
  <c r="M27" i="179" s="1"/>
  <c r="CF25" i="144"/>
  <c r="D25" i="179" s="1"/>
  <c r="D25" i="144"/>
  <c r="T7" i="144"/>
  <c r="BU53" i="144"/>
  <c r="CV53" i="144" s="1"/>
  <c r="CV7" i="144"/>
  <c r="T7" i="179" s="1"/>
  <c r="CP27" i="144"/>
  <c r="N27" i="179" s="1"/>
  <c r="N27" i="144"/>
  <c r="DB29" i="144"/>
  <c r="Z29" i="179" s="1"/>
  <c r="Z29" i="144"/>
  <c r="CN50" i="144"/>
  <c r="L50" i="179" s="1"/>
  <c r="L50" i="144"/>
  <c r="D26" i="144"/>
  <c r="CF26" i="144"/>
  <c r="D26" i="179" s="1"/>
  <c r="CB26" i="144"/>
  <c r="CN27" i="144"/>
  <c r="L27" i="179" s="1"/>
  <c r="L27" i="144"/>
  <c r="S33" i="144"/>
  <c r="CU33" i="144"/>
  <c r="S33" i="179" s="1"/>
  <c r="CJ25" i="144"/>
  <c r="H25" i="179" s="1"/>
  <c r="H25" i="144"/>
  <c r="CV15" i="144"/>
  <c r="T15" i="179" s="1"/>
  <c r="T15" i="144"/>
  <c r="DB33" i="144"/>
  <c r="Z33" i="179" s="1"/>
  <c r="Z33" i="144"/>
  <c r="CJ27" i="144"/>
  <c r="H27" i="179" s="1"/>
  <c r="H27" i="144"/>
  <c r="CB27" i="144"/>
  <c r="CG18" i="144"/>
  <c r="E18" i="179" s="1"/>
  <c r="E18" i="144"/>
  <c r="CV37" i="144"/>
  <c r="T37" i="179" s="1"/>
  <c r="T37" i="144"/>
  <c r="CH38" i="144"/>
  <c r="F38" i="179" s="1"/>
  <c r="F38" i="144"/>
  <c r="CB17" i="144"/>
  <c r="CF17" i="144"/>
  <c r="D17" i="179" s="1"/>
  <c r="D17" i="144"/>
  <c r="CN46" i="144"/>
  <c r="L46" i="179" s="1"/>
  <c r="L46" i="144"/>
  <c r="CY26" i="144"/>
  <c r="W26" i="179" s="1"/>
  <c r="W26" i="144"/>
  <c r="CL35" i="144"/>
  <c r="J35" i="179" s="1"/>
  <c r="J35" i="144"/>
  <c r="J35" i="160" s="1"/>
  <c r="R45" i="144"/>
  <c r="CT45" i="144"/>
  <c r="R45" i="179" s="1"/>
  <c r="CH13" i="144"/>
  <c r="F13" i="179" s="1"/>
  <c r="CB13" i="144"/>
  <c r="F13" i="144"/>
  <c r="CX35" i="144"/>
  <c r="V35" i="179" s="1"/>
  <c r="V35" i="144"/>
  <c r="V35" i="160" s="1"/>
  <c r="CB16" i="144"/>
  <c r="CE16" i="144"/>
  <c r="C16" i="179" s="1"/>
  <c r="C16" i="144"/>
  <c r="CF9" i="144"/>
  <c r="D9" i="179" s="1"/>
  <c r="D9" i="144"/>
  <c r="CB32" i="144"/>
  <c r="C32" i="144"/>
  <c r="CE32" i="144"/>
  <c r="C32" i="179" s="1"/>
  <c r="P19" i="144"/>
  <c r="CR19" i="144"/>
  <c r="P19" i="179" s="1"/>
  <c r="M28" i="144"/>
  <c r="CO28" i="144"/>
  <c r="M28" i="179" s="1"/>
  <c r="T25" i="144"/>
  <c r="CV25" i="144"/>
  <c r="T25" i="179" s="1"/>
  <c r="T19" i="144"/>
  <c r="CV19" i="144"/>
  <c r="T19" i="179" s="1"/>
  <c r="N17" i="144"/>
  <c r="CP17" i="144"/>
  <c r="N17" i="179" s="1"/>
  <c r="CE12" i="144"/>
  <c r="C12" i="179" s="1"/>
  <c r="C12" i="144"/>
  <c r="S13" i="144"/>
  <c r="BT53" i="144"/>
  <c r="CU53" i="144" s="1"/>
  <c r="BW53" i="144"/>
  <c r="CX53" i="144" s="1"/>
  <c r="V9" i="144"/>
  <c r="CI20" i="144"/>
  <c r="G20" i="179" s="1"/>
  <c r="CB20" i="144"/>
  <c r="CB50" i="144"/>
  <c r="CB19" i="144"/>
  <c r="BQ53" i="144"/>
  <c r="CR53" i="144" s="1"/>
  <c r="CP30" i="144"/>
  <c r="N30" i="179" s="1"/>
  <c r="N30" i="144"/>
  <c r="CS8" i="144"/>
  <c r="Q8" i="179" s="1"/>
  <c r="BR53" i="144"/>
  <c r="CS53" i="144" s="1"/>
  <c r="Q8" i="144"/>
  <c r="CB51" i="144"/>
  <c r="K51" i="144"/>
  <c r="CM51" i="144"/>
  <c r="K51" i="179" s="1"/>
  <c r="CK20" i="144"/>
  <c r="I20" i="179" s="1"/>
  <c r="I20" i="144"/>
  <c r="G47" i="144"/>
  <c r="CI47" i="144"/>
  <c r="G47" i="179" s="1"/>
  <c r="Y18" i="144"/>
  <c r="DA18" i="144"/>
  <c r="Y18" i="179" s="1"/>
  <c r="P35" i="144"/>
  <c r="P35" i="160" s="1"/>
  <c r="CR35" i="144"/>
  <c r="P35" i="179" s="1"/>
  <c r="CW44" i="144"/>
  <c r="U44" i="179" s="1"/>
  <c r="U44" i="144"/>
  <c r="CP46" i="144"/>
  <c r="N46" i="179" s="1"/>
  <c r="N46" i="144"/>
  <c r="CW32" i="144"/>
  <c r="U32" i="179" s="1"/>
  <c r="U32" i="144"/>
  <c r="CB31" i="144"/>
  <c r="CL31" i="144"/>
  <c r="J31" i="179" s="1"/>
  <c r="D8" i="144"/>
  <c r="CF8" i="144"/>
  <c r="D8" i="179" s="1"/>
  <c r="C35" i="144"/>
  <c r="C35" i="160" s="1"/>
  <c r="CE35" i="144"/>
  <c r="C35" i="179" s="1"/>
  <c r="CK21" i="144"/>
  <c r="I21" i="179" s="1"/>
  <c r="I21" i="144"/>
  <c r="CN15" i="144"/>
  <c r="L15" i="179" s="1"/>
  <c r="L15" i="144"/>
  <c r="G6" i="144"/>
  <c r="G6" i="160" s="1"/>
  <c r="CI6" i="144"/>
  <c r="G6" i="179" s="1"/>
  <c r="P39" i="144"/>
  <c r="CR39" i="144"/>
  <c r="P39" i="179" s="1"/>
  <c r="M13" i="144"/>
  <c r="CO13" i="144"/>
  <c r="M13" i="179" s="1"/>
  <c r="CF18" i="144"/>
  <c r="D18" i="179" s="1"/>
  <c r="CB18" i="144"/>
  <c r="CR12" i="144"/>
  <c r="P12" i="179" s="1"/>
  <c r="P12" i="144"/>
  <c r="CQ49" i="144"/>
  <c r="O49" i="179" s="1"/>
  <c r="O49" i="144"/>
  <c r="CW6" i="144"/>
  <c r="U6" i="179" s="1"/>
  <c r="U6" i="144"/>
  <c r="U6" i="160" s="1"/>
  <c r="CB47" i="144"/>
  <c r="D47" i="144"/>
  <c r="CF47" i="144"/>
  <c r="D47" i="179" s="1"/>
  <c r="CD46" i="144"/>
  <c r="B46" i="179" s="1"/>
  <c r="CB46" i="144"/>
  <c r="T32" i="144"/>
  <c r="CV32" i="144"/>
  <c r="T32" i="179" s="1"/>
  <c r="CE7" i="144"/>
  <c r="C7" i="179" s="1"/>
  <c r="C7" i="144"/>
  <c r="BP53" i="144"/>
  <c r="CQ53" i="144" s="1"/>
  <c r="CQ6" i="144"/>
  <c r="O6" i="179" s="1"/>
  <c r="O6" i="144"/>
  <c r="O6" i="160" s="1"/>
  <c r="CB52" i="144"/>
  <c r="CI52" i="144"/>
  <c r="G52" i="179" s="1"/>
  <c r="N35" i="144"/>
  <c r="N35" i="160" s="1"/>
  <c r="CP35" i="144"/>
  <c r="N35" i="179" s="1"/>
  <c r="O47" i="144"/>
  <c r="CQ47" i="144"/>
  <c r="O47" i="179" s="1"/>
  <c r="Z11" i="144"/>
  <c r="DB11" i="144"/>
  <c r="Z11" i="179" s="1"/>
  <c r="CB25" i="144"/>
  <c r="CE25" i="144"/>
  <c r="C25" i="179" s="1"/>
  <c r="C25" i="144"/>
  <c r="CU48" i="144"/>
  <c r="S48" i="179" s="1"/>
  <c r="S48" i="144"/>
  <c r="BS53" i="144"/>
  <c r="CT53" i="144" s="1"/>
  <c r="R11" i="144"/>
  <c r="S41" i="144"/>
  <c r="CB41" i="144"/>
  <c r="CF37" i="144"/>
  <c r="D37" i="179" s="1"/>
  <c r="D37" i="144"/>
  <c r="I30" i="144"/>
  <c r="CK30" i="144"/>
  <c r="I30" i="179" s="1"/>
  <c r="CB30" i="144"/>
  <c r="CN7" i="144"/>
  <c r="L7" i="179" s="1"/>
  <c r="BM53" i="144"/>
  <c r="CN53" i="144" s="1"/>
  <c r="L7" i="144"/>
  <c r="BX53" i="144"/>
  <c r="CY53" i="144" s="1"/>
  <c r="W5" i="144"/>
  <c r="W5" i="160" s="1"/>
  <c r="V37" i="144"/>
  <c r="I37" i="144"/>
  <c r="G28" i="144"/>
  <c r="CT30" i="144"/>
  <c r="R30" i="179" s="1"/>
  <c r="CU41" i="144"/>
  <c r="S41" i="179" s="1"/>
  <c r="CR38" i="144"/>
  <c r="P38" i="179" s="1"/>
  <c r="DA27" i="144"/>
  <c r="Y27" i="179" s="1"/>
  <c r="O33" i="144"/>
  <c r="CB8" i="144"/>
  <c r="CU13" i="144"/>
  <c r="S13" i="179" s="1"/>
  <c r="J26" i="144"/>
  <c r="CT11" i="144"/>
  <c r="R11" i="179" s="1"/>
  <c r="CT20" i="144"/>
  <c r="R20" i="179" s="1"/>
  <c r="CU40" i="144"/>
  <c r="S40" i="179" s="1"/>
  <c r="D46" i="144"/>
  <c r="CF45" i="144"/>
  <c r="D45" i="179" s="1"/>
  <c r="P20" i="144"/>
  <c r="CY37" i="144"/>
  <c r="W37" i="179" s="1"/>
  <c r="X17" i="144"/>
  <c r="G20" i="144"/>
  <c r="G29" i="144"/>
  <c r="CS20" i="144"/>
  <c r="Q20" i="179" s="1"/>
  <c r="Q20" i="144"/>
  <c r="CT12" i="144"/>
  <c r="R12" i="179" s="1"/>
  <c r="R12" i="144"/>
  <c r="CY38" i="144"/>
  <c r="W38" i="179" s="1"/>
  <c r="W38" i="144"/>
  <c r="X8" i="144"/>
  <c r="CZ8" i="144"/>
  <c r="X8" i="179" s="1"/>
  <c r="M11" i="144"/>
  <c r="CO11" i="144"/>
  <c r="M11" i="179" s="1"/>
  <c r="CT18" i="144"/>
  <c r="R18" i="179" s="1"/>
  <c r="R18" i="144"/>
  <c r="D10" i="144"/>
  <c r="CF10" i="144"/>
  <c r="D10" i="179" s="1"/>
  <c r="P18" i="144"/>
  <c r="CR18" i="144"/>
  <c r="P18" i="179" s="1"/>
  <c r="CK36" i="144"/>
  <c r="I36" i="179" s="1"/>
  <c r="I36" i="144"/>
  <c r="CB9" i="144"/>
  <c r="CD9" i="144"/>
  <c r="B9" i="179" s="1"/>
  <c r="B9" i="144"/>
  <c r="CB14" i="144"/>
  <c r="CI14" i="144"/>
  <c r="G14" i="179" s="1"/>
  <c r="G14" i="144"/>
  <c r="CR50" i="144"/>
  <c r="P50" i="179" s="1"/>
  <c r="P50" i="144"/>
  <c r="CB24" i="144"/>
  <c r="CF24" i="144"/>
  <c r="D24" i="179" s="1"/>
  <c r="D24" i="144"/>
  <c r="I10" i="144"/>
  <c r="BJ53" i="144"/>
  <c r="CK53" i="144" s="1"/>
  <c r="CK10" i="144"/>
  <c r="I10" i="179" s="1"/>
  <c r="P49" i="144"/>
  <c r="CR49" i="144"/>
  <c r="P49" i="179" s="1"/>
  <c r="CG24" i="144"/>
  <c r="E24" i="179" s="1"/>
  <c r="E24" i="144"/>
  <c r="S19" i="144"/>
  <c r="CU19" i="144"/>
  <c r="S19" i="179" s="1"/>
  <c r="F15" i="144"/>
  <c r="G26" i="144"/>
  <c r="CV35" i="144"/>
  <c r="T35" i="179" s="1"/>
  <c r="N37" i="144"/>
  <c r="BI53" i="144"/>
  <c r="CJ53" i="144" s="1"/>
  <c r="U7" i="144"/>
  <c r="CQ52" i="144"/>
  <c r="O52" i="179" s="1"/>
  <c r="CF7" i="144"/>
  <c r="D7" i="179" s="1"/>
  <c r="CB10" i="144"/>
  <c r="G52" i="144"/>
  <c r="CN47" i="144"/>
  <c r="L47" i="179" s="1"/>
  <c r="V27" i="144"/>
  <c r="P27" i="144"/>
  <c r="CX10" i="144"/>
  <c r="V10" i="179" s="1"/>
  <c r="CB6" i="144"/>
  <c r="J25" i="144"/>
  <c r="N40" i="144"/>
  <c r="D18" i="144"/>
  <c r="S31" i="144"/>
  <c r="CU31" i="144"/>
  <c r="S31" i="179" s="1"/>
  <c r="DA5" i="144"/>
  <c r="Y5" i="179" s="1"/>
  <c r="BZ53" i="144"/>
  <c r="DA53" i="144" s="1"/>
  <c r="Y5" i="144"/>
  <c r="Z15" i="144"/>
  <c r="DB15" i="144"/>
  <c r="Z15" i="179" s="1"/>
  <c r="CP6" i="144"/>
  <c r="N6" i="179" s="1"/>
  <c r="N6" i="144"/>
  <c r="N6" i="160" s="1"/>
  <c r="BO53" i="144"/>
  <c r="CP53" i="144" s="1"/>
  <c r="CF48" i="144"/>
  <c r="D48" i="179" s="1"/>
  <c r="D48" i="144"/>
  <c r="CB48" i="144"/>
  <c r="M14" i="144"/>
  <c r="CO14" i="144"/>
  <c r="M14" i="179" s="1"/>
  <c r="F36" i="144"/>
  <c r="CH36" i="144"/>
  <c r="F36" i="179" s="1"/>
  <c r="F39" i="144"/>
  <c r="CI28" i="144"/>
  <c r="G28" i="179" s="1"/>
  <c r="BH53" i="144"/>
  <c r="CI53" i="144" s="1"/>
  <c r="CR6" i="144"/>
  <c r="P6" i="179" s="1"/>
  <c r="CK19" i="144"/>
  <c r="I19" i="179" s="1"/>
  <c r="CG50" i="144"/>
  <c r="E50" i="179" s="1"/>
  <c r="D32" i="144"/>
  <c r="CM40" i="144"/>
  <c r="K40" i="179" s="1"/>
  <c r="CO19" i="144"/>
  <c r="M19" i="179" s="1"/>
  <c r="CF29" i="144"/>
  <c r="D29" i="179" s="1"/>
  <c r="CK45" i="144"/>
  <c r="I45" i="179" s="1"/>
  <c r="CX9" i="144"/>
  <c r="V9" i="179" s="1"/>
  <c r="CY5" i="144"/>
  <c r="W5" i="179" s="1"/>
  <c r="M51" i="144"/>
  <c r="I32" i="144"/>
  <c r="J31" i="144"/>
  <c r="B7" i="144"/>
  <c r="BV53" i="144"/>
  <c r="CW53" i="144" s="1"/>
  <c r="CB7" i="144"/>
  <c r="L42" i="138" l="1"/>
  <c r="L78" i="138" s="1"/>
  <c r="L97" i="138" s="1"/>
  <c r="B42" i="138"/>
  <c r="E42" i="138"/>
  <c r="E78" i="138" s="1"/>
  <c r="E97" i="138" s="1"/>
  <c r="M42" i="138"/>
  <c r="M78" i="138" s="1"/>
  <c r="M97" i="138" s="1"/>
  <c r="O42" i="138"/>
  <c r="O78" i="138" s="1"/>
  <c r="O97" i="138" s="1"/>
  <c r="Y34" i="138"/>
  <c r="Y75" i="138" s="1"/>
  <c r="H42" i="138"/>
  <c r="H78" i="138" s="1"/>
  <c r="H97" i="138" s="1"/>
  <c r="Q42" i="138"/>
  <c r="Q78" i="138" s="1"/>
  <c r="Q97" i="138" s="1"/>
  <c r="Q34" i="138"/>
  <c r="Q75" i="138" s="1"/>
  <c r="G42" i="138"/>
  <c r="G78" i="138" s="1"/>
  <c r="G97" i="138" s="1"/>
  <c r="K34" i="138"/>
  <c r="K75" i="138" s="1"/>
  <c r="X34" i="138"/>
  <c r="X75" i="138" s="1"/>
  <c r="R42" i="138"/>
  <c r="R78" i="138" s="1"/>
  <c r="R97" i="138" s="1"/>
  <c r="B34" i="138"/>
  <c r="B75" i="138" s="1"/>
  <c r="Z42" i="138"/>
  <c r="Z78" i="138" s="1"/>
  <c r="Z97" i="138" s="1"/>
  <c r="G52" i="160"/>
  <c r="G52" i="138" s="1"/>
  <c r="G26" i="160"/>
  <c r="G26" i="138" s="1"/>
  <c r="R12" i="160"/>
  <c r="R12" i="138" s="1"/>
  <c r="P20" i="160"/>
  <c r="P20" i="138" s="1"/>
  <c r="P12" i="160"/>
  <c r="P12" i="138" s="1"/>
  <c r="I21" i="160"/>
  <c r="I21" i="138" s="1"/>
  <c r="U44" i="160"/>
  <c r="U44" i="138" s="1"/>
  <c r="N30" i="160"/>
  <c r="N30" i="138" s="1"/>
  <c r="M28" i="160"/>
  <c r="M28" i="138" s="1"/>
  <c r="M14" i="160"/>
  <c r="M14" i="138" s="1"/>
  <c r="I10" i="160"/>
  <c r="I10" i="138" s="1"/>
  <c r="I36" i="160"/>
  <c r="I36" i="138" s="1"/>
  <c r="Q20" i="160"/>
  <c r="Q20" i="138" s="1"/>
  <c r="D46" i="160"/>
  <c r="D46" i="138" s="1"/>
  <c r="D47" i="160"/>
  <c r="D47" i="138" s="1"/>
  <c r="O49" i="160"/>
  <c r="O49" i="138" s="1"/>
  <c r="L15" i="160"/>
  <c r="L15" i="138" s="1"/>
  <c r="N46" i="160"/>
  <c r="N46" i="138" s="1"/>
  <c r="S13" i="160"/>
  <c r="S13" i="138" s="1"/>
  <c r="T25" i="160"/>
  <c r="T25" i="138" s="1"/>
  <c r="W51" i="160"/>
  <c r="W51" i="138" s="1"/>
  <c r="F46" i="160"/>
  <c r="F46" i="138" s="1"/>
  <c r="P21" i="160"/>
  <c r="P21" i="138" s="1"/>
  <c r="F25" i="160"/>
  <c r="F25" i="138" s="1"/>
  <c r="F34" i="138" s="1"/>
  <c r="F75" i="138" s="1"/>
  <c r="U37" i="160"/>
  <c r="U37" i="138" s="1"/>
  <c r="U42" i="138" s="1"/>
  <c r="U78" i="138" s="1"/>
  <c r="U97" i="138" s="1"/>
  <c r="C40" i="160"/>
  <c r="C40" i="138" s="1"/>
  <c r="K14" i="160"/>
  <c r="K14" i="138" s="1"/>
  <c r="D29" i="160"/>
  <c r="D29" i="138" s="1"/>
  <c r="J40" i="160"/>
  <c r="J40" i="138" s="1"/>
  <c r="J42" i="138" s="1"/>
  <c r="J78" i="138" s="1"/>
  <c r="J97" i="138" s="1"/>
  <c r="V33" i="160"/>
  <c r="V33" i="138" s="1"/>
  <c r="S22" i="160"/>
  <c r="S22" i="138" s="1"/>
  <c r="D33" i="160"/>
  <c r="D33" i="138" s="1"/>
  <c r="U9" i="160"/>
  <c r="U9" i="138" s="1"/>
  <c r="J31" i="160"/>
  <c r="J31" i="138" s="1"/>
  <c r="Y53" i="144"/>
  <c r="Y5" i="160"/>
  <c r="S31" i="160"/>
  <c r="S31" i="138" s="1"/>
  <c r="S19" i="160"/>
  <c r="S19" i="138" s="1"/>
  <c r="P49" i="160"/>
  <c r="P49" i="138" s="1"/>
  <c r="D24" i="160"/>
  <c r="D24" i="138" s="1"/>
  <c r="B9" i="160"/>
  <c r="B9" i="138" s="1"/>
  <c r="D10" i="160"/>
  <c r="D10" i="138" s="1"/>
  <c r="M11" i="160"/>
  <c r="M11" i="138" s="1"/>
  <c r="I37" i="160"/>
  <c r="I37" i="138" s="1"/>
  <c r="L7" i="160"/>
  <c r="L7" i="138" s="1"/>
  <c r="S48" i="160"/>
  <c r="S48" i="138" s="1"/>
  <c r="O47" i="160"/>
  <c r="O47" i="138" s="1"/>
  <c r="C7" i="160"/>
  <c r="C7" i="138" s="1"/>
  <c r="P39" i="160"/>
  <c r="P39" i="138" s="1"/>
  <c r="G47" i="160"/>
  <c r="G47" i="138" s="1"/>
  <c r="K51" i="160"/>
  <c r="K51" i="138" s="1"/>
  <c r="V9" i="160"/>
  <c r="V9" i="138" s="1"/>
  <c r="C12" i="160"/>
  <c r="C12" i="138" s="1"/>
  <c r="F38" i="160"/>
  <c r="F38" i="138" s="1"/>
  <c r="E18" i="160"/>
  <c r="E18" i="138" s="1"/>
  <c r="S33" i="160"/>
  <c r="S33" i="138" s="1"/>
  <c r="Z29" i="160"/>
  <c r="Z29" i="138" s="1"/>
  <c r="K37" i="160"/>
  <c r="K37" i="138" s="1"/>
  <c r="K42" i="138" s="1"/>
  <c r="K78" i="138" s="1"/>
  <c r="K97" i="138" s="1"/>
  <c r="D38" i="160"/>
  <c r="D38" i="138" s="1"/>
  <c r="R28" i="160"/>
  <c r="R28" i="138" s="1"/>
  <c r="R34" i="138" s="1"/>
  <c r="R75" i="138" s="1"/>
  <c r="P15" i="160"/>
  <c r="P15" i="138" s="1"/>
  <c r="R17" i="160"/>
  <c r="R17" i="138" s="1"/>
  <c r="Q17" i="160"/>
  <c r="Q17" i="138" s="1"/>
  <c r="X21" i="160"/>
  <c r="X21" i="138" s="1"/>
  <c r="P10" i="160"/>
  <c r="P10" i="138" s="1"/>
  <c r="S36" i="160"/>
  <c r="S36" i="138" s="1"/>
  <c r="T12" i="160"/>
  <c r="T12" i="138" s="1"/>
  <c r="Z17" i="160"/>
  <c r="Z17" i="138" s="1"/>
  <c r="M52" i="160"/>
  <c r="M52" i="138" s="1"/>
  <c r="S49" i="160"/>
  <c r="S49" i="138" s="1"/>
  <c r="J13" i="160"/>
  <c r="J13" i="138" s="1"/>
  <c r="L10" i="160"/>
  <c r="L10" i="138" s="1"/>
  <c r="T21" i="160"/>
  <c r="T21" i="138" s="1"/>
  <c r="C33" i="160"/>
  <c r="C33" i="138" s="1"/>
  <c r="U7" i="160"/>
  <c r="U7" i="138" s="1"/>
  <c r="E24" i="160"/>
  <c r="E24" i="138" s="1"/>
  <c r="G29" i="160"/>
  <c r="G29" i="138" s="1"/>
  <c r="V37" i="160"/>
  <c r="V37" i="138" s="1"/>
  <c r="V42" i="138" s="1"/>
  <c r="V78" i="138" s="1"/>
  <c r="V97" i="138" s="1"/>
  <c r="T19" i="160"/>
  <c r="T19" i="138" s="1"/>
  <c r="C16" i="160"/>
  <c r="C16" i="138" s="1"/>
  <c r="D17" i="160"/>
  <c r="D17" i="138" s="1"/>
  <c r="H25" i="160"/>
  <c r="H25" i="138" s="1"/>
  <c r="T31" i="160"/>
  <c r="T31" i="138" s="1"/>
  <c r="P48" i="160"/>
  <c r="P48" i="138" s="1"/>
  <c r="C49" i="160"/>
  <c r="C49" i="138" s="1"/>
  <c r="V16" i="160"/>
  <c r="V16" i="138" s="1"/>
  <c r="K46" i="160"/>
  <c r="K46" i="138" s="1"/>
  <c r="O45" i="160"/>
  <c r="O45" i="138" s="1"/>
  <c r="X40" i="160"/>
  <c r="X40" i="138" s="1"/>
  <c r="U12" i="160"/>
  <c r="U12" i="138" s="1"/>
  <c r="O48" i="160"/>
  <c r="O48" i="138" s="1"/>
  <c r="D32" i="160"/>
  <c r="D32" i="138" s="1"/>
  <c r="D48" i="160"/>
  <c r="D48" i="138" s="1"/>
  <c r="D18" i="160"/>
  <c r="D18" i="138" s="1"/>
  <c r="U32" i="160"/>
  <c r="U32" i="138" s="1"/>
  <c r="I20" i="160"/>
  <c r="I20" i="138" s="1"/>
  <c r="C32" i="160"/>
  <c r="C32" i="138" s="1"/>
  <c r="W26" i="160"/>
  <c r="W26" i="138" s="1"/>
  <c r="Z33" i="160"/>
  <c r="Z33" i="138" s="1"/>
  <c r="L27" i="160"/>
  <c r="L27" i="138" s="1"/>
  <c r="D26" i="160"/>
  <c r="D26" i="138" s="1"/>
  <c r="J30" i="160"/>
  <c r="J30" i="138" s="1"/>
  <c r="E48" i="160"/>
  <c r="E48" i="138" s="1"/>
  <c r="W24" i="160"/>
  <c r="W24" i="138" s="1"/>
  <c r="C44" i="160"/>
  <c r="C44" i="138" s="1"/>
  <c r="O46" i="160"/>
  <c r="O46" i="138" s="1"/>
  <c r="E22" i="160"/>
  <c r="E22" i="138" s="1"/>
  <c r="S18" i="160"/>
  <c r="S18" i="138" s="1"/>
  <c r="Y41" i="160"/>
  <c r="Y41" i="138" s="1"/>
  <c r="Y22" i="160"/>
  <c r="Y22" i="138" s="1"/>
  <c r="O16" i="160"/>
  <c r="O16" i="138" s="1"/>
  <c r="J10" i="160"/>
  <c r="J10" i="138" s="1"/>
  <c r="M51" i="160"/>
  <c r="M51" i="138" s="1"/>
  <c r="N40" i="160"/>
  <c r="N40" i="138" s="1"/>
  <c r="P27" i="160"/>
  <c r="P27" i="138" s="1"/>
  <c r="P34" i="138" s="1"/>
  <c r="P75" i="138" s="1"/>
  <c r="F15" i="160"/>
  <c r="F15" i="138" s="1"/>
  <c r="P18" i="160"/>
  <c r="P18" i="138" s="1"/>
  <c r="X8" i="160"/>
  <c r="X8" i="138" s="1"/>
  <c r="G20" i="160"/>
  <c r="G20" i="138" s="1"/>
  <c r="O33" i="160"/>
  <c r="O33" i="138" s="1"/>
  <c r="O34" i="138" s="1"/>
  <c r="O75" i="138" s="1"/>
  <c r="D37" i="160"/>
  <c r="D37" i="138" s="1"/>
  <c r="R11" i="160"/>
  <c r="R11" i="138" s="1"/>
  <c r="C25" i="160"/>
  <c r="C25" i="138" s="1"/>
  <c r="Z11" i="160"/>
  <c r="Z11" i="138" s="1"/>
  <c r="M13" i="160"/>
  <c r="M13" i="138" s="1"/>
  <c r="D8" i="160"/>
  <c r="D8" i="138" s="1"/>
  <c r="Y18" i="160"/>
  <c r="Y18" i="138" s="1"/>
  <c r="Q8" i="160"/>
  <c r="Q8" i="138" s="1"/>
  <c r="F13" i="160"/>
  <c r="F13" i="138" s="1"/>
  <c r="R45" i="160"/>
  <c r="R45" i="138" s="1"/>
  <c r="T37" i="160"/>
  <c r="T37" i="138" s="1"/>
  <c r="T42" i="138" s="1"/>
  <c r="T78" i="138" s="1"/>
  <c r="T97" i="138" s="1"/>
  <c r="L50" i="160"/>
  <c r="L50" i="138" s="1"/>
  <c r="N27" i="160"/>
  <c r="N27" i="138" s="1"/>
  <c r="T7" i="160"/>
  <c r="T7" i="138" s="1"/>
  <c r="M27" i="160"/>
  <c r="M27" i="138" s="1"/>
  <c r="I50" i="160"/>
  <c r="I50" i="138" s="1"/>
  <c r="E49" i="160"/>
  <c r="E49" i="138" s="1"/>
  <c r="D45" i="160"/>
  <c r="D45" i="138" s="1"/>
  <c r="M44" i="160"/>
  <c r="M44" i="138" s="1"/>
  <c r="T10" i="160"/>
  <c r="T10" i="138" s="1"/>
  <c r="X37" i="160"/>
  <c r="X37" i="138" s="1"/>
  <c r="Q9" i="160"/>
  <c r="Q9" i="138" s="1"/>
  <c r="Z7" i="160"/>
  <c r="Z7" i="138" s="1"/>
  <c r="H21" i="160"/>
  <c r="H21" i="138" s="1"/>
  <c r="E33" i="160"/>
  <c r="E33" i="138" s="1"/>
  <c r="M24" i="160"/>
  <c r="M24" i="138" s="1"/>
  <c r="I52" i="160"/>
  <c r="I52" i="138" s="1"/>
  <c r="E44" i="160"/>
  <c r="E44" i="138" s="1"/>
  <c r="H11" i="160"/>
  <c r="H11" i="138" s="1"/>
  <c r="B12" i="160"/>
  <c r="B12" i="138" s="1"/>
  <c r="X38" i="160"/>
  <c r="X38" i="138" s="1"/>
  <c r="Y36" i="160"/>
  <c r="Y36" i="138" s="1"/>
  <c r="P36" i="160"/>
  <c r="P36" i="138" s="1"/>
  <c r="Z21" i="160"/>
  <c r="Z21" i="138" s="1"/>
  <c r="J33" i="160"/>
  <c r="J33" i="138" s="1"/>
  <c r="Y38" i="160"/>
  <c r="Y38" i="138" s="1"/>
  <c r="I32" i="160"/>
  <c r="I32" i="138" s="1"/>
  <c r="F36" i="160"/>
  <c r="F36" i="138" s="1"/>
  <c r="G14" i="160"/>
  <c r="G14" i="138" s="1"/>
  <c r="R18" i="160"/>
  <c r="R18" i="138" s="1"/>
  <c r="I30" i="160"/>
  <c r="I30" i="138" s="1"/>
  <c r="S41" i="160"/>
  <c r="S41" i="138" s="1"/>
  <c r="B7" i="160"/>
  <c r="B7" i="138" s="1"/>
  <c r="F39" i="160"/>
  <c r="F39" i="138" s="1"/>
  <c r="Z15" i="160"/>
  <c r="Z15" i="138" s="1"/>
  <c r="J25" i="160"/>
  <c r="J25" i="138" s="1"/>
  <c r="V27" i="160"/>
  <c r="V27" i="138" s="1"/>
  <c r="N37" i="160"/>
  <c r="N37" i="138" s="1"/>
  <c r="P50" i="160"/>
  <c r="P50" i="138" s="1"/>
  <c r="W38" i="160"/>
  <c r="W38" i="138" s="1"/>
  <c r="W42" i="138" s="1"/>
  <c r="W78" i="138" s="1"/>
  <c r="W97" i="138" s="1"/>
  <c r="X17" i="160"/>
  <c r="X17" i="138" s="1"/>
  <c r="J26" i="160"/>
  <c r="J26" i="138" s="1"/>
  <c r="G28" i="160"/>
  <c r="G28" i="138" s="1"/>
  <c r="T32" i="160"/>
  <c r="T32" i="138" s="1"/>
  <c r="N17" i="160"/>
  <c r="N17" i="138" s="1"/>
  <c r="P19" i="160"/>
  <c r="P19" i="138" s="1"/>
  <c r="D9" i="160"/>
  <c r="D9" i="138" s="1"/>
  <c r="L46" i="160"/>
  <c r="L46" i="138" s="1"/>
  <c r="H27" i="160"/>
  <c r="H27" i="138" s="1"/>
  <c r="T15" i="160"/>
  <c r="T15" i="138" s="1"/>
  <c r="D25" i="160"/>
  <c r="D25" i="138" s="1"/>
  <c r="N52" i="160"/>
  <c r="N52" i="138" s="1"/>
  <c r="L13" i="160"/>
  <c r="L13" i="138" s="1"/>
  <c r="W9" i="160"/>
  <c r="W9" i="138" s="1"/>
  <c r="B49" i="160"/>
  <c r="B49" i="138" s="1"/>
  <c r="T51" i="160"/>
  <c r="T51" i="138" s="1"/>
  <c r="U31" i="160"/>
  <c r="U31" i="138" s="1"/>
  <c r="L31" i="160"/>
  <c r="L31" i="138" s="1"/>
  <c r="Z24" i="160"/>
  <c r="Z24" i="138" s="1"/>
  <c r="D36" i="160"/>
  <c r="D36" i="138" s="1"/>
  <c r="C39" i="160"/>
  <c r="C39" i="138" s="1"/>
  <c r="AD9" i="5"/>
  <c r="H53" i="144"/>
  <c r="K53" i="144"/>
  <c r="T53" i="144"/>
  <c r="P53" i="144"/>
  <c r="R53" i="144"/>
  <c r="Z53" i="144"/>
  <c r="M53" i="144"/>
  <c r="S53" i="144"/>
  <c r="I53" i="144"/>
  <c r="U53" i="144"/>
  <c r="V53" i="144"/>
  <c r="O53" i="144"/>
  <c r="N53" i="144"/>
  <c r="X53" i="144"/>
  <c r="W53" i="144"/>
  <c r="G53" i="144"/>
  <c r="J53" i="144"/>
  <c r="Q53" i="144"/>
  <c r="L53" i="144"/>
  <c r="AD4" i="5"/>
  <c r="B78" i="138"/>
  <c r="B97" i="138" s="1"/>
  <c r="AE9" i="5"/>
  <c r="AE4" i="5"/>
  <c r="V34" i="138" l="1"/>
  <c r="V75" i="138" s="1"/>
  <c r="B106" i="138"/>
  <c r="B115" i="138"/>
  <c r="U106" i="138"/>
  <c r="U115" i="138"/>
  <c r="Q106" i="138"/>
  <c r="Q115" i="138"/>
  <c r="Z115" i="138"/>
  <c r="Z106" i="138"/>
  <c r="H115" i="138"/>
  <c r="H106" i="138"/>
  <c r="V115" i="138"/>
  <c r="V106" i="138"/>
  <c r="R115" i="138"/>
  <c r="R106" i="138"/>
  <c r="O115" i="138"/>
  <c r="O106" i="138"/>
  <c r="J115" i="138"/>
  <c r="J106" i="138"/>
  <c r="M106" i="138"/>
  <c r="M115" i="138"/>
  <c r="E106" i="138"/>
  <c r="E115" i="138"/>
  <c r="T115" i="138"/>
  <c r="T106" i="138"/>
  <c r="G115" i="138"/>
  <c r="G106" i="138"/>
  <c r="W115" i="138"/>
  <c r="W106" i="138"/>
  <c r="K106" i="138"/>
  <c r="K115" i="138"/>
  <c r="L115" i="138"/>
  <c r="L106" i="138"/>
  <c r="N42" i="138"/>
  <c r="N78" i="138" s="1"/>
  <c r="N97" i="138" s="1"/>
  <c r="Z34" i="138"/>
  <c r="Z75" i="138" s="1"/>
  <c r="P42" i="138"/>
  <c r="P78" i="138" s="1"/>
  <c r="P97" i="138" s="1"/>
  <c r="D34" i="138"/>
  <c r="D75" i="138" s="1"/>
  <c r="W34" i="138"/>
  <c r="W75" i="138" s="1"/>
  <c r="L34" i="138"/>
  <c r="L75" i="138" s="1"/>
  <c r="AA45" i="138"/>
  <c r="AA28" i="138"/>
  <c r="AA39" i="138"/>
  <c r="L73" i="138"/>
  <c r="G73" i="138"/>
  <c r="AA20" i="138"/>
  <c r="Q73" i="138"/>
  <c r="AA9" i="138"/>
  <c r="AA33" i="138"/>
  <c r="AA18" i="138"/>
  <c r="AA47" i="138"/>
  <c r="AA17" i="138"/>
  <c r="U34" i="138"/>
  <c r="U75" i="138" s="1"/>
  <c r="AA27" i="138"/>
  <c r="B73" i="138"/>
  <c r="AA7" i="138"/>
  <c r="C34" i="138"/>
  <c r="C75" i="138" s="1"/>
  <c r="AA22" i="138"/>
  <c r="T73" i="138"/>
  <c r="AA15" i="138"/>
  <c r="AA49" i="138"/>
  <c r="AA13" i="138"/>
  <c r="AA11" i="138"/>
  <c r="P73" i="138"/>
  <c r="AA24" i="138"/>
  <c r="AA29" i="138"/>
  <c r="T34" i="138"/>
  <c r="T75" i="138" s="1"/>
  <c r="I42" i="138"/>
  <c r="I78" i="138" s="1"/>
  <c r="I97" i="138" s="1"/>
  <c r="AA14" i="138"/>
  <c r="AA26" i="138"/>
  <c r="I73" i="138"/>
  <c r="AA31" i="138"/>
  <c r="AA51" i="138"/>
  <c r="W73" i="138"/>
  <c r="AA19" i="138"/>
  <c r="AA41" i="138"/>
  <c r="AA12" i="138"/>
  <c r="E73" i="138"/>
  <c r="M34" i="138"/>
  <c r="M75" i="138" s="1"/>
  <c r="AA21" i="138"/>
  <c r="D73" i="138"/>
  <c r="R73" i="138"/>
  <c r="AA40" i="138"/>
  <c r="J73" i="138"/>
  <c r="S73" i="138"/>
  <c r="N73" i="138"/>
  <c r="AA30" i="138"/>
  <c r="AA52" i="138"/>
  <c r="Z73" i="138"/>
  <c r="N34" i="138"/>
  <c r="N75" i="138" s="1"/>
  <c r="AA37" i="138"/>
  <c r="H34" i="138"/>
  <c r="H75" i="138" s="1"/>
  <c r="E34" i="138"/>
  <c r="E75" i="138" s="1"/>
  <c r="AA36" i="138"/>
  <c r="J34" i="138"/>
  <c r="J75" i="138" s="1"/>
  <c r="F42" i="138"/>
  <c r="F78" i="138" s="1"/>
  <c r="F97" i="138" s="1"/>
  <c r="AA50" i="138"/>
  <c r="X73" i="138"/>
  <c r="F73" i="138"/>
  <c r="M73" i="138"/>
  <c r="O73" i="138"/>
  <c r="AA32" i="138"/>
  <c r="U73" i="138"/>
  <c r="Y42" i="138"/>
  <c r="Y78" i="138" s="1"/>
  <c r="Y97" i="138" s="1"/>
  <c r="AA10" i="138"/>
  <c r="C42" i="138"/>
  <c r="C78" i="138" s="1"/>
  <c r="C97" i="138" s="1"/>
  <c r="AA25" i="138"/>
  <c r="D42" i="138"/>
  <c r="D78" i="138" s="1"/>
  <c r="D97" i="138" s="1"/>
  <c r="I34" i="138"/>
  <c r="I75" i="138" s="1"/>
  <c r="Y73" i="138"/>
  <c r="AA44" i="138"/>
  <c r="AA48" i="138"/>
  <c r="S34" i="138"/>
  <c r="S75" i="138" s="1"/>
  <c r="AA46" i="138"/>
  <c r="H73" i="138"/>
  <c r="X42" i="138"/>
  <c r="X78" i="138" s="1"/>
  <c r="X97" i="138" s="1"/>
  <c r="AA38" i="138"/>
  <c r="G34" i="138"/>
  <c r="G75" i="138" s="1"/>
  <c r="AA16" i="138"/>
  <c r="S42" i="138"/>
  <c r="S78" i="138" s="1"/>
  <c r="S97" i="138" s="1"/>
  <c r="V73" i="138"/>
  <c r="C73" i="138"/>
  <c r="CO5" i="5"/>
  <c r="CR9" i="5"/>
  <c r="CI9" i="5"/>
  <c r="CY9" i="5"/>
  <c r="CK9" i="5"/>
  <c r="DA9" i="5"/>
  <c r="CP9" i="5"/>
  <c r="CF9" i="5"/>
  <c r="CV9" i="5"/>
  <c r="CM9" i="5"/>
  <c r="DC9" i="5"/>
  <c r="CO9" i="5"/>
  <c r="CT9" i="5"/>
  <c r="CJ9" i="5"/>
  <c r="CZ9" i="5"/>
  <c r="CQ9" i="5"/>
  <c r="CS9" i="5"/>
  <c r="CH9" i="5"/>
  <c r="CX9" i="5"/>
  <c r="CN9" i="5"/>
  <c r="DD9" i="5"/>
  <c r="CU9" i="5"/>
  <c r="CG9" i="5"/>
  <c r="CW9" i="5"/>
  <c r="CL9" i="5"/>
  <c r="DB9" i="5"/>
  <c r="CI4" i="5"/>
  <c r="CQ4" i="5"/>
  <c r="CL4" i="5"/>
  <c r="CR4" i="5"/>
  <c r="CX4" i="5"/>
  <c r="CN4" i="5"/>
  <c r="CO4" i="5"/>
  <c r="CH4" i="5"/>
  <c r="DC4" i="5"/>
  <c r="DD4" i="5"/>
  <c r="CY4" i="5"/>
  <c r="CK4" i="5"/>
  <c r="CS4" i="5"/>
  <c r="CG4" i="5"/>
  <c r="CU4" i="5"/>
  <c r="CZ4" i="5"/>
  <c r="CV4" i="5"/>
  <c r="CW4" i="5"/>
  <c r="CF4" i="5"/>
  <c r="DB4" i="5"/>
  <c r="CT4" i="5"/>
  <c r="CM4" i="5"/>
  <c r="DA4" i="5"/>
  <c r="CJ4" i="5"/>
  <c r="CP4" i="5"/>
  <c r="C106" i="138" l="1"/>
  <c r="C115" i="138"/>
  <c r="X115" i="138"/>
  <c r="X106" i="138"/>
  <c r="Y106" i="138"/>
  <c r="Y115" i="138"/>
  <c r="F115" i="138"/>
  <c r="F106" i="138"/>
  <c r="S106" i="138"/>
  <c r="S115" i="138"/>
  <c r="P115" i="138"/>
  <c r="P106" i="138"/>
  <c r="I106" i="138"/>
  <c r="I115" i="138"/>
  <c r="D115" i="138"/>
  <c r="D106" i="138"/>
  <c r="N115" i="138"/>
  <c r="N106" i="138"/>
  <c r="AA78" i="138"/>
  <c r="AA97" i="138" s="1"/>
  <c r="AA75" i="138"/>
  <c r="AA34" i="138"/>
  <c r="AA42" i="138"/>
  <c r="AW9" i="5"/>
  <c r="BW9" i="5"/>
  <c r="BN9" i="5"/>
  <c r="AN9" i="5"/>
  <c r="BQ9" i="5"/>
  <c r="AQ9" i="5"/>
  <c r="AO9" i="5"/>
  <c r="BO9" i="5"/>
  <c r="BF9" i="5"/>
  <c r="DE9" i="5"/>
  <c r="AF9" i="5"/>
  <c r="BY9" i="5"/>
  <c r="AY9" i="5"/>
  <c r="AG9" i="5"/>
  <c r="BG9" i="5"/>
  <c r="BX9" i="5"/>
  <c r="AX9" i="5"/>
  <c r="BZ9" i="5"/>
  <c r="AZ9" i="5"/>
  <c r="CC9" i="5"/>
  <c r="BC9" i="5"/>
  <c r="BP9" i="5"/>
  <c r="AP9" i="5"/>
  <c r="BI9" i="5"/>
  <c r="AI9" i="5"/>
  <c r="BB9" i="5"/>
  <c r="CB9" i="5"/>
  <c r="BU9" i="5"/>
  <c r="AU9" i="5"/>
  <c r="BH9" i="5"/>
  <c r="AH9" i="5"/>
  <c r="BJ9" i="5"/>
  <c r="AJ9" i="5"/>
  <c r="BM9" i="5"/>
  <c r="AM9" i="5"/>
  <c r="CA9" i="5"/>
  <c r="BA9" i="5"/>
  <c r="BR9" i="5"/>
  <c r="AR9" i="5"/>
  <c r="AL9" i="5"/>
  <c r="BL9" i="5"/>
  <c r="CD9" i="5"/>
  <c r="BD9" i="5"/>
  <c r="BS9" i="5"/>
  <c r="AS9" i="5"/>
  <c r="AT9" i="5"/>
  <c r="BT9" i="5"/>
  <c r="BV9" i="5"/>
  <c r="AV9" i="5"/>
  <c r="BK9" i="5"/>
  <c r="AK9" i="5"/>
  <c r="BO5" i="5"/>
  <c r="AO5" i="5"/>
  <c r="BE5" i="5" s="1"/>
  <c r="DE5" i="5"/>
  <c r="AI83" i="144"/>
  <c r="AM4" i="5"/>
  <c r="BM4" i="5"/>
  <c r="AS83" i="144"/>
  <c r="BW4" i="5"/>
  <c r="AW4" i="5"/>
  <c r="BG4" i="5"/>
  <c r="C6" i="138" s="1"/>
  <c r="AG4" i="5"/>
  <c r="AG100" i="5" s="1"/>
  <c r="AC83" i="144"/>
  <c r="AZ83" i="144"/>
  <c r="CD4" i="5"/>
  <c r="BD4" i="5"/>
  <c r="BN4" i="5"/>
  <c r="AN4" i="5"/>
  <c r="AN100" i="5" s="1"/>
  <c r="J35" i="138" s="1"/>
  <c r="J95" i="138" s="1"/>
  <c r="AJ83" i="144"/>
  <c r="AM83" i="144"/>
  <c r="BQ4" i="5"/>
  <c r="AQ4" i="5"/>
  <c r="AW83" i="144"/>
  <c r="BA4" i="5"/>
  <c r="CA4" i="5"/>
  <c r="AF4" i="5"/>
  <c r="DE4" i="5"/>
  <c r="BF4" i="5"/>
  <c r="B6" i="138" s="1"/>
  <c r="AB83" i="144"/>
  <c r="AU83" i="144"/>
  <c r="BY4" i="5"/>
  <c r="AY4" i="5"/>
  <c r="AK83" i="144"/>
  <c r="AO4" i="5"/>
  <c r="BO4" i="5"/>
  <c r="AP4" i="5"/>
  <c r="AL83" i="144"/>
  <c r="BP4" i="5"/>
  <c r="AR83" i="144"/>
  <c r="BV4" i="5"/>
  <c r="AV4" i="5"/>
  <c r="AS4" i="5"/>
  <c r="AO83" i="144"/>
  <c r="BS4" i="5"/>
  <c r="BC4" i="5"/>
  <c r="AY83" i="144"/>
  <c r="CC4" i="5"/>
  <c r="AT83" i="144"/>
  <c r="BX4" i="5"/>
  <c r="AX4" i="5"/>
  <c r="BI4" i="5"/>
  <c r="E6" i="138" s="1"/>
  <c r="AI4" i="5"/>
  <c r="AE83" i="144"/>
  <c r="AQ83" i="144"/>
  <c r="BU4" i="5"/>
  <c r="AU4" i="5"/>
  <c r="AL4" i="5"/>
  <c r="BL4" i="5"/>
  <c r="AH83" i="144"/>
  <c r="AP83" i="144"/>
  <c r="AT4" i="5"/>
  <c r="BT4" i="5"/>
  <c r="BJ4" i="5"/>
  <c r="F6" i="138" s="1"/>
  <c r="AF83" i="144"/>
  <c r="AJ4" i="5"/>
  <c r="CB4" i="5"/>
  <c r="BB4" i="5"/>
  <c r="AX83" i="144"/>
  <c r="AV83" i="144"/>
  <c r="BZ4" i="5"/>
  <c r="AZ4" i="5"/>
  <c r="AG83" i="144"/>
  <c r="BK4" i="5"/>
  <c r="AK4" i="5"/>
  <c r="AH4" i="5"/>
  <c r="AD83" i="144"/>
  <c r="BH4" i="5"/>
  <c r="D6" i="138" s="1"/>
  <c r="AN83" i="144"/>
  <c r="BR4" i="5"/>
  <c r="AR4" i="5"/>
  <c r="AA106" i="138" l="1"/>
  <c r="AA115" i="138"/>
  <c r="J113" i="138"/>
  <c r="J104" i="138"/>
  <c r="BB100" i="5"/>
  <c r="X35" i="138" s="1"/>
  <c r="X95" i="138" s="1"/>
  <c r="AH100" i="5"/>
  <c r="AK100" i="5"/>
  <c r="G35" i="138" s="1"/>
  <c r="G95" i="138" s="1"/>
  <c r="AR100" i="5"/>
  <c r="N35" i="138" s="1"/>
  <c r="N95" i="138" s="1"/>
  <c r="AZ100" i="5"/>
  <c r="V35" i="138" s="1"/>
  <c r="V95" i="138" s="1"/>
  <c r="AP100" i="5"/>
  <c r="L35" i="138" s="1"/>
  <c r="L95" i="138" s="1"/>
  <c r="AQ100" i="5"/>
  <c r="M35" i="138" s="1"/>
  <c r="M95" i="138" s="1"/>
  <c r="AX100" i="5"/>
  <c r="T35" i="138" s="1"/>
  <c r="T95" i="138" s="1"/>
  <c r="AJ100" i="5"/>
  <c r="AU100" i="5"/>
  <c r="Q35" i="138" s="1"/>
  <c r="Q95" i="138" s="1"/>
  <c r="AI100" i="5"/>
  <c r="AY100" i="5"/>
  <c r="U35" i="138" s="1"/>
  <c r="U95" i="138" s="1"/>
  <c r="C17" i="127"/>
  <c r="C26" i="127" s="1"/>
  <c r="AS100" i="5"/>
  <c r="O35" i="138" s="1"/>
  <c r="O95" i="138" s="1"/>
  <c r="AO100" i="5"/>
  <c r="K35" i="138" s="1"/>
  <c r="K95" i="138" s="1"/>
  <c r="AW100" i="5"/>
  <c r="S35" i="138" s="1"/>
  <c r="S95" i="138" s="1"/>
  <c r="AM100" i="5"/>
  <c r="I35" i="138" s="1"/>
  <c r="I95" i="138" s="1"/>
  <c r="BA100" i="5"/>
  <c r="W35" i="138" s="1"/>
  <c r="W95" i="138" s="1"/>
  <c r="BD100" i="5"/>
  <c r="Z35" i="138" s="1"/>
  <c r="Z95" i="138" s="1"/>
  <c r="AT100" i="5"/>
  <c r="P35" i="138" s="1"/>
  <c r="P95" i="138" s="1"/>
  <c r="BC100" i="5"/>
  <c r="Y35" i="138" s="1"/>
  <c r="Y95" i="138" s="1"/>
  <c r="AV100" i="5"/>
  <c r="R35" i="138" s="1"/>
  <c r="R95" i="138" s="1"/>
  <c r="AL100" i="5"/>
  <c r="H35" i="138" s="1"/>
  <c r="H95" i="138" s="1"/>
  <c r="V5" i="138"/>
  <c r="V6" i="138"/>
  <c r="X5" i="138"/>
  <c r="X6" i="138"/>
  <c r="P5" i="138"/>
  <c r="P6" i="138"/>
  <c r="H5" i="138"/>
  <c r="H6" i="138"/>
  <c r="L5" i="138"/>
  <c r="L6" i="138"/>
  <c r="CE5" i="5"/>
  <c r="K8" i="138"/>
  <c r="G5" i="138"/>
  <c r="G6" i="138"/>
  <c r="T5" i="138"/>
  <c r="T6" i="138"/>
  <c r="W5" i="138"/>
  <c r="W6" i="138"/>
  <c r="M5" i="138"/>
  <c r="M6" i="138"/>
  <c r="J5" i="138"/>
  <c r="J6" i="138"/>
  <c r="S5" i="138"/>
  <c r="S6" i="138"/>
  <c r="BE9" i="5"/>
  <c r="O5" i="138"/>
  <c r="O6" i="138"/>
  <c r="R5" i="138"/>
  <c r="R6" i="138"/>
  <c r="N5" i="138"/>
  <c r="N6" i="138"/>
  <c r="Q5" i="138"/>
  <c r="Q6" i="138"/>
  <c r="Y5" i="138"/>
  <c r="Y6" i="138"/>
  <c r="K5" i="138"/>
  <c r="K6" i="138"/>
  <c r="U5" i="138"/>
  <c r="U6" i="138"/>
  <c r="Z5" i="138"/>
  <c r="Z6" i="138"/>
  <c r="I5" i="138"/>
  <c r="I6" i="138"/>
  <c r="CE9" i="5"/>
  <c r="AD77" i="144"/>
  <c r="AD5" i="144"/>
  <c r="AF77" i="144"/>
  <c r="AF5" i="144"/>
  <c r="CE4" i="5"/>
  <c r="BE4" i="5"/>
  <c r="AF100" i="5"/>
  <c r="AE77" i="144"/>
  <c r="AE5" i="144"/>
  <c r="BA83" i="144"/>
  <c r="AC77" i="144"/>
  <c r="AC5" i="144"/>
  <c r="P113" i="138" l="1"/>
  <c r="P104" i="138"/>
  <c r="U104" i="138"/>
  <c r="U113" i="138"/>
  <c r="N113" i="138"/>
  <c r="N104" i="138"/>
  <c r="Z113" i="138"/>
  <c r="Z104" i="138"/>
  <c r="G113" i="138"/>
  <c r="G104" i="138"/>
  <c r="W113" i="138"/>
  <c r="W104" i="138"/>
  <c r="Q104" i="138"/>
  <c r="Q113" i="138"/>
  <c r="I104" i="138"/>
  <c r="I113" i="138"/>
  <c r="X113" i="138"/>
  <c r="X104" i="138"/>
  <c r="S104" i="138"/>
  <c r="S113" i="138"/>
  <c r="T113" i="138"/>
  <c r="T104" i="138"/>
  <c r="H113" i="138"/>
  <c r="H104" i="138"/>
  <c r="K104" i="138"/>
  <c r="K113" i="138"/>
  <c r="M104" i="138"/>
  <c r="M113" i="138"/>
  <c r="R113" i="138"/>
  <c r="R104" i="138"/>
  <c r="O113" i="138"/>
  <c r="O104" i="138"/>
  <c r="L113" i="138"/>
  <c r="L104" i="138"/>
  <c r="Y104" i="138"/>
  <c r="Y113" i="138"/>
  <c r="V113" i="138"/>
  <c r="V104" i="138"/>
  <c r="R72" i="138"/>
  <c r="R74" i="138" s="1"/>
  <c r="R84" i="138" s="1"/>
  <c r="P72" i="138"/>
  <c r="P74" i="138" s="1"/>
  <c r="P84" i="138" s="1"/>
  <c r="H72" i="138"/>
  <c r="H74" i="138" s="1"/>
  <c r="H84" i="138" s="1"/>
  <c r="T23" i="138"/>
  <c r="S23" i="138"/>
  <c r="M23" i="138"/>
  <c r="Z23" i="138"/>
  <c r="K23" i="138"/>
  <c r="Q72" i="138"/>
  <c r="Q74" i="138" s="1"/>
  <c r="L72" i="138"/>
  <c r="L74" i="138" s="1"/>
  <c r="L84" i="138" s="1"/>
  <c r="P23" i="138"/>
  <c r="W72" i="138"/>
  <c r="W74" i="138" s="1"/>
  <c r="G23" i="138"/>
  <c r="V72" i="138"/>
  <c r="V74" i="138" s="1"/>
  <c r="V23" i="138"/>
  <c r="J23" i="138"/>
  <c r="I72" i="138"/>
  <c r="I74" i="138" s="1"/>
  <c r="U72" i="138"/>
  <c r="U74" i="138" s="1"/>
  <c r="Y72" i="138"/>
  <c r="Y74" i="138" s="1"/>
  <c r="N72" i="138"/>
  <c r="N74" i="138" s="1"/>
  <c r="O23" i="138"/>
  <c r="W23" i="138"/>
  <c r="G72" i="138"/>
  <c r="G74" i="138" s="1"/>
  <c r="X23" i="138"/>
  <c r="L23" i="138"/>
  <c r="J72" i="138"/>
  <c r="J74" i="138" s="1"/>
  <c r="BE100" i="5"/>
  <c r="Z72" i="138"/>
  <c r="Z74" i="138" s="1"/>
  <c r="K72" i="138"/>
  <c r="Q23" i="138"/>
  <c r="R23" i="138"/>
  <c r="I23" i="138"/>
  <c r="U23" i="138"/>
  <c r="Y23" i="138"/>
  <c r="N23" i="138"/>
  <c r="O72" i="138"/>
  <c r="O74" i="138" s="1"/>
  <c r="T72" i="138"/>
  <c r="T74" i="138" s="1"/>
  <c r="S72" i="138"/>
  <c r="S74" i="138" s="1"/>
  <c r="M72" i="138"/>
  <c r="M74" i="138" s="1"/>
  <c r="H23" i="138"/>
  <c r="X72" i="138"/>
  <c r="X74" i="138" s="1"/>
  <c r="AA8" i="138"/>
  <c r="K73" i="138"/>
  <c r="AA73" i="138" s="1"/>
  <c r="AA6" i="138"/>
  <c r="AB5" i="144"/>
  <c r="AB77" i="144"/>
  <c r="AF53" i="144"/>
  <c r="BG5" i="144"/>
  <c r="AE53" i="144"/>
  <c r="BF5" i="144"/>
  <c r="AD53" i="144"/>
  <c r="BE5" i="144"/>
  <c r="AC53" i="144"/>
  <c r="BD5" i="144"/>
  <c r="Y84" i="138" l="1"/>
  <c r="Y91" i="138"/>
  <c r="Y92" i="138" s="1"/>
  <c r="H76" i="138"/>
  <c r="H77" i="138" s="1"/>
  <c r="H91" i="138"/>
  <c r="H92" i="138" s="1"/>
  <c r="U76" i="138"/>
  <c r="U77" i="138" s="1"/>
  <c r="U91" i="138"/>
  <c r="U92" i="138" s="1"/>
  <c r="L76" i="138"/>
  <c r="L77" i="138" s="1"/>
  <c r="L91" i="138"/>
  <c r="L92" i="138" s="1"/>
  <c r="P76" i="138"/>
  <c r="P77" i="138" s="1"/>
  <c r="P91" i="138"/>
  <c r="P92" i="138" s="1"/>
  <c r="O76" i="138"/>
  <c r="O77" i="138" s="1"/>
  <c r="O91" i="138"/>
  <c r="O92" i="138" s="1"/>
  <c r="X76" i="138"/>
  <c r="X77" i="138" s="1"/>
  <c r="X91" i="138"/>
  <c r="X92" i="138" s="1"/>
  <c r="R76" i="138"/>
  <c r="R77" i="138" s="1"/>
  <c r="R91" i="138"/>
  <c r="R92" i="138" s="1"/>
  <c r="J76" i="138"/>
  <c r="J77" i="138" s="1"/>
  <c r="J91" i="138"/>
  <c r="J92" i="138" s="1"/>
  <c r="I76" i="138"/>
  <c r="I77" i="138" s="1"/>
  <c r="I91" i="138"/>
  <c r="I92" i="138" s="1"/>
  <c r="Q76" i="138"/>
  <c r="Q77" i="138" s="1"/>
  <c r="Q91" i="138"/>
  <c r="Q92" i="138" s="1"/>
  <c r="M76" i="138"/>
  <c r="M77" i="138" s="1"/>
  <c r="M91" i="138"/>
  <c r="M92" i="138" s="1"/>
  <c r="G76" i="138"/>
  <c r="G77" i="138" s="1"/>
  <c r="G91" i="138"/>
  <c r="G92" i="138" s="1"/>
  <c r="S76" i="138"/>
  <c r="S77" i="138" s="1"/>
  <c r="S91" i="138"/>
  <c r="S92" i="138" s="1"/>
  <c r="V76" i="138"/>
  <c r="V77" i="138" s="1"/>
  <c r="V91" i="138"/>
  <c r="V92" i="138" s="1"/>
  <c r="T76" i="138"/>
  <c r="T77" i="138" s="1"/>
  <c r="T91" i="138"/>
  <c r="T92" i="138" s="1"/>
  <c r="Z76" i="138"/>
  <c r="Z77" i="138" s="1"/>
  <c r="Z91" i="138"/>
  <c r="Z92" i="138" s="1"/>
  <c r="N76" i="138"/>
  <c r="N77" i="138" s="1"/>
  <c r="N91" i="138"/>
  <c r="N92" i="138" s="1"/>
  <c r="W76" i="138"/>
  <c r="W77" i="138" s="1"/>
  <c r="W91" i="138"/>
  <c r="W92" i="138" s="1"/>
  <c r="W84" i="138"/>
  <c r="G84" i="138"/>
  <c r="Y76" i="138"/>
  <c r="Y77" i="138" s="1"/>
  <c r="V84" i="138"/>
  <c r="Q84" i="138"/>
  <c r="N84" i="138"/>
  <c r="I84" i="138"/>
  <c r="Z84" i="138"/>
  <c r="U84" i="138"/>
  <c r="J84" i="138"/>
  <c r="M84" i="138"/>
  <c r="O84" i="138"/>
  <c r="S84" i="138"/>
  <c r="X84" i="138"/>
  <c r="T84" i="138"/>
  <c r="K74" i="138"/>
  <c r="K91" i="138" s="1"/>
  <c r="K92" i="138" s="1"/>
  <c r="CE5" i="144"/>
  <c r="C5" i="144"/>
  <c r="C5" i="160" s="1"/>
  <c r="BD53" i="144"/>
  <c r="CE53" i="144" s="1"/>
  <c r="CG5" i="144"/>
  <c r="BF53" i="144"/>
  <c r="CG53" i="144" s="1"/>
  <c r="E5" i="144"/>
  <c r="E5" i="160" s="1"/>
  <c r="BG53" i="144"/>
  <c r="CH53" i="144" s="1"/>
  <c r="CH5" i="144"/>
  <c r="F5" i="144"/>
  <c r="F5" i="160" s="1"/>
  <c r="D5" i="144"/>
  <c r="D5" i="160" s="1"/>
  <c r="CF5" i="144"/>
  <c r="BE53" i="144"/>
  <c r="CF53" i="144" s="1"/>
  <c r="AB53" i="144"/>
  <c r="BC5" i="144"/>
  <c r="T100" i="138" l="1"/>
  <c r="T109" i="138"/>
  <c r="M100" i="138"/>
  <c r="M109" i="138"/>
  <c r="R100" i="138"/>
  <c r="R109" i="138"/>
  <c r="L100" i="138"/>
  <c r="L109" i="138"/>
  <c r="K109" i="138"/>
  <c r="K100" i="138"/>
  <c r="W109" i="138"/>
  <c r="W100" i="138"/>
  <c r="V109" i="138"/>
  <c r="V100" i="138"/>
  <c r="Q109" i="138"/>
  <c r="Q100" i="138"/>
  <c r="X109" i="138"/>
  <c r="X100" i="138"/>
  <c r="U109" i="138"/>
  <c r="U100" i="138"/>
  <c r="N109" i="138"/>
  <c r="N100" i="138"/>
  <c r="S109" i="138"/>
  <c r="S100" i="138"/>
  <c r="I109" i="138"/>
  <c r="I100" i="138"/>
  <c r="O109" i="138"/>
  <c r="O100" i="138"/>
  <c r="H109" i="138"/>
  <c r="H100" i="138"/>
  <c r="Z100" i="138"/>
  <c r="Z109" i="138"/>
  <c r="G109" i="138"/>
  <c r="G100" i="138"/>
  <c r="J100" i="138"/>
  <c r="J109" i="138"/>
  <c r="P109" i="138"/>
  <c r="P100" i="138"/>
  <c r="Y109" i="138"/>
  <c r="Y100" i="138"/>
  <c r="F5" i="179"/>
  <c r="F35" i="138" s="1"/>
  <c r="F95" i="138" s="1"/>
  <c r="E5" i="179"/>
  <c r="E35" i="138" s="1"/>
  <c r="E95" i="138" s="1"/>
  <c r="D5" i="179"/>
  <c r="D35" i="138" s="1"/>
  <c r="D95" i="138" s="1"/>
  <c r="C5" i="179"/>
  <c r="C35" i="138" s="1"/>
  <c r="C95" i="138" s="1"/>
  <c r="K76" i="138"/>
  <c r="K77" i="138" s="1"/>
  <c r="K84" i="138"/>
  <c r="CD5" i="144"/>
  <c r="B5" i="144"/>
  <c r="B5" i="160" s="1"/>
  <c r="BC53" i="144"/>
  <c r="CD53" i="144" s="1"/>
  <c r="CB5" i="144"/>
  <c r="CB53" i="144" s="1"/>
  <c r="D5" i="138"/>
  <c r="D53" i="144"/>
  <c r="E53" i="144"/>
  <c r="E5" i="138"/>
  <c r="C53" i="144"/>
  <c r="C5" i="138"/>
  <c r="F53" i="144"/>
  <c r="F5" i="138"/>
  <c r="C104" i="138" l="1"/>
  <c r="C113" i="138"/>
  <c r="Z93" i="138"/>
  <c r="Z110" i="138"/>
  <c r="Z101" i="138"/>
  <c r="Q101" i="138"/>
  <c r="Q110" i="138"/>
  <c r="Q93" i="138"/>
  <c r="D104" i="138"/>
  <c r="D113" i="138"/>
  <c r="P110" i="138"/>
  <c r="P93" i="138"/>
  <c r="P101" i="138"/>
  <c r="K93" i="138"/>
  <c r="K101" i="138"/>
  <c r="K110" i="138"/>
  <c r="R93" i="138"/>
  <c r="R110" i="138"/>
  <c r="R101" i="138"/>
  <c r="E104" i="138"/>
  <c r="E113" i="138"/>
  <c r="F113" i="138"/>
  <c r="F104" i="138"/>
  <c r="H110" i="138"/>
  <c r="H101" i="138"/>
  <c r="H93" i="138"/>
  <c r="I101" i="138"/>
  <c r="I110" i="138"/>
  <c r="I93" i="138"/>
  <c r="V110" i="138"/>
  <c r="V93" i="138"/>
  <c r="V101" i="138"/>
  <c r="J93" i="138"/>
  <c r="J110" i="138"/>
  <c r="J101" i="138"/>
  <c r="U101" i="138"/>
  <c r="U93" i="138"/>
  <c r="U110" i="138"/>
  <c r="M101" i="138"/>
  <c r="M110" i="138"/>
  <c r="M93" i="138"/>
  <c r="X110" i="138"/>
  <c r="X93" i="138"/>
  <c r="X101" i="138"/>
  <c r="L93" i="138"/>
  <c r="L110" i="138"/>
  <c r="L101" i="138"/>
  <c r="T93" i="138"/>
  <c r="T110" i="138"/>
  <c r="T101" i="138"/>
  <c r="Y101" i="138"/>
  <c r="Y110" i="138"/>
  <c r="Y93" i="138"/>
  <c r="O110" i="138"/>
  <c r="O101" i="138"/>
  <c r="O93" i="138"/>
  <c r="S93" i="138"/>
  <c r="S101" i="138"/>
  <c r="S110" i="138"/>
  <c r="W110" i="138"/>
  <c r="W93" i="138"/>
  <c r="W101" i="138"/>
  <c r="G110" i="138"/>
  <c r="G93" i="138"/>
  <c r="G101" i="138"/>
  <c r="N110" i="138"/>
  <c r="N93" i="138"/>
  <c r="N101" i="138"/>
  <c r="B5" i="179"/>
  <c r="B35" i="138" s="1"/>
  <c r="D23" i="138"/>
  <c r="D72" i="138"/>
  <c r="D74" i="138" s="1"/>
  <c r="D91" i="138" s="1"/>
  <c r="D92" i="138" s="1"/>
  <c r="E23" i="138"/>
  <c r="E72" i="138"/>
  <c r="E74" i="138" s="1"/>
  <c r="E91" i="138" s="1"/>
  <c r="E92" i="138" s="1"/>
  <c r="F23" i="138"/>
  <c r="F72" i="138"/>
  <c r="F74" i="138" s="1"/>
  <c r="F91" i="138" s="1"/>
  <c r="F92" i="138" s="1"/>
  <c r="C72" i="138"/>
  <c r="C74" i="138" s="1"/>
  <c r="C91" i="138" s="1"/>
  <c r="C92" i="138" s="1"/>
  <c r="C23" i="138"/>
  <c r="B5" i="138"/>
  <c r="B53" i="144"/>
  <c r="AA35" i="138" l="1"/>
  <c r="AA95" i="138" s="1"/>
  <c r="B95" i="138"/>
  <c r="W111" i="138"/>
  <c r="W102" i="138"/>
  <c r="W94" i="138"/>
  <c r="Y102" i="138"/>
  <c r="Y111" i="138"/>
  <c r="Y94" i="138"/>
  <c r="L94" i="138"/>
  <c r="L102" i="138"/>
  <c r="L111" i="138"/>
  <c r="U102" i="138"/>
  <c r="U111" i="138"/>
  <c r="U94" i="138"/>
  <c r="I102" i="138"/>
  <c r="I111" i="138"/>
  <c r="I94" i="138"/>
  <c r="Q102" i="138"/>
  <c r="Q111" i="138"/>
  <c r="Q94" i="138"/>
  <c r="C109" i="138"/>
  <c r="C100" i="138"/>
  <c r="K94" i="138"/>
  <c r="K102" i="138"/>
  <c r="K111" i="138"/>
  <c r="F109" i="138"/>
  <c r="F100" i="138"/>
  <c r="N111" i="138"/>
  <c r="N94" i="138"/>
  <c r="N102" i="138"/>
  <c r="X111" i="138"/>
  <c r="X94" i="138"/>
  <c r="X102" i="138"/>
  <c r="H94" i="138"/>
  <c r="H111" i="138"/>
  <c r="H102" i="138"/>
  <c r="P111" i="138"/>
  <c r="P94" i="138"/>
  <c r="P102" i="138"/>
  <c r="E109" i="138"/>
  <c r="E100" i="138"/>
  <c r="S94" i="138"/>
  <c r="S102" i="138"/>
  <c r="S111" i="138"/>
  <c r="M102" i="138"/>
  <c r="M111" i="138"/>
  <c r="M94" i="138"/>
  <c r="J94" i="138"/>
  <c r="J111" i="138"/>
  <c r="J102" i="138"/>
  <c r="G111" i="138"/>
  <c r="G102" i="138"/>
  <c r="G94" i="138"/>
  <c r="O111" i="138"/>
  <c r="O94" i="138"/>
  <c r="O102" i="138"/>
  <c r="T94" i="138"/>
  <c r="T111" i="138"/>
  <c r="T102" i="138"/>
  <c r="Z94" i="138"/>
  <c r="Z111" i="138"/>
  <c r="Z102" i="138"/>
  <c r="D100" i="138"/>
  <c r="D109" i="138"/>
  <c r="V111" i="138"/>
  <c r="V94" i="138"/>
  <c r="V102" i="138"/>
  <c r="R94" i="138"/>
  <c r="R111" i="138"/>
  <c r="R102" i="138"/>
  <c r="F76" i="138"/>
  <c r="F77" i="138" s="1"/>
  <c r="F84" i="138"/>
  <c r="E76" i="138"/>
  <c r="E77" i="138" s="1"/>
  <c r="E84" i="138"/>
  <c r="B72" i="138"/>
  <c r="AA5" i="138"/>
  <c r="B23" i="138"/>
  <c r="AA23" i="138" s="1"/>
  <c r="C5" i="127" s="1"/>
  <c r="C14" i="127" s="1"/>
  <c r="AA2" i="138" s="1"/>
  <c r="D76" i="138"/>
  <c r="D77" i="138" s="1"/>
  <c r="D84" i="138"/>
  <c r="C76" i="138"/>
  <c r="C77" i="138" s="1"/>
  <c r="C84" i="138"/>
  <c r="R96" i="138" l="1"/>
  <c r="R112" i="138"/>
  <c r="R103" i="138"/>
  <c r="G112" i="138"/>
  <c r="G103" i="138"/>
  <c r="G96" i="138"/>
  <c r="P112" i="138"/>
  <c r="P103" i="138"/>
  <c r="P96" i="138"/>
  <c r="K96" i="138"/>
  <c r="K103" i="138"/>
  <c r="K112" i="138"/>
  <c r="Y103" i="138"/>
  <c r="Y112" i="138"/>
  <c r="Y96" i="138"/>
  <c r="Z96" i="138"/>
  <c r="Z112" i="138"/>
  <c r="Z103" i="138"/>
  <c r="N112" i="138"/>
  <c r="N103" i="138"/>
  <c r="N96" i="138"/>
  <c r="V112" i="138"/>
  <c r="V103" i="138"/>
  <c r="V96" i="138"/>
  <c r="U103" i="138"/>
  <c r="U112" i="138"/>
  <c r="U96" i="138"/>
  <c r="S96" i="138"/>
  <c r="S103" i="138"/>
  <c r="S112" i="138"/>
  <c r="F110" i="138"/>
  <c r="F93" i="138"/>
  <c r="F101" i="138"/>
  <c r="C93" i="138"/>
  <c r="C101" i="138"/>
  <c r="C110" i="138"/>
  <c r="W112" i="138"/>
  <c r="W103" i="138"/>
  <c r="W96" i="138"/>
  <c r="D93" i="138"/>
  <c r="D101" i="138"/>
  <c r="D110" i="138"/>
  <c r="T112" i="138"/>
  <c r="T103" i="138"/>
  <c r="T96" i="138"/>
  <c r="E101" i="138"/>
  <c r="E93" i="138"/>
  <c r="E110" i="138"/>
  <c r="H112" i="138"/>
  <c r="H103" i="138"/>
  <c r="H96" i="138"/>
  <c r="Q103" i="138"/>
  <c r="Q112" i="138"/>
  <c r="Q96" i="138"/>
  <c r="J96" i="138"/>
  <c r="J112" i="138"/>
  <c r="J103" i="138"/>
  <c r="O112" i="138"/>
  <c r="O103" i="138"/>
  <c r="O96" i="138"/>
  <c r="M103" i="138"/>
  <c r="M112" i="138"/>
  <c r="M96" i="138"/>
  <c r="X112" i="138"/>
  <c r="X103" i="138"/>
  <c r="X96" i="138"/>
  <c r="B104" i="138"/>
  <c r="B113" i="138"/>
  <c r="I103" i="138"/>
  <c r="I112" i="138"/>
  <c r="I96" i="138"/>
  <c r="L112" i="138"/>
  <c r="L103" i="138"/>
  <c r="L96" i="138"/>
  <c r="AA113" i="138"/>
  <c r="AA104" i="138"/>
  <c r="B74" i="138"/>
  <c r="B91" i="138" s="1"/>
  <c r="B92" i="138" s="1"/>
  <c r="AA72" i="138"/>
  <c r="I105" i="138" l="1"/>
  <c r="I114" i="138"/>
  <c r="D94" i="138"/>
  <c r="D111" i="138"/>
  <c r="D102" i="138"/>
  <c r="F111" i="138"/>
  <c r="F102" i="138"/>
  <c r="F94" i="138"/>
  <c r="V114" i="138"/>
  <c r="V105" i="138"/>
  <c r="Z114" i="138"/>
  <c r="Z105" i="138"/>
  <c r="M105" i="138"/>
  <c r="M114" i="138"/>
  <c r="J114" i="138"/>
  <c r="J105" i="138"/>
  <c r="E102" i="138"/>
  <c r="E94" i="138"/>
  <c r="E111" i="138"/>
  <c r="W114" i="138"/>
  <c r="W105" i="138"/>
  <c r="Y105" i="138"/>
  <c r="Y114" i="138"/>
  <c r="Q105" i="138"/>
  <c r="Q114" i="138"/>
  <c r="G114" i="138"/>
  <c r="G105" i="138"/>
  <c r="T105" i="138"/>
  <c r="T114" i="138"/>
  <c r="N114" i="138"/>
  <c r="N105" i="138"/>
  <c r="O114" i="138"/>
  <c r="O105" i="138"/>
  <c r="S105" i="138"/>
  <c r="S114" i="138"/>
  <c r="H114" i="138"/>
  <c r="H105" i="138"/>
  <c r="U105" i="138"/>
  <c r="U114" i="138"/>
  <c r="B109" i="138"/>
  <c r="B100" i="138"/>
  <c r="C94" i="138"/>
  <c r="C102" i="138"/>
  <c r="C111" i="138"/>
  <c r="K105" i="138"/>
  <c r="K114" i="138"/>
  <c r="L114" i="138"/>
  <c r="L105" i="138"/>
  <c r="X114" i="138"/>
  <c r="X105" i="138"/>
  <c r="P114" i="138"/>
  <c r="P105" i="138"/>
  <c r="R114" i="138"/>
  <c r="R105" i="138"/>
  <c r="B76" i="138"/>
  <c r="AA74" i="138"/>
  <c r="B84" i="138"/>
  <c r="F112" i="138" l="1"/>
  <c r="F103" i="138"/>
  <c r="F96" i="138"/>
  <c r="C96" i="138"/>
  <c r="C103" i="138"/>
  <c r="C112" i="138"/>
  <c r="D103" i="138"/>
  <c r="D112" i="138"/>
  <c r="D96" i="138"/>
  <c r="B110" i="138"/>
  <c r="B93" i="138"/>
  <c r="B101" i="138"/>
  <c r="E103" i="138"/>
  <c r="E112" i="138"/>
  <c r="E96" i="138"/>
  <c r="AA84" i="138"/>
  <c r="AA91" i="138"/>
  <c r="AA92" i="138" s="1"/>
  <c r="B77" i="138"/>
  <c r="AA77" i="138" s="1"/>
  <c r="AA76" i="138"/>
  <c r="C105" i="138" l="1"/>
  <c r="C114" i="138"/>
  <c r="F114" i="138"/>
  <c r="F105" i="138"/>
  <c r="E105" i="138"/>
  <c r="E114" i="138"/>
  <c r="B102" i="138"/>
  <c r="B94" i="138"/>
  <c r="B111" i="138"/>
  <c r="AA109" i="138"/>
  <c r="AA100" i="138"/>
  <c r="D105" i="138"/>
  <c r="D114" i="138"/>
  <c r="B80" i="138"/>
  <c r="B112" i="138" l="1"/>
  <c r="B103" i="138"/>
  <c r="B96" i="138"/>
  <c r="AA93" i="138"/>
  <c r="AA101" i="138"/>
  <c r="AA110" i="138"/>
  <c r="AA94" i="138" l="1"/>
  <c r="AA111" i="138"/>
  <c r="AA102" i="138"/>
  <c r="B114" i="138"/>
  <c r="B105" i="138"/>
  <c r="AA112" i="138" l="1"/>
  <c r="AA103" i="138"/>
  <c r="AA96" i="138"/>
  <c r="AA105" i="138" l="1"/>
  <c r="AA114" i="1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author>
  </authors>
  <commentList>
    <comment ref="B3" authorId="0" shapeId="0" xr:uid="{00000000-0006-0000-0400-000001000000}">
      <text>
        <r>
          <rPr>
            <b/>
            <sz val="9"/>
            <color indexed="81"/>
            <rFont val="Tahoma"/>
            <family val="2"/>
          </rPr>
          <t xml:space="preserve">ADEME :
</t>
        </r>
        <r>
          <rPr>
            <sz val="9"/>
            <color indexed="81"/>
            <rFont val="Tahoma"/>
            <family val="2"/>
          </rPr>
          <t>Le nombre de décimales peut être modifié</t>
        </r>
      </text>
    </comment>
    <comment ref="A4" authorId="0" shapeId="0" xr:uid="{00000000-0006-0000-0400-000002000000}">
      <text>
        <r>
          <rPr>
            <b/>
            <sz val="9"/>
            <color indexed="81"/>
            <rFont val="Tahoma"/>
            <family val="2"/>
          </rPr>
          <t>ADEME :</t>
        </r>
        <r>
          <rPr>
            <sz val="9"/>
            <color indexed="81"/>
            <rFont val="Tahoma"/>
            <family val="2"/>
          </rPr>
          <t xml:space="preserve">
Le menu déroulant contient les étapes les plus utilisées.
Il est possible de saisir un intitulé qui ne serait pas proposé dans le menu déroulant (ex. : TGAP)</t>
        </r>
      </text>
    </comment>
    <comment ref="AA58" authorId="0" shapeId="0" xr:uid="{00000000-0006-0000-0400-000003000000}">
      <text>
        <r>
          <rPr>
            <b/>
            <sz val="9"/>
            <color indexed="81"/>
            <rFont val="Tahoma"/>
            <family val="2"/>
          </rPr>
          <t>ADEME :</t>
        </r>
        <r>
          <rPr>
            <sz val="9"/>
            <color indexed="81"/>
            <rFont val="Tahoma"/>
            <family val="2"/>
          </rPr>
          <t xml:space="preserve">
Formule à créer en fonction des flux et sous-flux de la matrice</t>
        </r>
      </text>
    </comment>
    <comment ref="A72" authorId="0" shapeId="0" xr:uid="{00000000-0006-0000-0400-000004000000}">
      <text>
        <r>
          <rPr>
            <b/>
            <sz val="9"/>
            <color indexed="81"/>
            <rFont val="Tahoma"/>
            <family val="2"/>
          </rPr>
          <t>ADEME :</t>
        </r>
        <r>
          <rPr>
            <sz val="9"/>
            <color indexed="81"/>
            <rFont val="Tahoma"/>
            <family val="2"/>
          </rPr>
          <t xml:space="preserve">
Attention ! Formules à ajuster en cas de regroupement intégrant des charges de structure ou de communication</t>
        </r>
      </text>
    </comment>
    <comment ref="A73" authorId="0" shapeId="0" xr:uid="{00000000-0006-0000-0400-000005000000}">
      <text>
        <r>
          <rPr>
            <b/>
            <sz val="9"/>
            <color indexed="81"/>
            <rFont val="Tahoma"/>
            <family val="2"/>
          </rPr>
          <t>ADEME :</t>
        </r>
        <r>
          <rPr>
            <sz val="9"/>
            <color indexed="81"/>
            <rFont val="Tahoma"/>
            <family val="2"/>
          </rPr>
          <t xml:space="preserve">
Attention ! Formules à ajuster en cas de regroupement intégrant des charges de structure ou de communication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MG</author>
  </authors>
  <commentList>
    <comment ref="A4" authorId="0" shapeId="0" xr:uid="{00000000-0006-0000-1100-000001000000}">
      <text>
        <r>
          <rPr>
            <b/>
            <sz val="9"/>
            <color indexed="81"/>
            <rFont val="Tahoma"/>
            <family val="2"/>
          </rPr>
          <t>ADEME :</t>
        </r>
        <r>
          <rPr>
            <sz val="9"/>
            <color indexed="81"/>
            <rFont val="Tahoma"/>
            <family val="2"/>
          </rPr>
          <t xml:space="preserve">
Cette colonne est alimentée automatiquement à partir de l'onglet "2 - Matrice finale"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MG</author>
  </authors>
  <commentList>
    <comment ref="A4" authorId="0" shapeId="0" xr:uid="{00000000-0006-0000-1200-000001000000}">
      <text>
        <r>
          <rPr>
            <b/>
            <sz val="9"/>
            <color indexed="81"/>
            <rFont val="Tahoma"/>
            <family val="2"/>
          </rPr>
          <t>ADEME :</t>
        </r>
        <r>
          <rPr>
            <sz val="9"/>
            <color indexed="81"/>
            <rFont val="Tahoma"/>
            <family val="2"/>
          </rPr>
          <t xml:space="preserve">
Cette colonne est alimentée automatiquement à partir de l'onglet "2 - Matrice finale"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Barnabé Martin</author>
    <author>Magali Gass</author>
  </authors>
  <commentList>
    <comment ref="A5" authorId="0" shapeId="0" xr:uid="{00000000-0006-0000-1300-000001000000}">
      <text>
        <r>
          <rPr>
            <b/>
            <sz val="9"/>
            <color indexed="81"/>
            <rFont val="Tahoma"/>
            <family val="2"/>
          </rPr>
          <t>ADEME :</t>
        </r>
        <r>
          <rPr>
            <sz val="9"/>
            <color indexed="81"/>
            <rFont val="Tahoma"/>
            <family val="2"/>
          </rPr>
          <t xml:space="preserve">
Montant total à répartir sur le(s) flux concerné(s) par la collecte sélective</t>
        </r>
      </text>
    </comment>
    <comment ref="A6" authorId="0" shapeId="0" xr:uid="{00000000-0006-0000-1300-000002000000}">
      <text>
        <r>
          <rPr>
            <b/>
            <sz val="9"/>
            <color indexed="81"/>
            <rFont val="Tahoma"/>
            <family val="2"/>
          </rPr>
          <t>ADEME :</t>
        </r>
        <r>
          <rPr>
            <sz val="9"/>
            <color indexed="81"/>
            <rFont val="Tahoma"/>
            <family val="2"/>
          </rPr>
          <t xml:space="preserve">
Montant total à répartir sur le(s) flux concerné(s) par la collecte sélective</t>
        </r>
      </text>
    </comment>
    <comment ref="A8" authorId="0" shapeId="0" xr:uid="{00000000-0006-0000-1300-000003000000}">
      <text>
        <r>
          <rPr>
            <b/>
            <sz val="9"/>
            <color indexed="81"/>
            <rFont val="Tahoma"/>
            <family val="2"/>
          </rPr>
          <t>ADEME :</t>
        </r>
        <r>
          <rPr>
            <sz val="9"/>
            <color indexed="81"/>
            <rFont val="Tahoma"/>
            <family val="2"/>
          </rPr>
          <t xml:space="preserve">
Montant total à répartir sur le(s) flux concerné(s) par la collecte sélective</t>
        </r>
      </text>
    </comment>
    <comment ref="A9" authorId="0" shapeId="0" xr:uid="{00000000-0006-0000-1300-000004000000}">
      <text>
        <r>
          <rPr>
            <b/>
            <sz val="9"/>
            <color indexed="81"/>
            <rFont val="Tahoma"/>
            <family val="2"/>
          </rPr>
          <t>ADEME :</t>
        </r>
        <r>
          <rPr>
            <sz val="9"/>
            <color indexed="81"/>
            <rFont val="Tahoma"/>
            <family val="2"/>
          </rPr>
          <t xml:space="preserve">
Montant total à répartir sur le(s) flux concerné(s) par la collecte sélective</t>
        </r>
      </text>
    </comment>
    <comment ref="A10" authorId="0" shapeId="0" xr:uid="{00000000-0006-0000-1300-000005000000}">
      <text>
        <r>
          <rPr>
            <b/>
            <sz val="9"/>
            <color indexed="81"/>
            <rFont val="Tahoma"/>
            <family val="2"/>
          </rPr>
          <t>ADEME :</t>
        </r>
        <r>
          <rPr>
            <sz val="9"/>
            <color indexed="81"/>
            <rFont val="Tahoma"/>
            <family val="2"/>
          </rPr>
          <t xml:space="preserve">
Montant total à répartir sur le(s) flux concerné(s) par la collecte sélective</t>
        </r>
      </text>
    </comment>
    <comment ref="A11" authorId="0" shapeId="0" xr:uid="{00000000-0006-0000-1300-000006000000}">
      <text>
        <r>
          <rPr>
            <b/>
            <sz val="9"/>
            <color indexed="81"/>
            <rFont val="Tahoma"/>
            <family val="2"/>
          </rPr>
          <t>ADEME :</t>
        </r>
        <r>
          <rPr>
            <sz val="9"/>
            <color indexed="81"/>
            <rFont val="Tahoma"/>
            <family val="2"/>
          </rPr>
          <t xml:space="preserve">
Montant total à répartir sur le(s) flux concerné(s) par la collecte sélective</t>
        </r>
      </text>
    </comment>
    <comment ref="A12" authorId="0" shapeId="0" xr:uid="{00000000-0006-0000-1300-000007000000}">
      <text>
        <r>
          <rPr>
            <b/>
            <sz val="9"/>
            <color indexed="81"/>
            <rFont val="Tahoma"/>
            <family val="2"/>
          </rPr>
          <t>ADEME :</t>
        </r>
        <r>
          <rPr>
            <sz val="9"/>
            <color indexed="81"/>
            <rFont val="Tahoma"/>
            <family val="2"/>
          </rPr>
          <t xml:space="preserve">
Montant total à répartir sur le(s) flux concerné(s) par la collecte sélective</t>
        </r>
      </text>
    </comment>
    <comment ref="A18" authorId="0" shapeId="0" xr:uid="{00000000-0006-0000-1300-000008000000}">
      <text>
        <r>
          <rPr>
            <b/>
            <sz val="9"/>
            <color indexed="81"/>
            <rFont val="Tahoma"/>
            <family val="2"/>
          </rPr>
          <t>ADEME :</t>
        </r>
        <r>
          <rPr>
            <sz val="9"/>
            <color indexed="81"/>
            <rFont val="Tahoma"/>
            <family val="2"/>
          </rPr>
          <t xml:space="preserve">
Montant total à répartir sur le(s) flux concerné(s)</t>
        </r>
      </text>
    </comment>
    <comment ref="A19" authorId="0" shapeId="0" xr:uid="{00000000-0006-0000-1300-000009000000}">
      <text>
        <r>
          <rPr>
            <b/>
            <sz val="9"/>
            <color indexed="81"/>
            <rFont val="Tahoma"/>
            <family val="2"/>
          </rPr>
          <t>ADEME :</t>
        </r>
        <r>
          <rPr>
            <sz val="9"/>
            <color indexed="81"/>
            <rFont val="Tahoma"/>
            <family val="2"/>
          </rPr>
          <t xml:space="preserve">
Montant total à répartir sur le(s) flux concerné(s)</t>
        </r>
      </text>
    </comment>
    <comment ref="A20" authorId="0" shapeId="0" xr:uid="{00000000-0006-0000-1300-00000A000000}">
      <text>
        <r>
          <rPr>
            <b/>
            <sz val="9"/>
            <color indexed="81"/>
            <rFont val="Tahoma"/>
            <family val="2"/>
          </rPr>
          <t>ADEME :</t>
        </r>
        <r>
          <rPr>
            <sz val="9"/>
            <color indexed="81"/>
            <rFont val="Tahoma"/>
            <family val="2"/>
          </rPr>
          <t xml:space="preserve">
Montant total à répartir sur le(s) flux concerné(s)</t>
        </r>
      </text>
    </comment>
    <comment ref="A21" authorId="0" shapeId="0" xr:uid="{00000000-0006-0000-1300-00000B000000}">
      <text>
        <r>
          <rPr>
            <b/>
            <sz val="9"/>
            <color indexed="81"/>
            <rFont val="Tahoma"/>
            <family val="2"/>
          </rPr>
          <t>ADEME :</t>
        </r>
        <r>
          <rPr>
            <sz val="9"/>
            <color indexed="81"/>
            <rFont val="Tahoma"/>
            <family val="2"/>
          </rPr>
          <t xml:space="preserve">
Montant total à répartir sur le(s) flux concerné(s)</t>
        </r>
      </text>
    </comment>
    <comment ref="A25" authorId="0" shapeId="0" xr:uid="{00000000-0006-0000-1300-00000C000000}">
      <text>
        <r>
          <rPr>
            <b/>
            <sz val="9"/>
            <color indexed="81"/>
            <rFont val="Tahoma"/>
            <family val="2"/>
          </rPr>
          <t>ADEME :</t>
        </r>
        <r>
          <rPr>
            <sz val="9"/>
            <color indexed="81"/>
            <rFont val="Tahoma"/>
            <family val="2"/>
          </rPr>
          <t xml:space="preserve">
Montant total à répartir sur le(s) flux concerné(s)</t>
        </r>
      </text>
    </comment>
    <comment ref="A26" authorId="0" shapeId="0" xr:uid="{00000000-0006-0000-1300-00000D000000}">
      <text>
        <r>
          <rPr>
            <b/>
            <sz val="9"/>
            <color indexed="81"/>
            <rFont val="Tahoma"/>
            <family val="2"/>
          </rPr>
          <t>ADEME :</t>
        </r>
        <r>
          <rPr>
            <sz val="9"/>
            <color indexed="81"/>
            <rFont val="Tahoma"/>
            <family val="2"/>
          </rPr>
          <t xml:space="preserve">
Montant total à répartir sur le(s) flux concerné(s)</t>
        </r>
      </text>
    </comment>
    <comment ref="A27" authorId="0" shapeId="0" xr:uid="{00000000-0006-0000-1300-00000E000000}">
      <text>
        <r>
          <rPr>
            <b/>
            <sz val="9"/>
            <color indexed="81"/>
            <rFont val="Tahoma"/>
            <family val="2"/>
          </rPr>
          <t>ADEME :</t>
        </r>
        <r>
          <rPr>
            <sz val="9"/>
            <color indexed="81"/>
            <rFont val="Tahoma"/>
            <family val="2"/>
          </rPr>
          <t xml:space="preserve">
Montant total à répartir sur le(s) flux concerné(s)</t>
        </r>
      </text>
    </comment>
    <comment ref="A30" authorId="0" shapeId="0" xr:uid="{00000000-0006-0000-1300-00000F000000}">
      <text>
        <r>
          <rPr>
            <b/>
            <sz val="9"/>
            <color indexed="81"/>
            <rFont val="Tahoma"/>
            <family val="2"/>
          </rPr>
          <t>ADEME :</t>
        </r>
        <r>
          <rPr>
            <sz val="9"/>
            <color indexed="81"/>
            <rFont val="Tahoma"/>
            <family val="2"/>
          </rPr>
          <t xml:space="preserve">
Répartition prorata Scs + Spr</t>
        </r>
      </text>
    </comment>
    <comment ref="A32" authorId="0" shapeId="0" xr:uid="{00000000-0006-0000-1300-000010000000}">
      <text>
        <r>
          <rPr>
            <b/>
            <sz val="9"/>
            <color indexed="81"/>
            <rFont val="Tahoma"/>
            <family val="2"/>
          </rPr>
          <t>ADEME :</t>
        </r>
        <r>
          <rPr>
            <sz val="9"/>
            <color indexed="81"/>
            <rFont val="Tahoma"/>
            <family val="2"/>
          </rPr>
          <t xml:space="preserve">
Répartition prorata Scs + Spr</t>
        </r>
      </text>
    </comment>
    <comment ref="A34" authorId="0" shapeId="0" xr:uid="{00000000-0006-0000-1300-000011000000}">
      <text>
        <r>
          <rPr>
            <b/>
            <sz val="9"/>
            <color indexed="81"/>
            <rFont val="Tahoma"/>
            <family val="2"/>
          </rPr>
          <t>ADEME :</t>
        </r>
        <r>
          <rPr>
            <sz val="9"/>
            <color indexed="81"/>
            <rFont val="Tahoma"/>
            <family val="2"/>
          </rPr>
          <t xml:space="preserve">
Répartition prorata Scs + Spr</t>
        </r>
      </text>
    </comment>
    <comment ref="B36" authorId="1" shapeId="0" xr:uid="{00000000-0006-0000-1300-000012000000}">
      <text>
        <r>
          <rPr>
            <b/>
            <sz val="9"/>
            <color indexed="81"/>
            <rFont val="Tahoma"/>
            <family val="2"/>
          </rPr>
          <t>ADEME :</t>
        </r>
        <r>
          <rPr>
            <sz val="9"/>
            <color indexed="81"/>
            <rFont val="Tahoma"/>
            <family val="2"/>
          </rPr>
          <t xml:space="preserve">
Doit être égal à la ligne "TOTAL dont ST" du liquidatif</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JulienRUARO</author>
    <author>MG</author>
  </authors>
  <commentList>
    <comment ref="C22" authorId="0" shapeId="0" xr:uid="{00000000-0006-0000-1400-000001000000}">
      <text>
        <r>
          <rPr>
            <b/>
            <sz val="9"/>
            <color indexed="81"/>
            <rFont val="Tahoma"/>
            <family val="2"/>
          </rPr>
          <t xml:space="preserve">ADEME :
</t>
        </r>
        <r>
          <rPr>
            <sz val="9"/>
            <color indexed="81"/>
            <rFont val="Tahoma"/>
            <family val="2"/>
          </rPr>
          <t>Nombre de vice-présidents déchets sur nombre total de vice-présidents</t>
        </r>
      </text>
    </comment>
    <comment ref="B26" authorId="1" shapeId="0" xr:uid="{00000000-0006-0000-1400-000002000000}">
      <text>
        <r>
          <rPr>
            <b/>
            <sz val="9"/>
            <color indexed="81"/>
            <rFont val="Tahoma"/>
            <family val="2"/>
          </rPr>
          <t>ADEME :</t>
        </r>
        <r>
          <rPr>
            <sz val="9"/>
            <color indexed="81"/>
            <rFont val="Tahoma"/>
            <family val="2"/>
          </rPr>
          <t xml:space="preserve">
A reporter dans l'onglet "3 - Charges et produits" dans la colonne "Réalisé €TTC", en charge supplétive</t>
        </r>
      </text>
    </comment>
    <comment ref="B27" authorId="1" shapeId="0" xr:uid="{00000000-0006-0000-1400-000003000000}">
      <text>
        <r>
          <rPr>
            <b/>
            <sz val="9"/>
            <color indexed="81"/>
            <rFont val="Tahoma"/>
            <family val="2"/>
          </rPr>
          <t>ADEME :</t>
        </r>
        <r>
          <rPr>
            <sz val="9"/>
            <color indexed="81"/>
            <rFont val="Tahoma"/>
            <family val="2"/>
          </rPr>
          <t xml:space="preserve">
A reporter dans l'onglet "3 - Charges et produits" dans la colonne "TVA modifiée"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Magali Gass</author>
    <author>MG</author>
  </authors>
  <commentList>
    <comment ref="F3" authorId="0" shapeId="0" xr:uid="{00000000-0006-0000-1500-000001000000}">
      <text>
        <r>
          <rPr>
            <b/>
            <sz val="9"/>
            <color indexed="81"/>
            <rFont val="Tahoma"/>
            <family val="2"/>
          </rPr>
          <t>ADEME :</t>
        </r>
        <r>
          <rPr>
            <sz val="9"/>
            <color indexed="81"/>
            <rFont val="Tahoma"/>
            <family val="2"/>
          </rPr>
          <t xml:space="preserve">
Par défaut, il convient de le laisser la valeur "ADEME". Ainsi la durée d’amortissement prise en compte dans la matrice est la durée "ADEME" si une valeur est saisie dans cette colonne, la durée de la collectivité sinon.</t>
        </r>
      </text>
    </comment>
    <comment ref="G5" authorId="1" shapeId="0" xr:uid="{00000000-0006-0000-1500-000002000000}">
      <text>
        <r>
          <rPr>
            <b/>
            <sz val="9"/>
            <color indexed="81"/>
            <rFont val="Tahoma"/>
            <family val="2"/>
          </rPr>
          <t>ADEME :</t>
        </r>
        <r>
          <rPr>
            <sz val="9"/>
            <color indexed="81"/>
            <rFont val="Tahoma"/>
            <family val="2"/>
          </rPr>
          <t xml:space="preserve">
A saisir si la durée d'amortissement pratiquée par la collectivité s'écarte notablement des préconisations</t>
        </r>
      </text>
    </comment>
    <comment ref="K5" authorId="1" shapeId="0" xr:uid="{00000000-0006-0000-1500-000003000000}">
      <text>
        <r>
          <rPr>
            <b/>
            <sz val="9"/>
            <color indexed="81"/>
            <rFont val="Tahoma"/>
            <family val="2"/>
          </rPr>
          <t xml:space="preserve">ADEME :
</t>
        </r>
        <r>
          <rPr>
            <sz val="9"/>
            <color indexed="81"/>
            <rFont val="Tahoma"/>
            <family val="2"/>
          </rPr>
          <t>COLLECTIVITES ASSUJETTIES : colonne utilisée systématiquement (la colonne "Réalisée (€TTC)" reste vide dans ce cas)
COLLECTIVITES NON ASSUJETTIES : cette colonne peut être utilisée si l'information est saisie dans le logiciel comptable, la laisser vide sinon</t>
        </r>
      </text>
    </comment>
    <comment ref="M5" authorId="1" shapeId="0" xr:uid="{00000000-0006-0000-1500-000004000000}">
      <text>
        <r>
          <rPr>
            <b/>
            <sz val="9"/>
            <color indexed="81"/>
            <rFont val="Tahoma"/>
            <family val="2"/>
          </rPr>
          <t xml:space="preserve">ADEME :
</t>
        </r>
        <r>
          <rPr>
            <sz val="9"/>
            <color indexed="81"/>
            <rFont val="Tahoma"/>
            <family val="2"/>
          </rPr>
          <t>Colonne à compléter systématiquement
Elle permet de positionner par rapport au compte administratif le statut des données à mettre ou non dans la matrice.
- Incorporable &gt; à incorporer dans la matrice
- Non incorporable &gt; à ne pas intégrer
- Supplétif &gt; investissement ou subvention d'investissement non amorti comptablement mais à incorporer dans la matrice</t>
        </r>
      </text>
    </comment>
    <comment ref="AA5" authorId="1" shapeId="0" xr:uid="{00000000-0006-0000-1500-000005000000}">
      <text>
        <r>
          <rPr>
            <b/>
            <sz val="9"/>
            <color indexed="81"/>
            <rFont val="Tahoma"/>
            <family val="2"/>
          </rPr>
          <t>ADEME :</t>
        </r>
        <r>
          <rPr>
            <sz val="9"/>
            <color indexed="81"/>
            <rFont val="Tahoma"/>
            <family val="2"/>
          </rPr>
          <t xml:space="preserve">
Permet de sélectionner les lignes qui sont concernées par un emprunt dont les intérêts sont à répartir</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MG</author>
  </authors>
  <commentList>
    <comment ref="B5" authorId="0" shapeId="0" xr:uid="{00000000-0006-0000-1600-000001000000}">
      <text>
        <r>
          <rPr>
            <b/>
            <sz val="9"/>
            <color indexed="81"/>
            <rFont val="Tahoma"/>
            <family val="2"/>
          </rPr>
          <t>ADEME :</t>
        </r>
        <r>
          <rPr>
            <sz val="9"/>
            <color indexed="81"/>
            <rFont val="Tahoma"/>
            <family val="2"/>
          </rPr>
          <t xml:space="preserve">
Total des charges du CA (section fonctionnement)</t>
        </r>
      </text>
    </comment>
    <comment ref="C5" authorId="0" shapeId="0" xr:uid="{00000000-0006-0000-1600-000002000000}">
      <text>
        <r>
          <rPr>
            <b/>
            <sz val="9"/>
            <color indexed="81"/>
            <rFont val="Tahoma"/>
            <family val="2"/>
          </rPr>
          <t>ADEME :</t>
        </r>
        <r>
          <rPr>
            <sz val="9"/>
            <color indexed="81"/>
            <rFont val="Tahoma"/>
            <family val="2"/>
          </rPr>
          <t xml:space="preserve">
Total des charges hors taxes, à reprendre depuis l'onglet "2 - Matrice finale" (y compris les éventuels regroupements comprenant uniquement des charges ou charges - produits).
Ajuster la formule si besoin</t>
        </r>
      </text>
    </comment>
    <comment ref="B7" authorId="0" shapeId="0" xr:uid="{00000000-0006-0000-1600-000003000000}">
      <text>
        <r>
          <rPr>
            <b/>
            <sz val="9"/>
            <color indexed="81"/>
            <rFont val="Tahoma"/>
            <family val="2"/>
          </rPr>
          <t>ADEME :</t>
        </r>
        <r>
          <rPr>
            <sz val="9"/>
            <color indexed="81"/>
            <rFont val="Tahoma"/>
            <family val="2"/>
          </rPr>
          <t xml:space="preserve">
Charges comprises dans le CA et non intégrées dans la matrice.</t>
        </r>
      </text>
    </comment>
    <comment ref="B8" authorId="0" shapeId="0" xr:uid="{00000000-0006-0000-1600-000004000000}">
      <text>
        <r>
          <rPr>
            <b/>
            <sz val="9"/>
            <color indexed="81"/>
            <rFont val="Tahoma"/>
            <family val="2"/>
          </rPr>
          <t>ADEME :</t>
        </r>
        <r>
          <rPr>
            <sz val="9"/>
            <color indexed="81"/>
            <rFont val="Tahoma"/>
            <family val="2"/>
          </rPr>
          <t xml:space="preserve">
Montants compris dans la partie "charges" du CA mais comptabilisés en atténuations de produits dans la matrice.</t>
        </r>
      </text>
    </comment>
    <comment ref="B9" authorId="0" shapeId="0" xr:uid="{00000000-0006-0000-1600-000005000000}">
      <text>
        <r>
          <rPr>
            <b/>
            <sz val="9"/>
            <color indexed="81"/>
            <rFont val="Tahoma"/>
            <family val="2"/>
          </rPr>
          <t>ADEME :</t>
        </r>
        <r>
          <rPr>
            <sz val="9"/>
            <color indexed="81"/>
            <rFont val="Tahoma"/>
            <family val="2"/>
          </rPr>
          <t xml:space="preserve">
Collectivités non assujetties : le CA étant TTC et la matrice HT, la TVA est déduite par rapport au CA.</t>
        </r>
      </text>
    </comment>
    <comment ref="C10" authorId="0" shapeId="0" xr:uid="{00000000-0006-0000-1600-000006000000}">
      <text>
        <r>
          <rPr>
            <b/>
            <sz val="9"/>
            <color indexed="81"/>
            <rFont val="Tahoma"/>
            <family val="2"/>
          </rPr>
          <t>ADEME :</t>
        </r>
        <r>
          <rPr>
            <sz val="9"/>
            <color indexed="81"/>
            <rFont val="Tahoma"/>
            <family val="2"/>
          </rPr>
          <t xml:space="preserve">
Montants compris dans la partie "produits" du CA mais comptabilisés en atténuations de charges dans la matrice.</t>
        </r>
      </text>
    </comment>
    <comment ref="C11" authorId="0" shapeId="0" xr:uid="{00000000-0006-0000-1600-000007000000}">
      <text>
        <r>
          <rPr>
            <b/>
            <sz val="9"/>
            <color indexed="81"/>
            <rFont val="Tahoma"/>
            <family val="2"/>
          </rPr>
          <t>ADEME :</t>
        </r>
        <r>
          <rPr>
            <sz val="9"/>
            <color indexed="81"/>
            <rFont val="Tahoma"/>
            <family val="2"/>
          </rPr>
          <t xml:space="preserve">
Charges non comprises dans le CA mais ajoutées dans la matrice.</t>
        </r>
      </text>
    </comment>
    <comment ref="B12" authorId="0" shapeId="0" xr:uid="{00000000-0006-0000-1600-000008000000}">
      <text>
        <r>
          <rPr>
            <b/>
            <sz val="9"/>
            <color indexed="81"/>
            <rFont val="Tahoma"/>
            <family val="2"/>
          </rPr>
          <t>ADEME :</t>
        </r>
        <r>
          <rPr>
            <sz val="9"/>
            <color indexed="81"/>
            <rFont val="Tahoma"/>
            <family val="2"/>
          </rPr>
          <t xml:space="preserve">
Amortissements du CA non pris en compte dans la matrice</t>
        </r>
      </text>
    </comment>
    <comment ref="C12" authorId="0" shapeId="0" xr:uid="{00000000-0006-0000-1600-000009000000}">
      <text>
        <r>
          <rPr>
            <b/>
            <sz val="9"/>
            <color indexed="81"/>
            <rFont val="Tahoma"/>
            <family val="2"/>
          </rPr>
          <t>ADEME :</t>
        </r>
        <r>
          <rPr>
            <sz val="9"/>
            <color indexed="81"/>
            <rFont val="Tahoma"/>
            <family val="2"/>
          </rPr>
          <t xml:space="preserve">
Amortissements extra-comptables non pris en compte dans le CA mais ajoutés dans la matrice</t>
        </r>
      </text>
    </comment>
    <comment ref="C14" authorId="0" shapeId="0" xr:uid="{00000000-0006-0000-1600-00000A000000}">
      <text>
        <r>
          <rPr>
            <b/>
            <sz val="9"/>
            <color indexed="81"/>
            <rFont val="Tahoma"/>
            <family val="2"/>
          </rPr>
          <t>ADEME :</t>
        </r>
        <r>
          <rPr>
            <sz val="9"/>
            <color indexed="81"/>
            <rFont val="Tahoma"/>
            <family val="2"/>
          </rPr>
          <t xml:space="preserve">
Si tous les onglets sont bien remplis, ce montant doit être nul</t>
        </r>
      </text>
    </comment>
    <comment ref="B17" authorId="0" shapeId="0" xr:uid="{00000000-0006-0000-1600-00000B000000}">
      <text>
        <r>
          <rPr>
            <b/>
            <sz val="9"/>
            <color indexed="81"/>
            <rFont val="Tahoma"/>
            <family val="2"/>
          </rPr>
          <t>ADEME :</t>
        </r>
        <r>
          <rPr>
            <sz val="9"/>
            <color indexed="81"/>
            <rFont val="Tahoma"/>
            <family val="2"/>
          </rPr>
          <t xml:space="preserve">
total des produits du CA (section fonctionnement)</t>
        </r>
      </text>
    </comment>
    <comment ref="C17" authorId="0" shapeId="0" xr:uid="{00000000-0006-0000-1600-00000C000000}">
      <text>
        <r>
          <rPr>
            <b/>
            <sz val="9"/>
            <color indexed="81"/>
            <rFont val="Tahoma"/>
            <family val="2"/>
          </rPr>
          <t>ADEME :</t>
        </r>
        <r>
          <rPr>
            <sz val="9"/>
            <color indexed="81"/>
            <rFont val="Tahoma"/>
            <family val="2"/>
          </rPr>
          <t xml:space="preserve">
Total des produits hors taxes et contributions, à reprendre depuis l'onglet "2 - Matrice finale" (y compris les éventuels regroupements composés uniquement de produits. Ex : REG ventes de matériaux - soutiens).
Ajuster la formule si besoin</t>
        </r>
      </text>
    </comment>
    <comment ref="C19" authorId="0" shapeId="0" xr:uid="{00000000-0006-0000-1600-00000D000000}">
      <text>
        <r>
          <rPr>
            <b/>
            <sz val="9"/>
            <color indexed="81"/>
            <rFont val="Tahoma"/>
            <family val="2"/>
          </rPr>
          <t>ADEME :</t>
        </r>
        <r>
          <rPr>
            <sz val="9"/>
            <color indexed="81"/>
            <rFont val="Tahoma"/>
            <family val="2"/>
          </rPr>
          <t xml:space="preserve">
Montants compris dans la partie "produits" du CA mais comptabilisés en atténuations de charges dans la matrice.</t>
        </r>
      </text>
    </comment>
    <comment ref="B20" authorId="0" shapeId="0" xr:uid="{00000000-0006-0000-1600-00000E000000}">
      <text>
        <r>
          <rPr>
            <b/>
            <sz val="9"/>
            <color indexed="81"/>
            <rFont val="Tahoma"/>
            <family val="2"/>
          </rPr>
          <t>ADEME :</t>
        </r>
        <r>
          <rPr>
            <sz val="9"/>
            <color indexed="81"/>
            <rFont val="Tahoma"/>
            <family val="2"/>
          </rPr>
          <t xml:space="preserve">
Produits compris dans le CA et non intégrés dans la matrice.</t>
        </r>
      </text>
    </comment>
    <comment ref="B21" authorId="0" shapeId="0" xr:uid="{00000000-0006-0000-1600-00000F000000}">
      <text>
        <r>
          <rPr>
            <b/>
            <sz val="9"/>
            <color indexed="81"/>
            <rFont val="Tahoma"/>
            <family val="2"/>
          </rPr>
          <t>ADEME :</t>
        </r>
        <r>
          <rPr>
            <sz val="9"/>
            <color indexed="81"/>
            <rFont val="Tahoma"/>
            <family val="2"/>
          </rPr>
          <t xml:space="preserve">
Produits compris dans le CA et non intégrés dans la matrice.</t>
        </r>
      </text>
    </comment>
    <comment ref="C23" authorId="0" shapeId="0" xr:uid="{00000000-0006-0000-1600-000010000000}">
      <text>
        <r>
          <rPr>
            <b/>
            <sz val="9"/>
            <color indexed="81"/>
            <rFont val="Tahoma"/>
            <family val="2"/>
          </rPr>
          <t>ADEME :</t>
        </r>
        <r>
          <rPr>
            <sz val="9"/>
            <color indexed="81"/>
            <rFont val="Tahoma"/>
            <family val="2"/>
          </rPr>
          <t xml:space="preserve">
Produits non compris dans le CA mais ajoutés dans la matrice.</t>
        </r>
      </text>
    </comment>
    <comment ref="B24" authorId="0" shapeId="0" xr:uid="{00000000-0006-0000-1600-000011000000}">
      <text>
        <r>
          <rPr>
            <b/>
            <sz val="9"/>
            <color indexed="81"/>
            <rFont val="Tahoma"/>
            <family val="2"/>
          </rPr>
          <t>ADEME :</t>
        </r>
        <r>
          <rPr>
            <sz val="9"/>
            <color indexed="81"/>
            <rFont val="Tahoma"/>
            <family val="2"/>
          </rPr>
          <t xml:space="preserve">
Produits compris dans le CA et non intégrés dans la matrice.</t>
        </r>
      </text>
    </comment>
    <comment ref="C24" authorId="0" shapeId="0" xr:uid="{00000000-0006-0000-1600-000012000000}">
      <text>
        <r>
          <rPr>
            <b/>
            <sz val="9"/>
            <color indexed="81"/>
            <rFont val="Tahoma"/>
            <family val="2"/>
          </rPr>
          <t>ADEME :</t>
        </r>
        <r>
          <rPr>
            <sz val="9"/>
            <color indexed="81"/>
            <rFont val="Tahoma"/>
            <family val="2"/>
          </rPr>
          <t xml:space="preserve">
Reprises de subventions extra-comptables non prises en compte dans le CA mais ajoutées dans la matrice</t>
        </r>
      </text>
    </comment>
    <comment ref="C26" authorId="0" shapeId="0" xr:uid="{00000000-0006-0000-1600-000013000000}">
      <text>
        <r>
          <rPr>
            <b/>
            <sz val="9"/>
            <color indexed="81"/>
            <rFont val="Tahoma"/>
            <family val="2"/>
          </rPr>
          <t>ADEME :</t>
        </r>
        <r>
          <rPr>
            <sz val="9"/>
            <color indexed="81"/>
            <rFont val="Tahoma"/>
            <family val="2"/>
          </rPr>
          <t xml:space="preserve">
Si tous les onglets sont bien remplis, ce montant doit être nul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MG</author>
  </authors>
  <commentList>
    <comment ref="D3" authorId="0" shapeId="0" xr:uid="{00000000-0006-0000-0700-000001000000}">
      <text>
        <r>
          <rPr>
            <b/>
            <sz val="9"/>
            <color indexed="81"/>
            <rFont val="Tahoma"/>
            <family val="2"/>
          </rPr>
          <t>ADEME :</t>
        </r>
        <r>
          <rPr>
            <sz val="9"/>
            <color indexed="81"/>
            <rFont val="Tahoma"/>
            <family val="2"/>
          </rPr>
          <t xml:space="preserve">
Saisir uniquement "R" ou "D" dans cette colonne.
Si le logiciel comptable indique le sens d'une autre manière, il convient avant de coller les valeurs de les remplacer par "R" et "D"</t>
        </r>
      </text>
    </comment>
    <comment ref="T3" authorId="0" shapeId="0" xr:uid="{00000000-0006-0000-0700-000002000000}">
      <text>
        <r>
          <rPr>
            <b/>
            <sz val="9"/>
            <color indexed="81"/>
            <rFont val="Tahoma"/>
            <family val="2"/>
          </rPr>
          <t xml:space="preserve">ADEME :
</t>
        </r>
        <r>
          <rPr>
            <sz val="9"/>
            <color indexed="81"/>
            <rFont val="Tahoma"/>
            <family val="2"/>
          </rPr>
          <t>COLLECTIVITES ASSUJETTIES : colonne utilisée systématiquement (la colonne "Réalisée (€TTC)" reste vide dans ce cas)
COLLECTIVITES NON ASSUJETTIE : cette colonne peut être utilisée si l'information est saisie dans le logiciel comptable, la laisser vide sinon</t>
        </r>
      </text>
    </comment>
    <comment ref="U3" authorId="0" shapeId="0" xr:uid="{00000000-0006-0000-0700-000003000000}">
      <text>
        <r>
          <rPr>
            <b/>
            <sz val="9"/>
            <color indexed="81"/>
            <rFont val="Tahoma"/>
            <family val="2"/>
          </rPr>
          <t>ADEME :</t>
        </r>
        <r>
          <rPr>
            <sz val="9"/>
            <color indexed="81"/>
            <rFont val="Tahoma"/>
            <family val="2"/>
          </rPr>
          <t xml:space="preserve">
Colonne à compléter systématiquement
Elle permet de positionner par rapport au compte administratif le statut des données à mettre ou non dans la matrice.
DONNEES DU GRAND LIVRE DE L'ANNEE ETUDIEE :
- Incorporables &gt; à incorporer dans la matrice
- Non incorporables &gt; à ne pas intégrer
- Atténuations de charges &gt; transformation d'une recette en dépense négative (remboursements pour arrêts maladie ou bien recettes intégrées dans un regroupement charges - produits)
- Atténuation de produits &gt; transformation d'une dépense en recette négative (annulations de REOM sur exercice antérieur)
- Amortissement extra-comptable &gt; amortissement des investissements : si tous les amortissements sont regroupés dans un mandat "dotation aux amortissements", le détail des amortissements sera retravaillé dans l'onglet 6 - Amortissements et reprises
- Amortissement (permet de déduire automatiquement le FCTVA de la TVA acquittée)
- Reprise extra-comptable &gt; reprise de subvention d'investissement : si le compte correspondant n'est pas assez détaillé, le détail sera retravaillé dans l'onglet 6 - Amortissements et reprises
- Reprise &gt; reprise de subvention d'investissement directement incorporable dans la matrice
DONNEES SUPPLETIVES &gt; charges ou produits non compris dans le grand livre mais à incorporer dans la matrice</t>
        </r>
      </text>
    </comment>
    <comment ref="V3" authorId="0" shapeId="0" xr:uid="{00000000-0006-0000-0700-000004000000}">
      <text>
        <r>
          <rPr>
            <b/>
            <sz val="9"/>
            <color indexed="81"/>
            <rFont val="Tahoma"/>
            <family val="2"/>
          </rPr>
          <t xml:space="preserve">ADEME :
</t>
        </r>
        <r>
          <rPr>
            <sz val="9"/>
            <color indexed="81"/>
            <rFont val="Tahoma"/>
            <family val="2"/>
          </rPr>
          <t>A compléter pour toutes les lignes sauf "non incorporable", "amortissement extra-comptable" et "reprise extra-comptable".
Pour cela utiliser le menu déroulant alimenté directement par les codes définis dans l'onglet "4 - Codes matrice"
Si des codes sont modifiés dans l'onglet "4 - Codes matrices" après avoir été saisis dans l'onglet "3 - Charges et produits", il est possible d'afficher les cellules comprenant des erreurs en cliquant sur "Données / Validation des données / Afficher les cellules non valides"</t>
        </r>
      </text>
    </comment>
    <comment ref="W3" authorId="0" shapeId="0" xr:uid="{00000000-0006-0000-0700-000005000000}">
      <text>
        <r>
          <rPr>
            <b/>
            <sz val="9"/>
            <color indexed="81"/>
            <rFont val="Tahoma"/>
            <family val="2"/>
          </rPr>
          <t>ADEME :</t>
        </r>
        <r>
          <rPr>
            <sz val="9"/>
            <color indexed="81"/>
            <rFont val="Tahoma"/>
            <family val="2"/>
          </rPr>
          <t xml:space="preserve">
Les taux de TVA proposés par défaut peuvent être modifiés dans l'onglet masqué "TVA conventionnelle"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MG</author>
  </authors>
  <commentList>
    <comment ref="A3" authorId="0" shapeId="0" xr:uid="{00000000-0006-0000-0800-000001000000}">
      <text>
        <r>
          <rPr>
            <b/>
            <sz val="9"/>
            <color indexed="81"/>
            <rFont val="Tahoma"/>
            <family val="2"/>
          </rPr>
          <t>ADEME :</t>
        </r>
        <r>
          <rPr>
            <sz val="9"/>
            <color indexed="81"/>
            <rFont val="Tahoma"/>
            <family val="2"/>
          </rPr>
          <t xml:space="preserve">
Il ne doit pas y avoir de doublons dans les intitulés des codes "Affectation matrice". Dans le cas contraire, les cellules se colorent de rouge pour signaler l'erreur.</t>
        </r>
      </text>
    </comment>
    <comment ref="C3" authorId="0" shapeId="0" xr:uid="{00000000-0006-0000-0800-000002000000}">
      <text>
        <r>
          <rPr>
            <b/>
            <sz val="9"/>
            <color indexed="81"/>
            <rFont val="Tahoma"/>
            <family val="2"/>
          </rPr>
          <t xml:space="preserve">ADEME :
</t>
        </r>
        <r>
          <rPr>
            <sz val="9"/>
            <color indexed="81"/>
            <rFont val="Tahoma"/>
            <family val="2"/>
          </rPr>
          <t xml:space="preserve">Le menu déroulant est alimenté à partir de la 1ère colonne du tableau de l'onglet "2 - Matrice finale"
</t>
        </r>
        <r>
          <rPr>
            <b/>
            <sz val="9"/>
            <color indexed="81"/>
            <rFont val="Tahoma"/>
            <family val="2"/>
          </rPr>
          <t xml:space="preserve">
</t>
        </r>
        <r>
          <rPr>
            <sz val="9"/>
            <color indexed="81"/>
            <rFont val="Tahoma"/>
            <family val="2"/>
          </rPr>
          <t>Si un code doit être réparti entre plusieurs lignes (ex. : un gardien de déchèterie qui travaille aussi sur une installation de traitement) :
- sélectionner "Code multilignes", tout en bas de la liste
- ne pas saisir de clé dans cet onglet
- afficher puis compléter un onglet "Code multilignes" (clic droit sur le nom d'un onglet ci-dessous / afficher / code multiligne (1 ou 2 ou 3 ou ...)</t>
        </r>
      </text>
    </comment>
    <comment ref="D3" authorId="0" shapeId="0" xr:uid="{00000000-0006-0000-0800-000003000000}">
      <text>
        <r>
          <rPr>
            <b/>
            <sz val="9"/>
            <color indexed="81"/>
            <rFont val="Tahoma"/>
            <family val="2"/>
          </rPr>
          <t xml:space="preserve">ADEME :
</t>
        </r>
        <r>
          <rPr>
            <sz val="9"/>
            <color indexed="81"/>
            <rFont val="Tahoma"/>
            <family val="2"/>
          </rPr>
          <t>Expliquer ici, le cas échéant, la clé de répartition utilisée (au pro-rata des tonnages, du temps passé,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MG</author>
  </authors>
  <commentList>
    <comment ref="A4" authorId="0" shapeId="0" xr:uid="{00000000-0006-0000-0B00-000001000000}">
      <text>
        <r>
          <rPr>
            <b/>
            <sz val="9"/>
            <color indexed="81"/>
            <rFont val="Tahoma"/>
            <family val="2"/>
          </rPr>
          <t>ADEME :</t>
        </r>
        <r>
          <rPr>
            <sz val="9"/>
            <color indexed="81"/>
            <rFont val="Tahoma"/>
            <family val="2"/>
          </rPr>
          <t xml:space="preserve">
Cette colonne est alimentée automatiquement à partir de l'onglet "2 - Matrice finale"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MG</author>
  </authors>
  <commentList>
    <comment ref="A4" authorId="0" shapeId="0" xr:uid="{00000000-0006-0000-0C00-000001000000}">
      <text>
        <r>
          <rPr>
            <b/>
            <sz val="9"/>
            <color indexed="81"/>
            <rFont val="Tahoma"/>
            <family val="2"/>
          </rPr>
          <t>ADEME :</t>
        </r>
        <r>
          <rPr>
            <sz val="9"/>
            <color indexed="81"/>
            <rFont val="Tahoma"/>
            <family val="2"/>
          </rPr>
          <t xml:space="preserve">
Cette colonne est alimentée automatiquement à partir de l'onglet "2 - Matrice finale"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MG</author>
  </authors>
  <commentList>
    <comment ref="A4" authorId="0" shapeId="0" xr:uid="{00000000-0006-0000-0D00-000001000000}">
      <text>
        <r>
          <rPr>
            <b/>
            <sz val="9"/>
            <color indexed="81"/>
            <rFont val="Tahoma"/>
            <family val="2"/>
          </rPr>
          <t>ADEME :</t>
        </r>
        <r>
          <rPr>
            <sz val="9"/>
            <color indexed="81"/>
            <rFont val="Tahoma"/>
            <family val="2"/>
          </rPr>
          <t xml:space="preserve">
Cette colonne est alimentée automatiquement à partir de l'onglet "2 - Matrice finale"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MG</author>
  </authors>
  <commentList>
    <comment ref="A4" authorId="0" shapeId="0" xr:uid="{00000000-0006-0000-0E00-000001000000}">
      <text>
        <r>
          <rPr>
            <b/>
            <sz val="9"/>
            <color indexed="81"/>
            <rFont val="Tahoma"/>
            <family val="2"/>
          </rPr>
          <t>ADEME :</t>
        </r>
        <r>
          <rPr>
            <sz val="9"/>
            <color indexed="81"/>
            <rFont val="Tahoma"/>
            <family val="2"/>
          </rPr>
          <t xml:space="preserve">
Cette colonne est alimentée automatiquement à partir de l'onglet "2 - Matrice finale"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MG</author>
  </authors>
  <commentList>
    <comment ref="A4" authorId="0" shapeId="0" xr:uid="{00000000-0006-0000-0F00-000001000000}">
      <text>
        <r>
          <rPr>
            <b/>
            <sz val="9"/>
            <color indexed="81"/>
            <rFont val="Tahoma"/>
            <family val="2"/>
          </rPr>
          <t>ADEME :</t>
        </r>
        <r>
          <rPr>
            <sz val="9"/>
            <color indexed="81"/>
            <rFont val="Tahoma"/>
            <family val="2"/>
          </rPr>
          <t xml:space="preserve">
Cette colonne est alimentée automatiquement à partir de l'onglet "2 - Matrice finale"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MG</author>
  </authors>
  <commentList>
    <comment ref="A4" authorId="0" shapeId="0" xr:uid="{00000000-0006-0000-1000-000001000000}">
      <text>
        <r>
          <rPr>
            <b/>
            <sz val="9"/>
            <color indexed="81"/>
            <rFont val="Tahoma"/>
            <family val="2"/>
          </rPr>
          <t>ADEME :</t>
        </r>
        <r>
          <rPr>
            <sz val="9"/>
            <color indexed="81"/>
            <rFont val="Tahoma"/>
            <family val="2"/>
          </rPr>
          <t xml:space="preserve">
Cette colonne est alimentée automatiquement à partir de l'onglet "2 - Matrice finale"</t>
        </r>
      </text>
    </comment>
  </commentList>
</comments>
</file>

<file path=xl/sharedStrings.xml><?xml version="1.0" encoding="utf-8"?>
<sst xmlns="http://schemas.openxmlformats.org/spreadsheetml/2006/main" count="1640" uniqueCount="1262">
  <si>
    <t>Charges</t>
  </si>
  <si>
    <t>Colonnes</t>
  </si>
  <si>
    <t>Incorporable</t>
  </si>
  <si>
    <t>Dépenses</t>
  </si>
  <si>
    <t>Recettes</t>
  </si>
  <si>
    <t>Fonctionnelles</t>
  </si>
  <si>
    <t>OMR</t>
  </si>
  <si>
    <t>Non incorporable</t>
  </si>
  <si>
    <t>Charges de structure</t>
  </si>
  <si>
    <t>OMR Collecte</t>
  </si>
  <si>
    <t>Amortissement extra-comptable</t>
  </si>
  <si>
    <t>Communication</t>
  </si>
  <si>
    <t>OMR Traitement</t>
  </si>
  <si>
    <t>Amortissement</t>
  </si>
  <si>
    <t>Techniques</t>
  </si>
  <si>
    <t>OMR Porte-à-porte</t>
  </si>
  <si>
    <t>Atténuation de charge</t>
  </si>
  <si>
    <t>Prévention</t>
  </si>
  <si>
    <t>OMR Apport volontaire</t>
  </si>
  <si>
    <t>Atténuation de produit</t>
  </si>
  <si>
    <t>Pré-collecte</t>
  </si>
  <si>
    <t>Verre</t>
  </si>
  <si>
    <t>Reprise extra-comptable</t>
  </si>
  <si>
    <t>Collecte</t>
  </si>
  <si>
    <t>RSOM hors verre</t>
  </si>
  <si>
    <t>Reprise</t>
  </si>
  <si>
    <t>Transfert/Transport</t>
  </si>
  <si>
    <t>RSOM - Collecte</t>
  </si>
  <si>
    <t>Supplétif</t>
  </si>
  <si>
    <t>Transfert</t>
  </si>
  <si>
    <t>RSOM - Tri</t>
  </si>
  <si>
    <t>Intérêts</t>
  </si>
  <si>
    <t>Transport</t>
  </si>
  <si>
    <t>RSOM - JRM</t>
  </si>
  <si>
    <t>Traitement des déchets non dangereux</t>
  </si>
  <si>
    <t>RSOM - Corps creux</t>
  </si>
  <si>
    <t>Tri et conditionnement</t>
  </si>
  <si>
    <t>RSOM - Corps plats</t>
  </si>
  <si>
    <t>Conditionnement</t>
  </si>
  <si>
    <t>RSOM - Emballages</t>
  </si>
  <si>
    <t>Tri</t>
  </si>
  <si>
    <t>RSOM - Multimatériaux</t>
  </si>
  <si>
    <t>Tri mécano-biologique</t>
  </si>
  <si>
    <t>RSOM - Porte-à-porte</t>
  </si>
  <si>
    <t>Compostage</t>
  </si>
  <si>
    <t>RSOM - Apport volontaire</t>
  </si>
  <si>
    <t>Méthanisation</t>
  </si>
  <si>
    <t>RSOM avec le verre</t>
  </si>
  <si>
    <t>Incinération</t>
  </si>
  <si>
    <t>Biodéchets</t>
  </si>
  <si>
    <t>Gestion des REFIOM</t>
  </si>
  <si>
    <t>Déchets verts</t>
  </si>
  <si>
    <t>Gestion des mâchefers</t>
  </si>
  <si>
    <t>Déchets des déchèteries</t>
  </si>
  <si>
    <t>TGAP</t>
  </si>
  <si>
    <t>Encombrants</t>
  </si>
  <si>
    <t>Autre valorisation matière ou énergie</t>
  </si>
  <si>
    <t>Déchets des activités de soins</t>
  </si>
  <si>
    <t>Valorisation matière</t>
  </si>
  <si>
    <t>Déchets dangereux</t>
  </si>
  <si>
    <t>Valorisation énergie</t>
  </si>
  <si>
    <t>Déchets des collectivités</t>
  </si>
  <si>
    <t>Stockage de déchets non dangereux</t>
  </si>
  <si>
    <t>Déchets des collectivités - Nettoiement</t>
  </si>
  <si>
    <t>Stockage</t>
  </si>
  <si>
    <t>Déchets des collectivités - Mélange</t>
  </si>
  <si>
    <t>Garanties financières</t>
  </si>
  <si>
    <t>Déchets des collectivités - Marchés</t>
  </si>
  <si>
    <t>Post exploitation</t>
  </si>
  <si>
    <t>Déchets des collectivités - Déchets verts</t>
  </si>
  <si>
    <t>Déchets inertes</t>
  </si>
  <si>
    <t>Traitement des inertes</t>
  </si>
  <si>
    <t>Déchets des professionnels</t>
  </si>
  <si>
    <t>Regroupement/tri</t>
  </si>
  <si>
    <t>Déchets des professionnels - Cartons</t>
  </si>
  <si>
    <t>Plate forme de valorisation</t>
  </si>
  <si>
    <t>Déchets des professionnels - Déchets organiques</t>
  </si>
  <si>
    <t>Stockage d'inertes</t>
  </si>
  <si>
    <t>Déchets des professionnels - Mélange</t>
  </si>
  <si>
    <t>Autres exutoires</t>
  </si>
  <si>
    <t>Déchets des professionnels - Déchets verts</t>
  </si>
  <si>
    <t>Enlèvement et traitement des déchets dangereux</t>
  </si>
  <si>
    <t>Gestion du passif</t>
  </si>
  <si>
    <t>Autres charges</t>
  </si>
  <si>
    <t>Autres services</t>
  </si>
  <si>
    <t>Textiles</t>
  </si>
  <si>
    <t>VHU</t>
  </si>
  <si>
    <t>Gestion des dépôts sauvages</t>
  </si>
  <si>
    <t xml:space="preserve"> </t>
  </si>
  <si>
    <t xml:space="preserve">A partir de ce fichier, les collectivités vont pouvoir utiliser la démarche structurée que propose l'ADEME pour identifier et organiser les données comptables alimentant la Matrice des coûts.
Il a deux avantages principaux :
- Il rassemble toutes les données nécessaires pour alimenter la matrice.
- Toutes les formules sont automatisées. Il n'y a donc pas besoin d'avoir une grande maîtrise des tableurs pour utiliser ce fichier. Par ailleurs, la majorité des onglets étant protégés, les risques de supprimer des formules sont limités.
L’utilisateur est guidé pas à pas pour réaliser les différentes étapes qui permettront de construire sa Matrice des coûts. Les onglets doivent être utilisés dans l'ordre.
En arrière plan, l'outil fait automatiquement la somme des montants hors taxe pour un même code (par exemple la somme des charges de collecte des OMR pour le code OMR coll) et l'affecte dans la matrice (onglet "2 - Matrice finale") dans la ligne et la (ou les) colonne(s) définies par la collectivité (dans cet exemple, 100% dans la colonne OMR, ligne collecte), et la somme de la TVA acquittée qu'il affecte dans la colonne concernée (ici OMR).
</t>
  </si>
  <si>
    <t>Présentation des onglets</t>
  </si>
  <si>
    <t>1 : Transposer le périmètre technique du service couvert par la collectivité pour visualiser les cases de la matrice à renseigner</t>
  </si>
  <si>
    <t>2 : Reporter le cadre de la matrice (ligne et colonne) afin que les données renseignées dans les onglets suivants s'affectent automatiquement dans les bonnes cellules</t>
  </si>
  <si>
    <t>3 : Importer les charges et produits depuis la comptabilité de la collectivité et codifier leur affectation dans la matrice</t>
  </si>
  <si>
    <t>4 : Définir des codes d'affectation des charges et produits et les répartir dans la matrice</t>
  </si>
  <si>
    <t>4bis : Répartir par flux les soutiens pour les emballages</t>
  </si>
  <si>
    <t>5 : Evaluer la part des frais généraux de la collectivité qui contribuent au fonctionnement du service déchets afin de les ajouter aux charges et produits</t>
  </si>
  <si>
    <t>6 : Appréhender la totalité du coût du service public de gestion des déchets en amortissant l'ensemble des investissements de la collectivité</t>
  </si>
  <si>
    <t>7 : Expliquer l'écart entre le CA et la matrice pour valider les résultats obtenus et leur assurer toute la fiabilité nécessaire</t>
  </si>
  <si>
    <t>Onglet de valorisation</t>
  </si>
  <si>
    <t>Principales évolutions par rapport à la version précédente</t>
  </si>
  <si>
    <t>- Les explications simplifiées qui se trouvaient en tête de chaque onglet ont été regroupées dans un onglet "Notice", imprimable. La notice détaillée est toujours fournie, en format .pdf.</t>
  </si>
  <si>
    <t>- Onglet "2 - Matrice finale" : ajout des populations et tonnages ainsi que de quelques coûts de synthèse</t>
  </si>
  <si>
    <t>- Onglet "3 - Charges et produits" : colonnes supplémentaires de saisie libre et de possibilité d'affecter du FCTVA sur des charges de fonctionnement</t>
  </si>
  <si>
    <t>- Onglets "4 - Clés multilignes" : possibilité d'utiliser de manière simplifiée et homogène des clés de répartition existant dans l'onglet "4 - Codes matrice" ou les tonnages</t>
  </si>
  <si>
    <t>- Onglet "4 - Clé SALAIRES" : nouvel onglet permettant la répartition de la masse salariale</t>
  </si>
  <si>
    <t>- Onglet "6 - Amortissements et reprises" : possiblité de répartir des intérêts d'emprunts selon les montants des amortissements concernés</t>
  </si>
  <si>
    <t>- Ajout de l'onglet de Valorisation utilisé dans le cadre de la formation correspondante</t>
  </si>
  <si>
    <t>Préalables nécessaires pour l'utilisation de ce fichier</t>
  </si>
  <si>
    <t>La saisie comptable analytique n'est pas nécessaire. Si elle existe, elle simplifie toutefois grandement l'affectation des données comptables dans la matrice. Plus la saisie analytique est détaillée, plus l'affectation est facilitée.</t>
  </si>
  <si>
    <t>Remerciements</t>
  </si>
  <si>
    <t>L'ADEME tient à remercier les collectivités et bureaux d'études qui ont bien voulu tester ces fichiers et ont ainsi contribué à leur amélioration</t>
  </si>
  <si>
    <t>Légende</t>
  </si>
  <si>
    <t>Cellules se calculant automatiquement grâce aux formules saisies</t>
  </si>
  <si>
    <t>Cellules contenant un menu déroulant</t>
  </si>
  <si>
    <t>Cellules à renseigner</t>
  </si>
  <si>
    <t>Cellules pour lesquelles il manque des données</t>
  </si>
  <si>
    <t>Onglet 1 - Définir le cadre de la matrice dans SINOE®</t>
  </si>
  <si>
    <r>
      <rPr>
        <b/>
        <sz val="12"/>
        <color rgb="FF464599"/>
        <rFont val="Arial"/>
        <family val="2"/>
      </rPr>
      <t>Objectif :</t>
    </r>
    <r>
      <rPr>
        <sz val="10"/>
        <color theme="5"/>
        <rFont val="Tahoma"/>
        <family val="2"/>
      </rPr>
      <t/>
    </r>
  </si>
  <si>
    <t xml:space="preserve">Documents ressource : </t>
  </si>
  <si>
    <t>Transposer le périmètre technique du service couvert par la collectivité pour visualiser les cases de la matrice à renseigner</t>
  </si>
  <si>
    <t xml:space="preserve">- Guide Matrice des coûts et méthode ComptaCoût®, édition 2013, Fiches 2 et 8
- Manuel utilisateur Module coûts SINOE, édition 2013
</t>
  </si>
  <si>
    <t>Consignes :</t>
  </si>
  <si>
    <t>1 - DEFINIR LE CADRE DE LA MATRICE
- Aller sur SINOE®, créer la matrice de l'année souhaitée en partant de la matrice standard ou d'une matrice pré-existante.
- Exporter la matrice (option matrice "détaillée") vierge depuis SINOE® et la coller dans cet onglet
2 - METTRE EN FORME L'EXPORT MATRICE :
- Colorier les lignes et la colonne "TOTAL"
- Supprimer le petit tableau situé au bas de la matrice et qui présente le coût complet, technique...
- Laisser en blanc les cases qui devront contenir un montant et noircir les autres
- Indiquer ultérieurement dans cette matrice les codes "affectation matrice"</t>
  </si>
  <si>
    <t>Onglet 2 - Remplir la matrice</t>
  </si>
  <si>
    <t>Note :</t>
  </si>
  <si>
    <t>Reporter le cadre de la matrice (ligne et colonne) afin que les données renseignées dans les onglets suivants s'affectent automatiquement dans les bonnes cellules</t>
  </si>
  <si>
    <t>Il doit y avoir autant de colonnes dans cet onglet que de colonnes (ou éventuellement de sous-colonnes) dans l'onglet précédent. Si par exemple la matrice contient 2 sous-colonnes pour les OMR : collecte et traitement, il faudra ici avoir deux colonnes (OMR - collecte et OMR - traitement)</t>
  </si>
  <si>
    <t>- Reproduire dans cet onglet le cadre de la matrice collé dans l'onglet "1 - Cadre matrice"
- Saisir l'année de la matrice dans la cellule D1
- Saisir les tonnages et populations de chaque flux dans les lignes 57 et 58 (et 59 et 60 le cas échéant)</t>
  </si>
  <si>
    <t>Onglet 3 - Identifier les charges et produits à intégrer dans la matrice</t>
  </si>
  <si>
    <r>
      <rPr>
        <b/>
        <sz val="12"/>
        <color rgb="FF464599"/>
        <rFont val="Arial"/>
        <family val="2"/>
      </rPr>
      <t>Objectifs :</t>
    </r>
    <r>
      <rPr>
        <sz val="10"/>
        <color theme="5"/>
        <rFont val="Tahoma"/>
        <family val="2"/>
      </rPr>
      <t/>
    </r>
  </si>
  <si>
    <t xml:space="preserve">Document ressource : </t>
  </si>
  <si>
    <t>- Importer les données comptables depuis le logiciel comptable
- Codifier leur affectation dans la matrice et vérifier les taux de TVA utilisés par défaut</t>
  </si>
  <si>
    <t>Guide Matrice des coûts et méthode ComptaCoût®, édition 2013, Fiche 4 et particulièrement les parties "les documents comptables source" et "les charges et produits à intégrer"</t>
  </si>
  <si>
    <t>1ERE PHASE : IMPORTER LES DONNES COMPTABLES
- Extraire depuis son logiciel les données comptables de l'année étudiée (charges et produits, section fonctionnement), les ordonner de la même manière que dans le tableau, à partir de la ligne 4
- Les copier (collage spécial - valeurs) ; le tableau s'agrandit lorsqu'on ajoute de nouvelles lignes, les formules des colonnes bleues se recopient automatiquement
- Trois champs issus du logiciel comptable servent pour les calculs : "recette / dépense", "compte", "réalisé", les autres champs sont facultatifs
- Pour tout ce qui vient du compte administratif de l'année étudiée, saisir "Grand livre" dans la colonne "Source d'information", ce qui alimentera automatiquement l'onglet "7 - Contrôles CA". Les indications sur l'origine des autres sources (budget principal, année n-1, ...) sont libres
AVANT DE FAIRE LA 2EME PHASE, PASSER SUR L'ONGLET 4 - Codes matrice
2NDE PHASE : AFFECTER UN CODE MATRICE AUX DONNEES COMPTABLES ET RENSEIGNER LEUR STATUT
Cette phase est à réaliser une fois que la phase 1 de l’onglet "4 - Codes matrice" a été faite car les codes proposés dans le menu déroulant de la colonne "affectation matrice" sont ceux définis dans cet onglet. 
- Afin de gagner du temps, pour les recettes ou dépenses ayant la même affectation dans la matrice ou le même statut, il est conseillé de trier les données par compte et/ou tiers et/ou objet ou ...
- Compléter les colonnes "Statut des données" et "Affectation matrice"
- Vérifier le taux de TVA proposé dans la colonne "Taux TVA automatique"
- Si ce taux n'est pas bon, saisir le bon taux dans la colonne "Taux TVA modifié" : c'est ce taux qui sera pris en compte
- Dans les colonnes "Recette / dépense", "Statut des données" et "Affectation matrice", les cellules où il manque des données se colorent d'orange
- Cellule AG3 : un tableau croisé dynamique récapitule les résultats. Pour l'actualiser : cliquer n'importe où dans le tableau puis option / actualiser. Ce tableau sert uniquement à vérifier que toutes les lignes ont bien été affectées. Penser à l'actualiser régulièrement.
- Collectivités partiellement assujetties, FCTVA perçu sur des charges de fonctionnement : se référer à la notice d'utilisation détaillée (fichier .pdf)</t>
  </si>
  <si>
    <t>Notes :</t>
  </si>
  <si>
    <t>- Cet onglet ne peut pas être protégé ... Attention aux formules
- Les colonnes peuvent être renommées (les intitulés des champs n'étant pas identiques pour tous les logiciels comptables) mais pas déplacées, ni supprimées. L'ajout de colonne n'est pas possible
- Pour supprimer une ligne du tableau : cliquer dans une cellule de la ligne puis clic droit / supprimer / lignes de tableau (attention à toujours laisser la première ligne sous les en-têtes pour conserver les formules, qui se recopient automatiquement dans les lignes inférieures)</t>
  </si>
  <si>
    <t>Onglet 4 - Répartir les charges et produits à intégrer dans la matrice</t>
  </si>
  <si>
    <t>- Définir des codes d'affectation des charges et produits dans la matrice
- Répartir les charges et produits par ligne et par colonne</t>
  </si>
  <si>
    <t>Guide Matrice des coûts et méthode ComptaCoût®, édition 2013, Fiche 5 "Identification et répartition des charges et produits indirects" et annexe 3 "Proposition de clés de répartition dans la matrice des charges et produits de la prévention". Des clés de répartition sont préconisées.</t>
  </si>
  <si>
    <t>Pour chaque ligne de dépense ou de recette de l'onglet "3 - Charges et produits", un code "AFFECTATION MATRICE" devra être renseigné. Un code doit correspondre à une case de la matrice (exemple : OMR collecte) ou à une clé de répartition (exemple : charges de structure, à répartir entre les flux concernés).
1ERE PHASE : DEFINIR LES CODES "AFFECTATION MATRICE"
- Dans la colonne "Affectation matrice", saisir les codes choisis (sans doublons) ; les codes proposés en exemple peuvent être modifiés à volonté
- Dans la colonne "Intitulé", indiquer quelques explications concernant les codes
- Trier éventuellement les codes par ordre alphabétique
- Les autres colonnes du tableau seront à renseigner en suivant les indications ci-contre mais il convient de réaliser au préalable la 2nde phase de l'onglet "3 - Charges et produits"
2NDE PHASE : REPARTIR LES CHARGES ET PRODUITS DANS LA MATRICE
- Dans la colonne "ligne Matrice", sélectionner via le menu déroulant la ligne de la matrice correspondant au code. Si un code correspond à plusieurs lignes de la matrice, se reporter à la notice et suivre les indications
- A partir de la colonne E, attribuer une clé de répartition / une unité d'œuvre à chaque code (ex. : collecte OMR : 100% dans la colonne des OMR, communication : 1/4 dans chaque flux, ...)
- La clé de répartition peut être en %, ou bien des tonnes, des heures, … Dans ces derniers cas, penser à modifier le format des cellules. Le pourcentage finalement utilisé est calculé dans le tableau de droite (à partir de la colonne CF)
- Une méthode proposée dans l'onglet "4bis - Clés Soutiens" permet d'obtenir la clé de répartition des soutiens pour les emballages qu'il conviendra de venir renseigner ici une fois l'onglet "4bis - Clés Soutiens" réalisé.</t>
  </si>
  <si>
    <t>Onglets 4 - Répartir les charges et produits : montants à répartir sur plusieurs lignes</t>
  </si>
  <si>
    <t>Répartir un code "affectation matrice" en plusieurs lignes ou colonnes</t>
  </si>
  <si>
    <t>Certaines charges où certains produits correspondent à un code qui doit être réparti non seulement entre plusieurs colonnes, mais aussi entre plusieurs lignes. Cela ne peut pas être réalisé dans l'onglet 4 - Codes matrices, mais dans l'onglet 4.N - Clé multilignes (un onglet par clé multilignes).
- La colonne A est alimentée automatiquement à partir de l'onglet "2-Matrice finale"
- Cellule AB3 : sélectionner dans le menu déroulant le code utilisé dans l'onglet 4 et qui est à répartir (ex. : code XXX, à répartir sur les flux 5 et 6, en collecte et prévention)
- Cellule AC3 : saisir l'explication de la clé de répartition
- A partir de la cellule AB5 : saisir la répartition entre lignes et colonnes sur la matrice
- La clé de répartition peut être en %, ou bien des tonnes, des heures, … Le pourcentage finalement utilisé est calculé dans le tableau de droite (à partir de la colonne BC). Le format des cellules, par défaut en %, peut être modifié.</t>
  </si>
  <si>
    <t>Note</t>
  </si>
  <si>
    <t>Les clés de répartition définies dans l'onglet "4 - Codes matrice" peuvent être réutilisées dans un onglet "4 - Clé multilignes". Par exemple un véhicule de service utilisé à la fois par le personnel administratif (à répartir comme les charges de structure dans la ligne correspondante) et par le personnel de communication. La procédure est alors la suivante :
- Saisir dans les cellules BA5 et BA6 respectivement la part du véhicule de service à affecter aux charges de structure et à la communication (les formules contenues dans ces cellules peuvent exceptionnellement être écrasées)
- Sélectionner dans le menu déroulant des cellules A58 et A59 les codes "affectation matrice" des charges de structure et des charges de communication (le menu déroulant est basé sur la colonne "Affectation matrice" de l'onglet "4 - Codes matrice") : les clés de répartition (en %) correspondantes s'affichent alors dans les lignes 58 et 59
- Dans la cellule AB5, multiplier la part de véhicule affectée aux charges de structure (cellule BA5) par la part attribuée aux OMR (AB58), puis faire de même pour toute la ligne des charges de structure, puis pour les charges de communication</t>
  </si>
  <si>
    <t>Onglet 4 - Répartir les charges et produits : montants à répartir sur plusieurs lignes - SALAIRES</t>
  </si>
  <si>
    <t>Répartir la masse salariale</t>
  </si>
  <si>
    <t>Cet onglet permet de répartir la masse salariale de la collectivité lorsque la comptabilité analytique n'est pas mise en place dans le logiciel de paie. Dans l'exemple proposé pour décrire les modalités de fonctionnement de l'outil, il est considéré que l'utilisateur dispose d'un export du logiciel de paie contenant la masse salariale (salaires + charges salariales + charges patronales) pour chaque membre du service. La procédure serait la même pour une répartition en fonction des équivalents temps plein ou avec une masse salariale par type de personnel (administratifs, encadrement, gardiens de déchèterie, ...).
- Dans la cellule AB3, sélectionné le code "Affectation matrice" des salaires
- Dans la colonne A, à partir de la ligne 56, saisir les salariés. Si un même salarié doit être affecté dans deux lignes de la matrice (par exemple un gardien de déchèterie a aussi en charge l'entretien des conteneurs OMR), il convient de le saisir sur deux lignes
- Dans la colonne DC, à partir de la ligne 56, sélectionner dans le menu déroulant la ligne de la matrice correspondant au salarié considéré
- Dans la colonne BA, à partir de la ligne 56, saisir la masse salariale (répartie entre les deux lignes du même salarié dans le cas de notre exemple)
- Répartir dans les colonnes AB à AZ le total saisi en colonne BA (toujours à partir de la ligne 56)
La répartition se fait ensuite automatiquement dans le tableau à partir de la ligne 5</t>
  </si>
  <si>
    <t>Cet onglet fonctionne selon le même principe que les autres onglets "4 - Clé multilignes"</t>
  </si>
  <si>
    <t>Onglet 4bis - Répartir les soutiens pour les emballages</t>
  </si>
  <si>
    <t>Répartir par flux les soutiens pour les emballages
Attention : cet onglet est basé sur les données du simulateur "Barème F", la forme du nouveau liquidatif n’étant pas connue au moment de  l’élaboration du fichier.</t>
  </si>
  <si>
    <t>Guide Matrice des coûts et méthode ComptaCoût®, édition 2013, Fiche 5 "Identification et répartition des charges et produits indirects". P.68 les clés de répartition sont présentées.</t>
  </si>
  <si>
    <t>- Saisir les différents soutiens dans la colonne "E"
- Vérifier que le montant total corresponde bien au total de la simulation
- Affecter les différents soutiens aux flux concernés (colonnes "C" à "AA"
- La ligne 48 fournit la clé de répartition pour les soutiens, qui peut être recopiée dans l'onglet "4 - codes matrices". Lier les cellules entre les onglets pour éviter d'avoir à resaisir les valeurs et les risques d'erreur.</t>
  </si>
  <si>
    <t>Onglet 5 - Calculer les charges à caractère général</t>
  </si>
  <si>
    <t>Évaluer la part des frais généraux de la collectivité qui contribuent au fonctionnement du service déchets afin de les ajouter aux charges et produits</t>
  </si>
  <si>
    <t>Guide Matrice des coûts et méthode ComptaCoût®, édition 2013, Fiche 1 "La structure de la matrice des coûts et les conventions de remplissage" pages 28 à 32.</t>
  </si>
  <si>
    <t>Consignes (exemple de méthode de calcul) :</t>
  </si>
  <si>
    <t>Dans l'exemple proposé ci-dessous (modifiable à volonté) : 
- Effacer le contenu des cellules blanches 
- Saisir la masse salariale du personnel de l'administration générale 
- Saisir la part de chacun consacrée à l'activité "déchets" 
- Dans la deuxième partie du tableau, saisir les charges générales 
- Puis le taux de TVA correspondant 
- La part de la masse salariale affectée aux déchets est reprise automatiquement pour calculer le montant des frais généraux affectés aux déchets
- Saisir les charges liées aux élus (indemnités, charges) et le pourcentage affecté aux déchets 
- Reporter les montant TTC et le taux de TVA moyen (ou le montant HT pour les collectivités assujetties) en bas du tableau de l'onglet "3 - Charges et produits", respectivement dans les colonnes ("Réalisé €TTC", "Taux TVA modifié" ou "Réalisé €HT")
- Compléter dans l'onglet "3 - Charges et produits" les colonnes "Recettes / dépenses", "Statut des données" et "Affectation matrice" (si le code Affectation matrice correspondant aux charges de structure n'a pas encore été créé, l'ajouter au préalable dans l'onglet "4 - Codes matrice")</t>
  </si>
  <si>
    <t>Onglet 6 - Procéder aux retraitements extra-comptables : amortissements, reprises de subventions d'investissement et TVA sur les investissements</t>
  </si>
  <si>
    <t>Appréhender la totalité du coût du service public de gestion des déchets en amortissant l'ensemble des investissements de la collectivité, y compris ceux qui ne font pas l'objet d'un amortissement dans la comptabilité</t>
  </si>
  <si>
    <t>Guide Matrice des coûts et méthode ComptaCoût®, édition 2013, Fiche 7 "Amortissements et reprises de subventions d'investissement".</t>
  </si>
  <si>
    <t>- Se baser sur l'inventaire des immobilisations pour renseigner ce tableau et procéder au calcul extra comptable des investissements y compris ceux qui ne font pas l'objet d'un amortissement dans la comptabilité : il convient d'amortir tous les investissements liés aux déchets  (déchèteries, quai de transfert, plateforme de compostage, installations de traitement OMR, …) et tous les bâtiments liés au fonctionnement de la collectivité (siège social, bureaux, atelier, garage,…) pour la part concernant l’activité déchets
- Extraire depuis son logiciel l'inventaire des immobilisations pour renseigner ce tableau et procéder au calcul extra comptable des investissements non amortis comptablement ou les amortissements faisant l'objet d'une seule ligne "dotation aux amortissements" dans l'onglet "3 - Charges et produits", article 6811 (ceux où est indiqué "amortissement extra-comptable" dans la colonne "Statut des données" de l'onglet "3 - Charges et produits", même chose pour les subventions à amortir (article 777 en fonctionnement)
- Les copier (collage spécial - valeurs) dans le tableau ci-dessous (le tableau s'agrandit automatiquement lorsque de nouvelles valeurs sont collées)
- Quatre champs issus de l'inventaire servent pour les calculs : "Recette / dépense", "Valeur brute" (TTC ou HT si la collectivité est assujettie), "Année d'investissement" (l'amortissement débutera à n+1), "Durée d'amortissement" ; les autres champs sont facultatifs
- Compléter les colonnes "Statut des données" et "Affectation matrice" et éventuellement "Recette / dépense" (si elle n'est pas extraite du logiciel comptable)
- Dans les colonnes "Recette / dépense", "Statut des données" et "Affectation matrice", les cellules où il manque des données se colorent en orange
- Les taux de TVA et de FCTVA peuvent être modifiés
- Cellule AG5 : un tableau croisé dynamique récapitule les résultats. Pour l'actualiser : cliquer n'importe où dans le tableau puis option / actualiser
- Collectivités partiellement assujetties ou souhaitant répartir des intérêts d'emprunts entre plusieurs biens : se référer à la notice d'utilisation détaillée (fichier .pdf)</t>
  </si>
  <si>
    <t>Cet onglet ne peut pas être protégé ... Attention aux formules des cellules bleutées des dernières colonnes du tableau qui ne doivent pas être modifiées</t>
  </si>
  <si>
    <t>Onglet 7 - Rédiger les procédures et expliquer écarts/CA</t>
  </si>
  <si>
    <t>Expliquer l'écart entre le CA et la matrice pour valider les résultats obtenus et leur assurer toute la fiabilité nécessaire.</t>
  </si>
  <si>
    <t>Guide Matrice des coûts et méthode ComptaCoût®, édition 2013, Fiche 9 "Traçabilité des écarts entre le compte administratif et la matrice des coûts" pages 100 - 101.</t>
  </si>
  <si>
    <t>- Les cellules bleues du tableau ci-dessous se remplissent automatiquement à partir des données renseignées dans les autres onglets.
- Il s'agit ici de vérifier les totaux et les écarts entre le CA et la matrice
- Cellule B5 : vérifier que le montant reporté automatiquement dans cette cellule correspond bien au total des dépenses initiales du compte administratif (valeur affichée dans les documents officiels de la collectivité) et  calculé depuis l'onglet "3 - Charges et produits" (somme des dépenses et des recettes ayant comme source d'information "Grand livre")
- Cellule C5 : indiquer le total des charges HT de la matrice affiché dans l'onglet "2 - Matrice finale", y compris les éventuels regroupements de lignes comprenant des charges (lier les cellules entre les onglets pour éviter d'avoir à resaisir les valeurs et les risques d'erreur)
- Des commentaires peuvent être ajoutés dans la colonne correspondante
- Cellule C14 : un écart matrice / CA nul indique que tous les onglets sont bien remplis, la matrice est finalisée. Dans le cas contraire, rechercher l'erreur.
- Même démarche pour les produits</t>
  </si>
  <si>
    <t>Définir le cadre de la matrice dans SINOE®</t>
  </si>
  <si>
    <t>Remplir la matrice</t>
  </si>
  <si>
    <t>Année étudiée :</t>
  </si>
  <si>
    <t>FLUX DE DECHETS</t>
  </si>
  <si>
    <t>Total</t>
  </si>
  <si>
    <t>Ligne de la matrice</t>
  </si>
  <si>
    <t>Flux 5</t>
  </si>
  <si>
    <t>Flux 6</t>
  </si>
  <si>
    <t>Flux 7</t>
  </si>
  <si>
    <t>Flux 8</t>
  </si>
  <si>
    <t>Flux 9</t>
  </si>
  <si>
    <t>Flux 10</t>
  </si>
  <si>
    <t>Flux 11</t>
  </si>
  <si>
    <t>Flux 12</t>
  </si>
  <si>
    <t>Flux 13</t>
  </si>
  <si>
    <t>Flux 14</t>
  </si>
  <si>
    <t>Flux 15</t>
  </si>
  <si>
    <t>Flux 16</t>
  </si>
  <si>
    <t>Flux 17</t>
  </si>
  <si>
    <t>Flux 18</t>
  </si>
  <si>
    <t>Flux 19</t>
  </si>
  <si>
    <t>Flux 20</t>
  </si>
  <si>
    <t>Flux 21</t>
  </si>
  <si>
    <t>Flux 22</t>
  </si>
  <si>
    <t>Flux 23</t>
  </si>
  <si>
    <t>Flux 24</t>
  </si>
  <si>
    <t>Flux 25</t>
  </si>
  <si>
    <t>TOTAL CHARGES</t>
  </si>
  <si>
    <t>Ventes de produits et d'énergie</t>
  </si>
  <si>
    <t>Matériaux</t>
  </si>
  <si>
    <t>Compost</t>
  </si>
  <si>
    <t>Énergie</t>
  </si>
  <si>
    <t>Prestation à des tiers</t>
  </si>
  <si>
    <t>Autres produits</t>
  </si>
  <si>
    <t>Tous soutiens des sociétés agréées</t>
  </si>
  <si>
    <t>Reprises des subventions d'investissement</t>
  </si>
  <si>
    <t>Subventions de fonctionnement</t>
  </si>
  <si>
    <t>Aides à l'emploi</t>
  </si>
  <si>
    <t>TOTAL PRODUITS</t>
  </si>
  <si>
    <t>TVA acquittée</t>
  </si>
  <si>
    <t>TEOM</t>
  </si>
  <si>
    <t>REOM</t>
  </si>
  <si>
    <t>Redevance spéciale et facturation à l'usager</t>
  </si>
  <si>
    <t>Redevance spéciale</t>
  </si>
  <si>
    <t>Facturation à l'usager</t>
  </si>
  <si>
    <t>Contribution des collectivités</t>
  </si>
  <si>
    <t>TOTAL CONTRIBUTIONS</t>
  </si>
  <si>
    <t>Exemple : REG incinération / énergie</t>
  </si>
  <si>
    <t>Code multilignes</t>
  </si>
  <si>
    <t>Populations et tonnages</t>
  </si>
  <si>
    <t>Population desservie</t>
  </si>
  <si>
    <t>Tonnage de référence</t>
  </si>
  <si>
    <t>Population liée aux prestations à des tiers</t>
  </si>
  <si>
    <t>Tonnage lié aux prestations à des tiers</t>
  </si>
  <si>
    <t>Quantité collecté (kg/hab desservi de la collectivité)</t>
  </si>
  <si>
    <t>Montants annuels</t>
  </si>
  <si>
    <t>Charges fonctionnelles</t>
  </si>
  <si>
    <t>Charges techniques (y compris regroupements)</t>
  </si>
  <si>
    <t>Total charges (y compris regroupements)</t>
  </si>
  <si>
    <t>Total produits</t>
  </si>
  <si>
    <t>Coût aidé HT</t>
  </si>
  <si>
    <t>Coût aidé TTC</t>
  </si>
  <si>
    <t>Total contributions</t>
  </si>
  <si>
    <t>Taux de couverture du coût aidé par les contrib.</t>
  </si>
  <si>
    <t>Taux moyens de TVA</t>
  </si>
  <si>
    <t>Taux moyen</t>
  </si>
  <si>
    <t>Calcul des coûts de synthèse</t>
  </si>
  <si>
    <t>Les tableaux ci-dessous sont mis en forme mais les calculs sont du ressort et de la responsabilité de l'utilisateur de cet outil. En cas de sous-flux (par exemple OMR collecte/OMR traitement) et/ou de prestations à des tiers, il convient de se reporter au document présentant les règles de calculs des coûts, disponible ici : http://www.sinoe.org/documents/consult-doc/idDoc/938/idRubrique/10/table-outilspo/desc/table-outilsps/date/table-outilspp/1/count/10#table-outils</t>
  </si>
  <si>
    <t>Coûts annuels</t>
  </si>
  <si>
    <t>Coût complet</t>
  </si>
  <si>
    <t>Coût technique</t>
  </si>
  <si>
    <t>Coût partagé</t>
  </si>
  <si>
    <t>Contributions</t>
  </si>
  <si>
    <t>Coûts par habitant</t>
  </si>
  <si>
    <t>Coûts par tonne</t>
  </si>
  <si>
    <t>Taux conventionnels de TVA</t>
  </si>
  <si>
    <t>Objectif :</t>
  </si>
  <si>
    <t>Commentaires :</t>
  </si>
  <si>
    <t>Appliquer automatiquement un taux de TVA conventionnel par article comptable</t>
  </si>
  <si>
    <t>- Guide Matrice des coûts et méthode ComptaCoût®, édition 2013, Fiche 6 "Isolement de la TVA et calcul de la TVA acquittée"</t>
  </si>
  <si>
    <t>Le tableau ci-dessous comprend des taux conventionnels de TVA pour certains articles comptables, taux utilisés dans l'onglet "3 - Fonctionnement", colonne "Taux TVA automatique".
Ces taux par défaut peuvent être modifiés si besoin.</t>
  </si>
  <si>
    <t>N°</t>
  </si>
  <si>
    <t>Libellé du compte</t>
  </si>
  <si>
    <t>Taux de TVA</t>
  </si>
  <si>
    <t xml:space="preserve"> ACHATS ET VARIATION DES STOCKS</t>
  </si>
  <si>
    <t xml:space="preserve"> Achats stockés  -  Matières premières (et fournitures)</t>
  </si>
  <si>
    <t xml:space="preserve"> Matières premières et fournitures autres que terrains</t>
  </si>
  <si>
    <t xml:space="preserve"> Terrains à aménager</t>
  </si>
  <si>
    <t xml:space="preserve"> Achats stockés  -  Autres approvisionnements</t>
  </si>
  <si>
    <t xml:space="preserve"> Matières consommables</t>
  </si>
  <si>
    <t xml:space="preserve"> Fournitures consommables autres qu’alimentation</t>
  </si>
  <si>
    <t xml:space="preserve"> Combustibles et carburants</t>
  </si>
  <si>
    <t xml:space="preserve"> Produits d'entretien</t>
  </si>
  <si>
    <t xml:space="preserve"> Fournitures des ateliers municipaux</t>
  </si>
  <si>
    <t xml:space="preserve"> Fournitures administratives</t>
  </si>
  <si>
    <t xml:space="preserve"> Livres, disques, cassettes (bibliothèques, médiathèques)</t>
  </si>
  <si>
    <t xml:space="preserve"> Vêtements de travail</t>
  </si>
  <si>
    <t xml:space="preserve"> Fournitures scolaires</t>
  </si>
  <si>
    <t xml:space="preserve"> Autres fournitures consommables</t>
  </si>
  <si>
    <t xml:space="preserve"> Alimentation</t>
  </si>
  <si>
    <t xml:space="preserve"> Emballages</t>
  </si>
  <si>
    <t xml:space="preserve"> Variation des stocks (approvisionnements et marchandises)</t>
  </si>
  <si>
    <t xml:space="preserve"> Variation des stocks de matières premières (et fournitures)</t>
  </si>
  <si>
    <t xml:space="preserve"> Variation des stocks de matières premières et fournitures autres que terrains</t>
  </si>
  <si>
    <t xml:space="preserve"> Variation des stocks des terrains à aménager</t>
  </si>
  <si>
    <t xml:space="preserve"> Variation des stocks des autres approvisionnements</t>
  </si>
  <si>
    <t xml:space="preserve"> Variation des stocks de marchandises et de terrains nus</t>
  </si>
  <si>
    <t xml:space="preserve"> Achats d'études, prestations de services</t>
  </si>
  <si>
    <t xml:space="preserve"> Achats d'études (autres que terrains à aménager)</t>
  </si>
  <si>
    <t xml:space="preserve"> Achats de prestations de services (autres que terrains à aménager)</t>
  </si>
  <si>
    <t xml:space="preserve"> Achats d'études, prestations de services (terrains à aménager)</t>
  </si>
  <si>
    <t xml:space="preserve"> Achats de matériel, équipements et travaux</t>
  </si>
  <si>
    <t xml:space="preserve"> Achats non stockés de matières et fournitures</t>
  </si>
  <si>
    <t xml:space="preserve"> Fournitures non stockables</t>
  </si>
  <si>
    <t xml:space="preserve"> Eau et assainissement</t>
  </si>
  <si>
    <t xml:space="preserve"> Énergie  -  Électricité</t>
  </si>
  <si>
    <t xml:space="preserve"> Chauffage urbain</t>
  </si>
  <si>
    <t xml:space="preserve"> Autres fournitures non stockables</t>
  </si>
  <si>
    <t xml:space="preserve"> Fournitures non stockées</t>
  </si>
  <si>
    <t xml:space="preserve"> Combustibles</t>
  </si>
  <si>
    <t xml:space="preserve"> Carburants</t>
  </si>
  <si>
    <t xml:space="preserve"> Produits de traitement</t>
  </si>
  <si>
    <t xml:space="preserve"> Autres fournitures non stockées</t>
  </si>
  <si>
    <t xml:space="preserve"> Fournitures d'entretien et de petit équipement</t>
  </si>
  <si>
    <t xml:space="preserve"> Fournitures d’entretien</t>
  </si>
  <si>
    <t xml:space="preserve"> Fournitures de petit équipement</t>
  </si>
  <si>
    <t xml:space="preserve"> Fournitures de voirie</t>
  </si>
  <si>
    <t xml:space="preserve"> Livres, disques, cassettes...(bibliothèques et médiathèques)</t>
  </si>
  <si>
    <t xml:space="preserve"> Autres matières et fournitures</t>
  </si>
  <si>
    <t xml:space="preserve"> Achats de marchandises</t>
  </si>
  <si>
    <t xml:space="preserve"> Compteurs</t>
  </si>
  <si>
    <t xml:space="preserve"> Autres marchandises</t>
  </si>
  <si>
    <t xml:space="preserve"> Frais accessoires sur terrains en cours d'aménagement</t>
  </si>
  <si>
    <t xml:space="preserve"> Rabais, remises et ristournes obtenus sur achats</t>
  </si>
  <si>
    <t xml:space="preserve"> de matières premières (et fournitures)</t>
  </si>
  <si>
    <t xml:space="preserve"> d'autres approvisionnements stockés</t>
  </si>
  <si>
    <t xml:space="preserve"> d'études et prestations de services</t>
  </si>
  <si>
    <t xml:space="preserve"> de matériel, équipements et travaux</t>
  </si>
  <si>
    <t xml:space="preserve"> d'approvisionnements non stockés</t>
  </si>
  <si>
    <t xml:space="preserve"> de marchandises</t>
  </si>
  <si>
    <t xml:space="preserve"> SERVICES EXTERIEURS</t>
  </si>
  <si>
    <t xml:space="preserve"> Contrats de prestations de services</t>
  </si>
  <si>
    <t xml:space="preserve"> Redevances de crédit - bail</t>
  </si>
  <si>
    <t xml:space="preserve"> Crédit - bail mobilier</t>
  </si>
  <si>
    <t xml:space="preserve"> Crédit - bail immobilier</t>
  </si>
  <si>
    <t xml:space="preserve"> Locations</t>
  </si>
  <si>
    <t xml:space="preserve"> Locations immobilières</t>
  </si>
  <si>
    <t xml:space="preserve"> Locations mobilières</t>
  </si>
  <si>
    <t xml:space="preserve"> Mali sur emballages</t>
  </si>
  <si>
    <t xml:space="preserve"> Redevances, droits de passage et servitudes diverses</t>
  </si>
  <si>
    <t xml:space="preserve"> Charges locatives et de copropriété</t>
  </si>
  <si>
    <t xml:space="preserve"> Entretien et réparations</t>
  </si>
  <si>
    <t xml:space="preserve"> Entretien et réparations sur biens immobiliers</t>
  </si>
  <si>
    <t xml:space="preserve"> Terrains</t>
  </si>
  <si>
    <t xml:space="preserve"> Bâtiments</t>
  </si>
  <si>
    <t xml:space="preserve"> Entretien des bâtiments publics</t>
  </si>
  <si>
    <t xml:space="preserve"> Voies et réseaux</t>
  </si>
  <si>
    <t xml:space="preserve"> Entretien de la voirie</t>
  </si>
  <si>
    <t xml:space="preserve"> Bois et forêts</t>
  </si>
  <si>
    <t xml:space="preserve"> Entretien et réparations sur biens mobiliers</t>
  </si>
  <si>
    <t xml:space="preserve"> Matériel roulant</t>
  </si>
  <si>
    <t xml:space="preserve"> Autres biens mobiliers</t>
  </si>
  <si>
    <t xml:space="preserve"> Maintenance</t>
  </si>
  <si>
    <t xml:space="preserve"> Primes d'assurance</t>
  </si>
  <si>
    <t xml:space="preserve"> Multirisques</t>
  </si>
  <si>
    <t xml:space="preserve"> Assurance obligatoire dommage construction</t>
  </si>
  <si>
    <t xml:space="preserve"> Autres</t>
  </si>
  <si>
    <t xml:space="preserve"> Études et recherches</t>
  </si>
  <si>
    <t xml:space="preserve"> Divers</t>
  </si>
  <si>
    <t xml:space="preserve"> Documentation générale et technique</t>
  </si>
  <si>
    <t xml:space="preserve"> Versements à des organismes de formation</t>
  </si>
  <si>
    <t xml:space="preserve"> Frais de colloques et séminaires</t>
  </si>
  <si>
    <t xml:space="preserve"> Autres frais divers</t>
  </si>
  <si>
    <t xml:space="preserve"> Rabais, remises et ristournes obtenus sur services extérieurs</t>
  </si>
  <si>
    <t xml:space="preserve"> AUTRES SERVICES EXTÉRIEURS</t>
  </si>
  <si>
    <t xml:space="preserve"> Personnel extérieur au service</t>
  </si>
  <si>
    <t xml:space="preserve"> Personnel intérimaire</t>
  </si>
  <si>
    <t xml:space="preserve"> Personnel affecté par la collectivité de rattachement</t>
  </si>
  <si>
    <t xml:space="preserve"> Personnel affecté par le GFP de rattachement</t>
  </si>
  <si>
    <t xml:space="preserve"> Personnel affecté par la commune membre du GFP</t>
  </si>
  <si>
    <t xml:space="preserve"> Autre personnel extérieur</t>
  </si>
  <si>
    <t xml:space="preserve"> Rémunérations d'intermédiaires et honoraires</t>
  </si>
  <si>
    <t xml:space="preserve"> Commissions et courtages sur achats</t>
  </si>
  <si>
    <t xml:space="preserve"> Commissions et courtages sur ventes</t>
  </si>
  <si>
    <t xml:space="preserve"> Indemnités au comptable et aux régisseurs</t>
  </si>
  <si>
    <t xml:space="preserve"> Honoraires</t>
  </si>
  <si>
    <t xml:space="preserve"> Frais d'actes et de contentieux</t>
  </si>
  <si>
    <t xml:space="preserve"> Publicité, publications, relations publiques</t>
  </si>
  <si>
    <t xml:space="preserve"> Annonces et insertions</t>
  </si>
  <si>
    <t xml:space="preserve"> Fêtes et cérémonies</t>
  </si>
  <si>
    <t xml:space="preserve"> Foires et expositions</t>
  </si>
  <si>
    <t xml:space="preserve"> Catalogues et imprimés</t>
  </si>
  <si>
    <t xml:space="preserve"> Publications</t>
  </si>
  <si>
    <t xml:space="preserve"> Transports de biens et transports collectifs</t>
  </si>
  <si>
    <t xml:space="preserve"> Transports de biens</t>
  </si>
  <si>
    <t xml:space="preserve"> Transports sur ventes</t>
  </si>
  <si>
    <t xml:space="preserve"> Transports administratifs</t>
  </si>
  <si>
    <t xml:space="preserve"> Transports collectifs</t>
  </si>
  <si>
    <t xml:space="preserve"> Déplacements, missions et réceptions</t>
  </si>
  <si>
    <t xml:space="preserve"> Voyages et déplacements</t>
  </si>
  <si>
    <t xml:space="preserve"> Frais de déménagement</t>
  </si>
  <si>
    <t xml:space="preserve"> Missions</t>
  </si>
  <si>
    <t xml:space="preserve"> Réceptions</t>
  </si>
  <si>
    <t xml:space="preserve"> Frais postaux et frais de télécommunications</t>
  </si>
  <si>
    <t xml:space="preserve"> Frais d'affranchissement</t>
  </si>
  <si>
    <t xml:space="preserve"> Frais de télécommunications</t>
  </si>
  <si>
    <t xml:space="preserve"> Services bancaires et assimilés</t>
  </si>
  <si>
    <t xml:space="preserve"> Concours divers (cotisations...)</t>
  </si>
  <si>
    <t xml:space="preserve"> Frais de gardiennage (églises, forêts et bois communaux …)</t>
  </si>
  <si>
    <t xml:space="preserve"> Frais de nettoyage des locaux</t>
  </si>
  <si>
    <t xml:space="preserve"> Redevances pour services rendus</t>
  </si>
  <si>
    <t xml:space="preserve"> Remboursements de frais</t>
  </si>
  <si>
    <t xml:space="preserve"> A la collectivité de rattachement</t>
  </si>
  <si>
    <t xml:space="preserve"> Aux budgets annexes et aux régies municipales</t>
  </si>
  <si>
    <t xml:space="preserve"> Au C.C.A.S.</t>
  </si>
  <si>
    <t xml:space="preserve"> A la caisse des écoles</t>
  </si>
  <si>
    <t xml:space="preserve"> Aux communes membres du GFP</t>
  </si>
  <si>
    <t xml:space="preserve"> Au GFP de rattachement</t>
  </si>
  <si>
    <t xml:space="preserve"> A d’autres organismes</t>
  </si>
  <si>
    <t xml:space="preserve"> Autres services extérieurs</t>
  </si>
  <si>
    <t xml:space="preserve"> Rabais, remises et ristournes obtenus sur autres services extérieurs</t>
  </si>
  <si>
    <t xml:space="preserve"> IMPÔTS, TAXES ET VERSEMENTS ASSIMILÉS</t>
  </si>
  <si>
    <t xml:space="preserve"> Impôts, taxes et versements assimilés sur rémunérations (administration des impôts)</t>
  </si>
  <si>
    <t xml:space="preserve"> Taxe sur les salaires</t>
  </si>
  <si>
    <t xml:space="preserve"> Taxe d’apprentissage</t>
  </si>
  <si>
    <t xml:space="preserve"> Participation des employeurs à la formation professionnelle continue</t>
  </si>
  <si>
    <t xml:space="preserve"> Cotisation pour défaut d’investissement obligatoire dans la construction</t>
  </si>
  <si>
    <t xml:space="preserve"> Autres impôts, taxes et versements assimilés sur rémunérations</t>
  </si>
  <si>
    <t xml:space="preserve"> Impôts, taxes et versements assimilés sur rémunérations (autres organismes)</t>
  </si>
  <si>
    <t xml:space="preserve"> Versement de transport</t>
  </si>
  <si>
    <t xml:space="preserve"> Cotisations versées au F.N.A.L.</t>
  </si>
  <si>
    <t xml:space="preserve"> Participation des employeurs à l’effort de construction</t>
  </si>
  <si>
    <t xml:space="preserve"> Versements libératoires ouvrant droit à l’exonération de la taxe d’apprentissage</t>
  </si>
  <si>
    <t xml:space="preserve"> Cotisations au centre national et aux centres de gestion du la fonction publique territoriale</t>
  </si>
  <si>
    <t xml:space="preserve"> Autres impôts, taxes et versements assimilés (administration des impôts)</t>
  </si>
  <si>
    <t xml:space="preserve"> Impôts directs</t>
  </si>
  <si>
    <t xml:space="preserve"> Contribution économique territoriale</t>
  </si>
  <si>
    <t xml:space="preserve"> Cotisation foncière des entreprises</t>
  </si>
  <si>
    <t xml:space="preserve"> Cotisation sur la valeur ajoutée des entreprises</t>
  </si>
  <si>
    <t xml:space="preserve"> Taxes foncières</t>
  </si>
  <si>
    <t xml:space="preserve"> Autres impôts locaux</t>
  </si>
  <si>
    <t xml:space="preserve"> Taxes sur le chiffre d’affaires non récupérables</t>
  </si>
  <si>
    <t xml:space="preserve"> Impôts indirects</t>
  </si>
  <si>
    <t xml:space="preserve"> Droits d'enregistrement et de timbre</t>
  </si>
  <si>
    <t xml:space="preserve"> Taxes et impôts sur les véhicules</t>
  </si>
  <si>
    <t xml:space="preserve"> Autres droits</t>
  </si>
  <si>
    <t xml:space="preserve"> Autres impôts, taxes et versements assimilés (autres organismes)</t>
  </si>
  <si>
    <t xml:space="preserve"> CHARGES DE PERSONNEL</t>
  </si>
  <si>
    <t xml:space="preserve"> Rémunérations du personnel</t>
  </si>
  <si>
    <t xml:space="preserve"> Personnel titulaire</t>
  </si>
  <si>
    <t xml:space="preserve"> Rémunération principale</t>
  </si>
  <si>
    <t xml:space="preserve"> NBI, supplément familial de traitement et indemnité de résidence</t>
  </si>
  <si>
    <t xml:space="preserve"> Indemnités de préavis et de licenciement</t>
  </si>
  <si>
    <t xml:space="preserve"> Autres indemnités.</t>
  </si>
  <si>
    <t xml:space="preserve"> Congés payés</t>
  </si>
  <si>
    <t xml:space="preserve"> Personnel non titulaire</t>
  </si>
  <si>
    <t xml:space="preserve"> Rémunérations</t>
  </si>
  <si>
    <t xml:space="preserve"> Autres indemnités</t>
  </si>
  <si>
    <t xml:space="preserve"> Indemnités et avantages divers</t>
  </si>
  <si>
    <t xml:space="preserve"> Supplément familial</t>
  </si>
  <si>
    <t xml:space="preserve"> Emplois d’insertion</t>
  </si>
  <si>
    <t xml:space="preserve"> Emplois jeunes</t>
  </si>
  <si>
    <t xml:space="preserve"> Emplois d'avenir</t>
  </si>
  <si>
    <t xml:space="preserve"> Autres emplois d’insertion</t>
  </si>
  <si>
    <t xml:space="preserve"> Rémunérations des apprentis</t>
  </si>
  <si>
    <t xml:space="preserve"> Remboursements sur rémunérations du personnel</t>
  </si>
  <si>
    <t xml:space="preserve"> Charges de sécurité sociale et de prévoyance</t>
  </si>
  <si>
    <t xml:space="preserve"> Cotisations à l'U.R.S.S.A.F.</t>
  </si>
  <si>
    <t xml:space="preserve"> Cotisations aux mutuelles</t>
  </si>
  <si>
    <t xml:space="preserve"> Cotisations aux caisses de retraites</t>
  </si>
  <si>
    <t xml:space="preserve"> Cotisations aux A.S.S.E.D.I.C</t>
  </si>
  <si>
    <t xml:space="preserve"> Cotisations pour assurance du personnel</t>
  </si>
  <si>
    <t xml:space="preserve"> Versement au F.N.C du supplément familial</t>
  </si>
  <si>
    <t xml:space="preserve"> Cotisations sociales liées à l’apprentissage</t>
  </si>
  <si>
    <t xml:space="preserve"> Cotisations aux autres organismes sociaux</t>
  </si>
  <si>
    <t xml:space="preserve"> Remboursements sur charges de sécurité sociale et de prévoyance</t>
  </si>
  <si>
    <t xml:space="preserve"> Autres charges sociales</t>
  </si>
  <si>
    <t xml:space="preserve"> Prestations versées pour le compte du F.N.A.L.</t>
  </si>
  <si>
    <t xml:space="preserve"> Prestations familiales directes</t>
  </si>
  <si>
    <t xml:space="preserve"> Allocations de chômage</t>
  </si>
  <si>
    <t xml:space="preserve"> Versées directement</t>
  </si>
  <si>
    <t xml:space="preserve"> Versées aux A.S.S.E.D.I.C.</t>
  </si>
  <si>
    <t xml:space="preserve"> Versements aux autres œuvres sociales</t>
  </si>
  <si>
    <t xml:space="preserve"> Médecine du travail, pharmacie</t>
  </si>
  <si>
    <t xml:space="preserve"> Autres charges sociales diverses</t>
  </si>
  <si>
    <t xml:space="preserve"> Remboursements sur autres charges sociales</t>
  </si>
  <si>
    <t xml:space="preserve"> Autres charges de personnel</t>
  </si>
  <si>
    <t xml:space="preserve"> Cessation progressive d'activité</t>
  </si>
  <si>
    <t xml:space="preserve"> Indemnités aux agents</t>
  </si>
  <si>
    <t xml:space="preserve"> Contributions au fonds de compensation de cessation progressive d'activité</t>
  </si>
  <si>
    <t xml:space="preserve"> Autres charges</t>
  </si>
  <si>
    <t xml:space="preserve"> AUTRES CHARGES DE GESTION COURANTE</t>
  </si>
  <si>
    <t xml:space="preserve"> Redevances pour concessions, brevets, licences, procédés, logiciels, droits et valeurs similaires</t>
  </si>
  <si>
    <t xml:space="preserve"> Déficit ou excédent des budgets annexes à caractère administratif</t>
  </si>
  <si>
    <t xml:space="preserve"> Déficit des budgets annexes à caractère administratif</t>
  </si>
  <si>
    <t xml:space="preserve"> Reversement de l’excédent des budgets annexes à cacactère administratif au budget principal</t>
  </si>
  <si>
    <t xml:space="preserve"> Indemnités, frais de mission et de formation des maires, adjoints et conseillers</t>
  </si>
  <si>
    <t xml:space="preserve"> Indemnités</t>
  </si>
  <si>
    <t xml:space="preserve"> Frais de mission</t>
  </si>
  <si>
    <t xml:space="preserve"> Cotisations de retraite</t>
  </si>
  <si>
    <t xml:space="preserve"> Cotisations de sécurité sociale  -  part patronale</t>
  </si>
  <si>
    <t xml:space="preserve"> Formation</t>
  </si>
  <si>
    <t xml:space="preserve"> Frais de représentation du maire</t>
  </si>
  <si>
    <t xml:space="preserve"> Compensations pour perte de revenus</t>
  </si>
  <si>
    <t xml:space="preserve"> Compensations pour formation</t>
  </si>
  <si>
    <t xml:space="preserve"> Cotisations au fonds de financement de l'allocation de fin de mandat</t>
  </si>
  <si>
    <t xml:space="preserve"> Pertes sur créances irrécouvrables</t>
  </si>
  <si>
    <t xml:space="preserve"> Créances admises en non valeur</t>
  </si>
  <si>
    <t xml:space="preserve"> Créances éteintes</t>
  </si>
  <si>
    <t xml:space="preserve"> Contingents et participations obligatoires</t>
  </si>
  <si>
    <t xml:space="preserve"> Police d'État</t>
  </si>
  <si>
    <t xml:space="preserve"> Aide sociale du département</t>
  </si>
  <si>
    <t xml:space="preserve"> Service d'incendie</t>
  </si>
  <si>
    <t xml:space="preserve"> Contributions aux organismes de regroupement</t>
  </si>
  <si>
    <t xml:space="preserve"> Contributions au C.N.F.P.T. (personnel privé d'emploi)</t>
  </si>
  <si>
    <t xml:space="preserve"> Indemnités de logement aux instituteurs</t>
  </si>
  <si>
    <t xml:space="preserve"> Contributions au titre de la politique de l'habitat</t>
  </si>
  <si>
    <t xml:space="preserve"> Autres contributions obligatoires</t>
  </si>
  <si>
    <t xml:space="preserve"> Frais de fonctionnement des groupes d’élus</t>
  </si>
  <si>
    <t xml:space="preserve"> Frais de personnel</t>
  </si>
  <si>
    <t xml:space="preserve"> Matériel, équipement et fournitures</t>
  </si>
  <si>
    <t xml:space="preserve"> Subventions de fonctionnement versées</t>
  </si>
  <si>
    <t xml:space="preserve"> Subventions de fonctionnement aux organismes publics</t>
  </si>
  <si>
    <t xml:space="preserve"> État</t>
  </si>
  <si>
    <t xml:space="preserve"> Régions</t>
  </si>
  <si>
    <t xml:space="preserve"> Départements</t>
  </si>
  <si>
    <t xml:space="preserve"> Communes</t>
  </si>
  <si>
    <t xml:space="preserve"> Communes membres du GFP</t>
  </si>
  <si>
    <t xml:space="preserve"> Autres communes</t>
  </si>
  <si>
    <t xml:space="preserve"> Groupements de collectivités</t>
  </si>
  <si>
    <t xml:space="preserve"> GFP de rattachement</t>
  </si>
  <si>
    <t xml:space="preserve"> Autres groupements</t>
  </si>
  <si>
    <t xml:space="preserve"> Établissements et services rattachés</t>
  </si>
  <si>
    <t xml:space="preserve"> Caisse des écoles</t>
  </si>
  <si>
    <t xml:space="preserve"> CCAS</t>
  </si>
  <si>
    <t xml:space="preserve"> A caractère administratif</t>
  </si>
  <si>
    <t xml:space="preserve"> A caractère industriel et commercial</t>
  </si>
  <si>
    <t xml:space="preserve"> Autres établissements publics locaux</t>
  </si>
  <si>
    <t xml:space="preserve"> Autres organismes publics</t>
  </si>
  <si>
    <t xml:space="preserve"> Subventions de fonctionnement aux associations et autres personnes de droit privé</t>
  </si>
  <si>
    <t xml:space="preserve"> Charges diverses de la gestion courante</t>
  </si>
  <si>
    <t xml:space="preserve"> CHARGES FINANCIÈRES</t>
  </si>
  <si>
    <t xml:space="preserve"> Charges d'intérêts</t>
  </si>
  <si>
    <t xml:space="preserve"> Intérêts des emprunts et dettes</t>
  </si>
  <si>
    <t xml:space="preserve"> Intérêts réglés à l’échéance</t>
  </si>
  <si>
    <t xml:space="preserve"> Intérêts  -  Rattachement des ICNE</t>
  </si>
  <si>
    <t xml:space="preserve"> Remboursements d’intérêts d’emprunts transférés</t>
  </si>
  <si>
    <t xml:space="preserve"> aux communes membres du GFP</t>
  </si>
  <si>
    <t xml:space="preserve"> au GFP de rattachement</t>
  </si>
  <si>
    <t xml:space="preserve"> à la collectivité ou à l’établissement de rattachement</t>
  </si>
  <si>
    <t xml:space="preserve"> à d’autres tiers</t>
  </si>
  <si>
    <t xml:space="preserve"> Intérêts des comptes courants et de dépôts créditeurs</t>
  </si>
  <si>
    <t xml:space="preserve"> Intérêts bancaires et sur opérations de financement (escompte, …)</t>
  </si>
  <si>
    <t xml:space="preserve"> Intérêts des autres dettes</t>
  </si>
  <si>
    <t xml:space="preserve"> Escomptes accordés</t>
  </si>
  <si>
    <t xml:space="preserve"> Pertes de change</t>
  </si>
  <si>
    <t xml:space="preserve"> Charges nettes sur cessions de valeurs mobilières de placement</t>
  </si>
  <si>
    <t xml:space="preserve"> Autres charges financières</t>
  </si>
  <si>
    <t xml:space="preserve"> CHARGES EXCEPTIONNELLES</t>
  </si>
  <si>
    <t xml:space="preserve"> Charges exceptionnelles sur opérations de gestion</t>
  </si>
  <si>
    <t xml:space="preserve"> Intérêts moratoires et pénalités sur marchés</t>
  </si>
  <si>
    <t xml:space="preserve"> Amendes fiscales et pénales</t>
  </si>
  <si>
    <t xml:space="preserve"> Secours et dots</t>
  </si>
  <si>
    <t xml:space="preserve"> Bourses et prix</t>
  </si>
  <si>
    <t xml:space="preserve"> Rappel d’impôts (autres qu’impôts sur les bénéfices)</t>
  </si>
  <si>
    <t xml:space="preserve"> Autres charges exceptionnelles sur opérations de gestion</t>
  </si>
  <si>
    <t xml:space="preserve"> Reversement de l'excédent à la collectivité de rattachement</t>
  </si>
  <si>
    <t xml:space="preserve"> Titres annulés (sur exercices antérieurs)</t>
  </si>
  <si>
    <t xml:space="preserve"> Subventions de fonctionnement exceptionnelles</t>
  </si>
  <si>
    <t xml:space="preserve"> Subventions exceptionnelles d'équipement</t>
  </si>
  <si>
    <t xml:space="preserve"> Subventions de fonctionnement (versées par les groupements)</t>
  </si>
  <si>
    <t xml:space="preserve"> Subventions aux S.P.I.C. (autres que les services de transport, d’eau et assainissement</t>
  </si>
  <si>
    <t xml:space="preserve"> aux budgets annexes et aux régies dotées de la seule autonomie financière</t>
  </si>
  <si>
    <t xml:space="preserve"> aux régies dotées de la personnalité morale</t>
  </si>
  <si>
    <t xml:space="preserve"> aux fermiers et aux concessionnaires</t>
  </si>
  <si>
    <t xml:space="preserve"> aux syndicats exploitant un SPIC</t>
  </si>
  <si>
    <t xml:space="preserve"> Subventions aux personnes de droit privé</t>
  </si>
  <si>
    <t xml:space="preserve"> Bonifications d’intérêts</t>
  </si>
  <si>
    <t xml:space="preserve"> Autres subventions exceptionnelles</t>
  </si>
  <si>
    <t xml:space="preserve"> Valeurs comptables des immobilisations cédées</t>
  </si>
  <si>
    <t xml:space="preserve"> Différences sur réalisations (positives) transférées en investissement</t>
  </si>
  <si>
    <t xml:space="preserve"> Autres charges exceptionnelles</t>
  </si>
  <si>
    <t xml:space="preserve"> DOTATIONS AUX AMORTISSEMENTS ET PROVISIONS</t>
  </si>
  <si>
    <t xml:space="preserve"> Dotations aux amortissements et aux provisions  -  Charges de fonctionnement courant</t>
  </si>
  <si>
    <t xml:space="preserve"> Dotations aux amortissements des immobilisations incorporelles et corporelles</t>
  </si>
  <si>
    <t xml:space="preserve"> Dotations aux amortissements des charges de fonctionnement à répartir</t>
  </si>
  <si>
    <t xml:space="preserve"> Dotations aux provisions pour risques et charges de fonctionnement courant</t>
  </si>
  <si>
    <t xml:space="preserve"> Dotations aux provisions pour dépréciation des immobilisations incorporelles et corporelles</t>
  </si>
  <si>
    <t xml:space="preserve"> Dotations aux provisions pour dépréciation des actifs circulants</t>
  </si>
  <si>
    <t xml:space="preserve"> Dotations aux amortissements et aux provisions  -  Charges financières</t>
  </si>
  <si>
    <t xml:space="preserve"> Dotations aux amortissements des primes de remboursement des obligations</t>
  </si>
  <si>
    <t xml:space="preserve"> Dotations aux amortissements des charges financières à répartir</t>
  </si>
  <si>
    <t xml:space="preserve"> Dotations aux provisions pour risques et charges financiers</t>
  </si>
  <si>
    <t xml:space="preserve"> Dotations aux provisions pour dépréciation des éléments financiers</t>
  </si>
  <si>
    <t xml:space="preserve"> Dotations aux amortissements et aux provisions  -  Charges exceptionnelles</t>
  </si>
  <si>
    <t xml:space="preserve"> Dotations aux amortissements exceptionnels des immobilisations</t>
  </si>
  <si>
    <t xml:space="preserve"> Dotations aux provisions réglementées (immobilisations)</t>
  </si>
  <si>
    <t xml:space="preserve"> Dotations aux autres provisions réglementées</t>
  </si>
  <si>
    <t xml:space="preserve"> Dotations aux provisions pour risques et charges exceptionnels</t>
  </si>
  <si>
    <t xml:space="preserve"> Dotations aux provisions pour dépréciations exceptionnelles</t>
  </si>
  <si>
    <t xml:space="preserve"> IMPÔTS SUR LES BENEFICES ET ASSIMILES</t>
  </si>
  <si>
    <t xml:space="preserve"> Impôts sur les bénéfices</t>
  </si>
  <si>
    <t xml:space="preserve"> Intégration fiscale</t>
  </si>
  <si>
    <t xml:space="preserve"> Intégration fiscale - Charges</t>
  </si>
  <si>
    <t xml:space="preserve"> Intégration fiscale - Produits</t>
  </si>
  <si>
    <t xml:space="preserve"> Produits -  Reports en arrière des déficits</t>
  </si>
  <si>
    <t xml:space="preserve"> PRODUITS DES SERVICES, DU DOMAINE ET VENTES DIVERSES</t>
  </si>
  <si>
    <t xml:space="preserve"> Ventes de produits finis</t>
  </si>
  <si>
    <t xml:space="preserve"> Ventes d’eau</t>
  </si>
  <si>
    <t xml:space="preserve"> Taxes et redevances d’eau</t>
  </si>
  <si>
    <t xml:space="preserve"> Redevance pour pollution d’origine domestique</t>
  </si>
  <si>
    <t xml:space="preserve"> Reversement de la redevance pour pollution d'origine domestique</t>
  </si>
  <si>
    <t xml:space="preserve"> Autres taxes et redevances d’eau</t>
  </si>
  <si>
    <t xml:space="preserve"> Vente de produits résiduels</t>
  </si>
  <si>
    <t xml:space="preserve"> Ventes de terrains aménagés</t>
  </si>
  <si>
    <t xml:space="preserve"> Autres ventes de produits finis</t>
  </si>
  <si>
    <t xml:space="preserve"> Ventes de récoltes et de produits forestiers</t>
  </si>
  <si>
    <t xml:space="preserve"> Ventes de récoltes</t>
  </si>
  <si>
    <t xml:space="preserve"> Coupes de bois</t>
  </si>
  <si>
    <t xml:space="preserve"> Menus produits forestiers</t>
  </si>
  <si>
    <t xml:space="preserve"> Remboursement forfaitaire T.V.A.</t>
  </si>
  <si>
    <t xml:space="preserve"> Taxes d'affouage</t>
  </si>
  <si>
    <t xml:space="preserve"> Autres produits agricoles et forestiers</t>
  </si>
  <si>
    <t xml:space="preserve"> Redevances et recettes d'utilisation du domaine</t>
  </si>
  <si>
    <t xml:space="preserve"> Concessions et redevances funéraires</t>
  </si>
  <si>
    <t xml:space="preserve"> Concession dans les cimetières (produit net)</t>
  </si>
  <si>
    <t xml:space="preserve"> Redevances funéraires</t>
  </si>
  <si>
    <t xml:space="preserve"> Droits de permis de stationnement et de location sur la voie publique, les rivières, ports et quais fluviaux et autres lieux publics</t>
  </si>
  <si>
    <t xml:space="preserve"> Droits de stationnement et de location sur la voie publique</t>
  </si>
  <si>
    <t xml:space="preserve"> Droits de stationnement et de location sur le domaine public portuaire et fluvial</t>
  </si>
  <si>
    <t xml:space="preserve"> Redevance d’occupation du domaine public communal</t>
  </si>
  <si>
    <t xml:space="preserve"> Autres droits de stationnement et de location</t>
  </si>
  <si>
    <t xml:space="preserve"> Redevances pour appareils distributeurs d'essence</t>
  </si>
  <si>
    <t xml:space="preserve"> Péage, droits de pesage, mesurage, jaugeage</t>
  </si>
  <si>
    <t xml:space="preserve"> Locations de droits de chasse et de pêche</t>
  </si>
  <si>
    <t xml:space="preserve"> Taxes de pâturage et de tourbage</t>
  </si>
  <si>
    <t xml:space="preserve"> Contribution pour dégradation des voies et chemins</t>
  </si>
  <si>
    <t xml:space="preserve"> Autres redevances et recettes d’utilisation du domaine</t>
  </si>
  <si>
    <t xml:space="preserve"> Taxe de pavage et de trottoirs</t>
  </si>
  <si>
    <t xml:space="preserve"> Redevances de ski de fond</t>
  </si>
  <si>
    <t xml:space="preserve"> Autres redevances et recettes diverses</t>
  </si>
  <si>
    <t xml:space="preserve"> Reversements sur redevance de ski de fon</t>
  </si>
  <si>
    <t xml:space="preserve"> Travaux</t>
  </si>
  <si>
    <t xml:space="preserve"> Études</t>
  </si>
  <si>
    <t xml:space="preserve"> Prestations de services</t>
  </si>
  <si>
    <t xml:space="preserve"> Redevances d'enlèvement des ordures et des déchets</t>
  </si>
  <si>
    <t xml:space="preserve"> Redevance d’enlèvement des ordures ménagères</t>
  </si>
  <si>
    <t xml:space="preserve"> Redevance spéciale d’enlèvement des ordures</t>
  </si>
  <si>
    <t xml:space="preserve"> Abonnement ou redevance pour enlèvement des déchets industriels et commerciaux</t>
  </si>
  <si>
    <t xml:space="preserve"> Reversements sur redevances d’enlèvement des ordures et des déchets</t>
  </si>
  <si>
    <t xml:space="preserve"> Redevances et droits des services à caractère culturel</t>
  </si>
  <si>
    <t xml:space="preserve"> Redevances et droits des services à caractère sportif et de loisirs</t>
  </si>
  <si>
    <t xml:space="preserve"> A caractère sportif</t>
  </si>
  <si>
    <t xml:space="preserve"> A caractère de loisirs</t>
  </si>
  <si>
    <t xml:space="preserve"> Taxes de désinfection (services d’hygiène)</t>
  </si>
  <si>
    <t xml:space="preserve"> Droits de ports et de navigation (autres que stationnement et location)</t>
  </si>
  <si>
    <t xml:space="preserve"> Redevances et droits des services à caractère social</t>
  </si>
  <si>
    <t xml:space="preserve"> Redevances et droits des services périscolaires et d’enseignement</t>
  </si>
  <si>
    <t xml:space="preserve"> Autres redevances et droits</t>
  </si>
  <si>
    <t xml:space="preserve"> Redevances d’assainissement collectif et pour modernisation des réseaux de collecte</t>
  </si>
  <si>
    <t xml:space="preserve"> Redevance d’assainissement collectif</t>
  </si>
  <si>
    <t xml:space="preserve"> Redevance pour modernisation des réseaux de collecte</t>
  </si>
  <si>
    <t xml:space="preserve"> Reversement de la redevance pour modernisation des réseaux de collecte</t>
  </si>
  <si>
    <t xml:space="preserve"> Participations pour l'assainissement collectif</t>
  </si>
  <si>
    <t xml:space="preserve"> Location de compteurs</t>
  </si>
  <si>
    <t xml:space="preserve"> Produits des commissions pour recouvrement de la redevance d'assainissement</t>
  </si>
  <si>
    <t xml:space="preserve"> Redevances d’archéologie préventive</t>
  </si>
  <si>
    <t xml:space="preserve"> Autres prestations de services</t>
  </si>
  <si>
    <t xml:space="preserve"> Ventes de marchandises</t>
  </si>
  <si>
    <t xml:space="preserve"> Autres produits</t>
  </si>
  <si>
    <t xml:space="preserve"> Produits des services exploités dans l'intérêt du personnel</t>
  </si>
  <si>
    <t xml:space="preserve"> Commissions</t>
  </si>
  <si>
    <t xml:space="preserve"> Locations diverses (autres qu'immeubles)</t>
  </si>
  <si>
    <t xml:space="preserve"> Mise à disposition de personnel facturée</t>
  </si>
  <si>
    <t xml:space="preserve"> aux budgets annexes, régies municicipales, CCAS et caisse des écoles</t>
  </si>
  <si>
    <t xml:space="preserve"> aux autres organismes</t>
  </si>
  <si>
    <t xml:space="preserve"> Ports et frais accessoires facturés</t>
  </si>
  <si>
    <t xml:space="preserve"> Bonis sur reprises d’emballages consignés</t>
  </si>
  <si>
    <t xml:space="preserve"> par la collectivité de rattachement</t>
  </si>
  <si>
    <t xml:space="preserve"> par les budgets annexes et les régies municipales</t>
  </si>
  <si>
    <t xml:space="preserve"> par les C.C.A.S.</t>
  </si>
  <si>
    <t xml:space="preserve"> par les caisses des écoles</t>
  </si>
  <si>
    <t xml:space="preserve"> par les communes membres du GFP</t>
  </si>
  <si>
    <t xml:space="preserve"> par le GFP de rattachement</t>
  </si>
  <si>
    <t xml:space="preserve"> par d’autres redevables</t>
  </si>
  <si>
    <t xml:space="preserve"> Autres produits d'activités annexes (abonnements et vente d'ouvrages …)</t>
  </si>
  <si>
    <t xml:space="preserve"> Rabais, remises et ristournes accordés</t>
  </si>
  <si>
    <t xml:space="preserve"> sur ventes de produits finis et intermédiaires</t>
  </si>
  <si>
    <t xml:space="preserve"> sur ventes de produits résiduels</t>
  </si>
  <si>
    <t xml:space="preserve"> sur travaux</t>
  </si>
  <si>
    <t xml:space="preserve"> sur prestations de services</t>
  </si>
  <si>
    <t xml:space="preserve"> sur ventes de marchandises</t>
  </si>
  <si>
    <t xml:space="preserve"> sur produits des activités annexes</t>
  </si>
  <si>
    <t xml:space="preserve"> PRODUCTION STOCKEE (OU DESTOCKAGE)</t>
  </si>
  <si>
    <t xml:space="preserve"> Variation des stocks (en - cours de production, produits)</t>
  </si>
  <si>
    <t xml:space="preserve"> Variation des en - cours de production de biens</t>
  </si>
  <si>
    <t xml:space="preserve"> Variation des en - cours de production de services</t>
  </si>
  <si>
    <t xml:space="preserve"> Variation des stocks de produits</t>
  </si>
  <si>
    <t xml:space="preserve"> Variation des stocks de produits autres que terrains</t>
  </si>
  <si>
    <t xml:space="preserve"> Variation des stocks de terrains aménagés</t>
  </si>
  <si>
    <t xml:space="preserve"> TRAVAUX EN REGIE</t>
  </si>
  <si>
    <t xml:space="preserve"> Immobilisations incorporelles</t>
  </si>
  <si>
    <t xml:space="preserve"> Immobilisations corporelles</t>
  </si>
  <si>
    <t xml:space="preserve"> IMPÔTS ET TAXES</t>
  </si>
  <si>
    <t xml:space="preserve"> Impôts locaux</t>
  </si>
  <si>
    <t xml:space="preserve"> Contributions directes</t>
  </si>
  <si>
    <t xml:space="preserve"> Taxes foncières et d’habitation</t>
  </si>
  <si>
    <t xml:space="preserve"> Cotisations sur la valeur ajoutée des Entreprises</t>
  </si>
  <si>
    <t xml:space="preserve"> Taxe sur les surfaces commerciales</t>
  </si>
  <si>
    <t xml:space="preserve"> Impositions forfaitaires sur les entreprises de réseau</t>
  </si>
  <si>
    <t xml:space="preserve"> Autres impôts locaux ou assimilés</t>
  </si>
  <si>
    <t xml:space="preserve"> Fiscalité reversée</t>
  </si>
  <si>
    <t xml:space="preserve"> Attribution de compensation</t>
  </si>
  <si>
    <t xml:space="preserve"> Dotation de solidarité communautaire</t>
  </si>
  <si>
    <t xml:space="preserve"> F.N.G.I.R.</t>
  </si>
  <si>
    <t xml:space="preserve"> Fonds de solidarité des communes de la région Ile - de-France</t>
  </si>
  <si>
    <t xml:space="preserve"> Fonds de péréquation des ressources recettes fiscales communales et intercommunales</t>
  </si>
  <si>
    <t xml:space="preserve"> Fonds offre de logements sud Grand Paris</t>
  </si>
  <si>
    <t xml:space="preserve"> Autres reversements de fiscalité</t>
  </si>
  <si>
    <t xml:space="preserve"> Taxes pour utilisation des services publics et du domaine</t>
  </si>
  <si>
    <t xml:space="preserve"> Taxe d'enlèvement des ordures ménagères</t>
  </si>
  <si>
    <t xml:space="preserve"> Taxe de balayage</t>
  </si>
  <si>
    <t xml:space="preserve"> Taxes funéraires</t>
  </si>
  <si>
    <t xml:space="preserve"> Taxe sur les passagers</t>
  </si>
  <si>
    <t xml:space="preserve"> Droits de place</t>
  </si>
  <si>
    <t xml:space="preserve"> Droits de stationnement</t>
  </si>
  <si>
    <t xml:space="preserve"> Autres taxes</t>
  </si>
  <si>
    <t xml:space="preserve"> Taxes et participations liées à l'urbanisation et à l'environnement</t>
  </si>
  <si>
    <t xml:space="preserve"> Taxe sur les pylônes électriques</t>
  </si>
  <si>
    <t xml:space="preserve"> Taxe sur les déchets stockés</t>
  </si>
  <si>
    <t xml:space="preserve"> Taxe sur les eaux pluviales</t>
  </si>
  <si>
    <t xml:space="preserve"> Impôts et taxes spécifiques liés à la production énergétique et industrielle</t>
  </si>
  <si>
    <t xml:space="preserve"> Taxe sur l'électricité</t>
  </si>
  <si>
    <t xml:space="preserve"> Redevance des mines</t>
  </si>
  <si>
    <t xml:space="preserve"> Surtaxe sur les eaux minérales</t>
  </si>
  <si>
    <t xml:space="preserve"> Taxe sur l'énergie hydraulique</t>
  </si>
  <si>
    <t xml:space="preserve"> Impôts et taxes spécifiques liés aux activités de services</t>
  </si>
  <si>
    <t xml:space="preserve"> Taxes de séjour</t>
  </si>
  <si>
    <t xml:space="preserve"> Impôt sur les spectacles</t>
  </si>
  <si>
    <t xml:space="preserve"> Prélèvement sur les produits des jeux</t>
  </si>
  <si>
    <t xml:space="preserve"> Taxe sur les remontées mécaniques</t>
  </si>
  <si>
    <t xml:space="preserve"> Taxe locale sur la publicité extérieure</t>
  </si>
  <si>
    <t xml:space="preserve"> Impôts et taxes d'Outre - Mer</t>
  </si>
  <si>
    <t xml:space="preserve"> Taxe sur les rhums</t>
  </si>
  <si>
    <t xml:space="preserve"> Taxes sur les carburants</t>
  </si>
  <si>
    <t xml:space="preserve"> Octroi de mer</t>
  </si>
  <si>
    <t xml:space="preserve"> Autres impôts et taxes d’Outre - Mer</t>
  </si>
  <si>
    <t xml:space="preserve"> Taxe additionnelle aux droits de mutation ou à la taxe de publicité foncière</t>
  </si>
  <si>
    <t xml:space="preserve"> Permis de chasser</t>
  </si>
  <si>
    <t xml:space="preserve"> Autres taxes diverses</t>
  </si>
  <si>
    <t xml:space="preserve"> Reversements et restitutions sur impôts et taxes</t>
  </si>
  <si>
    <t xml:space="preserve"> Reversements et restitutions sur impôts locaux</t>
  </si>
  <si>
    <t xml:space="preserve"> Reversements et restitution sur contributions directes</t>
  </si>
  <si>
    <t xml:space="preserve"> Reversements conventionnels de fiscalité</t>
  </si>
  <si>
    <t xml:space="preserve"> Prélèvement au titre de l’article 55 de la loi SRU</t>
  </si>
  <si>
    <t xml:space="preserve"> Restitutions au titre des dégrèvements à la charge des collectivités locales</t>
  </si>
  <si>
    <t xml:space="preserve"> Dégrèvement de taxe foncière sur les propriétés non bâties en faveur des jeunes agriculteurs</t>
  </si>
  <si>
    <t xml:space="preserve"> Dégrèvement de taxe d’habitation sur les logements vacants</t>
  </si>
  <si>
    <t xml:space="preserve"> Dégrèvement au titre du plafonnement de la TP et de la CET sur la valeur ajoutée</t>
  </si>
  <si>
    <t xml:space="preserve"> Autres restitutions au titre de dégrèvements sur contributions directes</t>
  </si>
  <si>
    <t xml:space="preserve"> Autres reversements sur autres impôts locaux ou assimilés</t>
  </si>
  <si>
    <t xml:space="preserve"> Prélèvements pour reversement de fiscalité</t>
  </si>
  <si>
    <t xml:space="preserve"> Attributions de compensation</t>
  </si>
  <si>
    <t xml:space="preserve"> Reversement sur FNGIR</t>
  </si>
  <si>
    <t xml:space="preserve"> Reversements sur fonds d’offre de logements Grand Paris</t>
  </si>
  <si>
    <t xml:space="preserve"> Reversements de taxes et participations liées à l'urbanisation et à l'environnement</t>
  </si>
  <si>
    <t xml:space="preserve"> Reversement sur taxe de versement de transport</t>
  </si>
  <si>
    <t xml:space="preserve"> Reversement sur taxes sur les eaux pluviales</t>
  </si>
  <si>
    <t xml:space="preserve"> Reversement sur impôts sur les spectacles (CCAS)</t>
  </si>
  <si>
    <t xml:space="preserve"> Reversements, restitutions et prélèvements divers</t>
  </si>
  <si>
    <t xml:space="preserve"> DOTATIONS ET PARTICIPATIONS</t>
  </si>
  <si>
    <t xml:space="preserve"> D.G.F.</t>
  </si>
  <si>
    <t xml:space="preserve"> Dotation forfaitaire</t>
  </si>
  <si>
    <t xml:space="preserve"> Dotation d'aménagement</t>
  </si>
  <si>
    <t xml:space="preserve"> Dotation de solidarité rurale</t>
  </si>
  <si>
    <t xml:space="preserve"> Dotation de solidarité urbaine</t>
  </si>
  <si>
    <t xml:space="preserve"> Dotation d’intercommunalité</t>
  </si>
  <si>
    <t xml:space="preserve"> Dotation de compensation des groupements de communes</t>
  </si>
  <si>
    <t xml:space="preserve"> Dotation nationale de péréquation</t>
  </si>
  <si>
    <t xml:space="preserve"> D.G.F. des permanents syndicaux</t>
  </si>
  <si>
    <t xml:space="preserve"> Reversement sur D.G.F.</t>
  </si>
  <si>
    <t xml:space="preserve"> Dotations aux élus locaux</t>
  </si>
  <si>
    <t xml:space="preserve"> Dotations : régularisation de l'exercice écoulé</t>
  </si>
  <si>
    <t xml:space="preserve"> Dotation spéciale au titre des instituteurs</t>
  </si>
  <si>
    <t xml:space="preserve"> Dotation générale de décentralisation</t>
  </si>
  <si>
    <t xml:space="preserve"> Participations</t>
  </si>
  <si>
    <t xml:space="preserve"> Emplois - jeunes</t>
  </si>
  <si>
    <t xml:space="preserve"> C.C.A.S. et caisses des écoles</t>
  </si>
  <si>
    <t xml:space="preserve"> Budget communautaire et fonds structurels</t>
  </si>
  <si>
    <t xml:space="preserve"> Autres organismes</t>
  </si>
  <si>
    <t xml:space="preserve"> Autres attributions et participations</t>
  </si>
  <si>
    <t xml:space="preserve"> Attributions sur le versement représentatif d'impôt sur les spectacles</t>
  </si>
  <si>
    <t xml:space="preserve"> Compensation pour perte de taxe additionnelle aux droits de mutation ou à la taxe de publicité foncière</t>
  </si>
  <si>
    <t xml:space="preserve"> Attributions de péréquation et de compensation</t>
  </si>
  <si>
    <t xml:space="preserve"> Dotations et compensations relatives à la taxe professionnelle</t>
  </si>
  <si>
    <t xml:space="preserve"> Compensation des pertes de bases d’imposition à la taxe professionnelle</t>
  </si>
  <si>
    <t xml:space="preserve"> Dotation de compensation de la réforme de la taxe professionnelle</t>
  </si>
  <si>
    <t xml:space="preserve"> Dotation unique des compensations spécifiques à la taxe professionnelle</t>
  </si>
  <si>
    <t xml:space="preserve"> Attribution du fonds départemental de la taxe professionnelle</t>
  </si>
  <si>
    <t xml:space="preserve"> État  -  Compensation au titre de la Contribution Economique Territoriale (CVAE et CFE)</t>
  </si>
  <si>
    <t xml:space="preserve"> État  -  Compensation au titre des exonérations des taxes foncières</t>
  </si>
  <si>
    <t xml:space="preserve"> État  -  Compensation au titre des exonérations de taxe d'habitation</t>
  </si>
  <si>
    <t xml:space="preserve"> Dotations de compensation relatives à la taxe professionnelle  -  Syndicales</t>
  </si>
  <si>
    <t xml:space="preserve"> Dotations de développement</t>
  </si>
  <si>
    <t xml:space="preserve"> Dotation d’équipement des territoires ruraux</t>
  </si>
  <si>
    <t xml:space="preserve"> Dotation de développement urbain</t>
  </si>
  <si>
    <t xml:space="preserve"> Autres attributions de péréquation et de compensation</t>
  </si>
  <si>
    <t xml:space="preserve"> Dotation de recensement</t>
  </si>
  <si>
    <t xml:space="preserve"> Dotation pour les titres sécurisés</t>
  </si>
  <si>
    <t xml:space="preserve"> Dotations des arrondissements ou des communes associées</t>
  </si>
  <si>
    <t xml:space="preserve"> Dotation d’animation locale</t>
  </si>
  <si>
    <t xml:space="preserve"> Dotation d’animation locale reçue</t>
  </si>
  <si>
    <t xml:space="preserve"> Dotation d’animation locale versée</t>
  </si>
  <si>
    <t xml:space="preserve"> Dotation de gestion locale</t>
  </si>
  <si>
    <t xml:space="preserve"> Dotation de gestion locale reçue</t>
  </si>
  <si>
    <t xml:space="preserve"> Dotation de gestion locale versée</t>
  </si>
  <si>
    <t xml:space="preserve"> Reversement et restitution sur autres attributions et participations</t>
  </si>
  <si>
    <t xml:space="preserve"> AUTRES PRODUITS DE GESTION COURANTE</t>
  </si>
  <si>
    <t xml:space="preserve"> Redevances pour concessions, brevets, licences, marques, procédés, logiciels, droits et valeurs similaires</t>
  </si>
  <si>
    <t xml:space="preserve"> Revenus des immeubles</t>
  </si>
  <si>
    <t xml:space="preserve"> Reversement taxe de séjour</t>
  </si>
  <si>
    <t xml:space="preserve"> Redevance pour défaut de branchement à l’égout</t>
  </si>
  <si>
    <t xml:space="preserve"> Excédent ou déficit des budgets annexes à caractère administratif</t>
  </si>
  <si>
    <t xml:space="preserve"> Excédent des budgets annexes à caractère administratif</t>
  </si>
  <si>
    <t xml:space="preserve"> Prise en charge du déficit du budget annexe à cararctère administratif par le budget principal</t>
  </si>
  <si>
    <t xml:space="preserve"> Excédents reversés par les régies à caractère industriel et commercial</t>
  </si>
  <si>
    <t xml:space="preserve"> Régies dotées de la seule autonomie financière</t>
  </si>
  <si>
    <t xml:space="preserve"> Régies dotées de la personnalité morale</t>
  </si>
  <si>
    <t xml:space="preserve"> Redevances versées par les fermiers et concessionnaires</t>
  </si>
  <si>
    <t xml:space="preserve"> Produits divers de gestion courante</t>
  </si>
  <si>
    <t xml:space="preserve"> PRODUITS FINANCIERS</t>
  </si>
  <si>
    <t xml:space="preserve"> Produits de participations</t>
  </si>
  <si>
    <t xml:space="preserve"> Produits des autres immobilisations financières</t>
  </si>
  <si>
    <t xml:space="preserve"> Produits des autres immobilisations financières  -  encaissés à l'échéance</t>
  </si>
  <si>
    <t xml:space="preserve"> Produits des autres immobilisations financières  -  rattachement des ICNE</t>
  </si>
  <si>
    <t xml:space="preserve"> par leurs BA et régies à seule autonomie financière</t>
  </si>
  <si>
    <t xml:space="preserve"> par d’autres tiers</t>
  </si>
  <si>
    <t xml:space="preserve"> Revenus des valeurs mobilières de placement</t>
  </si>
  <si>
    <t xml:space="preserve"> Escomptes obtenus</t>
  </si>
  <si>
    <t xml:space="preserve"> Gains de change</t>
  </si>
  <si>
    <t xml:space="preserve"> Produits nets sur cessions de valeurs mobilières de placement</t>
  </si>
  <si>
    <t xml:space="preserve"> Autres produits financiers</t>
  </si>
  <si>
    <t xml:space="preserve"> PRODUITS EXCEPTIONNELS</t>
  </si>
  <si>
    <t xml:space="preserve"> Produits exceptionnels sur opérations de gestion</t>
  </si>
  <si>
    <t xml:space="preserve"> Dédits et pénalités perçus</t>
  </si>
  <si>
    <t xml:space="preserve"> Libéralités reçues</t>
  </si>
  <si>
    <t xml:space="preserve"> Recouvrement sur créances admises en non valeur</t>
  </si>
  <si>
    <t xml:space="preserve"> Dégrèvements d’impôts autres qu’impôts sur les bénéfices</t>
  </si>
  <si>
    <t xml:space="preserve"> Autres produits exceptionnels sur opérations de gestion</t>
  </si>
  <si>
    <t xml:space="preserve"> Mandats annulés (sur exercices antérieurs) ou atteints par la déchéance quadriennale</t>
  </si>
  <si>
    <t xml:space="preserve"> Subventions exceptionnelles</t>
  </si>
  <si>
    <t xml:space="preserve"> Produits des cessions d'immobilisations</t>
  </si>
  <si>
    <t xml:space="preserve"> Différences sur réalisations (négatives) reprises au compte de résultat</t>
  </si>
  <si>
    <t xml:space="preserve"> Quote - part des subventions d'investissement transférée au compte de résultat</t>
  </si>
  <si>
    <t xml:space="preserve"> Autres produits exceptionnels</t>
  </si>
  <si>
    <t xml:space="preserve"> Excédent d’investissement transféré au compte de résultat</t>
  </si>
  <si>
    <t xml:space="preserve"> Produits exceptionnels divers</t>
  </si>
  <si>
    <t xml:space="preserve"> REPRISES SUR AMORTISSEMENTS ET PROVISIONS</t>
  </si>
  <si>
    <t xml:space="preserve"> Reprises sur amortissements et provisions  -  Produits de fonctionnement courant</t>
  </si>
  <si>
    <t xml:space="preserve"> Reprises sur amortissements des immobilisations incorporelles et corporelles</t>
  </si>
  <si>
    <t xml:space="preserve"> Reprises sur provisions pour risques et charges de fonctionnement courant</t>
  </si>
  <si>
    <t xml:space="preserve"> Reprises sur provisions pour déprécia</t>
  </si>
  <si>
    <t xml:space="preserve"> Reprises sur provisions pour dépréciation des actifs circulants</t>
  </si>
  <si>
    <t xml:space="preserve"> Reprises sur provisions  -  Produits financiers</t>
  </si>
  <si>
    <t xml:space="preserve"> Reprises sur provisions pour risques et charges financiers</t>
  </si>
  <si>
    <t xml:space="preserve"> Reprises sur provisions pour dépréciation des éléments financiers</t>
  </si>
  <si>
    <t xml:space="preserve"> Reprises sur provisions  -  Produits exceptionnels</t>
  </si>
  <si>
    <t xml:space="preserve"> Reprises sur provisions réglementées (immobilisations)</t>
  </si>
  <si>
    <t xml:space="preserve"> Reprises sur autres provisions réglementées</t>
  </si>
  <si>
    <t xml:space="preserve"> Reprises sur provisions pour risques et charges exceptionnels</t>
  </si>
  <si>
    <t xml:space="preserve"> Reprises sur provisions pour dépréciations exceptionnelles</t>
  </si>
  <si>
    <t xml:space="preserve"> TRANSFERTS DE CHARGES</t>
  </si>
  <si>
    <t xml:space="preserve"> Transferts de charges de gestion courante</t>
  </si>
  <si>
    <t xml:space="preserve"> Transferts de charges financières</t>
  </si>
  <si>
    <t xml:space="preserve"> Transferts de charges exceptionnelles</t>
  </si>
  <si>
    <t>Analyse de la matrice des coûts</t>
  </si>
  <si>
    <t>v TA février 2020</t>
  </si>
  <si>
    <t>Date à renseigner</t>
  </si>
  <si>
    <t>Consignes</t>
  </si>
  <si>
    <t xml:space="preserve">À renseigner </t>
  </si>
  <si>
    <t>Liens vers la matrice (à faire)</t>
  </si>
  <si>
    <t>Calculs automatiques</t>
  </si>
  <si>
    <t>Valeurs de référence</t>
  </si>
  <si>
    <t>ETAPE 0 : CARACTERISATION de la collectivité</t>
  </si>
  <si>
    <t xml:space="preserve">Objectif : </t>
  </si>
  <si>
    <t>Décrire de façon synthétique la collectivité, son organisation et ses performances pour prendre du recul par rapport aux coûts liés à de nombreux facteurs.</t>
  </si>
  <si>
    <t>Où trouver l'information ? :</t>
  </si>
  <si>
    <r>
      <t>Dans les deux 1</t>
    </r>
    <r>
      <rPr>
        <vertAlign val="superscript"/>
        <sz val="14"/>
        <color theme="3"/>
        <rFont val="Calibri"/>
        <family val="2"/>
      </rPr>
      <t>ers</t>
    </r>
    <r>
      <rPr>
        <sz val="14"/>
        <color theme="3"/>
        <rFont val="Calibri"/>
        <family val="2"/>
      </rPr>
      <t xml:space="preserve"> onglets de l'export matrice : [PopulationEtTonnages] et [DescriptionDesServices]</t>
    </r>
  </si>
  <si>
    <t>0.1 - Présentation générale de la collectivité</t>
  </si>
  <si>
    <t>Année de la matrice étudiée</t>
  </si>
  <si>
    <t>Lors de la validation de la matrice sur SINOE®, il importe de bien intégrer les éventuelles modifications dans le tableur</t>
  </si>
  <si>
    <t>Collectivité</t>
  </si>
  <si>
    <t>Nombre de communes ou d'EPCI adhérents</t>
  </si>
  <si>
    <t>Nombre d'habitants</t>
  </si>
  <si>
    <t>Typologie d'habitat</t>
  </si>
  <si>
    <t>Adhésion à un syndicat de traitement</t>
  </si>
  <si>
    <t>Statut fiscal</t>
  </si>
  <si>
    <t>Si budget HT &lt;=&gt; assujetti ; si de la TVA acquittée &lt;=&gt; non assujetti</t>
  </si>
  <si>
    <t>Mode de financement du SPPGD</t>
  </si>
  <si>
    <t>Commentaire :</t>
  </si>
  <si>
    <t>Commenter la typologie, les évolutions de périmètres, le cas échéant l'assujetissement partiel  (expliquant une TVA sur un flux), le financement mixte  (ex. TEOM sur x communes + REOM sur x communes).</t>
  </si>
  <si>
    <t>0.2 - Niveau de service</t>
  </si>
  <si>
    <t>Recyclables hors verre</t>
  </si>
  <si>
    <t xml:space="preserve"> Déchèteries
(Haut de quai)</t>
  </si>
  <si>
    <t>Autres flux*</t>
  </si>
  <si>
    <t>Si non concerné, copier/coller les cases hachurées</t>
  </si>
  <si>
    <r>
      <t xml:space="preserve">Mode de gestion </t>
    </r>
    <r>
      <rPr>
        <sz val="14"/>
        <color theme="0"/>
        <rFont val="Calibri"/>
        <family val="2"/>
      </rPr>
      <t>(régie, prestation, mixte)</t>
    </r>
  </si>
  <si>
    <r>
      <t xml:space="preserve">Mode de collecte </t>
    </r>
    <r>
      <rPr>
        <sz val="12"/>
        <color theme="0"/>
        <rFont val="Calibri"/>
        <family val="2"/>
      </rPr>
      <t>(porte-à-porte, points d'apport volontaire, bacs de regroupement, mixte)</t>
    </r>
  </si>
  <si>
    <t>Fréquence majoritaire de collecte</t>
  </si>
  <si>
    <t>Fréquence maximale de collecte</t>
  </si>
  <si>
    <t>Mode de traitement des OMR</t>
  </si>
  <si>
    <t>Nombre de déchèteries</t>
  </si>
  <si>
    <t>*Précision sur la nature des autres flux</t>
  </si>
  <si>
    <t>*Encombrants, déchets verts, déchets des communes, déchets des professionnels…</t>
  </si>
  <si>
    <t>0.3 - Comparaison des quantités produites avec les valeurs de référence</t>
  </si>
  <si>
    <t>Ratios collectés en kg/hab./an</t>
  </si>
  <si>
    <r>
      <t xml:space="preserve">Total (DMA)
</t>
    </r>
    <r>
      <rPr>
        <sz val="14"/>
        <color theme="0"/>
        <rFont val="Calibri"/>
        <family val="2"/>
      </rPr>
      <t>hors gravats</t>
    </r>
  </si>
  <si>
    <r>
      <t xml:space="preserve">Recyclables 
</t>
    </r>
    <r>
      <rPr>
        <sz val="14"/>
        <color theme="0"/>
        <rFont val="Calibri"/>
        <family val="2"/>
      </rPr>
      <t>hors verre</t>
    </r>
  </si>
  <si>
    <r>
      <t xml:space="preserve">Déchèteries
</t>
    </r>
    <r>
      <rPr>
        <sz val="14"/>
        <color theme="0"/>
        <rFont val="Calibri"/>
        <family val="2"/>
      </rPr>
      <t>hors gravats</t>
    </r>
  </si>
  <si>
    <t xml:space="preserve">Vérification total - somme (doit être égal à 0) : </t>
  </si>
  <si>
    <t>Comparaison avec la moyenne :</t>
  </si>
  <si>
    <t>National tous milieux (moyenne pondérée)</t>
  </si>
  <si>
    <t>2 autres comparaisons peuvent être faites en dessous : afficher les lignes pour les utiliser / masquer les lignes sinon</t>
  </si>
  <si>
    <t>Ecart en kg/hab.</t>
  </si>
  <si>
    <t>Ecart en %</t>
  </si>
  <si>
    <t>Rural (médiane)</t>
  </si>
  <si>
    <t>A noter qu'un code couleur se met à jour automatiquement en fonction des résultats des écarts</t>
  </si>
  <si>
    <t>Touristique (médiane)</t>
  </si>
  <si>
    <r>
      <t xml:space="preserve">Commentaire : </t>
    </r>
    <r>
      <rPr>
        <sz val="12"/>
        <color theme="1"/>
        <rFont val="Calibri"/>
        <family val="2"/>
      </rPr>
      <t xml:space="preserve">
</t>
    </r>
  </si>
  <si>
    <t>Il est possible de masquer les bâtonnets tous flux pour un meilleur affichage du graph : clic droit / "sélectionner des données" et décocher "Tous flux"</t>
  </si>
  <si>
    <t>ETAPE 1 : Coût et financement du service public</t>
  </si>
  <si>
    <t>Combien coûte globalement le service public de gestion des déchets ? Comment est-il financé ?</t>
  </si>
  <si>
    <r>
      <t>Dans le 3</t>
    </r>
    <r>
      <rPr>
        <vertAlign val="superscript"/>
        <sz val="14"/>
        <color theme="3"/>
        <rFont val="Calibri"/>
        <family val="2"/>
      </rPr>
      <t>ème</t>
    </r>
    <r>
      <rPr>
        <sz val="14"/>
        <color theme="3"/>
        <rFont val="Calibri"/>
        <family val="2"/>
      </rPr>
      <t xml:space="preserve"> onglet de l'export matrice : [CoûtsAgrégés] -&gt;  tableau de synthèse -&gt; colonne "total"</t>
    </r>
  </si>
  <si>
    <t>La valeur en € issue du lien est automatiquement affichée en k€</t>
  </si>
  <si>
    <t>Taux de couverture</t>
  </si>
  <si>
    <t>Commenter l'équilibre ou le sous/sur-investissement (ex. pour absorber la hausse des investissements à venir...)
A noter que l'intitulé de la ligne 79 se met à jour automatiquement en fonction du "sur-financement" ou du "sous-financement"</t>
  </si>
  <si>
    <t>Mode de financement du SPGD</t>
  </si>
  <si>
    <t>ETAPE 2 : Structure du coût</t>
  </si>
  <si>
    <t>Quels sont les postes de charges et de produits ? Quel est le poids relatifs des différentes catégories de charges et de produits dans le coût du service ?</t>
  </si>
  <si>
    <r>
      <t>Dans le 3</t>
    </r>
    <r>
      <rPr>
        <vertAlign val="superscript"/>
        <sz val="14"/>
        <color theme="3"/>
        <rFont val="Calibri"/>
        <family val="2"/>
      </rPr>
      <t xml:space="preserve">ème </t>
    </r>
    <r>
      <rPr>
        <sz val="14"/>
        <color theme="3"/>
        <rFont val="Calibri"/>
        <family val="2"/>
      </rPr>
      <t>onglet de l'export matrice : [CoûtsAgrégés] -&gt; Matrice -&gt; colonne "Total"</t>
    </r>
  </si>
  <si>
    <t xml:space="preserve">2.1 - Structure du coût par poste de charges </t>
  </si>
  <si>
    <t>Charges en k€HT</t>
  </si>
  <si>
    <t>%</t>
  </si>
  <si>
    <t>Référentiel national 2019</t>
  </si>
  <si>
    <t>Structure</t>
  </si>
  <si>
    <t>Ajuster les intitulés au besoin, notamment en cas de lignes regroupées, renommer ou ajouter une ligne "Regroupement ..."</t>
  </si>
  <si>
    <t>Précollecte</t>
  </si>
  <si>
    <t>Transfert/transport</t>
  </si>
  <si>
    <t>Compter en "Traitement" et en "Total" les charges d'incinération regroupées avec la  vente d'énergie</t>
  </si>
  <si>
    <t>Traitement</t>
  </si>
  <si>
    <t>Total charges matrice en k€HT</t>
  </si>
  <si>
    <t>Contrôle de cohérence avec le total matrice (doit être égal à 0)</t>
  </si>
  <si>
    <t>Compter en "Traitement" les charges relatives aux déchets non dangereux et aux déchets dangereux</t>
  </si>
  <si>
    <t>2.2 - Structure du coût par poste de produits</t>
  </si>
  <si>
    <t>Produits en €</t>
  </si>
  <si>
    <t>Prestations à des tiers</t>
  </si>
  <si>
    <t>Soutiens</t>
  </si>
  <si>
    <t>Aides</t>
  </si>
  <si>
    <t>Total produits matrice en €</t>
  </si>
  <si>
    <t>Taux de couverture 
des charges par les produits</t>
  </si>
  <si>
    <t>ETAPE 3 : Part des dépenses de la responsabilité directe de la collectivité</t>
  </si>
  <si>
    <t>Pour les collectivités ayant la compétence collecte, quelle est la part des dépenses relevant de la responsabilité directe de la collectivité ?</t>
  </si>
  <si>
    <r>
      <t>Dans le 3</t>
    </r>
    <r>
      <rPr>
        <vertAlign val="superscript"/>
        <sz val="14"/>
        <color theme="3"/>
        <rFont val="Calibri"/>
        <family val="2"/>
      </rPr>
      <t xml:space="preserve">ème </t>
    </r>
    <r>
      <rPr>
        <sz val="14"/>
        <color theme="3"/>
        <rFont val="Calibri"/>
        <family val="2"/>
      </rPr>
      <t>onglet de l'export matrice : [CoûtsAgrégés] -&gt; Matrice -&gt; pour chaque "case" de la matrice concernant le syndicat de traitement</t>
    </r>
  </si>
  <si>
    <t>Total charges matrice HT</t>
  </si>
  <si>
    <t xml:space="preserve">Charges payées au syndicat de traitement </t>
  </si>
  <si>
    <t>Part collectivité</t>
  </si>
  <si>
    <t>Part syndicat</t>
  </si>
  <si>
    <t xml:space="preserve">Commentaire : </t>
  </si>
  <si>
    <t>ETAPE 4 : Hiérarchisation des postes de charges</t>
  </si>
  <si>
    <t>Quels sont les principaux postes de charges ?</t>
  </si>
  <si>
    <r>
      <t>Dans le 3</t>
    </r>
    <r>
      <rPr>
        <vertAlign val="superscript"/>
        <sz val="14"/>
        <color theme="3"/>
        <rFont val="Calibri"/>
        <family val="2"/>
      </rPr>
      <t>ème</t>
    </r>
    <r>
      <rPr>
        <sz val="14"/>
        <color theme="3"/>
        <rFont val="Calibri"/>
        <family val="2"/>
      </rPr>
      <t xml:space="preserve"> onglet de l'export matrice : [CoûtsAgrégés] -&gt; Matrice -&gt; par colonne et par ligne</t>
    </r>
  </si>
  <si>
    <t>Charges HT</t>
  </si>
  <si>
    <t>Ordre</t>
  </si>
  <si>
    <t>Collecte des OMR</t>
  </si>
  <si>
    <t>Ajouter les postes jusqu'à obtenir au moins 80 % des charges de la matrice.
Ajuster les intitulés au besoin, notamment en cas de lignes regroupées ou d'autres postes importants (ex. biodéchets, encombrants, gestion du passif…)
Trier enfin du plus grand au plus petit</t>
  </si>
  <si>
    <t>Traitement des OMR</t>
  </si>
  <si>
    <t>Transport/traitement des Déchèteries</t>
  </si>
  <si>
    <t>Tri des recyclables hors verre</t>
  </si>
  <si>
    <t>Collecte Déchèteries</t>
  </si>
  <si>
    <t>Total Structure</t>
  </si>
  <si>
    <t>Collecte des recyclables</t>
  </si>
  <si>
    <t>Total charges Déchets verts</t>
  </si>
  <si>
    <t>Total charges Encombrants</t>
  </si>
  <si>
    <t>Total charges Autres flux</t>
  </si>
  <si>
    <t>Total charges transport</t>
  </si>
  <si>
    <t xml:space="preserve">Total charges Pré-collecte </t>
  </si>
  <si>
    <t>Total charges Transport</t>
  </si>
  <si>
    <t>…</t>
  </si>
  <si>
    <t>Total principaux postes de charges</t>
  </si>
  <si>
    <t>Total charges matrices HT</t>
  </si>
  <si>
    <t>ETAPE 5 : Coût des différents flux de déchets et poids relatif dans le coût du service public</t>
  </si>
  <si>
    <t xml:space="preserve">Quel est le coût des différents flux de déchets dans le coût du service public et quel est le poids relatif de ces flux ?  </t>
  </si>
  <si>
    <r>
      <t>Dans le 4</t>
    </r>
    <r>
      <rPr>
        <vertAlign val="superscript"/>
        <sz val="14"/>
        <color theme="3"/>
        <rFont val="Calibri"/>
        <family val="2"/>
      </rPr>
      <t>ème</t>
    </r>
    <r>
      <rPr>
        <sz val="14"/>
        <color theme="3"/>
        <rFont val="Calibri"/>
        <family val="2"/>
      </rPr>
      <t xml:space="preserve"> onglet de l'export matrice : [CoûtsAgrégésParHabitant] -&gt; Tableau de Synthèse -&gt; Ligne Coût aidé HT -&gt; Colonne Total puis colonne par Flux</t>
    </r>
  </si>
  <si>
    <t>5.1 - Les coûts aidés en €HT/hab. des flux</t>
  </si>
  <si>
    <t>Coûts aidés en €HT/hab./an</t>
  </si>
  <si>
    <t>Tous flux</t>
  </si>
  <si>
    <t xml:space="preserve"> Déchèteries</t>
  </si>
  <si>
    <t>Autres flux</t>
  </si>
  <si>
    <r>
      <t xml:space="preserve">Vérification total - somme 
</t>
    </r>
    <r>
      <rPr>
        <i/>
        <sz val="12"/>
        <color theme="0"/>
        <rFont val="Calibri"/>
        <family val="2"/>
      </rPr>
      <t>(doit être égal à 0)</t>
    </r>
  </si>
  <si>
    <t>5.2 - Les coûts aidés en €HT/tonne des flux</t>
  </si>
  <si>
    <t>Des comparaisons peuvent être faites en dessous : afficher les lignes pour les utiliser.
Sinon, masquer les lignes.</t>
  </si>
  <si>
    <t>Coût aidé en €HT/tonne</t>
  </si>
  <si>
    <t>Comparaison avec la moyenne (pondérée) :</t>
  </si>
  <si>
    <t>Grand Est</t>
  </si>
  <si>
    <t>Ecart à la moyenne en €/tonne</t>
  </si>
  <si>
    <t>Ecart à la moyenne en %</t>
  </si>
  <si>
    <t xml:space="preserve">Grand Est Avec collecte biodéchets </t>
  </si>
  <si>
    <t>ETAPE 6 : Comparaison des coûts aidés en €HT/habitant et des €HT/tonne des différents flux de déchets avec les valeurs de référence</t>
  </si>
  <si>
    <t>Quel est le positionnement de la collectivité par rapport aux coûts de gestion des déchets observés au niveau national ? Quels sont les leviers de maîtrise des coûts ?</t>
  </si>
  <si>
    <t>6.1 - Comparaison des coûts aidés en €HT/habitant avec les valeurs de référence</t>
  </si>
  <si>
    <r>
      <t xml:space="preserve">Recyclables 
</t>
    </r>
    <r>
      <rPr>
        <sz val="12"/>
        <color theme="0"/>
        <rFont val="Calibri"/>
        <family val="2"/>
      </rPr>
      <t>hors verre</t>
    </r>
  </si>
  <si>
    <t>Comparaison avec la moyenne (pondérée)</t>
  </si>
  <si>
    <t>Mixte à dominante rurale (médiane)</t>
  </si>
  <si>
    <t>Des comparaisons à 3 types de valeurs de référence peuvent être faites. Si vous comparez vos données à un seul type de valeurs de référence, masquer les lignes non utilisées.</t>
  </si>
  <si>
    <t>Ecart à la moyenne en €/hab.</t>
  </si>
  <si>
    <t>Urbain - Urbain Dense (médiane)</t>
  </si>
  <si>
    <t>6.2 - Comparaison des coûts aidés en €HT/tonne avec les valeurs de référence</t>
  </si>
  <si>
    <t>Mixte à dominante urbaine (médiane)</t>
  </si>
  <si>
    <t>ETAPE 7 : Évolution des coûts sur plusieurs années</t>
  </si>
  <si>
    <t>Quelle est l'évolution des coûts et l'évolution des performances sur plusieurs années ?</t>
  </si>
  <si>
    <r>
      <t>Dans l'export Historique des coûts de SINOE</t>
    </r>
    <r>
      <rPr>
        <vertAlign val="superscript"/>
        <sz val="14"/>
        <color theme="3"/>
        <rFont val="Calibri"/>
        <family val="2"/>
      </rPr>
      <t>©</t>
    </r>
    <r>
      <rPr>
        <sz val="14"/>
        <color theme="3"/>
        <rFont val="Calibri"/>
        <family val="2"/>
      </rPr>
      <t xml:space="preserve">  : [ExportHistoriqueCoûts] -&gt; Ligne Population -&gt; Colonne Total pour la population de chaque année concernée ; Ligne Ratio en kg collecté/habitant -&gt; pour chaque colonne et pour chaque année considérée; Ligne Coût aidé HT Coût par habitant pour chaque colonne et pour chaque année considérée</t>
    </r>
  </si>
  <si>
    <t>7.1 Évolution de la population sur plusieurs années</t>
  </si>
  <si>
    <t>Masquer les années sans données pour ajuster le graphique</t>
  </si>
  <si>
    <t>Année</t>
  </si>
  <si>
    <t>Population</t>
  </si>
  <si>
    <t>Attention dans l'analyse des ratios en kg/hab. et en €/hab. à tenir compte de l'évolution de la population qui peut avoir un impact important</t>
  </si>
  <si>
    <t>7.2 Évolution des performances sur plusieurs années</t>
  </si>
  <si>
    <r>
      <t xml:space="preserve"> Déchèteries
</t>
    </r>
    <r>
      <rPr>
        <sz val="12"/>
        <color theme="0"/>
        <rFont val="Calibri"/>
        <family val="2"/>
      </rPr>
      <t>hors gravats</t>
    </r>
  </si>
  <si>
    <t>7.3 Évolution des coûts aidés en €HT/hab. sur plusieurs années</t>
  </si>
  <si>
    <t>Analyse approfondie</t>
  </si>
  <si>
    <t>Pour approfondir l'analyse, comparer les cases des matrices €/hab. et €/tonne par rapport aux valeurs moyennes du référentiel, pour cibler les postes s'écartant le plus des moyennes</t>
  </si>
  <si>
    <t>Identifier dans un 1er temps par rapport référentiel des coûts, les flux qui sécartent beaucoup du référentiel (en €/hab.) [voir étape 6], puis identifier pour ces flux les étapes techniques concernées (en €/t) [voir étape 6]
Se référer à la matrice €/hab. et €/t du référentiel pour cet exercice</t>
  </si>
  <si>
    <t>Données du référentiel</t>
  </si>
  <si>
    <t>Copier par-dessus les tableaux ci-dessous lors de la mise à jour des données par l'ADEME</t>
  </si>
  <si>
    <t>Nombre 
échantillon</t>
  </si>
  <si>
    <r>
      <t xml:space="preserve">Total DMA
</t>
    </r>
    <r>
      <rPr>
        <sz val="12"/>
        <rFont val="Calibri"/>
        <family val="2"/>
      </rPr>
      <t>(hors gravats)</t>
    </r>
  </si>
  <si>
    <r>
      <t xml:space="preserve">Recyclables 
</t>
    </r>
    <r>
      <rPr>
        <sz val="12"/>
        <rFont val="Calibri"/>
        <family val="2"/>
      </rPr>
      <t>hors verre</t>
    </r>
  </si>
  <si>
    <r>
      <t xml:space="preserve">Déchèterie
</t>
    </r>
    <r>
      <rPr>
        <sz val="12"/>
        <rFont val="Calibri"/>
        <family val="2"/>
      </rPr>
      <t>(hors gravats)</t>
    </r>
  </si>
  <si>
    <t>Liste des menus déroulants</t>
  </si>
  <si>
    <t>Référentiels</t>
  </si>
  <si>
    <t>TVA</t>
  </si>
  <si>
    <t>Modes de gestion</t>
  </si>
  <si>
    <t>Schémas/modes de collecte</t>
  </si>
  <si>
    <t>Fréquence de collecte</t>
  </si>
  <si>
    <t>Mode de traitement OMR</t>
  </si>
  <si>
    <t>Mode de financement</t>
  </si>
  <si>
    <t>Assujetti 
(budget HT)</t>
  </si>
  <si>
    <t>Régie</t>
  </si>
  <si>
    <t>Multimatériaux en PAP</t>
  </si>
  <si>
    <t>C0,25</t>
  </si>
  <si>
    <t>Non assujetti</t>
  </si>
  <si>
    <t>Prestation</t>
  </si>
  <si>
    <t>Multimatériaux  en PAV</t>
  </si>
  <si>
    <t>C0,5</t>
  </si>
  <si>
    <t>Assujetti partiel</t>
  </si>
  <si>
    <t xml:space="preserve">Mixte </t>
  </si>
  <si>
    <t>Multimatériaux en PAP/PAV</t>
  </si>
  <si>
    <t>C1</t>
  </si>
  <si>
    <t>Tri mécano-
biologique</t>
  </si>
  <si>
    <t>Budget général</t>
  </si>
  <si>
    <t>Multimatériaux en bac de regroupement</t>
  </si>
  <si>
    <t>Mixte (stockage/UIOM)</t>
  </si>
  <si>
    <t>Redevance incitative</t>
  </si>
  <si>
    <t>Corps creux/corps plats en PAP</t>
  </si>
  <si>
    <t>C2</t>
  </si>
  <si>
    <t>Taxe incitative</t>
  </si>
  <si>
    <t>Corps creux/corps plats en PAV</t>
  </si>
  <si>
    <t>C3</t>
  </si>
  <si>
    <t>Modes de collecte OMR / Verre</t>
  </si>
  <si>
    <t>Corps creux/corps plats en PAP/PAV</t>
  </si>
  <si>
    <t>C4</t>
  </si>
  <si>
    <t>Mixte</t>
  </si>
  <si>
    <t>PAP</t>
  </si>
  <si>
    <t>CC/CP en bacs de regroupement</t>
  </si>
  <si>
    <t>C5</t>
  </si>
  <si>
    <t>PAV</t>
  </si>
  <si>
    <t>Emballages/papiers en PAP</t>
  </si>
  <si>
    <t>C6</t>
  </si>
  <si>
    <t>Mixte (PAP/PAV)</t>
  </si>
  <si>
    <t>Emballages/papiers en AV</t>
  </si>
  <si>
    <t>Bacs de regroupement</t>
  </si>
  <si>
    <t>Emballages/papiers en PAP/PAV</t>
  </si>
  <si>
    <t>Emballages/papiers en bacs de regroupement</t>
  </si>
  <si>
    <t>Mixte en PAP</t>
  </si>
  <si>
    <t>Mixte en PAV</t>
  </si>
  <si>
    <t>Mixte en PAP/PAV</t>
  </si>
  <si>
    <t>Mixte en bacs de regroupement</t>
  </si>
  <si>
    <t>Identifier les charges et produits à intégrer dans la matrice</t>
  </si>
  <si>
    <t>Source d'information</t>
  </si>
  <si>
    <t>Explication</t>
  </si>
  <si>
    <t>Date</t>
  </si>
  <si>
    <t>Recette / Dépense</t>
  </si>
  <si>
    <t>Objet</t>
  </si>
  <si>
    <t>N° bordereau</t>
  </si>
  <si>
    <t>N° pièces</t>
  </si>
  <si>
    <t>Chapitre</t>
  </si>
  <si>
    <t>Compte</t>
  </si>
  <si>
    <t>Services</t>
  </si>
  <si>
    <t>Tiers</t>
  </si>
  <si>
    <t>Saisie libre1</t>
  </si>
  <si>
    <t>Saisie libre2</t>
  </si>
  <si>
    <t>Saisie libre3</t>
  </si>
  <si>
    <t>Saisie libre4</t>
  </si>
  <si>
    <t>Saisie libre5</t>
  </si>
  <si>
    <t>Saisie libre6</t>
  </si>
  <si>
    <t>Saisie libre7</t>
  </si>
  <si>
    <t>Réalisé (€TTC)</t>
  </si>
  <si>
    <t>Réalisé (€HT)</t>
  </si>
  <si>
    <t>Statut des données</t>
  </si>
  <si>
    <t>Affectation matrice</t>
  </si>
  <si>
    <t>Taux TVA automatique</t>
  </si>
  <si>
    <t>Taux TVA modifié</t>
  </si>
  <si>
    <t>Montant (€HT)</t>
  </si>
  <si>
    <t>Coefficient de déduction</t>
  </si>
  <si>
    <t>FCTVA sur charges de fonctionnement</t>
  </si>
  <si>
    <t>TVA initiale</t>
  </si>
  <si>
    <t>TVA récupérée</t>
  </si>
  <si>
    <t>Réalisé pour contrôle CA</t>
  </si>
  <si>
    <t>(vide)</t>
  </si>
  <si>
    <t>Étiquettes de colonnes</t>
  </si>
  <si>
    <t>Somme de Réalisé (€TTC)</t>
  </si>
  <si>
    <t>Somme de Montant (€HT)</t>
  </si>
  <si>
    <t>Étiquettes de lignes</t>
  </si>
  <si>
    <t>Répartir les charges et produits à intégrer dans la matrice</t>
  </si>
  <si>
    <t>CALCUL DES CLES</t>
  </si>
  <si>
    <t>Pourcentages</t>
  </si>
  <si>
    <t>Intitulé</t>
  </si>
  <si>
    <t>Ligne matrice</t>
  </si>
  <si>
    <t>Répartition en fonction de …</t>
  </si>
  <si>
    <t>Répartir les charges et produits à intégrer dans la matrice : montants à répartir sur plusieurs lignes - 1</t>
  </si>
  <si>
    <t>Montants répartis</t>
  </si>
  <si>
    <t>POURCENTAGES</t>
  </si>
  <si>
    <t>TVA répartie</t>
  </si>
  <si>
    <t>TOTAL</t>
  </si>
  <si>
    <t>Clés de répartition issues de l'onglet "4 - Codes matrice"</t>
  </si>
  <si>
    <t>Tonnages de référence issus de l'onglet "2 - Matrice finale"</t>
  </si>
  <si>
    <t>Répartir les charges et produits à intégrer dans la matrice : montants à répartir sur plusieurs lignes - 2</t>
  </si>
  <si>
    <t>Répartir les charges et produits à intégrer dans la matrice : montants à répartir sur plusieurs lignes - 3</t>
  </si>
  <si>
    <t>Répartir les charges et produits à intégrer dans la matrice : montants à répartir sur plusieurs lignes - 4</t>
  </si>
  <si>
    <t>Répartir les charges et produits à intégrer dans la matrice : montants à répartir sur plusieurs lignes - salaires</t>
  </si>
  <si>
    <t>Salarié 1</t>
  </si>
  <si>
    <t>Salarié 2</t>
  </si>
  <si>
    <t>Salarié 3</t>
  </si>
  <si>
    <t>Salarié 4</t>
  </si>
  <si>
    <t>Salarié 5</t>
  </si>
  <si>
    <t>Salarié 6</t>
  </si>
  <si>
    <t>Salarié 7</t>
  </si>
  <si>
    <t>Salarié 8</t>
  </si>
  <si>
    <t>Salarié 9</t>
  </si>
  <si>
    <t>Salarié 10</t>
  </si>
  <si>
    <t>Salarié 11</t>
  </si>
  <si>
    <t>Salarié 12</t>
  </si>
  <si>
    <t>Salarié 13</t>
  </si>
  <si>
    <t>Salarié 14</t>
  </si>
  <si>
    <t>Salarié 15</t>
  </si>
  <si>
    <t>Salarié 16</t>
  </si>
  <si>
    <t>Salarié 17</t>
  </si>
  <si>
    <t>Salarié 18</t>
  </si>
  <si>
    <t>Salarié 19</t>
  </si>
  <si>
    <t>Salarié 20</t>
  </si>
  <si>
    <t>Salarié 21</t>
  </si>
  <si>
    <t>Répartir les soutiens pour les emballages</t>
  </si>
  <si>
    <t>Montant total</t>
  </si>
  <si>
    <t>Soutien à la collecte sélective (SCS)</t>
  </si>
  <si>
    <t>Acier CS</t>
  </si>
  <si>
    <t>Aluminium</t>
  </si>
  <si>
    <t>Aluminium souples</t>
  </si>
  <si>
    <t>PCM</t>
  </si>
  <si>
    <t>PCNC</t>
  </si>
  <si>
    <t>PCC</t>
  </si>
  <si>
    <t>Plastiques</t>
  </si>
  <si>
    <t>TOTAL SCS</t>
  </si>
  <si>
    <t>Répartition</t>
  </si>
  <si>
    <t>Soutien au recyclage des matériaux récupérés hors collecte sélective (SRM)</t>
  </si>
  <si>
    <t>Acier issus de mâchefers</t>
  </si>
  <si>
    <t>Aluminium issus de mâchefers</t>
  </si>
  <si>
    <t>Acier issus de traitement mécano biologique</t>
  </si>
  <si>
    <t>Aluminium issus de traitement mécano biologique</t>
  </si>
  <si>
    <t>TOTAL SRM</t>
  </si>
  <si>
    <t>Soutien aux autres formes de valorisation (SAV)</t>
  </si>
  <si>
    <t>P/C compost (uniquement DOM)</t>
  </si>
  <si>
    <t>Soutien à la valo. énerg. des refus de tri (SVE Refus)</t>
  </si>
  <si>
    <t>Soutien à la valo. énerg. des OMR (SVE OMR)</t>
  </si>
  <si>
    <t>TOTAL SAV</t>
  </si>
  <si>
    <t>Soutien à l'action de sensibilisation (SAS)</t>
  </si>
  <si>
    <t>Soutien à la connaissance des coûts (SCC)</t>
  </si>
  <si>
    <t>Soutien de transition / Contrat d'objectif</t>
  </si>
  <si>
    <t>Total éco-organisme</t>
  </si>
  <si>
    <t>Répartition générale</t>
  </si>
  <si>
    <t>Calculer les charges à caractère général</t>
  </si>
  <si>
    <t xml:space="preserve">Administration générale
Personnel </t>
  </si>
  <si>
    <t>Total masse salariale</t>
  </si>
  <si>
    <t>% sur l'activité 
déchets</t>
  </si>
  <si>
    <t>Montant affecté €HT
aux déchets</t>
  </si>
  <si>
    <t>Comptable</t>
  </si>
  <si>
    <t>Secrétaire</t>
  </si>
  <si>
    <t>Agent d'entretien</t>
  </si>
  <si>
    <t>Directeur</t>
  </si>
  <si>
    <t>Gestionnaire du personnel</t>
  </si>
  <si>
    <t>Technicien déchets</t>
  </si>
  <si>
    <t>Frais généraux</t>
  </si>
  <si>
    <t>Total charges €TTC</t>
  </si>
  <si>
    <t>Total charges €HT</t>
  </si>
  <si>
    <t>Montant HT affecté aux déchets</t>
  </si>
  <si>
    <t>TVA affectée aux déchets</t>
  </si>
  <si>
    <t>Eau bureaux</t>
  </si>
  <si>
    <t>Electricité bureaux</t>
  </si>
  <si>
    <t>Loyer ou amortissement si propriétaire (cf onglet Amortissement)</t>
  </si>
  <si>
    <t>Télécom</t>
  </si>
  <si>
    <t>Fourniture administrative</t>
  </si>
  <si>
    <t>Assurances</t>
  </si>
  <si>
    <t xml:space="preserve">Total collectivité </t>
  </si>
  <si>
    <t>Montant affecté aux déchets</t>
  </si>
  <si>
    <t>Indemnités élus</t>
  </si>
  <si>
    <t>Total HT</t>
  </si>
  <si>
    <t>Total TVA</t>
  </si>
  <si>
    <t>Total TTC</t>
  </si>
  <si>
    <t>Taux de TVA moyen</t>
  </si>
  <si>
    <t>Procéder aux retraitements extra-comptables : amortissements, reprises de subventions d'investissement et TVA sur les investissements</t>
  </si>
  <si>
    <t>Durée d'amortissement utilisée dans la matrice</t>
  </si>
  <si>
    <t>ADEME</t>
  </si>
  <si>
    <t>N° INVENTAIRE</t>
  </si>
  <si>
    <t>N° FICHE</t>
  </si>
  <si>
    <t>DÉSIGNATION</t>
  </si>
  <si>
    <t>ANNEE INVESTISSEMENT</t>
  </si>
  <si>
    <t>DURÉE D'AMORTISSEMENT COLLECTIVITE</t>
  </si>
  <si>
    <t>DURÉE D'AMORTISSEMENT ADEME</t>
  </si>
  <si>
    <t>Saisie libre 1</t>
  </si>
  <si>
    <t>Saisie libre 2</t>
  </si>
  <si>
    <t>VALEUR BRUTE (€TTC)</t>
  </si>
  <si>
    <t>VALEUR BRUTE (€HT)</t>
  </si>
  <si>
    <t>Taux FCTVA</t>
  </si>
  <si>
    <t>Montant HT</t>
  </si>
  <si>
    <t>Montant global FCTVA</t>
  </si>
  <si>
    <t>Durée d'amortissement</t>
  </si>
  <si>
    <t>Fin amortissement</t>
  </si>
  <si>
    <t>Amortissement en cours</t>
  </si>
  <si>
    <t>Amortissement HT</t>
  </si>
  <si>
    <t>Amortissement TTC</t>
  </si>
  <si>
    <t>FCTVA Annualisé</t>
  </si>
  <si>
    <t>TVA payée</t>
  </si>
  <si>
    <t>Avec emprunt</t>
  </si>
  <si>
    <t>Répartition des amortissements</t>
  </si>
  <si>
    <t>Intérêts répartis</t>
  </si>
  <si>
    <t>Amortissement HT + intérêts</t>
  </si>
  <si>
    <t>TVA initiale - FCTVA</t>
  </si>
  <si>
    <t>Somme de Amortissement HT</t>
  </si>
  <si>
    <t>Rédiger les procédures et expliquer écarts/CA</t>
  </si>
  <si>
    <t>CA TTC (ou HT pour les collectivités assujetties)</t>
  </si>
  <si>
    <t>Matrice HT</t>
  </si>
  <si>
    <t>Commentaires</t>
  </si>
  <si>
    <t>TOTAL DES CHARGES</t>
  </si>
  <si>
    <t>Charges TTC (ou HT selon assujettissement) figurant au CA mais non prises en compte
dans la matrice (à déduire)</t>
  </si>
  <si>
    <t>Charges HT ne figurant pas au CA mais prises en compte
dans la matrice (à ajouter)</t>
  </si>
  <si>
    <t>Onglet 3 - Charges non incorporables</t>
  </si>
  <si>
    <t>Onglet 3 - Atténuations de produits</t>
  </si>
  <si>
    <t>Onglet 3 - TVA acquittée</t>
  </si>
  <si>
    <t>Onglet 3 - Atténuations de charges</t>
  </si>
  <si>
    <t>Onglet 3 - Charges supplétives</t>
  </si>
  <si>
    <t>Onglet 6 - Amortissements extra-comptables</t>
  </si>
  <si>
    <t>Ecart matrice/CA non expliqué</t>
  </si>
  <si>
    <t>Produits</t>
  </si>
  <si>
    <t>TOTAL DES PRODUITS</t>
  </si>
  <si>
    <t>Recettes figurant au CA mais
non prises en compte dans la
matrice (à déduire)</t>
  </si>
  <si>
    <t>Recettes ne figurant pas au CA mais prises en compte
dans la matrice (à ajouter)</t>
  </si>
  <si>
    <t>Onglet 3 - Produits non incorporables</t>
  </si>
  <si>
    <t>Onglet 3 - Produits supplétifs</t>
  </si>
  <si>
    <t>Onglet 6 - Reprises de subventions extra-comptables</t>
  </si>
  <si>
    <t>La notice détaillée (avec illustrations) est téléchargeable ici</t>
  </si>
  <si>
    <t>Ventes de produits ou d'énergie</t>
  </si>
  <si>
    <t>ajouter d'autres champs en E371</t>
  </si>
  <si>
    <t>sur rdv</t>
  </si>
  <si>
    <t>Typologie</t>
  </si>
  <si>
    <t>Rural</t>
  </si>
  <si>
    <t>Mixte à dominante rurale</t>
  </si>
  <si>
    <t>Mixte à dominante urbaine</t>
  </si>
  <si>
    <t>Urbain - Urbain Dense</t>
  </si>
  <si>
    <t>Touristique</t>
  </si>
  <si>
    <t>Pour changer les listes déroulantes (en bas du tableau, ligne 360 ) : aller dans "Données"/"Validation des données" et ajuster la plage de la liste</t>
  </si>
  <si>
    <t>Saisie libre d'éléments utiles pour des clés de répartition, à actualiser tous les ans</t>
  </si>
  <si>
    <r>
      <t xml:space="preserve">Fichier de travail - Version automatique
</t>
    </r>
    <r>
      <rPr>
        <b/>
        <sz val="12"/>
        <color rgb="FFEF6B35"/>
        <rFont val="Arial"/>
        <family val="2"/>
      </rPr>
      <t xml:space="preserve">Fichier vierge à enregistrer
</t>
    </r>
    <r>
      <rPr>
        <b/>
        <sz val="10"/>
        <color rgb="FF464599"/>
        <rFont val="Arial"/>
        <family val="2"/>
      </rPr>
      <t>Fichier réalisé pour le compte de l'ADEME par Awiplan SARL
Version septembre 2021</t>
    </r>
  </si>
  <si>
    <t>Version 2021/09</t>
  </si>
  <si>
    <t>Mise à jour du patch analyses avec référentiel données 2018</t>
  </si>
  <si>
    <t>Référentiel national ADEME 2021 (Données 2018) - Ratio kg/hab.</t>
  </si>
  <si>
    <t>Déchets verts (1)</t>
  </si>
  <si>
    <t>Encombrants (3)</t>
  </si>
  <si>
    <t>Biodéchets (4)</t>
  </si>
  <si>
    <t>(1) Déchets verts : médiane même pour le national tous milieux</t>
  </si>
  <si>
    <t>(2) Déchets verts : 60 collectivités - collectes au PAP uniquement - pas de détail par typologie d'habitat</t>
  </si>
  <si>
    <t>(3) Encombrants : 42 collectivités - collectes au PAP 1 à 4 */an uniquement - pas de détail par typologie d'habitat</t>
  </si>
  <si>
    <t>(4) Biodéchets : 33 collectivités - collectes au PAP uniquement - pas de détail par typologie d'habitat</t>
  </si>
  <si>
    <t>Référentiel national ADEME 2021 (Données 2018) Ratio Coût aidé €HT/hab.</t>
  </si>
  <si>
    <t>Déchets verts (2)</t>
  </si>
  <si>
    <t>Référentiel national ADEME 2021 (Données 2018) Ratio Coût aidé €HT/t.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</si>
</sst>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44" formatCode="_-* #,##0.00\ &quot;€&quot;_-;\-* #,##0.00\ &quot;€&quot;_-;_-* &quot;-&quot;??\ &quot;€&quot;_-;_-@_-"/>
    <numFmt numFmtId="164" formatCode="_-* #,##0.00\ _€_-;\-* #,##0.00\ _€_-;_-* &quot;-&quot;??\ _€_-;_-@_-"/>
    <numFmt numFmtId="165" formatCode="_-* #,##0.00\ _F_-;\-* #,##0.00\ _F_-;_-* &quot;-&quot;??\ _F_-;_-@_-"/>
    <numFmt numFmtId="166" formatCode="&quot;Année &quot;0"/>
    <numFmt numFmtId="167" formatCode="_-* #,##0.0\ _€_-;\-* #,##0.0\ _€_-;_-* &quot;-&quot;?\ _€_-;_-@_-"/>
    <numFmt numFmtId="168" formatCode="0.0%"/>
    <numFmt numFmtId="169" formatCode="0.000%"/>
    <numFmt numFmtId="170" formatCode="_-* #,##0\ _€_-;\-* #,##0\ _€_-;_-* &quot;-&quot;?\ _€_-;_-@_-"/>
    <numFmt numFmtId="171" formatCode="_-* #,##0\ _F_-;\-* #,##0\ _F_-;_-* &quot;-&quot;??\ _F_-;_-@_-"/>
    <numFmt numFmtId="172" formatCode="_-* #,##0\ &quot;€&quot;_-;\-* #,##0\ &quot;€&quot;_-;_-* &quot;-&quot;??\ &quot;€&quot;_-;_-@_-"/>
    <numFmt numFmtId="173" formatCode="_-\ #,##0\ [$€-40C]_-;\-\ #,##0\ [$€-40C]_-;_-* &quot;-&quot;??\ [$€-40C]_-;_-@_-"/>
    <numFmt numFmtId="174" formatCode="#,##0.00\ &quot;€&quot;"/>
    <numFmt numFmtId="175" formatCode="#,##0,&quot; k€&quot;"/>
    <numFmt numFmtId="176" formatCode="#,##0\ &quot;€&quot;"/>
    <numFmt numFmtId="177" formatCode="#,##0&quot; kg/hab.&quot;"/>
    <numFmt numFmtId="178" formatCode="#,##0&quot; €HT/hab.&quot;"/>
    <numFmt numFmtId="179" formatCode="#,##0.0&quot; €HT/hab.&quot;"/>
    <numFmt numFmtId="180" formatCode="#,##0&quot; €HT/t&quot;"/>
    <numFmt numFmtId="181" formatCode="#,##0&quot; €HT/tonne&quot;"/>
    <numFmt numFmtId="182" formatCode="#,##0,\k&quot;€&quot;"/>
    <numFmt numFmtId="183" formatCode="#,##0&quot; hab.&quot;"/>
    <numFmt numFmtId="184" formatCode="#,##0&quot; €TTC/hab.&quot;"/>
    <numFmt numFmtId="185" formatCode="_-* #,##0.00\ [$€]_-;\-* #,##0.00\ [$€]_-;_-* &quot;-&quot;??\ [$€]_-;_-@_-"/>
    <numFmt numFmtId="186" formatCode="0.00_)"/>
    <numFmt numFmtId="187" formatCode="#,##0.0,&quot; k€&quot;"/>
    <numFmt numFmtId="188" formatCode="\ #,##0.00\ [$€-40C]\ ;\-#,##0.00\ [$€-40C]\ ;&quot; -&quot;00\ [$€-40C]\ ;@\ "/>
    <numFmt numFmtId="189" formatCode="[$-40C]mmm\-yy;@"/>
  </numFmts>
  <fonts count="108" x14ac:knownFonts="1">
    <font>
      <sz val="10"/>
      <name val="Arial"/>
    </font>
    <font>
      <sz val="11"/>
      <color theme="1"/>
      <name val="Calibri"/>
      <family val="2"/>
      <scheme val="minor"/>
    </font>
    <font>
      <sz val="11"/>
      <color theme="1"/>
      <name val="Calibri"/>
      <family val="2"/>
      <scheme val="minor"/>
    </font>
    <font>
      <sz val="10"/>
      <color theme="1"/>
      <name val="Trebuchet MS"/>
      <family val="2"/>
    </font>
    <font>
      <sz val="10"/>
      <name val="Arial"/>
      <family val="2"/>
    </font>
    <font>
      <sz val="9"/>
      <name val="Tahoma"/>
      <family val="2"/>
    </font>
    <font>
      <sz val="8"/>
      <name val="Tahoma"/>
      <family val="2"/>
    </font>
    <font>
      <b/>
      <sz val="10"/>
      <name val="Tahoma"/>
      <family val="2"/>
    </font>
    <font>
      <b/>
      <sz val="9"/>
      <name val="Tahoma"/>
      <family val="2"/>
    </font>
    <font>
      <b/>
      <sz val="12"/>
      <color indexed="23"/>
      <name val="Tahoma"/>
      <family val="2"/>
    </font>
    <font>
      <b/>
      <sz val="16"/>
      <name val="Tahoma"/>
      <family val="2"/>
    </font>
    <font>
      <sz val="10"/>
      <name val="Tahoma"/>
      <family val="2"/>
    </font>
    <font>
      <sz val="10"/>
      <name val="Arial"/>
      <family val="2"/>
    </font>
    <font>
      <sz val="10"/>
      <name val="Arial"/>
      <family val="2"/>
    </font>
    <font>
      <sz val="10"/>
      <name val="Arial"/>
      <family val="2"/>
    </font>
    <font>
      <b/>
      <sz val="10"/>
      <color theme="0" tint="-0.499984740745262"/>
      <name val="Tahoma"/>
      <family val="2"/>
    </font>
    <font>
      <sz val="10"/>
      <color theme="0" tint="-0.499984740745262"/>
      <name val="Tahoma"/>
      <family val="2"/>
    </font>
    <font>
      <sz val="8"/>
      <name val="MS Sans Serif"/>
      <family val="2"/>
    </font>
    <font>
      <b/>
      <sz val="9"/>
      <color theme="0"/>
      <name val="Tahoma"/>
      <family val="2"/>
    </font>
    <font>
      <sz val="9"/>
      <color indexed="81"/>
      <name val="Tahoma"/>
      <family val="2"/>
    </font>
    <font>
      <sz val="11"/>
      <color theme="1"/>
      <name val="Calibri"/>
      <family val="2"/>
      <scheme val="minor"/>
    </font>
    <font>
      <sz val="11"/>
      <color rgb="FFFF0000"/>
      <name val="Calibri"/>
      <family val="2"/>
      <scheme val="minor"/>
    </font>
    <font>
      <sz val="10"/>
      <color theme="5"/>
      <name val="Tahoma"/>
      <family val="2"/>
    </font>
    <font>
      <b/>
      <sz val="18"/>
      <color theme="3"/>
      <name val="Cambria"/>
      <family val="2"/>
      <scheme val="major"/>
    </font>
    <font>
      <sz val="11"/>
      <color theme="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9"/>
      <color indexed="81"/>
      <name val="Tahoma"/>
      <family val="2"/>
    </font>
    <font>
      <sz val="10"/>
      <name val="Arial"/>
      <family val="2"/>
    </font>
    <font>
      <b/>
      <sz val="10"/>
      <name val="Arial"/>
      <family val="2"/>
    </font>
    <font>
      <sz val="10"/>
      <color theme="1"/>
      <name val="Arial"/>
      <family val="2"/>
    </font>
    <font>
      <b/>
      <sz val="10"/>
      <color theme="1"/>
      <name val="Arial"/>
      <family val="2"/>
    </font>
    <font>
      <sz val="10"/>
      <color theme="0"/>
      <name val="Arial"/>
      <family val="2"/>
    </font>
    <font>
      <sz val="11"/>
      <color theme="1"/>
      <name val="Arial"/>
      <family val="2"/>
    </font>
    <font>
      <b/>
      <sz val="14"/>
      <color rgb="FFEF6B35"/>
      <name val="Arial"/>
      <family val="2"/>
    </font>
    <font>
      <b/>
      <sz val="12"/>
      <name val="Arial"/>
      <family val="2"/>
    </font>
    <font>
      <b/>
      <sz val="12"/>
      <color theme="0"/>
      <name val="Arial"/>
      <family val="2"/>
    </font>
    <font>
      <sz val="12"/>
      <color theme="0"/>
      <name val="Arial"/>
      <family val="2"/>
    </font>
    <font>
      <b/>
      <sz val="12"/>
      <color rgb="FF464599"/>
      <name val="Arial"/>
      <family val="2"/>
    </font>
    <font>
      <sz val="10"/>
      <color rgb="FFFF0000"/>
      <name val="Arial"/>
      <family val="2"/>
    </font>
    <font>
      <sz val="10"/>
      <color theme="5"/>
      <name val="Arial"/>
      <family val="2"/>
    </font>
    <font>
      <sz val="9"/>
      <name val="Arial"/>
      <family val="2"/>
    </font>
    <font>
      <b/>
      <sz val="16"/>
      <color rgb="FFEF6B35"/>
      <name val="Arial"/>
      <family val="2"/>
    </font>
    <font>
      <sz val="12"/>
      <color rgb="FF464599"/>
      <name val="Arial"/>
      <family val="2"/>
    </font>
    <font>
      <b/>
      <sz val="9"/>
      <name val="Arial"/>
      <family val="2"/>
    </font>
    <font>
      <sz val="8"/>
      <name val="Arial"/>
      <family val="2"/>
    </font>
    <font>
      <b/>
      <sz val="9"/>
      <color theme="0"/>
      <name val="Arial"/>
      <family val="2"/>
    </font>
    <font>
      <sz val="9"/>
      <color theme="0"/>
      <name val="Arial"/>
      <family val="2"/>
    </font>
    <font>
      <b/>
      <sz val="16"/>
      <color theme="8"/>
      <name val="Arial"/>
      <family val="2"/>
    </font>
    <font>
      <b/>
      <sz val="11"/>
      <name val="Arial"/>
      <family val="2"/>
    </font>
    <font>
      <b/>
      <sz val="10"/>
      <color theme="5"/>
      <name val="Arial"/>
      <family val="2"/>
    </font>
    <font>
      <b/>
      <sz val="10"/>
      <color theme="5" tint="-0.249977111117893"/>
      <name val="Arial"/>
      <family val="2"/>
    </font>
    <font>
      <b/>
      <sz val="10"/>
      <color indexed="23"/>
      <name val="Arial"/>
      <family val="2"/>
    </font>
    <font>
      <b/>
      <sz val="16"/>
      <color indexed="53"/>
      <name val="Arial"/>
      <family val="2"/>
    </font>
    <font>
      <b/>
      <sz val="12"/>
      <color rgb="FFEF6B35"/>
      <name val="Arial"/>
      <family val="2"/>
    </font>
    <font>
      <b/>
      <sz val="10"/>
      <color rgb="FF464599"/>
      <name val="Arial"/>
      <family val="2"/>
    </font>
    <font>
      <sz val="10"/>
      <color indexed="8"/>
      <name val="Arial"/>
      <family val="2"/>
    </font>
    <font>
      <b/>
      <sz val="16"/>
      <color rgb="FF464599"/>
      <name val="Arial"/>
      <family val="2"/>
    </font>
    <font>
      <sz val="10"/>
      <color indexed="8"/>
      <name val="Arial"/>
      <family val="2"/>
    </font>
    <font>
      <sz val="12"/>
      <color rgb="FFFF0000"/>
      <name val="Calibri"/>
      <family val="2"/>
    </font>
    <font>
      <b/>
      <sz val="14"/>
      <color rgb="FFFF0000"/>
      <name val="Calibri"/>
      <family val="2"/>
    </font>
    <font>
      <sz val="12"/>
      <name val="Calibri"/>
      <family val="2"/>
    </font>
    <font>
      <sz val="12"/>
      <color theme="0"/>
      <name val="Calibri"/>
      <family val="2"/>
    </font>
    <font>
      <b/>
      <sz val="16"/>
      <name val="Calibri"/>
      <family val="2"/>
    </font>
    <font>
      <b/>
      <sz val="12"/>
      <name val="Calibri"/>
      <family val="2"/>
    </font>
    <font>
      <b/>
      <sz val="12"/>
      <color rgb="FFFF0000"/>
      <name val="Calibri"/>
      <family val="2"/>
    </font>
    <font>
      <b/>
      <sz val="12"/>
      <color theme="3"/>
      <name val="Calibri"/>
      <family val="2"/>
    </font>
    <font>
      <b/>
      <sz val="14"/>
      <color theme="3"/>
      <name val="Calibri"/>
      <family val="2"/>
    </font>
    <font>
      <u/>
      <sz val="14"/>
      <color theme="3"/>
      <name val="Calibri"/>
      <family val="2"/>
    </font>
    <font>
      <sz val="14"/>
      <color theme="3"/>
      <name val="Calibri"/>
      <family val="2"/>
    </font>
    <font>
      <vertAlign val="superscript"/>
      <sz val="14"/>
      <color theme="3"/>
      <name val="Calibri"/>
      <family val="2"/>
    </font>
    <font>
      <b/>
      <sz val="14"/>
      <color theme="0"/>
      <name val="Calibri"/>
      <family val="2"/>
    </font>
    <font>
      <b/>
      <sz val="12"/>
      <color theme="1"/>
      <name val="Calibri"/>
      <family val="2"/>
    </font>
    <font>
      <b/>
      <sz val="12"/>
      <color theme="0"/>
      <name val="Calibri"/>
      <family val="2"/>
    </font>
    <font>
      <i/>
      <sz val="12"/>
      <color rgb="FFFF0000"/>
      <name val="Calibri"/>
      <family val="2"/>
    </font>
    <font>
      <sz val="12"/>
      <color theme="1"/>
      <name val="Calibri"/>
      <family val="2"/>
    </font>
    <font>
      <sz val="14"/>
      <color theme="0"/>
      <name val="Calibri"/>
      <family val="2"/>
    </font>
    <font>
      <sz val="14"/>
      <color rgb="FFFF0000"/>
      <name val="Calibri"/>
      <family val="2"/>
    </font>
    <font>
      <sz val="14"/>
      <name val="Calibri"/>
      <family val="2"/>
    </font>
    <font>
      <b/>
      <u/>
      <sz val="14"/>
      <color theme="0"/>
      <name val="Calibri"/>
      <family val="2"/>
    </font>
    <font>
      <i/>
      <sz val="12"/>
      <color theme="1"/>
      <name val="Calibri"/>
      <family val="2"/>
    </font>
    <font>
      <b/>
      <sz val="12"/>
      <color rgb="FF20497D"/>
      <name val="Calibri"/>
      <family val="2"/>
    </font>
    <font>
      <i/>
      <sz val="10"/>
      <color theme="9"/>
      <name val="Calibri"/>
      <family val="2"/>
    </font>
    <font>
      <i/>
      <sz val="12"/>
      <color theme="0"/>
      <name val="Calibri"/>
      <family val="2"/>
    </font>
    <font>
      <b/>
      <sz val="14"/>
      <name val="Calibri"/>
      <family val="2"/>
    </font>
    <font>
      <b/>
      <sz val="14"/>
      <color theme="1"/>
      <name val="Calibri"/>
      <family val="2"/>
    </font>
    <font>
      <sz val="12"/>
      <color rgb="FF00B0F0"/>
      <name val="Calibri"/>
      <family val="2"/>
    </font>
    <font>
      <b/>
      <i/>
      <sz val="16"/>
      <name val="Helv"/>
    </font>
    <font>
      <b/>
      <sz val="12"/>
      <color theme="1"/>
      <name val="Arial"/>
      <family val="2"/>
    </font>
    <font>
      <b/>
      <sz val="10"/>
      <color rgb="FFFF0000"/>
      <name val="Arial"/>
      <family val="2"/>
    </font>
    <font>
      <b/>
      <sz val="20"/>
      <name val="Calibri"/>
      <family val="2"/>
    </font>
    <font>
      <b/>
      <u/>
      <sz val="16"/>
      <color theme="3"/>
      <name val="Calibri"/>
      <family val="2"/>
    </font>
    <font>
      <b/>
      <sz val="14"/>
      <color rgb="FF20497D"/>
      <name val="Calibri"/>
      <family val="2"/>
    </font>
    <font>
      <i/>
      <sz val="12"/>
      <name val="Calibri"/>
      <family val="2"/>
    </font>
    <font>
      <sz val="11"/>
      <color indexed="8"/>
      <name val="Calibri"/>
      <family val="2"/>
    </font>
    <font>
      <u/>
      <sz val="10"/>
      <color theme="10"/>
      <name val="Arial"/>
      <family val="2"/>
    </font>
    <font>
      <u/>
      <sz val="18"/>
      <color rgb="FF464599"/>
      <name val="Arial"/>
      <family val="2"/>
    </font>
  </fonts>
  <fills count="61">
    <fill>
      <patternFill patternType="none"/>
    </fill>
    <fill>
      <patternFill patternType="gray125"/>
    </fill>
    <fill>
      <patternFill patternType="solid">
        <fgColor theme="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464599"/>
        <bgColor indexed="64"/>
      </patternFill>
    </fill>
    <fill>
      <patternFill patternType="solid">
        <fgColor rgb="FFEF6B35"/>
        <bgColor indexed="64"/>
      </patternFill>
    </fill>
    <fill>
      <patternFill patternType="solid">
        <fgColor rgb="FFC8C5E1"/>
        <bgColor indexed="64"/>
      </patternFill>
    </fill>
    <fill>
      <patternFill patternType="solid">
        <fgColor rgb="FFF5A17F"/>
        <bgColor indexed="64"/>
      </patternFill>
    </fill>
    <fill>
      <patternFill patternType="solid">
        <fgColor rgb="FFFFFF00"/>
        <bgColor indexed="64"/>
      </patternFill>
    </fill>
    <fill>
      <patternFill patternType="solid">
        <fgColor theme="2" tint="-0.249977111117893"/>
        <bgColor indexed="64"/>
      </patternFill>
    </fill>
    <fill>
      <patternFill patternType="solid">
        <fgColor theme="5" tint="-0.249977111117893"/>
        <bgColor indexed="64"/>
      </patternFill>
    </fill>
    <fill>
      <patternFill patternType="solid">
        <fgColor rgb="FF538DD5"/>
        <bgColor indexed="64"/>
      </patternFill>
    </fill>
    <fill>
      <patternFill patternType="solid">
        <fgColor rgb="FFFFC000"/>
        <bgColor theme="5" tint="0.79998168889431442"/>
      </patternFill>
    </fill>
    <fill>
      <patternFill patternType="solid">
        <fgColor theme="3" tint="0.39997558519241921"/>
        <bgColor indexed="64"/>
      </patternFill>
    </fill>
    <fill>
      <patternFill patternType="solid">
        <fgColor rgb="FFFFFF00"/>
        <bgColor theme="5" tint="0.79998168889431442"/>
      </patternFill>
    </fill>
    <fill>
      <patternFill patternType="solid">
        <fgColor rgb="FFFFC000"/>
        <bgColor indexed="64"/>
      </patternFill>
    </fill>
    <fill>
      <patternFill patternType="solid">
        <fgColor rgb="FF00B0F0"/>
        <bgColor indexed="64"/>
      </patternFill>
    </fill>
    <fill>
      <patternFill patternType="solid">
        <fgColor rgb="FFCC99FF"/>
        <bgColor indexed="64"/>
      </patternFill>
    </fill>
    <fill>
      <patternFill patternType="solid">
        <fgColor theme="2" tint="-9.9978637043366805E-2"/>
        <bgColor indexed="64"/>
      </patternFill>
    </fill>
    <fill>
      <patternFill patternType="lightUp">
        <fgColor theme="4"/>
      </patternFill>
    </fill>
    <fill>
      <patternFill patternType="solid">
        <fgColor rgb="FFCC99FF"/>
        <bgColor theme="5" tint="0.79998168889431442"/>
      </patternFill>
    </fill>
    <fill>
      <patternFill patternType="solid">
        <fgColor theme="0"/>
        <bgColor theme="5" tint="0.79998168889431442"/>
      </patternFill>
    </fill>
    <fill>
      <patternFill patternType="solid">
        <fgColor rgb="FF92D050"/>
        <bgColor indexed="64"/>
      </patternFill>
    </fill>
    <fill>
      <patternFill patternType="solid">
        <fgColor rgb="FF002060"/>
        <bgColor indexed="64"/>
      </patternFill>
    </fill>
    <fill>
      <patternFill patternType="solid">
        <fgColor theme="4" tint="-0.249977111117893"/>
        <bgColor indexed="64"/>
      </patternFill>
    </fill>
    <fill>
      <patternFill patternType="solid">
        <fgColor rgb="FFFFC7CE"/>
        <bgColor indexed="64"/>
      </patternFill>
    </fill>
    <fill>
      <patternFill patternType="solid">
        <fgColor theme="4"/>
        <bgColor indexed="64"/>
      </patternFill>
    </fill>
    <fill>
      <patternFill patternType="solid">
        <fgColor theme="5" tint="-0.24994659260841701"/>
        <bgColor indexed="64"/>
      </patternFill>
    </fill>
    <fill>
      <patternFill patternType="solid">
        <fgColor rgb="FF2B8DD5"/>
        <bgColor indexed="64"/>
      </patternFill>
    </fill>
    <fill>
      <patternFill patternType="solid">
        <fgColor rgb="FF00B0F0"/>
        <bgColor theme="5" tint="0.79998168889431442"/>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top/>
      <bottom/>
      <diagonal/>
    </border>
    <border>
      <left style="thin">
        <color rgb="FF000000"/>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rgb="FF464599"/>
      </left>
      <right style="thin">
        <color rgb="FF464599"/>
      </right>
      <top style="thin">
        <color rgb="FF464599"/>
      </top>
      <bottom style="thin">
        <color rgb="FF464599"/>
      </bottom>
      <diagonal/>
    </border>
    <border>
      <left style="thin">
        <color rgb="FF464599"/>
      </left>
      <right style="thin">
        <color rgb="FF464599"/>
      </right>
      <top style="thin">
        <color rgb="FF464599"/>
      </top>
      <bottom/>
      <diagonal/>
    </border>
    <border>
      <left style="thin">
        <color rgb="FF464599"/>
      </left>
      <right/>
      <top style="thin">
        <color rgb="FF464599"/>
      </top>
      <bottom style="thin">
        <color rgb="FF464599"/>
      </bottom>
      <diagonal/>
    </border>
    <border>
      <left/>
      <right style="thin">
        <color rgb="FF464599"/>
      </right>
      <top style="thin">
        <color rgb="FF464599"/>
      </top>
      <bottom style="thin">
        <color rgb="FF464599"/>
      </bottom>
      <diagonal/>
    </border>
    <border>
      <left style="thin">
        <color rgb="FF464599"/>
      </left>
      <right style="thin">
        <color rgb="FF464599"/>
      </right>
      <top/>
      <bottom style="thin">
        <color rgb="FF464599"/>
      </bottom>
      <diagonal/>
    </border>
    <border>
      <left style="medium">
        <color rgb="FFEF6B35"/>
      </left>
      <right/>
      <top style="medium">
        <color rgb="FFEF6B35"/>
      </top>
      <bottom style="medium">
        <color rgb="FFEF6B35"/>
      </bottom>
      <diagonal/>
    </border>
    <border>
      <left/>
      <right style="medium">
        <color rgb="FFEF6B35"/>
      </right>
      <top style="medium">
        <color rgb="FFEF6B35"/>
      </top>
      <bottom style="medium">
        <color rgb="FFEF6B35"/>
      </bottom>
      <diagonal/>
    </border>
    <border>
      <left/>
      <right/>
      <top style="medium">
        <color rgb="FFEF6B35"/>
      </top>
      <bottom style="medium">
        <color rgb="FFEF6B35"/>
      </bottom>
      <diagonal/>
    </border>
    <border>
      <left style="thin">
        <color rgb="FFEF6B35"/>
      </left>
      <right style="thin">
        <color rgb="FFEF6B35"/>
      </right>
      <top style="thin">
        <color rgb="FFEF6B35"/>
      </top>
      <bottom style="thin">
        <color rgb="FFEF6B35"/>
      </bottom>
      <diagonal/>
    </border>
    <border>
      <left style="thin">
        <color rgb="FFEF6B35"/>
      </left>
      <right style="thin">
        <color rgb="FFEF6B35"/>
      </right>
      <top style="thin">
        <color rgb="FF464599"/>
      </top>
      <bottom style="thin">
        <color rgb="FF464599"/>
      </bottom>
      <diagonal/>
    </border>
    <border>
      <left style="thin">
        <color rgb="FFEF6B35"/>
      </left>
      <right/>
      <top style="thin">
        <color rgb="FFEF6B35"/>
      </top>
      <bottom style="thin">
        <color rgb="FFEF6B35"/>
      </bottom>
      <diagonal/>
    </border>
    <border>
      <left style="thin">
        <color rgb="FFEF6B35"/>
      </left>
      <right/>
      <top/>
      <bottom style="thin">
        <color rgb="FFEF6B35"/>
      </bottom>
      <diagonal/>
    </border>
    <border>
      <left style="thin">
        <color rgb="FF464599"/>
      </left>
      <right style="thin">
        <color rgb="FFEF6B35"/>
      </right>
      <top style="thin">
        <color rgb="FF464599"/>
      </top>
      <bottom style="thin">
        <color rgb="FF464599"/>
      </bottom>
      <diagonal/>
    </border>
    <border>
      <left style="thin">
        <color rgb="FFEF6B35"/>
      </left>
      <right style="thin">
        <color rgb="FF464599"/>
      </right>
      <top style="thin">
        <color rgb="FF464599"/>
      </top>
      <bottom style="thin">
        <color rgb="FF464599"/>
      </bottom>
      <diagonal/>
    </border>
    <border>
      <left/>
      <right style="thin">
        <color rgb="FF464599"/>
      </right>
      <top/>
      <bottom style="thin">
        <color rgb="FF464599"/>
      </bottom>
      <diagonal/>
    </border>
    <border>
      <left style="thin">
        <color rgb="FF464599"/>
      </left>
      <right/>
      <top/>
      <bottom style="thin">
        <color rgb="FF464599"/>
      </bottom>
      <diagonal/>
    </border>
    <border>
      <left/>
      <right style="thin">
        <color rgb="FF464599"/>
      </right>
      <top style="thin">
        <color rgb="FF464599"/>
      </top>
      <bottom/>
      <diagonal/>
    </border>
    <border>
      <left style="thin">
        <color rgb="FF464599"/>
      </left>
      <right/>
      <top style="thin">
        <color rgb="FF464599"/>
      </top>
      <bottom/>
      <diagonal/>
    </border>
    <border>
      <left style="thin">
        <color rgb="FFEF6B35"/>
      </left>
      <right style="thin">
        <color rgb="FF464599"/>
      </right>
      <top style="thin">
        <color rgb="FF464599"/>
      </top>
      <bottom style="thin">
        <color rgb="FFEF6B35"/>
      </bottom>
      <diagonal/>
    </border>
    <border>
      <left/>
      <right/>
      <top style="thin">
        <color rgb="FF464599"/>
      </top>
      <bottom style="thin">
        <color rgb="FFF5A17F"/>
      </bottom>
      <diagonal/>
    </border>
    <border>
      <left/>
      <right/>
      <top style="thin">
        <color rgb="FFF5A17F"/>
      </top>
      <bottom style="thin">
        <color rgb="FFF5A17F"/>
      </bottom>
      <diagonal/>
    </border>
    <border>
      <left/>
      <right/>
      <top style="thin">
        <color rgb="FFF5A17F"/>
      </top>
      <bottom style="thin">
        <color rgb="FF464599"/>
      </bottom>
      <diagonal/>
    </border>
    <border>
      <left style="thin">
        <color rgb="FF464599"/>
      </left>
      <right style="medium">
        <color rgb="FFEF6B35"/>
      </right>
      <top style="thin">
        <color rgb="FF464599"/>
      </top>
      <bottom style="thin">
        <color rgb="FF464599"/>
      </bottom>
      <diagonal/>
    </border>
    <border>
      <left style="thin">
        <color rgb="FF464599"/>
      </left>
      <right style="thin">
        <color rgb="FF464599"/>
      </right>
      <top/>
      <bottom/>
      <diagonal/>
    </border>
    <border>
      <left/>
      <right/>
      <top style="thin">
        <color rgb="FF464599"/>
      </top>
      <bottom style="thin">
        <color rgb="FF464599"/>
      </bottom>
      <diagonal/>
    </border>
    <border>
      <left style="thin">
        <color rgb="FF464599"/>
      </left>
      <right style="thin">
        <color rgb="FF464599"/>
      </right>
      <top style="thin">
        <color rgb="FFEF6B35"/>
      </top>
      <bottom style="thin">
        <color rgb="FFEF6B35"/>
      </bottom>
      <diagonal/>
    </border>
    <border>
      <left style="thin">
        <color rgb="FF464599"/>
      </left>
      <right style="thin">
        <color rgb="FFEF6B35"/>
      </right>
      <top style="thin">
        <color rgb="FFEF6B35"/>
      </top>
      <bottom style="thin">
        <color rgb="FFEF6B35"/>
      </bottom>
      <diagonal/>
    </border>
    <border>
      <left style="thin">
        <color rgb="FFEF6B35"/>
      </left>
      <right style="thin">
        <color rgb="FF464599"/>
      </right>
      <top style="thin">
        <color rgb="FFEF6B35"/>
      </top>
      <bottom style="thin">
        <color rgb="FFEF6B35"/>
      </bottom>
      <diagonal/>
    </border>
    <border>
      <left style="thin">
        <color rgb="FF464599"/>
      </left>
      <right style="thin">
        <color rgb="FFEF6B35"/>
      </right>
      <top style="thin">
        <color rgb="FFEF6B35"/>
      </top>
      <bottom/>
      <diagonal/>
    </border>
    <border>
      <left style="thin">
        <color rgb="FFEF6B35"/>
      </left>
      <right style="thin">
        <color rgb="FF464599"/>
      </right>
      <top style="thin">
        <color rgb="FFEF6B35"/>
      </top>
      <bottom/>
      <diagonal/>
    </border>
    <border>
      <left style="thin">
        <color rgb="FF464599"/>
      </left>
      <right style="thin">
        <color rgb="FF464599"/>
      </right>
      <top style="thin">
        <color rgb="FFEF6B35"/>
      </top>
      <bottom/>
      <diagonal/>
    </border>
    <border>
      <left style="thick">
        <color rgb="FFC8C5E1"/>
      </left>
      <right/>
      <top style="thick">
        <color rgb="FFC8C5E1"/>
      </top>
      <bottom/>
      <diagonal/>
    </border>
    <border>
      <left/>
      <right/>
      <top style="thick">
        <color rgb="FFC8C5E1"/>
      </top>
      <bottom/>
      <diagonal/>
    </border>
    <border>
      <left/>
      <right style="thick">
        <color rgb="FFC8C5E1"/>
      </right>
      <top style="thick">
        <color rgb="FFC8C5E1"/>
      </top>
      <bottom/>
      <diagonal/>
    </border>
    <border>
      <left style="thick">
        <color rgb="FFC8C5E1"/>
      </left>
      <right/>
      <top/>
      <bottom/>
      <diagonal/>
    </border>
    <border>
      <left/>
      <right style="thick">
        <color rgb="FFC8C5E1"/>
      </right>
      <top/>
      <bottom/>
      <diagonal/>
    </border>
    <border>
      <left style="thick">
        <color rgb="FFC8C5E1"/>
      </left>
      <right/>
      <top/>
      <bottom style="thick">
        <color rgb="FFC8C5E1"/>
      </bottom>
      <diagonal/>
    </border>
    <border>
      <left/>
      <right/>
      <top/>
      <bottom style="thick">
        <color rgb="FFC8C5E1"/>
      </bottom>
      <diagonal/>
    </border>
    <border>
      <left/>
      <right style="thick">
        <color rgb="FFC8C5E1"/>
      </right>
      <top/>
      <bottom style="thick">
        <color rgb="FFC8C5E1"/>
      </bottom>
      <diagonal/>
    </border>
    <border>
      <left style="thin">
        <color indexed="64"/>
      </left>
      <right/>
      <top style="thin">
        <color rgb="FFEF6B35"/>
      </top>
      <bottom style="thin">
        <color rgb="FFEF6B35"/>
      </bottom>
      <diagonal/>
    </border>
    <border>
      <left style="thin">
        <color indexed="64"/>
      </left>
      <right/>
      <top/>
      <bottom/>
      <diagonal/>
    </border>
    <border>
      <left/>
      <right style="thin">
        <color theme="0"/>
      </right>
      <top style="thin">
        <color theme="0"/>
      </top>
      <bottom style="thin">
        <color theme="0"/>
      </bottom>
      <diagonal/>
    </border>
    <border>
      <left/>
      <right/>
      <top/>
      <bottom style="medium">
        <color theme="4"/>
      </bottom>
      <diagonal/>
    </border>
    <border>
      <left style="thin">
        <color theme="0"/>
      </left>
      <right style="thin">
        <color theme="0"/>
      </right>
      <top style="thin">
        <color theme="0"/>
      </top>
      <bottom style="thin">
        <color theme="0"/>
      </bottom>
      <diagonal/>
    </border>
    <border>
      <left style="thin">
        <color indexed="64"/>
      </left>
      <right style="thin">
        <color indexed="64"/>
      </right>
      <top/>
      <bottom/>
      <diagonal/>
    </border>
    <border>
      <left style="thin">
        <color theme="0"/>
      </left>
      <right/>
      <top style="thin">
        <color indexed="64"/>
      </top>
      <bottom style="thin">
        <color indexed="64"/>
      </bottom>
      <diagonal/>
    </border>
    <border>
      <left/>
      <right/>
      <top style="medium">
        <color theme="4"/>
      </top>
      <bottom/>
      <diagonal/>
    </border>
    <border>
      <left/>
      <right style="thin">
        <color theme="0"/>
      </right>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rgb="FFEF6B35"/>
      </left>
      <right style="thin">
        <color rgb="FFEF6B35"/>
      </right>
      <top style="thin">
        <color rgb="FFEF6B35"/>
      </top>
      <bottom/>
      <diagonal/>
    </border>
    <border>
      <left/>
      <right style="thin">
        <color rgb="FF464599"/>
      </right>
      <top/>
      <bottom/>
      <diagonal/>
    </border>
    <border>
      <left/>
      <right/>
      <top style="thin">
        <color rgb="FF464599"/>
      </top>
      <bottom/>
      <diagonal/>
    </border>
    <border>
      <left/>
      <right/>
      <top/>
      <bottom style="thin">
        <color rgb="FF464599"/>
      </bottom>
      <diagonal/>
    </border>
    <border>
      <left style="thick">
        <color rgb="FF464599"/>
      </left>
      <right style="thick">
        <color rgb="FF464599"/>
      </right>
      <top style="thick">
        <color rgb="FF464599"/>
      </top>
      <bottom style="thick">
        <color rgb="FF464599"/>
      </bottom>
      <diagonal/>
    </border>
    <border>
      <left style="thick">
        <color rgb="FF464599"/>
      </left>
      <right style="thick">
        <color rgb="FF464599"/>
      </right>
      <top style="thick">
        <color rgb="FF464599"/>
      </top>
      <bottom style="thin">
        <color rgb="FF464599"/>
      </bottom>
      <diagonal/>
    </border>
    <border>
      <left style="thick">
        <color rgb="FF464599"/>
      </left>
      <right style="thick">
        <color rgb="FF464599"/>
      </right>
      <top style="thin">
        <color rgb="FF464599"/>
      </top>
      <bottom style="thin">
        <color rgb="FF464599"/>
      </bottom>
      <diagonal/>
    </border>
    <border>
      <left style="thick">
        <color rgb="FF464599"/>
      </left>
      <right style="thick">
        <color rgb="FF464599"/>
      </right>
      <top style="thin">
        <color rgb="FF464599"/>
      </top>
      <bottom style="thick">
        <color rgb="FF464599"/>
      </bottom>
      <diagonal/>
    </border>
    <border>
      <left style="hair">
        <color indexed="8"/>
      </left>
      <right style="hair">
        <color indexed="8"/>
      </right>
      <top style="hair">
        <color indexed="8"/>
      </top>
      <bottom style="hair">
        <color indexed="8"/>
      </bottom>
      <diagonal/>
    </border>
  </borders>
  <cellStyleXfs count="177">
    <xf numFmtId="0" fontId="0" fillId="0" borderId="0"/>
    <xf numFmtId="44" fontId="13" fillId="0" borderId="0" applyFont="0" applyFill="0" applyBorder="0" applyAlignment="0" applyProtection="0"/>
    <xf numFmtId="165" fontId="4" fillId="0" borderId="0" applyFont="0" applyFill="0" applyBorder="0" applyAlignment="0" applyProtection="0"/>
    <xf numFmtId="165" fontId="12" fillId="0" borderId="0" applyFont="0" applyFill="0" applyBorder="0" applyAlignment="0" applyProtection="0"/>
    <xf numFmtId="0" fontId="13" fillId="0" borderId="0"/>
    <xf numFmtId="0" fontId="12" fillId="0" borderId="0"/>
    <xf numFmtId="0" fontId="12" fillId="0" borderId="0"/>
    <xf numFmtId="9" fontId="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17" fillId="0" borderId="0" applyAlignment="0">
      <alignment vertical="top" wrapText="1"/>
      <protection locked="0"/>
    </xf>
    <xf numFmtId="0" fontId="4" fillId="0" borderId="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 borderId="11" applyNumberFormat="0" applyFont="0" applyAlignment="0" applyProtection="0"/>
    <xf numFmtId="0" fontId="3" fillId="3" borderId="11" applyNumberFormat="0" applyFont="0" applyAlignment="0" applyProtection="0"/>
    <xf numFmtId="0" fontId="3" fillId="3" borderId="11" applyNumberFormat="0" applyFont="0" applyAlignment="0" applyProtection="0"/>
    <xf numFmtId="44" fontId="4" fillId="0" borderId="0" applyFont="0" applyFill="0" applyBorder="0" applyAlignment="0" applyProtection="0"/>
    <xf numFmtId="165" fontId="4" fillId="0" borderId="0" applyFont="0" applyFill="0" applyBorder="0" applyAlignment="0" applyProtection="0"/>
    <xf numFmtId="164" fontId="3" fillId="0" borderId="0" applyFont="0" applyFill="0" applyBorder="0" applyAlignment="0" applyProtection="0"/>
    <xf numFmtId="0" fontId="4" fillId="0" borderId="0"/>
    <xf numFmtId="0" fontId="4" fillId="0" borderId="0"/>
    <xf numFmtId="0" fontId="4" fillId="0" borderId="0"/>
    <xf numFmtId="0" fontId="3"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xf numFmtId="9" fontId="20" fillId="0" borderId="0" applyFont="0" applyFill="0" applyBorder="0" applyAlignment="0" applyProtection="0"/>
    <xf numFmtId="44" fontId="4" fillId="0" borderId="0" applyFont="0" applyFill="0" applyBorder="0" applyAlignment="0" applyProtection="0"/>
    <xf numFmtId="0" fontId="23" fillId="0" borderId="0" applyNumberFormat="0" applyFill="0" applyBorder="0" applyAlignment="0" applyProtection="0"/>
    <xf numFmtId="0" fontId="20" fillId="4" borderId="0" applyNumberFormat="0" applyBorder="0" applyAlignment="0" applyProtection="0"/>
    <xf numFmtId="0" fontId="20" fillId="6" borderId="0" applyNumberFormat="0" applyBorder="0" applyAlignment="0" applyProtection="0"/>
    <xf numFmtId="0" fontId="20" fillId="8"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4" borderId="0" applyNumberFormat="0" applyBorder="0" applyAlignment="0" applyProtection="0"/>
    <xf numFmtId="0" fontId="20" fillId="5" borderId="0" applyNumberFormat="0" applyBorder="0" applyAlignment="0" applyProtection="0"/>
    <xf numFmtId="0" fontId="20" fillId="7" borderId="0" applyNumberFormat="0" applyBorder="0" applyAlignment="0" applyProtection="0"/>
    <xf numFmtId="0" fontId="20" fillId="9"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5"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4" fillId="32" borderId="0" applyNumberFormat="0" applyBorder="0" applyAlignment="0" applyProtection="0"/>
    <xf numFmtId="0" fontId="24" fillId="34" borderId="0" applyNumberFormat="0" applyBorder="0" applyAlignment="0" applyProtection="0"/>
    <xf numFmtId="0" fontId="24" fillId="23" borderId="0" applyNumberFormat="0" applyBorder="0" applyAlignment="0" applyProtection="0"/>
    <xf numFmtId="0" fontId="24" fillId="25" borderId="0" applyNumberFormat="0" applyBorder="0" applyAlignment="0" applyProtection="0"/>
    <xf numFmtId="0" fontId="24" fillId="27" borderId="0" applyNumberFormat="0" applyBorder="0" applyAlignment="0" applyProtection="0"/>
    <xf numFmtId="0" fontId="24" fillId="29" borderId="0" applyNumberFormat="0" applyBorder="0" applyAlignment="0" applyProtection="0"/>
    <xf numFmtId="0" fontId="24" fillId="31" borderId="0" applyNumberFormat="0" applyBorder="0" applyAlignment="0" applyProtection="0"/>
    <xf numFmtId="0" fontId="24" fillId="33" borderId="0" applyNumberFormat="0" applyBorder="0" applyAlignment="0" applyProtection="0"/>
    <xf numFmtId="0" fontId="21" fillId="0" borderId="0" applyNumberFormat="0" applyFill="0" applyBorder="0" applyAlignment="0" applyProtection="0"/>
    <xf numFmtId="0" fontId="25" fillId="21" borderId="15" applyNumberFormat="0" applyAlignment="0" applyProtection="0"/>
    <xf numFmtId="0" fontId="26" fillId="0" borderId="17" applyNumberFormat="0" applyFill="0" applyAlignment="0" applyProtection="0"/>
    <xf numFmtId="0" fontId="20" fillId="3" borderId="11" applyNumberFormat="0" applyFont="0" applyAlignment="0" applyProtection="0"/>
    <xf numFmtId="0" fontId="27" fillId="20" borderId="15" applyNumberFormat="0" applyAlignment="0" applyProtection="0"/>
    <xf numFmtId="0" fontId="28" fillId="18" borderId="0" applyNumberFormat="0" applyBorder="0" applyAlignment="0" applyProtection="0"/>
    <xf numFmtId="164" fontId="20" fillId="0" borderId="0" applyFont="0" applyFill="0" applyBorder="0" applyAlignment="0" applyProtection="0"/>
    <xf numFmtId="44" fontId="20" fillId="0" borderId="0" applyFont="0" applyFill="0" applyBorder="0" applyAlignment="0" applyProtection="0"/>
    <xf numFmtId="0" fontId="29" fillId="19" borderId="0" applyNumberFormat="0" applyBorder="0" applyAlignment="0" applyProtection="0"/>
    <xf numFmtId="0" fontId="30" fillId="17" borderId="0" applyNumberFormat="0" applyBorder="0" applyAlignment="0" applyProtection="0"/>
    <xf numFmtId="0" fontId="31" fillId="21" borderId="16" applyNumberFormat="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0" borderId="19" applyNumberFormat="0" applyFill="0" applyAlignment="0" applyProtection="0"/>
    <xf numFmtId="0" fontId="37" fillId="22" borderId="18" applyNumberFormat="0" applyAlignment="0" applyProtection="0"/>
    <xf numFmtId="44" fontId="39" fillId="0" borderId="0" applyFont="0" applyFill="0" applyBorder="0" applyAlignment="0" applyProtection="0"/>
    <xf numFmtId="0" fontId="69" fillId="0" borderId="0"/>
    <xf numFmtId="0" fontId="4" fillId="0" borderId="0"/>
    <xf numFmtId="0" fontId="41" fillId="0" borderId="0"/>
    <xf numFmtId="9" fontId="41" fillId="0" borderId="0" applyFont="0" applyFill="0" applyBorder="0" applyAlignment="0" applyProtection="0"/>
    <xf numFmtId="164" fontId="4" fillId="0" borderId="0" applyFont="0" applyFill="0" applyBorder="0" applyAlignment="0" applyProtection="0"/>
    <xf numFmtId="0" fontId="41" fillId="0" borderId="0"/>
    <xf numFmtId="185" fontId="4" fillId="0" borderId="0" applyFont="0" applyFill="0" applyBorder="0" applyAlignment="0" applyProtection="0"/>
    <xf numFmtId="186" fontId="98" fillId="0" borderId="0"/>
    <xf numFmtId="0" fontId="2" fillId="0" borderId="0"/>
    <xf numFmtId="0" fontId="2" fillId="0" borderId="0"/>
    <xf numFmtId="164" fontId="41" fillId="0" borderId="0" applyFont="0" applyFill="0" applyBorder="0" applyAlignment="0" applyProtection="0"/>
    <xf numFmtId="0" fontId="67" fillId="0" borderId="0"/>
    <xf numFmtId="0" fontId="1"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05" fillId="0" borderId="84" applyProtection="0">
      <alignment horizontal="left" vertical="center" wrapText="1"/>
    </xf>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188" fontId="67" fillId="0" borderId="0" applyBorder="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5" fillId="0" borderId="0" applyFill="0" applyProtection="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05"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Border="0" applyProtection="0"/>
    <xf numFmtId="9" fontId="1" fillId="0" borderId="0" applyFont="0" applyFill="0" applyBorder="0" applyAlignment="0" applyProtection="0"/>
    <xf numFmtId="9" fontId="4" fillId="0" borderId="0" applyFont="0" applyFill="0" applyBorder="0" applyAlignment="0" applyProtection="0"/>
    <xf numFmtId="0" fontId="106" fillId="0" borderId="0" applyNumberFormat="0" applyFill="0" applyBorder="0" applyAlignment="0" applyProtection="0"/>
  </cellStyleXfs>
  <cellXfs count="756">
    <xf numFmtId="0" fontId="0" fillId="0" borderId="0" xfId="0"/>
    <xf numFmtId="0" fontId="4" fillId="0" borderId="0" xfId="0" applyFont="1"/>
    <xf numFmtId="0" fontId="16" fillId="0" borderId="1" xfId="0" applyFont="1" applyBorder="1" applyAlignment="1" applyProtection="1">
      <alignment vertical="center"/>
      <protection hidden="1"/>
    </xf>
    <xf numFmtId="166" fontId="9" fillId="0" borderId="0" xfId="0" applyNumberFormat="1" applyFont="1" applyFill="1" applyAlignment="1" applyProtection="1">
      <alignment horizontal="center" vertical="top" wrapText="1"/>
    </xf>
    <xf numFmtId="166" fontId="9" fillId="0" borderId="0" xfId="12" applyNumberFormat="1" applyFont="1" applyFill="1" applyAlignment="1" applyProtection="1">
      <alignment horizontal="center" vertical="top" wrapText="1"/>
    </xf>
    <xf numFmtId="0" fontId="15" fillId="0" borderId="1" xfId="0" applyFont="1" applyBorder="1" applyAlignment="1" applyProtection="1">
      <alignment vertical="center"/>
      <protection hidden="1"/>
    </xf>
    <xf numFmtId="0" fontId="0" fillId="0" borderId="0" xfId="0" applyProtection="1"/>
    <xf numFmtId="0" fontId="4" fillId="0" borderId="0" xfId="0" applyFont="1" applyProtection="1"/>
    <xf numFmtId="0" fontId="40" fillId="0" borderId="0" xfId="43" applyFont="1" applyProtection="1"/>
    <xf numFmtId="0" fontId="44" fillId="0" borderId="0" xfId="52" applyFont="1" applyAlignment="1">
      <alignment vertical="center"/>
    </xf>
    <xf numFmtId="0" fontId="41" fillId="0" borderId="0" xfId="0" applyFont="1" applyAlignment="1"/>
    <xf numFmtId="0" fontId="41" fillId="0" borderId="0" xfId="0" applyFont="1" applyAlignment="1">
      <alignment vertical="center"/>
    </xf>
    <xf numFmtId="0" fontId="44" fillId="0" borderId="0" xfId="52" applyFont="1"/>
    <xf numFmtId="0" fontId="47" fillId="35" borderId="0" xfId="0" applyFont="1" applyFill="1" applyAlignment="1">
      <alignment vertical="center"/>
    </xf>
    <xf numFmtId="0" fontId="48" fillId="35" borderId="0" xfId="0" applyFont="1" applyFill="1" applyAlignment="1">
      <alignment vertical="center"/>
    </xf>
    <xf numFmtId="0" fontId="4" fillId="0" borderId="0" xfId="0" quotePrefix="1" applyFont="1" applyProtection="1">
      <protection locked="0"/>
    </xf>
    <xf numFmtId="0" fontId="44" fillId="0" borderId="0" xfId="0" applyFont="1" applyProtection="1"/>
    <xf numFmtId="0" fontId="51" fillId="0" borderId="0" xfId="0" applyFont="1" applyAlignment="1" applyProtection="1">
      <alignment wrapText="1"/>
    </xf>
    <xf numFmtId="0" fontId="4" fillId="0" borderId="0" xfId="0" applyFont="1" applyProtection="1">
      <protection locked="0"/>
    </xf>
    <xf numFmtId="0" fontId="53" fillId="0" borderId="0" xfId="0" applyFont="1" applyProtection="1"/>
    <xf numFmtId="0" fontId="4" fillId="0" borderId="0" xfId="0" applyFont="1" applyAlignment="1" applyProtection="1"/>
    <xf numFmtId="0" fontId="4" fillId="0" borderId="0" xfId="0" applyFont="1" applyAlignment="1" applyProtection="1">
      <alignment horizontal="right" vertical="center"/>
    </xf>
    <xf numFmtId="0" fontId="56" fillId="0" borderId="0" xfId="0" applyFont="1" applyProtection="1"/>
    <xf numFmtId="170" fontId="4" fillId="0" borderId="0" xfId="0" applyNumberFormat="1" applyFont="1" applyProtection="1"/>
    <xf numFmtId="170" fontId="57" fillId="2" borderId="1" xfId="2" applyNumberFormat="1" applyFont="1" applyFill="1" applyBorder="1" applyAlignment="1" applyProtection="1">
      <alignment vertical="center" wrapText="1"/>
    </xf>
    <xf numFmtId="170" fontId="57" fillId="2" borderId="1" xfId="2" applyNumberFormat="1" applyFont="1" applyFill="1" applyBorder="1" applyAlignment="1" applyProtection="1">
      <alignment horizontal="center" vertical="center" wrapText="1"/>
    </xf>
    <xf numFmtId="1" fontId="46" fillId="0" borderId="3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xf numFmtId="0" fontId="4" fillId="0" borderId="0" xfId="0" applyFont="1" applyFill="1" applyBorder="1" applyAlignment="1" applyProtection="1">
      <protection locked="0"/>
    </xf>
    <xf numFmtId="0" fontId="4" fillId="0" borderId="0" xfId="0" applyFont="1" applyAlignment="1"/>
    <xf numFmtId="14" fontId="4" fillId="0" borderId="0" xfId="0" applyNumberFormat="1" applyFont="1" applyFill="1" applyBorder="1" applyAlignment="1" applyProtection="1"/>
    <xf numFmtId="4" fontId="4" fillId="0" borderId="0" xfId="0" applyNumberFormat="1" applyFont="1" applyFill="1" applyBorder="1" applyAlignment="1" applyProtection="1"/>
    <xf numFmtId="0" fontId="4" fillId="0" borderId="0" xfId="0" applyFont="1" applyFill="1" applyBorder="1" applyAlignment="1">
      <alignment horizontal="center" vertical="center" wrapText="1"/>
    </xf>
    <xf numFmtId="0" fontId="4" fillId="0" borderId="0" xfId="0" applyFont="1" applyFill="1" applyBorder="1" applyAlignment="1"/>
    <xf numFmtId="14" fontId="4" fillId="0" borderId="0" xfId="0" applyNumberFormat="1" applyFont="1" applyFill="1" applyBorder="1" applyAlignment="1" applyProtection="1">
      <protection locked="0"/>
    </xf>
    <xf numFmtId="4" fontId="4" fillId="0" borderId="0" xfId="0" applyNumberFormat="1" applyFont="1" applyFill="1" applyBorder="1" applyAlignment="1" applyProtection="1">
      <protection locked="0"/>
    </xf>
    <xf numFmtId="0" fontId="4" fillId="0" borderId="0" xfId="0" applyFont="1" applyAlignment="1">
      <alignment horizontal="left"/>
    </xf>
    <xf numFmtId="3" fontId="4" fillId="0" borderId="0" xfId="0" applyNumberFormat="1" applyFont="1"/>
    <xf numFmtId="0" fontId="4" fillId="0" borderId="0" xfId="0" applyFont="1" applyAlignment="1">
      <alignment horizontal="left" indent="1"/>
    </xf>
    <xf numFmtId="0" fontId="53" fillId="0" borderId="0" xfId="0" applyFont="1"/>
    <xf numFmtId="0" fontId="58" fillId="35" borderId="32" xfId="0" applyFont="1" applyFill="1" applyBorder="1" applyAlignment="1" applyProtection="1">
      <alignment horizontal="left" vertical="center" wrapText="1"/>
      <protection locked="0"/>
    </xf>
    <xf numFmtId="170" fontId="55" fillId="38" borderId="22" xfId="2" applyNumberFormat="1" applyFont="1" applyFill="1" applyBorder="1" applyAlignment="1" applyProtection="1">
      <alignment vertical="center" wrapText="1"/>
    </xf>
    <xf numFmtId="0" fontId="52" fillId="38" borderId="22" xfId="0" applyFont="1" applyFill="1" applyBorder="1" applyAlignment="1" applyProtection="1">
      <alignment horizontal="left" vertical="center" wrapText="1"/>
    </xf>
    <xf numFmtId="0" fontId="58" fillId="35" borderId="33" xfId="0" applyFont="1" applyFill="1" applyBorder="1" applyAlignment="1" applyProtection="1">
      <alignment horizontal="left" vertical="center" wrapText="1"/>
      <protection locked="0"/>
    </xf>
    <xf numFmtId="0" fontId="40" fillId="38" borderId="22" xfId="0" applyFont="1" applyFill="1" applyBorder="1" applyAlignment="1" applyProtection="1">
      <alignment vertical="center" wrapText="1"/>
    </xf>
    <xf numFmtId="0" fontId="52" fillId="0" borderId="22" xfId="0" applyFont="1" applyFill="1" applyBorder="1" applyAlignment="1" applyProtection="1">
      <alignment horizontal="left" vertical="center" wrapText="1"/>
      <protection locked="0"/>
    </xf>
    <xf numFmtId="0" fontId="57" fillId="35" borderId="34" xfId="0" applyFont="1" applyFill="1" applyBorder="1" applyAlignment="1" applyProtection="1">
      <alignment horizontal="center" vertical="center" wrapText="1"/>
      <protection locked="0"/>
    </xf>
    <xf numFmtId="0" fontId="57" fillId="35" borderId="31" xfId="0" applyFont="1" applyFill="1" applyBorder="1" applyAlignment="1" applyProtection="1">
      <alignment horizontal="center" vertical="center" wrapText="1"/>
      <protection locked="0"/>
    </xf>
    <xf numFmtId="0" fontId="57" fillId="35" borderId="35" xfId="0" applyFont="1" applyFill="1" applyBorder="1" applyAlignment="1" applyProtection="1">
      <alignment horizontal="center" vertical="center" wrapText="1"/>
      <protection locked="0"/>
    </xf>
    <xf numFmtId="0" fontId="4" fillId="0" borderId="22" xfId="0" applyFont="1" applyFill="1" applyBorder="1" applyAlignment="1" applyProtection="1">
      <protection locked="0"/>
    </xf>
    <xf numFmtId="0" fontId="41" fillId="38" borderId="26" xfId="0" applyFont="1" applyFill="1" applyBorder="1" applyAlignment="1">
      <alignment horizontal="center" vertical="center" wrapText="1"/>
    </xf>
    <xf numFmtId="0" fontId="43" fillId="35" borderId="0" xfId="0" applyFont="1" applyFill="1"/>
    <xf numFmtId="0" fontId="4" fillId="38" borderId="0" xfId="0" applyFont="1" applyFill="1"/>
    <xf numFmtId="165" fontId="50" fillId="0" borderId="0" xfId="0" applyNumberFormat="1" applyFont="1" applyProtection="1"/>
    <xf numFmtId="167" fontId="52" fillId="0" borderId="1" xfId="2" applyNumberFormat="1" applyFont="1" applyFill="1" applyBorder="1" applyAlignment="1" applyProtection="1">
      <alignment vertical="center" wrapText="1"/>
    </xf>
    <xf numFmtId="0" fontId="40" fillId="0" borderId="1" xfId="0" applyFont="1" applyFill="1" applyBorder="1" applyAlignment="1" applyProtection="1">
      <alignment horizontal="center" vertical="center" wrapText="1"/>
    </xf>
    <xf numFmtId="167" fontId="4" fillId="0" borderId="1" xfId="2" applyNumberFormat="1" applyFont="1" applyFill="1" applyBorder="1" applyAlignment="1" applyProtection="1">
      <alignment vertical="center" wrapText="1"/>
    </xf>
    <xf numFmtId="167" fontId="4" fillId="0" borderId="3" xfId="2" applyNumberFormat="1" applyFont="1" applyFill="1" applyBorder="1" applyAlignment="1" applyProtection="1">
      <alignment vertical="center" wrapText="1"/>
    </xf>
    <xf numFmtId="170" fontId="4" fillId="0" borderId="1" xfId="2" applyNumberFormat="1" applyFont="1" applyFill="1" applyBorder="1" applyAlignment="1" applyProtection="1">
      <alignment vertical="center" wrapText="1"/>
    </xf>
    <xf numFmtId="170" fontId="4" fillId="0" borderId="3" xfId="2" applyNumberFormat="1" applyFont="1" applyFill="1" applyBorder="1" applyAlignment="1" applyProtection="1">
      <alignment vertical="center" wrapText="1"/>
    </xf>
    <xf numFmtId="9" fontId="4" fillId="0" borderId="22" xfId="7" applyFont="1" applyFill="1" applyBorder="1" applyProtection="1">
      <protection locked="0"/>
    </xf>
    <xf numFmtId="9" fontId="4" fillId="37" borderId="22" xfId="7" applyFont="1" applyFill="1" applyBorder="1" applyProtection="1"/>
    <xf numFmtId="0" fontId="4" fillId="0" borderId="0" xfId="43" applyFont="1" applyProtection="1"/>
    <xf numFmtId="0" fontId="41" fillId="0" borderId="0" xfId="43" applyFont="1" applyProtection="1"/>
    <xf numFmtId="0" fontId="41" fillId="0" borderId="0" xfId="43" applyFont="1" applyAlignment="1" applyProtection="1">
      <alignment vertical="center"/>
    </xf>
    <xf numFmtId="0" fontId="4" fillId="0" borderId="0" xfId="43" applyFont="1" applyAlignment="1" applyProtection="1">
      <alignment vertical="center"/>
    </xf>
    <xf numFmtId="0" fontId="41" fillId="38" borderId="22" xfId="43" applyFont="1" applyFill="1" applyBorder="1" applyAlignment="1" applyProtection="1">
      <alignment horizontal="center" vertical="center" wrapText="1"/>
    </xf>
    <xf numFmtId="44" fontId="41" fillId="0" borderId="22" xfId="98" applyFont="1" applyFill="1" applyBorder="1" applyProtection="1">
      <protection locked="0"/>
    </xf>
    <xf numFmtId="44" fontId="41" fillId="2" borderId="22" xfId="98" applyFont="1" applyFill="1" applyBorder="1" applyProtection="1"/>
    <xf numFmtId="44" fontId="42" fillId="37" borderId="22" xfId="98" applyFont="1" applyFill="1" applyBorder="1" applyProtection="1"/>
    <xf numFmtId="9" fontId="42" fillId="37" borderId="22" xfId="7" applyFont="1" applyFill="1" applyBorder="1" applyProtection="1"/>
    <xf numFmtId="44" fontId="41" fillId="37" borderId="22" xfId="98" applyFont="1" applyFill="1" applyBorder="1" applyProtection="1"/>
    <xf numFmtId="44" fontId="42" fillId="37" borderId="22" xfId="98" applyFont="1" applyFill="1" applyBorder="1" applyAlignment="1" applyProtection="1">
      <alignment vertical="center"/>
    </xf>
    <xf numFmtId="9" fontId="42" fillId="37" borderId="22" xfId="7" applyFont="1" applyFill="1" applyBorder="1" applyAlignment="1" applyProtection="1">
      <alignment vertical="center"/>
    </xf>
    <xf numFmtId="0" fontId="41" fillId="0" borderId="0" xfId="52" applyFont="1" applyProtection="1"/>
    <xf numFmtId="0" fontId="60" fillId="0" borderId="0" xfId="52" quotePrefix="1" applyFont="1" applyAlignment="1" applyProtection="1">
      <alignment vertical="top" wrapText="1"/>
    </xf>
    <xf numFmtId="0" fontId="60" fillId="0" borderId="0" xfId="52" quotePrefix="1" applyFont="1" applyAlignment="1" applyProtection="1">
      <alignment vertical="top" wrapText="1"/>
      <protection locked="0"/>
    </xf>
    <xf numFmtId="0" fontId="51" fillId="0" borderId="0" xfId="52" applyFont="1" applyBorder="1" applyProtection="1">
      <protection locked="0"/>
    </xf>
    <xf numFmtId="0" fontId="41" fillId="0" borderId="0" xfId="52" applyFont="1" applyBorder="1" applyProtection="1">
      <protection locked="0"/>
    </xf>
    <xf numFmtId="0" fontId="41" fillId="0" borderId="0" xfId="52" applyFont="1" applyProtection="1">
      <protection locked="0"/>
    </xf>
    <xf numFmtId="0" fontId="4" fillId="0" borderId="0" xfId="52" applyFont="1" applyAlignment="1" applyProtection="1">
      <alignment vertical="center"/>
      <protection locked="0"/>
    </xf>
    <xf numFmtId="0" fontId="40" fillId="0" borderId="0" xfId="52" applyFont="1" applyFill="1" applyBorder="1" applyAlignment="1" applyProtection="1">
      <alignment horizontal="center" vertical="center" wrapText="1"/>
      <protection locked="0"/>
    </xf>
    <xf numFmtId="0" fontId="4" fillId="0" borderId="0" xfId="52" applyFont="1" applyBorder="1" applyAlignment="1" applyProtection="1">
      <alignment vertical="center"/>
      <protection locked="0"/>
    </xf>
    <xf numFmtId="165" fontId="40" fillId="0" borderId="0" xfId="86" applyNumberFormat="1" applyFont="1" applyFill="1" applyBorder="1" applyAlignment="1" applyProtection="1">
      <alignment horizontal="right" vertical="center" indent="2"/>
      <protection locked="0"/>
    </xf>
    <xf numFmtId="9" fontId="40" fillId="0" borderId="0" xfId="52" applyNumberFormat="1" applyFont="1" applyFill="1" applyBorder="1" applyAlignment="1" applyProtection="1">
      <alignment horizontal="center" vertical="center"/>
      <protection locked="0"/>
    </xf>
    <xf numFmtId="0" fontId="40" fillId="0" borderId="0" xfId="52" applyFont="1" applyFill="1" applyBorder="1" applyAlignment="1" applyProtection="1">
      <alignment vertical="center"/>
      <protection locked="0"/>
    </xf>
    <xf numFmtId="172" fontId="40" fillId="16" borderId="0" xfId="87" applyNumberFormat="1" applyFont="1" applyFill="1" applyBorder="1" applyAlignment="1" applyProtection="1">
      <alignment horizontal="right" vertical="center" indent="2"/>
      <protection locked="0"/>
    </xf>
    <xf numFmtId="9" fontId="40" fillId="16" borderId="0" xfId="52" applyNumberFormat="1" applyFont="1" applyFill="1" applyBorder="1" applyAlignment="1" applyProtection="1">
      <alignment horizontal="right" vertical="center" indent="2"/>
      <protection locked="0"/>
    </xf>
    <xf numFmtId="172" fontId="40" fillId="0" borderId="0" xfId="87" applyNumberFormat="1" applyFont="1" applyFill="1" applyBorder="1" applyAlignment="1" applyProtection="1">
      <alignment horizontal="right" vertical="center" indent="2"/>
      <protection locked="0"/>
    </xf>
    <xf numFmtId="9" fontId="40" fillId="16" borderId="0" xfId="52" applyNumberFormat="1" applyFont="1" applyFill="1" applyBorder="1" applyAlignment="1" applyProtection="1">
      <alignment horizontal="center" vertical="center"/>
      <protection locked="0"/>
    </xf>
    <xf numFmtId="168" fontId="4" fillId="16" borderId="0" xfId="52" applyNumberFormat="1" applyFont="1" applyFill="1" applyBorder="1" applyAlignment="1" applyProtection="1">
      <alignment horizontal="right" vertical="center" indent="2"/>
      <protection locked="0"/>
    </xf>
    <xf numFmtId="0" fontId="4" fillId="0" borderId="0" xfId="52" applyFont="1" applyFill="1" applyBorder="1" applyAlignment="1" applyProtection="1">
      <alignment vertical="center"/>
      <protection locked="0"/>
    </xf>
    <xf numFmtId="0" fontId="4" fillId="0" borderId="0" xfId="52" applyFont="1" applyFill="1" applyBorder="1" applyAlignment="1" applyProtection="1">
      <alignment horizontal="left" vertical="center" wrapText="1"/>
      <protection locked="0"/>
    </xf>
    <xf numFmtId="172" fontId="4" fillId="16" borderId="0" xfId="87" applyNumberFormat="1" applyFont="1" applyFill="1" applyBorder="1" applyAlignment="1" applyProtection="1">
      <alignment horizontal="right" vertical="center" indent="2"/>
      <protection locked="0"/>
    </xf>
    <xf numFmtId="172" fontId="4" fillId="16" borderId="0" xfId="87" quotePrefix="1" applyNumberFormat="1" applyFont="1" applyFill="1" applyBorder="1" applyAlignment="1" applyProtection="1">
      <alignment horizontal="center" vertical="center" wrapText="1"/>
      <protection locked="0"/>
    </xf>
    <xf numFmtId="0" fontId="61" fillId="0" borderId="0" xfId="52" applyFont="1" applyBorder="1" applyAlignment="1" applyProtection="1">
      <alignment horizontal="right" vertical="center"/>
      <protection locked="0"/>
    </xf>
    <xf numFmtId="165" fontId="61" fillId="0" borderId="0" xfId="86" applyNumberFormat="1" applyFont="1" applyBorder="1" applyAlignment="1" applyProtection="1">
      <alignment vertical="center"/>
      <protection locked="0"/>
    </xf>
    <xf numFmtId="0" fontId="4" fillId="0" borderId="0" xfId="52" applyFont="1" applyBorder="1" applyAlignment="1" applyProtection="1">
      <alignment horizontal="left" vertical="center"/>
      <protection locked="0"/>
    </xf>
    <xf numFmtId="0" fontId="44" fillId="0" borderId="0" xfId="52" applyFont="1" applyProtection="1">
      <protection locked="0"/>
    </xf>
    <xf numFmtId="0" fontId="4" fillId="0" borderId="0" xfId="52" applyFont="1" applyProtection="1">
      <protection locked="0"/>
    </xf>
    <xf numFmtId="0" fontId="62" fillId="0" borderId="0" xfId="52" applyFont="1" applyAlignment="1" applyProtection="1">
      <alignment horizontal="right" vertical="center"/>
      <protection locked="0"/>
    </xf>
    <xf numFmtId="168" fontId="62" fillId="0" borderId="0" xfId="53" applyNumberFormat="1" applyFont="1" applyAlignment="1" applyProtection="1">
      <alignment vertical="center"/>
      <protection locked="0"/>
    </xf>
    <xf numFmtId="0" fontId="40" fillId="38" borderId="22" xfId="52" applyFont="1" applyFill="1" applyBorder="1" applyAlignment="1" applyProtection="1">
      <alignment horizontal="center" vertical="center" wrapText="1"/>
      <protection locked="0"/>
    </xf>
    <xf numFmtId="0" fontId="4" fillId="0" borderId="22" xfId="52" applyFont="1" applyBorder="1" applyAlignment="1" applyProtection="1">
      <alignment vertical="center"/>
      <protection locked="0"/>
    </xf>
    <xf numFmtId="172" fontId="4" fillId="16" borderId="22" xfId="87" applyNumberFormat="1" applyFont="1" applyFill="1" applyBorder="1" applyAlignment="1" applyProtection="1">
      <alignment horizontal="right" vertical="center" indent="2"/>
      <protection locked="0"/>
    </xf>
    <xf numFmtId="9" fontId="4" fillId="16" borderId="22" xfId="53" applyNumberFormat="1" applyFont="1" applyFill="1" applyBorder="1" applyAlignment="1" applyProtection="1">
      <alignment vertical="center"/>
      <protection locked="0"/>
    </xf>
    <xf numFmtId="172" fontId="4" fillId="37" borderId="22" xfId="87" applyNumberFormat="1" applyFont="1" applyFill="1" applyBorder="1" applyAlignment="1" applyProtection="1">
      <alignment horizontal="right" vertical="center" indent="2"/>
      <protection locked="0"/>
    </xf>
    <xf numFmtId="0" fontId="40" fillId="0" borderId="22" xfId="52" applyFont="1" applyBorder="1" applyAlignment="1" applyProtection="1">
      <alignment vertical="center"/>
      <protection locked="0"/>
    </xf>
    <xf numFmtId="172" fontId="40" fillId="37" borderId="22" xfId="87" applyNumberFormat="1" applyFont="1" applyFill="1" applyBorder="1" applyAlignment="1" applyProtection="1">
      <alignment horizontal="right" vertical="center" indent="2"/>
      <protection locked="0"/>
    </xf>
    <xf numFmtId="9" fontId="40" fillId="37" borderId="22" xfId="52" applyNumberFormat="1" applyFont="1" applyFill="1" applyBorder="1" applyAlignment="1" applyProtection="1">
      <alignment horizontal="right" vertical="center"/>
      <protection locked="0"/>
    </xf>
    <xf numFmtId="168" fontId="4" fillId="16" borderId="22" xfId="53" applyNumberFormat="1" applyFont="1" applyFill="1" applyBorder="1" applyAlignment="1" applyProtection="1">
      <alignment horizontal="right" vertical="center" indent="2"/>
      <protection locked="0"/>
    </xf>
    <xf numFmtId="0" fontId="4" fillId="2" borderId="22" xfId="52" applyFont="1" applyFill="1" applyBorder="1" applyAlignment="1" applyProtection="1">
      <alignment horizontal="right" vertical="center" indent="2"/>
      <protection locked="0"/>
    </xf>
    <xf numFmtId="0" fontId="4" fillId="0" borderId="22" xfId="52" applyFont="1" applyFill="1" applyBorder="1" applyAlignment="1" applyProtection="1">
      <alignment vertical="center" wrapText="1"/>
      <protection locked="0"/>
    </xf>
    <xf numFmtId="0" fontId="40" fillId="0" borderId="22" xfId="52" applyFont="1" applyFill="1" applyBorder="1" applyAlignment="1" applyProtection="1">
      <alignment vertical="center"/>
      <protection locked="0"/>
    </xf>
    <xf numFmtId="172" fontId="40" fillId="2" borderId="22" xfId="87" applyNumberFormat="1" applyFont="1" applyFill="1" applyBorder="1" applyAlignment="1" applyProtection="1">
      <alignment horizontal="right" vertical="center" indent="2"/>
      <protection locked="0"/>
    </xf>
    <xf numFmtId="0" fontId="40" fillId="38" borderId="22" xfId="52" applyFont="1" applyFill="1" applyBorder="1" applyAlignment="1" applyProtection="1">
      <alignment vertical="center"/>
      <protection locked="0"/>
    </xf>
    <xf numFmtId="172" fontId="40" fillId="38" borderId="22" xfId="87" applyNumberFormat="1" applyFont="1" applyFill="1" applyBorder="1" applyAlignment="1" applyProtection="1">
      <alignment horizontal="center" vertical="center"/>
      <protection locked="0"/>
    </xf>
    <xf numFmtId="172" fontId="40" fillId="38" borderId="22" xfId="87" applyNumberFormat="1" applyFont="1" applyFill="1" applyBorder="1" applyAlignment="1" applyProtection="1">
      <alignment horizontal="center" vertical="center" wrapText="1"/>
      <protection locked="0"/>
    </xf>
    <xf numFmtId="0" fontId="4" fillId="0" borderId="22" xfId="52" applyFont="1" applyFill="1" applyBorder="1" applyAlignment="1" applyProtection="1">
      <alignment horizontal="left" vertical="center" wrapText="1"/>
      <protection locked="0"/>
    </xf>
    <xf numFmtId="9" fontId="4" fillId="16" borderId="22" xfId="7" quotePrefix="1" applyFont="1" applyFill="1" applyBorder="1" applyAlignment="1" applyProtection="1">
      <alignment horizontal="center" vertical="center" wrapText="1"/>
      <protection locked="0"/>
    </xf>
    <xf numFmtId="0" fontId="42" fillId="38" borderId="22" xfId="52" applyFont="1" applyFill="1" applyBorder="1" applyProtection="1">
      <protection locked="0"/>
    </xf>
    <xf numFmtId="10" fontId="42" fillId="37" borderId="22" xfId="7" applyNumberFormat="1" applyFont="1" applyFill="1" applyBorder="1" applyProtection="1">
      <protection locked="0"/>
    </xf>
    <xf numFmtId="172" fontId="40" fillId="37" borderId="22" xfId="52" applyNumberFormat="1" applyFont="1" applyFill="1" applyBorder="1" applyAlignment="1" applyProtection="1">
      <alignment vertical="center"/>
      <protection locked="0"/>
    </xf>
    <xf numFmtId="172" fontId="42" fillId="37" borderId="22" xfId="52" applyNumberFormat="1" applyFont="1" applyFill="1" applyBorder="1" applyProtection="1">
      <protection locked="0"/>
    </xf>
    <xf numFmtId="0" fontId="59" fillId="0" borderId="0" xfId="0" applyFont="1" applyAlignment="1">
      <alignment vertical="top" wrapText="1"/>
    </xf>
    <xf numFmtId="0" fontId="4" fillId="0" borderId="0" xfId="0" applyFont="1" applyFill="1" applyBorder="1"/>
    <xf numFmtId="1" fontId="4" fillId="0" borderId="0" xfId="0" applyNumberFormat="1" applyFont="1" applyFill="1" applyBorder="1"/>
    <xf numFmtId="0" fontId="4" fillId="0" borderId="0" xfId="0" pivotButton="1" applyFont="1"/>
    <xf numFmtId="0" fontId="53" fillId="0" borderId="0" xfId="0" applyFont="1" applyAlignment="1">
      <alignment vertical="top"/>
    </xf>
    <xf numFmtId="0" fontId="49" fillId="0" borderId="0" xfId="52" applyFont="1" applyAlignment="1">
      <alignment vertical="center"/>
    </xf>
    <xf numFmtId="0" fontId="49" fillId="0" borderId="0" xfId="0" applyFont="1" applyBorder="1" applyAlignment="1" applyProtection="1"/>
    <xf numFmtId="0" fontId="41" fillId="38" borderId="36" xfId="0" applyFont="1" applyFill="1" applyBorder="1" applyAlignment="1">
      <alignment horizontal="center" vertical="center" wrapText="1"/>
    </xf>
    <xf numFmtId="0" fontId="42" fillId="38" borderId="26" xfId="0" applyFont="1" applyFill="1" applyBorder="1" applyAlignment="1">
      <alignment horizontal="center" vertical="center" wrapText="1"/>
    </xf>
    <xf numFmtId="1" fontId="42" fillId="38" borderId="26" xfId="0" applyNumberFormat="1" applyFont="1" applyFill="1" applyBorder="1" applyAlignment="1">
      <alignment horizontal="center" vertical="center" wrapText="1"/>
    </xf>
    <xf numFmtId="0" fontId="42" fillId="38" borderId="37" xfId="0" applyFont="1" applyFill="1" applyBorder="1" applyAlignment="1">
      <alignment horizontal="center" vertical="center" wrapText="1"/>
    </xf>
    <xf numFmtId="0" fontId="4" fillId="0" borderId="0" xfId="0" applyFont="1" applyFill="1" applyBorder="1" applyProtection="1"/>
    <xf numFmtId="1" fontId="4" fillId="0" borderId="0" xfId="0" applyNumberFormat="1" applyFont="1" applyFill="1" applyBorder="1" applyProtection="1"/>
    <xf numFmtId="0" fontId="4" fillId="0" borderId="0" xfId="0" applyFont="1" applyAlignment="1" applyProtection="1">
      <alignment vertical="center"/>
    </xf>
    <xf numFmtId="0" fontId="53" fillId="0" borderId="0" xfId="0" applyFont="1" applyAlignment="1" applyProtection="1">
      <alignment vertical="top"/>
    </xf>
    <xf numFmtId="0" fontId="49" fillId="0" borderId="0" xfId="0" applyFont="1" applyProtection="1"/>
    <xf numFmtId="0" fontId="49" fillId="0" borderId="0" xfId="0" applyFont="1" applyAlignment="1" applyProtection="1">
      <alignment horizontal="center"/>
    </xf>
    <xf numFmtId="0" fontId="40" fillId="0" borderId="22" xfId="0" applyFont="1" applyFill="1" applyBorder="1" applyAlignment="1" applyProtection="1">
      <alignment horizontal="center" vertical="center" wrapText="1"/>
    </xf>
    <xf numFmtId="172" fontId="40" fillId="0" borderId="22" xfId="87" applyNumberFormat="1" applyFont="1" applyFill="1" applyBorder="1" applyAlignment="1" applyProtection="1">
      <alignment horizontal="right" vertical="center" indent="2"/>
      <protection locked="0"/>
    </xf>
    <xf numFmtId="172" fontId="4" fillId="2" borderId="22" xfId="87" applyNumberFormat="1" applyFont="1" applyFill="1" applyBorder="1" applyAlignment="1" applyProtection="1">
      <alignment horizontal="right" vertical="center" indent="2"/>
    </xf>
    <xf numFmtId="0" fontId="4" fillId="0" borderId="22" xfId="52" quotePrefix="1" applyFont="1" applyFill="1" applyBorder="1" applyAlignment="1" applyProtection="1">
      <alignment horizontal="left" vertical="center" wrapText="1"/>
      <protection locked="0"/>
    </xf>
    <xf numFmtId="172" fontId="40" fillId="37" borderId="22" xfId="87" applyNumberFormat="1" applyFont="1" applyFill="1" applyBorder="1" applyAlignment="1" applyProtection="1">
      <alignment horizontal="right" vertical="center" indent="2"/>
    </xf>
    <xf numFmtId="172" fontId="4" fillId="37" borderId="22" xfId="87" applyNumberFormat="1" applyFont="1" applyFill="1" applyBorder="1" applyAlignment="1" applyProtection="1">
      <alignment horizontal="right" vertical="center" indent="2"/>
    </xf>
    <xf numFmtId="0" fontId="40" fillId="38" borderId="22" xfId="0" applyFont="1" applyFill="1" applyBorder="1" applyAlignment="1" applyProtection="1">
      <alignment horizontal="center" vertical="center" wrapText="1"/>
    </xf>
    <xf numFmtId="0" fontId="4" fillId="0" borderId="0" xfId="0" applyFont="1" applyAlignment="1">
      <alignment horizontal="center"/>
    </xf>
    <xf numFmtId="0" fontId="51" fillId="0" borderId="0" xfId="0" applyFont="1" applyBorder="1" applyAlignment="1" applyProtection="1">
      <alignment wrapText="1"/>
    </xf>
    <xf numFmtId="0" fontId="4" fillId="0" borderId="25" xfId="0" applyFont="1" applyBorder="1" applyAlignment="1">
      <alignment horizontal="justify" vertical="top" wrapText="1"/>
    </xf>
    <xf numFmtId="0" fontId="4" fillId="0" borderId="22" xfId="0" applyFont="1" applyBorder="1" applyAlignment="1">
      <alignment horizontal="justify" vertical="top"/>
    </xf>
    <xf numFmtId="10" fontId="4" fillId="0" borderId="24" xfId="0" applyNumberFormat="1" applyFont="1" applyBorder="1" applyAlignment="1">
      <alignment vertical="top" wrapText="1"/>
    </xf>
    <xf numFmtId="0" fontId="4" fillId="0" borderId="24" xfId="0" applyFont="1" applyBorder="1" applyAlignment="1">
      <alignment vertical="top" wrapText="1"/>
    </xf>
    <xf numFmtId="0" fontId="4" fillId="0" borderId="38" xfId="0" applyFont="1" applyBorder="1" applyAlignment="1">
      <alignment horizontal="justify" vertical="top" wrapText="1"/>
    </xf>
    <xf numFmtId="0" fontId="4" fillId="0" borderId="23" xfId="0" applyFont="1" applyBorder="1" applyAlignment="1">
      <alignment horizontal="justify" vertical="top"/>
    </xf>
    <xf numFmtId="10" fontId="4" fillId="0" borderId="39" xfId="0" applyNumberFormat="1" applyFont="1" applyBorder="1" applyAlignment="1">
      <alignment vertical="top" wrapText="1"/>
    </xf>
    <xf numFmtId="0" fontId="40" fillId="38" borderId="36" xfId="0" applyFont="1" applyFill="1" applyBorder="1" applyAlignment="1">
      <alignment horizontal="center" vertical="top" wrapText="1"/>
    </xf>
    <xf numFmtId="0" fontId="40" fillId="38" borderId="26" xfId="0" applyFont="1" applyFill="1" applyBorder="1" applyAlignment="1">
      <alignment horizontal="center" vertical="top" wrapText="1"/>
    </xf>
    <xf numFmtId="0" fontId="40" fillId="38" borderId="37" xfId="0" applyFont="1" applyFill="1" applyBorder="1" applyAlignment="1">
      <alignment vertical="top" wrapText="1"/>
    </xf>
    <xf numFmtId="0" fontId="7" fillId="38" borderId="10" xfId="0" applyFont="1" applyFill="1" applyBorder="1" applyAlignment="1" applyProtection="1">
      <alignment vertical="center" wrapText="1"/>
    </xf>
    <xf numFmtId="0" fontId="8" fillId="38" borderId="1" xfId="0" applyFont="1" applyFill="1" applyBorder="1" applyAlignment="1" applyProtection="1">
      <alignment horizontal="center" vertical="center" wrapText="1"/>
    </xf>
    <xf numFmtId="0" fontId="5" fillId="38" borderId="10" xfId="0" applyFont="1" applyFill="1" applyBorder="1" applyAlignment="1" applyProtection="1">
      <alignment horizontal="left" vertical="center" wrapText="1"/>
    </xf>
    <xf numFmtId="0" fontId="7" fillId="38" borderId="10" xfId="12" applyFont="1" applyFill="1" applyBorder="1" applyAlignment="1" applyProtection="1">
      <alignment vertical="center" wrapText="1"/>
    </xf>
    <xf numFmtId="0" fontId="8" fillId="38" borderId="1" xfId="12" applyFont="1" applyFill="1" applyBorder="1" applyAlignment="1" applyProtection="1">
      <alignment horizontal="center" vertical="center" wrapText="1"/>
    </xf>
    <xf numFmtId="0" fontId="5" fillId="38" borderId="10" xfId="12" applyFont="1" applyFill="1" applyBorder="1" applyAlignment="1" applyProtection="1">
      <alignment horizontal="left" vertical="center" wrapText="1"/>
    </xf>
    <xf numFmtId="0" fontId="11" fillId="0" borderId="0" xfId="12" applyFont="1" applyAlignment="1" applyProtection="1"/>
    <xf numFmtId="0" fontId="11" fillId="0" borderId="0" xfId="12" applyFont="1" applyProtection="1"/>
    <xf numFmtId="0" fontId="11" fillId="0" borderId="0" xfId="12" applyFont="1" applyAlignment="1" applyProtection="1">
      <alignment horizontal="center" vertical="center"/>
    </xf>
    <xf numFmtId="9" fontId="11" fillId="0" borderId="0" xfId="7" applyFont="1" applyBorder="1" applyAlignment="1" applyProtection="1">
      <alignment horizontal="center" vertical="center"/>
    </xf>
    <xf numFmtId="0" fontId="11" fillId="0" borderId="0" xfId="12" applyFont="1" applyBorder="1" applyProtection="1"/>
    <xf numFmtId="170" fontId="5" fillId="37" borderId="1" xfId="2" applyNumberFormat="1" applyFont="1" applyFill="1" applyBorder="1" applyAlignment="1" applyProtection="1">
      <alignment vertical="center" wrapText="1"/>
    </xf>
    <xf numFmtId="0" fontId="4" fillId="0" borderId="0" xfId="12" applyProtection="1"/>
    <xf numFmtId="0" fontId="6" fillId="0" borderId="0" xfId="12" applyFont="1" applyProtection="1"/>
    <xf numFmtId="170" fontId="18" fillId="2" borderId="10" xfId="2" applyNumberFormat="1" applyFont="1" applyFill="1" applyBorder="1" applyAlignment="1" applyProtection="1">
      <alignment vertical="center" wrapText="1"/>
    </xf>
    <xf numFmtId="170" fontId="18" fillId="2" borderId="1" xfId="2" applyNumberFormat="1" applyFont="1" applyFill="1" applyBorder="1" applyAlignment="1" applyProtection="1">
      <alignment vertical="center" wrapText="1"/>
    </xf>
    <xf numFmtId="0" fontId="4" fillId="0" borderId="9" xfId="12" applyBorder="1" applyProtection="1"/>
    <xf numFmtId="0" fontId="11" fillId="0" borderId="0" xfId="0" applyFont="1" applyAlignment="1" applyProtection="1"/>
    <xf numFmtId="0" fontId="11" fillId="0" borderId="0" xfId="0" applyFont="1" applyProtection="1"/>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Border="1" applyProtection="1"/>
    <xf numFmtId="0" fontId="6" fillId="0" borderId="0" xfId="0" applyFont="1" applyProtection="1"/>
    <xf numFmtId="0" fontId="0" fillId="0" borderId="9" xfId="0" applyBorder="1" applyProtection="1"/>
    <xf numFmtId="0" fontId="63" fillId="0" borderId="0" xfId="0" applyFont="1" applyBorder="1" applyAlignment="1" applyProtection="1">
      <alignment horizontal="center" vertical="center" wrapText="1"/>
    </xf>
    <xf numFmtId="0" fontId="55" fillId="0" borderId="1" xfId="0" applyFont="1" applyFill="1" applyBorder="1" applyAlignment="1" applyProtection="1">
      <alignment horizontal="center" vertical="center" wrapText="1"/>
    </xf>
    <xf numFmtId="0" fontId="52" fillId="2" borderId="22" xfId="0" applyFont="1" applyFill="1" applyBorder="1" applyAlignment="1" applyProtection="1">
      <alignment horizontal="left" vertical="center" wrapText="1"/>
    </xf>
    <xf numFmtId="0" fontId="55" fillId="38" borderId="26" xfId="0" applyFont="1" applyFill="1" applyBorder="1" applyAlignment="1" applyProtection="1">
      <alignment horizontal="center" vertical="center" wrapText="1"/>
    </xf>
    <xf numFmtId="0" fontId="55" fillId="38" borderId="37" xfId="0" applyFont="1" applyFill="1" applyBorder="1" applyAlignment="1" applyProtection="1">
      <alignment horizontal="center" vertical="center" wrapText="1"/>
    </xf>
    <xf numFmtId="0" fontId="47" fillId="35" borderId="44" xfId="0" applyFont="1" applyFill="1" applyBorder="1" applyAlignment="1" applyProtection="1">
      <alignment horizontal="center" vertical="center" wrapText="1"/>
      <protection locked="0"/>
    </xf>
    <xf numFmtId="0" fontId="47" fillId="35" borderId="24" xfId="0" applyFont="1" applyFill="1" applyBorder="1" applyAlignment="1" applyProtection="1">
      <alignment horizontal="center" vertical="center" wrapText="1"/>
      <protection locked="0"/>
    </xf>
    <xf numFmtId="0" fontId="4" fillId="0" borderId="0" xfId="0" applyFont="1" applyAlignment="1" applyProtection="1">
      <alignment vertical="top" wrapText="1"/>
    </xf>
    <xf numFmtId="0" fontId="4" fillId="0" borderId="0" xfId="0" applyFont="1" applyAlignment="1">
      <alignment vertical="center" wrapText="1"/>
    </xf>
    <xf numFmtId="0" fontId="49" fillId="0" borderId="0" xfId="0" applyFont="1" applyAlignment="1" applyProtection="1">
      <alignment vertical="center"/>
    </xf>
    <xf numFmtId="0" fontId="42" fillId="0" borderId="0" xfId="52" applyFont="1"/>
    <xf numFmtId="0" fontId="40" fillId="38" borderId="22" xfId="0" applyFont="1" applyFill="1" applyBorder="1" applyAlignment="1" applyProtection="1">
      <alignment horizontal="left" vertical="center" wrapText="1"/>
    </xf>
    <xf numFmtId="0" fontId="4" fillId="0" borderId="0" xfId="0" applyFont="1" applyBorder="1" applyProtection="1"/>
    <xf numFmtId="0" fontId="4" fillId="38" borderId="22" xfId="0" applyFont="1" applyFill="1" applyBorder="1" applyProtection="1"/>
    <xf numFmtId="165" fontId="52" fillId="0" borderId="22" xfId="2" applyFont="1" applyFill="1" applyBorder="1" applyAlignment="1" applyProtection="1">
      <alignment vertical="center" wrapText="1"/>
    </xf>
    <xf numFmtId="0" fontId="4" fillId="0" borderId="22" xfId="0" applyFont="1" applyBorder="1" applyProtection="1"/>
    <xf numFmtId="165" fontId="52" fillId="0" borderId="1" xfId="2" applyFont="1" applyFill="1" applyBorder="1" applyAlignment="1" applyProtection="1">
      <alignment vertical="center" wrapText="1"/>
    </xf>
    <xf numFmtId="165" fontId="52" fillId="2" borderId="22" xfId="2" applyFont="1" applyFill="1" applyBorder="1" applyAlignment="1" applyProtection="1">
      <alignment vertical="center" wrapText="1"/>
    </xf>
    <xf numFmtId="0" fontId="4" fillId="2" borderId="22" xfId="0" applyFont="1" applyFill="1" applyBorder="1" applyProtection="1"/>
    <xf numFmtId="9" fontId="4" fillId="2" borderId="22" xfId="7" applyFont="1" applyFill="1" applyBorder="1" applyProtection="1"/>
    <xf numFmtId="0" fontId="4" fillId="0" borderId="0" xfId="0" applyFont="1" applyFill="1" applyProtection="1"/>
    <xf numFmtId="0" fontId="56" fillId="0" borderId="0" xfId="0" applyFont="1" applyFill="1" applyProtection="1"/>
    <xf numFmtId="0" fontId="4" fillId="38" borderId="22" xfId="0" applyFont="1" applyFill="1" applyBorder="1" applyAlignment="1" applyProtection="1"/>
    <xf numFmtId="9" fontId="4" fillId="37" borderId="22" xfId="0" applyNumberFormat="1" applyFont="1" applyFill="1" applyBorder="1" applyProtection="1"/>
    <xf numFmtId="165" fontId="4" fillId="0" borderId="1" xfId="2" applyFont="1" applyBorder="1" applyAlignment="1" applyProtection="1"/>
    <xf numFmtId="165" fontId="50" fillId="0" borderId="0" xfId="0" applyNumberFormat="1" applyFont="1" applyAlignment="1" applyProtection="1">
      <alignment horizontal="center" vertical="center" wrapText="1"/>
    </xf>
    <xf numFmtId="9" fontId="4" fillId="2" borderId="22" xfId="7" applyFont="1" applyFill="1" applyBorder="1" applyProtection="1">
      <protection locked="0"/>
    </xf>
    <xf numFmtId="173" fontId="40" fillId="38" borderId="22" xfId="0" applyNumberFormat="1" applyFont="1" applyFill="1" applyBorder="1" applyAlignment="1" applyProtection="1">
      <alignment horizontal="center" vertical="center" wrapText="1"/>
    </xf>
    <xf numFmtId="0" fontId="40" fillId="38" borderId="26" xfId="0" applyFont="1" applyFill="1" applyBorder="1" applyAlignment="1">
      <alignment horizontal="center" vertical="center" wrapText="1"/>
    </xf>
    <xf numFmtId="0" fontId="42" fillId="38" borderId="36" xfId="0" applyFont="1" applyFill="1" applyBorder="1" applyAlignment="1" applyProtection="1">
      <alignment horizontal="center" vertical="center" wrapText="1"/>
      <protection locked="0"/>
    </xf>
    <xf numFmtId="0" fontId="42" fillId="38" borderId="26" xfId="0" applyFont="1" applyFill="1" applyBorder="1" applyAlignment="1" applyProtection="1">
      <alignment horizontal="center" vertical="center" wrapText="1"/>
      <protection locked="0"/>
    </xf>
    <xf numFmtId="14" fontId="42" fillId="38" borderId="26" xfId="0" applyNumberFormat="1" applyFont="1" applyFill="1" applyBorder="1" applyAlignment="1" applyProtection="1">
      <alignment horizontal="center" vertical="center" wrapText="1"/>
      <protection locked="0"/>
    </xf>
    <xf numFmtId="4" fontId="42" fillId="38" borderId="26" xfId="0" applyNumberFormat="1" applyFont="1" applyFill="1" applyBorder="1" applyAlignment="1" applyProtection="1">
      <alignment horizontal="center" vertical="center" wrapText="1"/>
      <protection locked="0"/>
    </xf>
    <xf numFmtId="174" fontId="4" fillId="0" borderId="0" xfId="0" applyNumberFormat="1" applyFont="1"/>
    <xf numFmtId="0" fontId="64" fillId="0" borderId="0" xfId="52" applyFont="1" applyAlignment="1" applyProtection="1">
      <alignment vertical="center"/>
    </xf>
    <xf numFmtId="0" fontId="40" fillId="38" borderId="22" xfId="52" applyFont="1" applyFill="1" applyBorder="1" applyAlignment="1" applyProtection="1">
      <alignment vertical="center"/>
    </xf>
    <xf numFmtId="0" fontId="42" fillId="38" borderId="22" xfId="52" applyFont="1" applyFill="1" applyBorder="1" applyProtection="1"/>
    <xf numFmtId="10" fontId="0" fillId="0" borderId="25" xfId="0" applyNumberFormat="1" applyFont="1" applyFill="1" applyBorder="1" applyAlignment="1" applyProtection="1">
      <protection locked="0"/>
    </xf>
    <xf numFmtId="10" fontId="0" fillId="0" borderId="22" xfId="0" applyNumberFormat="1" applyFont="1" applyFill="1" applyBorder="1" applyAlignment="1" applyProtection="1">
      <protection locked="0"/>
    </xf>
    <xf numFmtId="14" fontId="0" fillId="0" borderId="22" xfId="0" applyNumberFormat="1" applyFont="1" applyFill="1" applyBorder="1" applyAlignment="1" applyProtection="1">
      <protection locked="0"/>
    </xf>
    <xf numFmtId="14" fontId="67" fillId="0" borderId="22" xfId="43" applyNumberFormat="1" applyFont="1" applyFill="1" applyBorder="1" applyAlignment="1" applyProtection="1">
      <protection locked="0"/>
    </xf>
    <xf numFmtId="0" fontId="0" fillId="0" borderId="22" xfId="0" applyFont="1" applyFill="1" applyBorder="1" applyAlignment="1" applyProtection="1">
      <protection locked="0"/>
    </xf>
    <xf numFmtId="1" fontId="0" fillId="0" borderId="22" xfId="0" applyNumberFormat="1" applyFont="1" applyFill="1" applyBorder="1" applyAlignment="1" applyProtection="1">
      <protection locked="0"/>
    </xf>
    <xf numFmtId="0" fontId="67" fillId="0" borderId="22" xfId="0" applyFont="1" applyFill="1" applyBorder="1" applyAlignment="1" applyProtection="1">
      <protection locked="0"/>
    </xf>
    <xf numFmtId="165" fontId="0" fillId="0" borderId="22" xfId="2" applyFont="1" applyFill="1" applyBorder="1" applyAlignment="1" applyProtection="1">
      <protection hidden="1"/>
    </xf>
    <xf numFmtId="49" fontId="0" fillId="0" borderId="22" xfId="43" applyNumberFormat="1" applyFont="1" applyFill="1" applyBorder="1" applyAlignment="1" applyProtection="1">
      <alignment horizontal="center" vertical="center"/>
      <protection locked="0"/>
    </xf>
    <xf numFmtId="10" fontId="0" fillId="0" borderId="23" xfId="0" applyNumberFormat="1" applyFont="1" applyFill="1" applyBorder="1" applyAlignment="1" applyProtection="1">
      <protection locked="0"/>
    </xf>
    <xf numFmtId="14" fontId="0" fillId="0" borderId="23" xfId="0" applyNumberFormat="1" applyFont="1" applyFill="1" applyBorder="1" applyAlignment="1" applyProtection="1">
      <protection locked="0"/>
    </xf>
    <xf numFmtId="14" fontId="67" fillId="0" borderId="23" xfId="43" applyNumberFormat="1" applyFont="1" applyFill="1" applyBorder="1" applyAlignment="1" applyProtection="1">
      <protection locked="0"/>
    </xf>
    <xf numFmtId="0" fontId="0" fillId="0" borderId="23" xfId="0" applyFont="1" applyFill="1" applyBorder="1" applyAlignment="1" applyProtection="1">
      <protection locked="0"/>
    </xf>
    <xf numFmtId="49" fontId="0" fillId="0" borderId="23" xfId="43" applyNumberFormat="1" applyFont="1" applyFill="1" applyBorder="1" applyAlignment="1" applyProtection="1">
      <alignment horizontal="center" vertical="center"/>
      <protection locked="0"/>
    </xf>
    <xf numFmtId="1" fontId="0" fillId="0" borderId="23" xfId="0" applyNumberFormat="1" applyFont="1" applyFill="1" applyBorder="1" applyAlignment="1" applyProtection="1">
      <protection locked="0"/>
    </xf>
    <xf numFmtId="0" fontId="67" fillId="0" borderId="23" xfId="0" applyFont="1" applyFill="1" applyBorder="1" applyAlignment="1" applyProtection="1">
      <protection locked="0"/>
    </xf>
    <xf numFmtId="165" fontId="0" fillId="0" borderId="23" xfId="2" applyFont="1" applyFill="1" applyBorder="1" applyAlignment="1" applyProtection="1">
      <protection hidden="1"/>
    </xf>
    <xf numFmtId="0" fontId="4" fillId="0" borderId="0" xfId="0" applyFont="1" applyBorder="1" applyProtection="1">
      <protection locked="0"/>
    </xf>
    <xf numFmtId="0" fontId="0" fillId="0" borderId="0" xfId="0" applyBorder="1"/>
    <xf numFmtId="0" fontId="54" fillId="0" borderId="53" xfId="0" applyFont="1" applyBorder="1" applyAlignment="1" applyProtection="1">
      <alignment wrapText="1"/>
    </xf>
    <xf numFmtId="0" fontId="4" fillId="0" borderId="54" xfId="0" applyFont="1" applyBorder="1" applyProtection="1">
      <protection locked="0"/>
    </xf>
    <xf numFmtId="0" fontId="49" fillId="0" borderId="55" xfId="0" applyFont="1" applyBorder="1" applyAlignment="1" applyProtection="1"/>
    <xf numFmtId="0" fontId="41" fillId="0" borderId="57" xfId="0" quotePrefix="1" applyFont="1" applyBorder="1" applyAlignment="1" applyProtection="1">
      <alignment horizontal="left" vertical="top" wrapText="1"/>
    </xf>
    <xf numFmtId="0" fontId="49" fillId="0" borderId="56" xfId="0" applyFont="1" applyBorder="1" applyAlignment="1" applyProtection="1">
      <alignment wrapText="1"/>
    </xf>
    <xf numFmtId="0" fontId="4" fillId="0" borderId="57" xfId="0" applyFont="1" applyBorder="1" applyProtection="1">
      <protection locked="0"/>
    </xf>
    <xf numFmtId="0" fontId="53" fillId="0" borderId="0" xfId="0" applyFont="1" applyAlignment="1" applyProtection="1">
      <alignment vertical="center"/>
    </xf>
    <xf numFmtId="0" fontId="4" fillId="0" borderId="0" xfId="0" applyFont="1" applyAlignment="1" applyProtection="1">
      <alignment vertical="center"/>
      <protection locked="0"/>
    </xf>
    <xf numFmtId="0" fontId="4" fillId="0" borderId="22" xfId="0" applyFont="1" applyFill="1" applyBorder="1" applyAlignment="1" applyProtection="1">
      <alignment horizontal="left" vertical="center"/>
      <protection locked="0"/>
    </xf>
    <xf numFmtId="0" fontId="43" fillId="35" borderId="41" xfId="0" applyFont="1" applyFill="1" applyBorder="1" applyAlignment="1" applyProtection="1">
      <alignment horizontal="left" vertical="center"/>
      <protection locked="0"/>
    </xf>
    <xf numFmtId="171" fontId="4" fillId="0" borderId="22" xfId="2" applyNumberFormat="1" applyFont="1" applyFill="1" applyBorder="1" applyAlignment="1" applyProtection="1">
      <protection locked="0"/>
    </xf>
    <xf numFmtId="0" fontId="43" fillId="35" borderId="42" xfId="0" applyFont="1" applyFill="1" applyBorder="1" applyAlignment="1" applyProtection="1">
      <alignment horizontal="left" vertical="center"/>
      <protection locked="0"/>
    </xf>
    <xf numFmtId="0" fontId="43" fillId="35" borderId="43" xfId="0" applyFont="1" applyFill="1" applyBorder="1" applyAlignment="1" applyProtection="1">
      <alignment horizontal="left" vertical="center"/>
      <protection locked="0"/>
    </xf>
    <xf numFmtId="0" fontId="58" fillId="35" borderId="61" xfId="0" applyFont="1" applyFill="1" applyBorder="1" applyAlignment="1" applyProtection="1">
      <alignment horizontal="left" vertical="center" wrapText="1"/>
      <protection locked="0"/>
    </xf>
    <xf numFmtId="170" fontId="52" fillId="0" borderId="22" xfId="2" applyNumberFormat="1" applyFont="1" applyFill="1" applyBorder="1" applyAlignment="1" applyProtection="1">
      <alignment vertical="center" wrapText="1"/>
      <protection locked="0"/>
    </xf>
    <xf numFmtId="170" fontId="55" fillId="0" borderId="22" xfId="2" applyNumberFormat="1" applyFont="1" applyFill="1" applyBorder="1" applyAlignment="1" applyProtection="1">
      <alignment vertical="center" wrapText="1"/>
      <protection locked="0"/>
    </xf>
    <xf numFmtId="170" fontId="55" fillId="2" borderId="22" xfId="2" applyNumberFormat="1" applyFont="1" applyFill="1" applyBorder="1" applyAlignment="1" applyProtection="1">
      <alignment vertical="center" wrapText="1"/>
      <protection locked="0"/>
    </xf>
    <xf numFmtId="0" fontId="68" fillId="0" borderId="0" xfId="0" applyFont="1" applyProtection="1"/>
    <xf numFmtId="0" fontId="55" fillId="38" borderId="22" xfId="0" applyFont="1" applyFill="1" applyBorder="1" applyAlignment="1" applyProtection="1">
      <alignment horizontal="left" vertical="center" wrapText="1"/>
    </xf>
    <xf numFmtId="0" fontId="40" fillId="0" borderId="0" xfId="0" applyFont="1" applyProtection="1"/>
    <xf numFmtId="172" fontId="52" fillId="37" borderId="22" xfId="98" applyNumberFormat="1" applyFont="1" applyFill="1" applyBorder="1" applyAlignment="1" applyProtection="1">
      <alignment vertical="center" wrapText="1"/>
    </xf>
    <xf numFmtId="172" fontId="52" fillId="37" borderId="22" xfId="98" applyNumberFormat="1" applyFont="1" applyFill="1" applyBorder="1" applyAlignment="1" applyProtection="1">
      <alignment vertical="center" wrapText="1"/>
      <protection locked="0"/>
    </xf>
    <xf numFmtId="172" fontId="55" fillId="37" borderId="22" xfId="98" applyNumberFormat="1" applyFont="1" applyFill="1" applyBorder="1" applyAlignment="1" applyProtection="1">
      <alignment vertical="center" wrapText="1"/>
      <protection locked="0"/>
    </xf>
    <xf numFmtId="9" fontId="55" fillId="37" borderId="22" xfId="7" applyFont="1" applyFill="1" applyBorder="1" applyAlignment="1" applyProtection="1">
      <alignment vertical="center" wrapText="1"/>
      <protection locked="0"/>
    </xf>
    <xf numFmtId="9" fontId="52" fillId="37" borderId="22" xfId="7" applyFont="1" applyFill="1" applyBorder="1" applyAlignment="1" applyProtection="1">
      <alignment vertical="center" wrapText="1"/>
      <protection locked="0"/>
    </xf>
    <xf numFmtId="172" fontId="52" fillId="0" borderId="22" xfId="98" applyNumberFormat="1" applyFont="1" applyFill="1" applyBorder="1" applyAlignment="1" applyProtection="1">
      <alignment vertical="center" wrapText="1"/>
      <protection locked="0"/>
    </xf>
    <xf numFmtId="10" fontId="4" fillId="0" borderId="22" xfId="0" applyNumberFormat="1" applyFont="1" applyFill="1" applyBorder="1" applyAlignment="1" applyProtection="1">
      <protection locked="0"/>
    </xf>
    <xf numFmtId="14" fontId="4" fillId="0" borderId="22" xfId="0" applyNumberFormat="1" applyFont="1" applyFill="1" applyBorder="1" applyAlignment="1" applyProtection="1">
      <protection locked="0"/>
    </xf>
    <xf numFmtId="49" fontId="4" fillId="0" borderId="22" xfId="43" applyNumberFormat="1" applyFont="1" applyFill="1" applyBorder="1" applyAlignment="1" applyProtection="1">
      <alignment horizontal="center" vertical="center"/>
      <protection locked="0"/>
    </xf>
    <xf numFmtId="1" fontId="4" fillId="0" borderId="22" xfId="0" applyNumberFormat="1" applyFont="1" applyFill="1" applyBorder="1" applyAlignment="1" applyProtection="1">
      <protection locked="0"/>
    </xf>
    <xf numFmtId="49" fontId="43" fillId="35" borderId="49" xfId="43" applyNumberFormat="1" applyFont="1" applyFill="1" applyBorder="1" applyAlignment="1" applyProtection="1">
      <protection locked="0"/>
    </xf>
    <xf numFmtId="165" fontId="4" fillId="0" borderId="22" xfId="2" applyFont="1" applyFill="1" applyBorder="1" applyAlignment="1" applyProtection="1">
      <protection hidden="1"/>
    </xf>
    <xf numFmtId="0" fontId="43" fillId="35" borderId="30" xfId="0" applyFont="1" applyFill="1" applyBorder="1" applyAlignment="1" applyProtection="1">
      <alignment horizontal="left" vertical="center"/>
      <protection locked="0"/>
    </xf>
    <xf numFmtId="171" fontId="4" fillId="0" borderId="22" xfId="2" applyNumberFormat="1" applyFont="1" applyFill="1" applyBorder="1" applyProtection="1">
      <protection locked="0"/>
    </xf>
    <xf numFmtId="171" fontId="40" fillId="37" borderId="22" xfId="2" applyNumberFormat="1" applyFont="1" applyFill="1" applyBorder="1" applyProtection="1">
      <protection locked="0"/>
    </xf>
    <xf numFmtId="9" fontId="4" fillId="0" borderId="22" xfId="7" applyFont="1" applyFill="1" applyBorder="1" applyAlignment="1" applyProtection="1">
      <protection locked="0"/>
    </xf>
    <xf numFmtId="171" fontId="52" fillId="0" borderId="22" xfId="2" applyNumberFormat="1" applyFont="1" applyFill="1" applyBorder="1" applyAlignment="1" applyProtection="1">
      <alignment vertical="center" wrapText="1"/>
    </xf>
    <xf numFmtId="171" fontId="52" fillId="2" borderId="22" xfId="2" applyNumberFormat="1" applyFont="1" applyFill="1" applyBorder="1" applyAlignment="1" applyProtection="1">
      <alignment vertical="center" wrapText="1"/>
    </xf>
    <xf numFmtId="171" fontId="52" fillId="0" borderId="22" xfId="2" applyNumberFormat="1" applyFont="1" applyBorder="1" applyAlignment="1" applyProtection="1"/>
    <xf numFmtId="171" fontId="52" fillId="0" borderId="22" xfId="2" applyNumberFormat="1" applyFont="1" applyBorder="1" applyAlignment="1" applyProtection="1">
      <alignment vertical="center" wrapText="1"/>
    </xf>
    <xf numFmtId="165" fontId="52" fillId="0" borderId="22" xfId="2" applyFont="1" applyBorder="1" applyAlignment="1" applyProtection="1">
      <alignment vertical="center" wrapText="1"/>
    </xf>
    <xf numFmtId="9" fontId="4" fillId="0" borderId="22" xfId="0" applyNumberFormat="1" applyFont="1" applyFill="1" applyBorder="1" applyAlignment="1" applyProtection="1">
      <protection locked="0"/>
    </xf>
    <xf numFmtId="171" fontId="4" fillId="37" borderId="22" xfId="2" applyNumberFormat="1" applyFont="1" applyFill="1" applyBorder="1" applyProtection="1"/>
    <xf numFmtId="9" fontId="4" fillId="37" borderId="22" xfId="7" applyFont="1" applyFill="1" applyBorder="1" applyProtection="1">
      <protection locked="0"/>
    </xf>
    <xf numFmtId="9" fontId="40" fillId="37" borderId="22" xfId="0" applyNumberFormat="1" applyFont="1" applyFill="1" applyBorder="1" applyProtection="1"/>
    <xf numFmtId="171" fontId="40" fillId="0" borderId="22" xfId="2" applyNumberFormat="1" applyFont="1" applyFill="1" applyBorder="1" applyProtection="1">
      <protection locked="0"/>
    </xf>
    <xf numFmtId="0" fontId="4" fillId="0" borderId="0" xfId="0" applyFont="1" applyFill="1" applyBorder="1" applyAlignment="1">
      <alignment horizontal="right"/>
    </xf>
    <xf numFmtId="10" fontId="4" fillId="37" borderId="22" xfId="7" applyNumberFormat="1" applyFont="1" applyFill="1" applyBorder="1" applyProtection="1"/>
    <xf numFmtId="169" fontId="4" fillId="37" borderId="22" xfId="49" applyNumberFormat="1" applyFont="1" applyFill="1" applyBorder="1" applyProtection="1"/>
    <xf numFmtId="10" fontId="0" fillId="37" borderId="22" xfId="7" applyNumberFormat="1" applyFont="1" applyFill="1" applyBorder="1" applyProtection="1"/>
    <xf numFmtId="169" fontId="0" fillId="37" borderId="22" xfId="49" applyNumberFormat="1" applyFont="1" applyFill="1" applyBorder="1" applyProtection="1"/>
    <xf numFmtId="10" fontId="0" fillId="37" borderId="23" xfId="7" applyNumberFormat="1" applyFont="1" applyFill="1" applyBorder="1" applyProtection="1"/>
    <xf numFmtId="169" fontId="0" fillId="37" borderId="23" xfId="49" applyNumberFormat="1" applyFont="1" applyFill="1" applyBorder="1" applyProtection="1"/>
    <xf numFmtId="10" fontId="4" fillId="37" borderId="23" xfId="7" applyNumberFormat="1" applyFont="1" applyFill="1" applyBorder="1" applyProtection="1"/>
    <xf numFmtId="169" fontId="4" fillId="37" borderId="23" xfId="49" applyNumberFormat="1" applyFont="1" applyFill="1" applyBorder="1" applyProtection="1"/>
    <xf numFmtId="0" fontId="42" fillId="38" borderId="45" xfId="0" applyFont="1" applyFill="1" applyBorder="1" applyAlignment="1">
      <alignment horizontal="center" vertical="center" wrapText="1"/>
    </xf>
    <xf numFmtId="0" fontId="43" fillId="35" borderId="47" xfId="2" applyNumberFormat="1" applyFont="1" applyFill="1" applyBorder="1" applyAlignment="1" applyProtection="1">
      <alignment horizontal="center"/>
      <protection hidden="1"/>
    </xf>
    <xf numFmtId="0" fontId="43" fillId="35" borderId="49" xfId="0" applyFont="1" applyFill="1" applyBorder="1" applyAlignment="1" applyProtection="1">
      <alignment vertical="center"/>
      <protection locked="0"/>
    </xf>
    <xf numFmtId="0" fontId="43" fillId="35" borderId="51" xfId="0" applyFont="1" applyFill="1" applyBorder="1" applyAlignment="1" applyProtection="1">
      <alignment vertical="center"/>
      <protection locked="0"/>
    </xf>
    <xf numFmtId="0" fontId="41" fillId="38" borderId="45" xfId="0" applyFont="1" applyFill="1" applyBorder="1" applyAlignment="1">
      <alignment horizontal="center" vertical="center" wrapText="1"/>
    </xf>
    <xf numFmtId="0" fontId="50" fillId="0" borderId="0" xfId="0" applyFont="1" applyFill="1"/>
    <xf numFmtId="49" fontId="58" fillId="35" borderId="49" xfId="43" applyNumberFormat="1" applyFont="1" applyFill="1" applyBorder="1" applyAlignment="1" applyProtection="1">
      <protection locked="0"/>
    </xf>
    <xf numFmtId="9" fontId="4" fillId="37" borderId="22" xfId="7" applyFont="1" applyFill="1" applyBorder="1" applyAlignment="1" applyProtection="1">
      <protection locked="0"/>
    </xf>
    <xf numFmtId="44" fontId="0" fillId="0" borderId="22" xfId="98" applyFont="1" applyFill="1" applyBorder="1" applyAlignment="1" applyProtection="1">
      <protection locked="0"/>
    </xf>
    <xf numFmtId="44" fontId="0" fillId="0" borderId="23" xfId="98" applyFont="1" applyFill="1" applyBorder="1" applyAlignment="1" applyProtection="1">
      <protection locked="0"/>
    </xf>
    <xf numFmtId="44" fontId="4" fillId="0" borderId="22" xfId="98" applyFont="1" applyFill="1" applyBorder="1" applyAlignment="1" applyProtection="1">
      <protection locked="0"/>
    </xf>
    <xf numFmtId="9" fontId="0" fillId="37" borderId="22" xfId="0" applyNumberFormat="1" applyFont="1" applyFill="1" applyBorder="1" applyAlignment="1" applyProtection="1">
      <protection hidden="1"/>
    </xf>
    <xf numFmtId="9" fontId="0" fillId="0" borderId="22" xfId="0" applyNumberFormat="1" applyFont="1" applyFill="1" applyBorder="1" applyAlignment="1" applyProtection="1">
      <protection locked="0"/>
    </xf>
    <xf numFmtId="9" fontId="0" fillId="37" borderId="23" xfId="0" applyNumberFormat="1" applyFont="1" applyFill="1" applyBorder="1" applyAlignment="1" applyProtection="1">
      <protection hidden="1"/>
    </xf>
    <xf numFmtId="9" fontId="0" fillId="0" borderId="23" xfId="0" applyNumberFormat="1" applyFont="1" applyFill="1" applyBorder="1" applyAlignment="1" applyProtection="1">
      <protection locked="0"/>
    </xf>
    <xf numFmtId="9" fontId="4" fillId="37" borderId="22" xfId="0" applyNumberFormat="1" applyFont="1" applyFill="1" applyBorder="1" applyAlignment="1" applyProtection="1">
      <protection hidden="1"/>
    </xf>
    <xf numFmtId="44" fontId="0" fillId="37" borderId="22" xfId="98" applyFont="1" applyFill="1" applyBorder="1" applyAlignment="1" applyProtection="1">
      <protection hidden="1"/>
    </xf>
    <xf numFmtId="44" fontId="0" fillId="37" borderId="23" xfId="98" applyFont="1" applyFill="1" applyBorder="1" applyAlignment="1" applyProtection="1">
      <protection hidden="1"/>
    </xf>
    <xf numFmtId="44" fontId="4" fillId="37" borderId="22" xfId="98" applyFont="1" applyFill="1" applyBorder="1" applyAlignment="1" applyProtection="1">
      <protection hidden="1"/>
    </xf>
    <xf numFmtId="44" fontId="0" fillId="37" borderId="22" xfId="98" applyFont="1" applyFill="1" applyBorder="1" applyAlignment="1">
      <alignment vertical="top"/>
    </xf>
    <xf numFmtId="44" fontId="0" fillId="37" borderId="23" xfId="98" applyFont="1" applyFill="1" applyBorder="1" applyAlignment="1">
      <alignment vertical="top"/>
    </xf>
    <xf numFmtId="44" fontId="4" fillId="37" borderId="22" xfId="98" applyFont="1" applyFill="1" applyBorder="1" applyAlignment="1">
      <alignment vertical="top"/>
    </xf>
    <xf numFmtId="172" fontId="55" fillId="38" borderId="22" xfId="98" applyNumberFormat="1" applyFont="1" applyFill="1" applyBorder="1" applyAlignment="1" applyProtection="1">
      <alignment vertical="center" wrapText="1"/>
    </xf>
    <xf numFmtId="170" fontId="57" fillId="35" borderId="22" xfId="2" applyNumberFormat="1" applyFont="1" applyFill="1" applyBorder="1" applyAlignment="1" applyProtection="1">
      <alignment vertical="center" wrapText="1"/>
    </xf>
    <xf numFmtId="172" fontId="57" fillId="35" borderId="22" xfId="98" applyNumberFormat="1" applyFont="1" applyFill="1" applyBorder="1" applyAlignment="1" applyProtection="1">
      <alignment vertical="center" wrapText="1"/>
    </xf>
    <xf numFmtId="172" fontId="52" fillId="56" borderId="22" xfId="98" applyNumberFormat="1" applyFont="1" applyFill="1" applyBorder="1" applyAlignment="1" applyProtection="1">
      <alignment vertical="center" wrapText="1"/>
    </xf>
    <xf numFmtId="172" fontId="4" fillId="37" borderId="22" xfId="98" applyNumberFormat="1" applyFont="1" applyFill="1" applyBorder="1" applyProtection="1"/>
    <xf numFmtId="172" fontId="0" fillId="37" borderId="22" xfId="98" applyNumberFormat="1" applyFont="1" applyFill="1" applyBorder="1" applyProtection="1"/>
    <xf numFmtId="172" fontId="0" fillId="37" borderId="23" xfId="98" applyNumberFormat="1" applyFont="1" applyFill="1" applyBorder="1" applyProtection="1"/>
    <xf numFmtId="172" fontId="4" fillId="37" borderId="23" xfId="98" applyNumberFormat="1" applyFont="1" applyFill="1" applyBorder="1" applyProtection="1"/>
    <xf numFmtId="3" fontId="4" fillId="37" borderId="22" xfId="8" applyNumberFormat="1" applyFont="1" applyFill="1" applyBorder="1" applyAlignment="1" applyProtection="1">
      <alignment horizontal="center"/>
    </xf>
    <xf numFmtId="3" fontId="0" fillId="37" borderId="22" xfId="8" applyNumberFormat="1" applyFont="1" applyFill="1" applyBorder="1" applyAlignment="1" applyProtection="1">
      <alignment horizontal="center"/>
    </xf>
    <xf numFmtId="3" fontId="0" fillId="37" borderId="23" xfId="8" applyNumberFormat="1" applyFont="1" applyFill="1" applyBorder="1" applyAlignment="1" applyProtection="1">
      <alignment horizontal="center"/>
    </xf>
    <xf numFmtId="3" fontId="4" fillId="37" borderId="23" xfId="8" applyNumberFormat="1" applyFont="1" applyFill="1" applyBorder="1" applyAlignment="1" applyProtection="1">
      <alignment horizontal="center"/>
    </xf>
    <xf numFmtId="1" fontId="4" fillId="37" borderId="22" xfId="4" applyNumberFormat="1" applyFont="1" applyFill="1" applyBorder="1" applyAlignment="1">
      <alignment horizontal="center"/>
    </xf>
    <xf numFmtId="1" fontId="0" fillId="37" borderId="22" xfId="4" applyNumberFormat="1" applyFont="1" applyFill="1" applyBorder="1" applyAlignment="1">
      <alignment horizontal="center"/>
    </xf>
    <xf numFmtId="1" fontId="0" fillId="37" borderId="23" xfId="4" applyNumberFormat="1" applyFont="1" applyFill="1" applyBorder="1" applyAlignment="1">
      <alignment horizontal="center"/>
    </xf>
    <xf numFmtId="1" fontId="4" fillId="37" borderId="23" xfId="4" applyNumberFormat="1" applyFont="1" applyFill="1" applyBorder="1" applyAlignment="1">
      <alignment horizontal="center"/>
    </xf>
    <xf numFmtId="172" fontId="4" fillId="37" borderId="24" xfId="98" applyNumberFormat="1" applyFont="1" applyFill="1" applyBorder="1" applyProtection="1"/>
    <xf numFmtId="172" fontId="0" fillId="37" borderId="24" xfId="98" applyNumberFormat="1" applyFont="1" applyFill="1" applyBorder="1" applyProtection="1"/>
    <xf numFmtId="172" fontId="0" fillId="37" borderId="39" xfId="98" applyNumberFormat="1" applyFont="1" applyFill="1" applyBorder="1" applyProtection="1"/>
    <xf numFmtId="172" fontId="4" fillId="37" borderId="39" xfId="98" applyNumberFormat="1" applyFont="1" applyFill="1" applyBorder="1" applyProtection="1"/>
    <xf numFmtId="9" fontId="4" fillId="37" borderId="45" xfId="7" applyFont="1" applyFill="1" applyBorder="1" applyAlignment="1" applyProtection="1">
      <alignment horizontal="center"/>
    </xf>
    <xf numFmtId="9" fontId="0" fillId="37" borderId="22" xfId="7" applyFont="1" applyFill="1" applyBorder="1" applyAlignment="1" applyProtection="1">
      <alignment horizontal="center"/>
    </xf>
    <xf numFmtId="9" fontId="0" fillId="37" borderId="23" xfId="7" applyFont="1" applyFill="1" applyBorder="1" applyAlignment="1" applyProtection="1">
      <alignment horizontal="center"/>
    </xf>
    <xf numFmtId="9" fontId="4" fillId="37" borderId="22" xfId="7" applyFont="1" applyFill="1" applyBorder="1" applyAlignment="1" applyProtection="1">
      <alignment horizontal="center"/>
    </xf>
    <xf numFmtId="9" fontId="4" fillId="37" borderId="23" xfId="7" applyFont="1" applyFill="1" applyBorder="1" applyAlignment="1" applyProtection="1">
      <alignment horizontal="center"/>
    </xf>
    <xf numFmtId="172" fontId="4" fillId="37" borderId="45" xfId="98" applyNumberFormat="1" applyFont="1" applyFill="1" applyBorder="1" applyAlignment="1" applyProtection="1"/>
    <xf numFmtId="172" fontId="4" fillId="37" borderId="22" xfId="98" applyNumberFormat="1" applyFont="1" applyFill="1" applyBorder="1" applyAlignment="1" applyProtection="1"/>
    <xf numFmtId="172" fontId="0" fillId="37" borderId="22" xfId="98" applyNumberFormat="1" applyFont="1" applyFill="1" applyBorder="1" applyAlignment="1" applyProtection="1"/>
    <xf numFmtId="172" fontId="0" fillId="37" borderId="22" xfId="98" applyNumberFormat="1" applyFont="1" applyFill="1" applyBorder="1" applyAlignment="1" applyProtection="1">
      <alignment vertical="top"/>
    </xf>
    <xf numFmtId="172" fontId="0" fillId="37" borderId="23" xfId="98" applyNumberFormat="1" applyFont="1" applyFill="1" applyBorder="1" applyAlignment="1" applyProtection="1"/>
    <xf numFmtId="172" fontId="0" fillId="37" borderId="23" xfId="98" applyNumberFormat="1" applyFont="1" applyFill="1" applyBorder="1" applyAlignment="1" applyProtection="1">
      <alignment vertical="top"/>
    </xf>
    <xf numFmtId="172" fontId="4" fillId="37" borderId="22" xfId="98" applyNumberFormat="1" applyFont="1" applyFill="1" applyBorder="1" applyAlignment="1" applyProtection="1">
      <alignment vertical="top"/>
    </xf>
    <xf numFmtId="172" fontId="4" fillId="37" borderId="23" xfId="98" applyNumberFormat="1" applyFont="1" applyFill="1" applyBorder="1" applyAlignment="1" applyProtection="1"/>
    <xf numFmtId="172" fontId="4" fillId="37" borderId="23" xfId="98" applyNumberFormat="1" applyFont="1" applyFill="1" applyBorder="1" applyAlignment="1" applyProtection="1">
      <alignment vertical="top"/>
    </xf>
    <xf numFmtId="177" fontId="75" fillId="39" borderId="1" xfId="2" applyNumberFormat="1" applyFont="1" applyFill="1" applyBorder="1" applyAlignment="1">
      <alignment horizontal="center" vertical="center" wrapText="1"/>
    </xf>
    <xf numFmtId="9" fontId="83" fillId="48" borderId="1" xfId="7" applyFont="1" applyFill="1" applyBorder="1" applyAlignment="1">
      <alignment horizontal="center" vertical="center"/>
    </xf>
    <xf numFmtId="9" fontId="72" fillId="0" borderId="0" xfId="7" applyFont="1" applyFill="1" applyBorder="1" applyAlignment="1">
      <alignment vertical="center"/>
    </xf>
    <xf numFmtId="184" fontId="75" fillId="47" borderId="1" xfId="2" applyNumberFormat="1" applyFont="1" applyFill="1" applyBorder="1" applyAlignment="1">
      <alignment horizontal="center" vertical="center" wrapText="1"/>
    </xf>
    <xf numFmtId="0" fontId="75" fillId="48" borderId="2" xfId="2" applyNumberFormat="1" applyFont="1" applyFill="1" applyBorder="1" applyAlignment="1">
      <alignment horizontal="center" vertical="center" wrapText="1"/>
    </xf>
    <xf numFmtId="9" fontId="75" fillId="47" borderId="1" xfId="7" applyFont="1" applyFill="1" applyBorder="1" applyAlignment="1">
      <alignment horizontal="center" vertical="center"/>
    </xf>
    <xf numFmtId="9" fontId="75" fillId="48" borderId="1" xfId="7" applyFont="1" applyFill="1" applyBorder="1" applyAlignment="1">
      <alignment horizontal="center" vertical="center" wrapText="1"/>
    </xf>
    <xf numFmtId="9" fontId="75" fillId="48" borderId="1" xfId="2" applyNumberFormat="1" applyFont="1" applyFill="1" applyBorder="1" applyAlignment="1">
      <alignment horizontal="center" vertical="center" wrapText="1"/>
    </xf>
    <xf numFmtId="44" fontId="91" fillId="16" borderId="0" xfId="2" applyNumberFormat="1" applyFont="1" applyFill="1" applyBorder="1" applyAlignment="1">
      <alignment horizontal="center" vertical="center"/>
    </xf>
    <xf numFmtId="9" fontId="91" fillId="16" borderId="0" xfId="7" applyFont="1" applyFill="1" applyBorder="1" applyAlignment="1">
      <alignment horizontal="center" vertical="center"/>
    </xf>
    <xf numFmtId="182" fontId="91" fillId="16" borderId="0" xfId="2" applyNumberFormat="1" applyFont="1" applyFill="1" applyBorder="1" applyAlignment="1">
      <alignment horizontal="center" vertical="center"/>
    </xf>
    <xf numFmtId="172" fontId="75" fillId="47" borderId="1" xfId="54" applyNumberFormat="1" applyFont="1" applyFill="1" applyBorder="1" applyAlignment="1">
      <alignment horizontal="center" vertical="center"/>
    </xf>
    <xf numFmtId="172" fontId="75" fillId="39" borderId="1" xfId="54" applyNumberFormat="1" applyFont="1" applyFill="1" applyBorder="1" applyAlignment="1">
      <alignment horizontal="center" vertical="center"/>
    </xf>
    <xf numFmtId="9" fontId="75" fillId="0" borderId="0" xfId="7" applyFont="1" applyFill="1" applyBorder="1" applyAlignment="1">
      <alignment horizontal="center" vertical="center"/>
    </xf>
    <xf numFmtId="172" fontId="75" fillId="39" borderId="1" xfId="54" applyNumberFormat="1" applyFont="1" applyFill="1" applyBorder="1" applyAlignment="1">
      <alignment horizontal="right" vertical="center"/>
    </xf>
    <xf numFmtId="172" fontId="84" fillId="47" borderId="1" xfId="2" applyNumberFormat="1" applyFont="1" applyFill="1" applyBorder="1" applyAlignment="1">
      <alignment horizontal="center" vertical="center"/>
    </xf>
    <xf numFmtId="9" fontId="84" fillId="47" borderId="1" xfId="7" applyFont="1" applyFill="1" applyBorder="1" applyAlignment="1">
      <alignment horizontal="center" vertical="center"/>
    </xf>
    <xf numFmtId="9" fontId="72" fillId="0" borderId="0" xfId="7" applyFont="1" applyFill="1" applyBorder="1" applyAlignment="1">
      <alignment horizontal="center" vertical="center"/>
    </xf>
    <xf numFmtId="180" fontId="75" fillId="48" borderId="1" xfId="2" applyNumberFormat="1" applyFont="1" applyFill="1" applyBorder="1" applyAlignment="1">
      <alignment horizontal="center" vertical="center" wrapText="1"/>
    </xf>
    <xf numFmtId="181" fontId="75" fillId="16" borderId="62" xfId="2" applyNumberFormat="1" applyFont="1" applyFill="1" applyBorder="1" applyAlignment="1">
      <alignment horizontal="center" vertical="center" wrapText="1"/>
    </xf>
    <xf numFmtId="181" fontId="75" fillId="16" borderId="0" xfId="2" applyNumberFormat="1" applyFont="1" applyFill="1" applyBorder="1" applyAlignment="1">
      <alignment horizontal="center" vertical="center" wrapText="1"/>
    </xf>
    <xf numFmtId="180" fontId="72" fillId="51" borderId="1" xfId="2" applyNumberFormat="1" applyFont="1" applyFill="1" applyBorder="1" applyAlignment="1">
      <alignment horizontal="center" vertical="center" wrapText="1"/>
    </xf>
    <xf numFmtId="180" fontId="72" fillId="52" borderId="62" xfId="2" applyNumberFormat="1" applyFont="1" applyFill="1" applyBorder="1" applyAlignment="1">
      <alignment horizontal="center" vertical="center" wrapText="1"/>
    </xf>
    <xf numFmtId="180" fontId="72" fillId="52" borderId="0" xfId="2" applyNumberFormat="1" applyFont="1" applyFill="1" applyBorder="1" applyAlignment="1">
      <alignment horizontal="center" vertical="center" wrapText="1"/>
    </xf>
    <xf numFmtId="9" fontId="86" fillId="48" borderId="1" xfId="7" applyFont="1" applyFill="1" applyBorder="1" applyAlignment="1">
      <alignment horizontal="center" vertical="center"/>
    </xf>
    <xf numFmtId="9" fontId="86" fillId="16" borderId="62" xfId="7" applyFont="1" applyFill="1" applyBorder="1" applyAlignment="1">
      <alignment horizontal="center" vertical="center"/>
    </xf>
    <xf numFmtId="9" fontId="86" fillId="16" borderId="0" xfId="7" applyFont="1" applyFill="1" applyBorder="1" applyAlignment="1">
      <alignment horizontal="center" vertical="center"/>
    </xf>
    <xf numFmtId="9" fontId="96" fillId="48" borderId="1" xfId="7" applyFont="1" applyFill="1" applyBorder="1" applyAlignment="1">
      <alignment horizontal="center" vertical="center"/>
    </xf>
    <xf numFmtId="183" fontId="75" fillId="39" borderId="1" xfId="2" applyNumberFormat="1" applyFont="1" applyFill="1" applyBorder="1" applyAlignment="1">
      <alignment horizontal="center" vertical="center" wrapText="1"/>
    </xf>
    <xf numFmtId="177" fontId="75" fillId="43" borderId="1" xfId="2" quotePrefix="1" applyNumberFormat="1" applyFont="1" applyFill="1" applyBorder="1" applyAlignment="1">
      <alignment horizontal="center" vertical="center" wrapText="1"/>
    </xf>
    <xf numFmtId="177" fontId="75" fillId="45" borderId="1" xfId="2" quotePrefix="1" applyNumberFormat="1" applyFont="1" applyFill="1" applyBorder="1" applyAlignment="1">
      <alignment horizontal="center" vertical="center" wrapText="1"/>
    </xf>
    <xf numFmtId="1" fontId="72" fillId="48" borderId="1" xfId="41" applyNumberFormat="1" applyFont="1" applyFill="1" applyBorder="1" applyAlignment="1">
      <alignment horizontal="center" vertical="center" wrapText="1"/>
    </xf>
    <xf numFmtId="177" fontId="72" fillId="48" borderId="1" xfId="41" applyNumberFormat="1" applyFont="1" applyFill="1" applyBorder="1" applyAlignment="1">
      <alignment horizontal="center" vertical="center" wrapText="1"/>
    </xf>
    <xf numFmtId="177" fontId="72" fillId="0" borderId="66" xfId="41" applyNumberFormat="1" applyFont="1" applyFill="1" applyBorder="1" applyAlignment="1">
      <alignment horizontal="center" vertical="center" wrapText="1"/>
    </xf>
    <xf numFmtId="1" fontId="72" fillId="53" borderId="1" xfId="41" applyNumberFormat="1" applyFont="1" applyFill="1" applyBorder="1" applyAlignment="1">
      <alignment horizontal="center" vertical="center" wrapText="1"/>
    </xf>
    <xf numFmtId="177" fontId="72" fillId="53" borderId="1" xfId="41" applyNumberFormat="1" applyFont="1" applyFill="1" applyBorder="1" applyAlignment="1">
      <alignment horizontal="center" vertical="center" wrapText="1"/>
    </xf>
    <xf numFmtId="178" fontId="72" fillId="48" borderId="1" xfId="41" applyNumberFormat="1" applyFont="1" applyFill="1" applyBorder="1" applyAlignment="1">
      <alignment horizontal="center" vertical="center" wrapText="1"/>
    </xf>
    <xf numFmtId="179" fontId="72" fillId="48" borderId="1" xfId="41" applyNumberFormat="1" applyFont="1" applyFill="1" applyBorder="1" applyAlignment="1">
      <alignment horizontal="center" vertical="center" wrapText="1"/>
    </xf>
    <xf numFmtId="178" fontId="72" fillId="53" borderId="1" xfId="41" applyNumberFormat="1" applyFont="1" applyFill="1" applyBorder="1" applyAlignment="1">
      <alignment horizontal="center" vertical="center" wrapText="1"/>
    </xf>
    <xf numFmtId="179" fontId="72" fillId="53" borderId="1" xfId="41" applyNumberFormat="1" applyFont="1" applyFill="1" applyBorder="1" applyAlignment="1">
      <alignment horizontal="center" vertical="center" wrapText="1"/>
    </xf>
    <xf numFmtId="180" fontId="72" fillId="48" borderId="1" xfId="41" applyNumberFormat="1" applyFont="1" applyFill="1" applyBorder="1" applyAlignment="1">
      <alignment horizontal="center" vertical="center" wrapText="1"/>
    </xf>
    <xf numFmtId="180" fontId="72" fillId="53" borderId="1" xfId="41" applyNumberFormat="1" applyFont="1" applyFill="1" applyBorder="1" applyAlignment="1">
      <alignment horizontal="center" vertical="center" wrapText="1"/>
    </xf>
    <xf numFmtId="0" fontId="50" fillId="0" borderId="0" xfId="0" applyFont="1"/>
    <xf numFmtId="0" fontId="41" fillId="0" borderId="0" xfId="0" quotePrefix="1" applyFont="1" applyAlignment="1">
      <alignment vertical="center"/>
    </xf>
    <xf numFmtId="0" fontId="52" fillId="38" borderId="22" xfId="0" applyFont="1" applyFill="1" applyBorder="1" applyAlignment="1" applyProtection="1">
      <alignment horizontal="left" vertical="center" wrapText="1"/>
      <protection locked="0"/>
    </xf>
    <xf numFmtId="0" fontId="4" fillId="0" borderId="0" xfId="0" applyFont="1" applyAlignment="1" applyProtection="1">
      <protection locked="0"/>
    </xf>
    <xf numFmtId="0" fontId="55" fillId="38" borderId="22" xfId="0" applyFont="1" applyFill="1" applyBorder="1" applyAlignment="1" applyProtection="1">
      <alignment horizontal="left" vertical="center" wrapText="1"/>
      <protection locked="0"/>
    </xf>
    <xf numFmtId="0" fontId="40" fillId="0" borderId="0" xfId="0" applyFont="1" applyAlignment="1" applyProtection="1">
      <protection locked="0"/>
    </xf>
    <xf numFmtId="0" fontId="40" fillId="0" borderId="0" xfId="0" applyFont="1" applyProtection="1">
      <protection locked="0"/>
    </xf>
    <xf numFmtId="0" fontId="52" fillId="38" borderId="26" xfId="0" applyFont="1" applyFill="1" applyBorder="1" applyAlignment="1" applyProtection="1">
      <alignment horizontal="left" vertical="center" wrapText="1"/>
    </xf>
    <xf numFmtId="0" fontId="58" fillId="35" borderId="49" xfId="0" applyFont="1" applyFill="1" applyBorder="1" applyAlignment="1" applyProtection="1">
      <alignment horizontal="left" vertical="center" wrapText="1"/>
      <protection locked="0"/>
    </xf>
    <xf numFmtId="170" fontId="57" fillId="35" borderId="47" xfId="2" applyNumberFormat="1" applyFont="1" applyFill="1" applyBorder="1" applyAlignment="1" applyProtection="1">
      <alignment vertical="center" wrapText="1"/>
    </xf>
    <xf numFmtId="9" fontId="0" fillId="37" borderId="23" xfId="7" applyNumberFormat="1" applyFont="1" applyFill="1" applyBorder="1" applyAlignment="1" applyProtection="1">
      <alignment horizontal="center"/>
    </xf>
    <xf numFmtId="171" fontId="52" fillId="37" borderId="22" xfId="2" applyNumberFormat="1" applyFont="1" applyFill="1" applyBorder="1" applyAlignment="1" applyProtection="1">
      <alignment vertical="center" wrapText="1"/>
      <protection locked="0"/>
    </xf>
    <xf numFmtId="171" fontId="55" fillId="2" borderId="22" xfId="2" applyNumberFormat="1" applyFont="1" applyFill="1" applyBorder="1" applyAlignment="1" applyProtection="1">
      <alignment vertical="center" wrapText="1"/>
      <protection locked="0"/>
    </xf>
    <xf numFmtId="0" fontId="4" fillId="0" borderId="25" xfId="4" applyFont="1" applyFill="1" applyBorder="1" applyAlignment="1" applyProtection="1">
      <protection locked="0"/>
    </xf>
    <xf numFmtId="0" fontId="4" fillId="0" borderId="22" xfId="4" applyFont="1" applyFill="1" applyBorder="1" applyAlignment="1" applyProtection="1">
      <protection locked="0"/>
    </xf>
    <xf numFmtId="1" fontId="4" fillId="0" borderId="22" xfId="0" applyNumberFormat="1" applyFont="1" applyFill="1" applyBorder="1" applyAlignment="1" applyProtection="1">
      <alignment horizontal="center" vertical="center"/>
      <protection locked="0"/>
    </xf>
    <xf numFmtId="172" fontId="4" fillId="0" borderId="22" xfId="98" applyNumberFormat="1" applyFont="1" applyFill="1" applyBorder="1" applyAlignment="1" applyProtection="1">
      <alignment horizontal="right" vertical="center"/>
      <protection locked="0"/>
    </xf>
    <xf numFmtId="49" fontId="43" fillId="35" borderId="48" xfId="4" applyNumberFormat="1" applyFont="1" applyFill="1" applyBorder="1" applyAlignment="1" applyProtection="1">
      <alignment horizontal="center"/>
      <protection locked="0"/>
    </xf>
    <xf numFmtId="10" fontId="43" fillId="35" borderId="30" xfId="7" applyNumberFormat="1" applyFont="1" applyFill="1" applyBorder="1" applyAlignment="1" applyProtection="1">
      <alignment horizontal="center"/>
      <protection locked="0"/>
    </xf>
    <xf numFmtId="0" fontId="43" fillId="35" borderId="40" xfId="0" applyFont="1" applyFill="1" applyBorder="1" applyAlignment="1" applyProtection="1">
      <alignment vertical="center"/>
      <protection locked="0"/>
    </xf>
    <xf numFmtId="0" fontId="0" fillId="0" borderId="25" xfId="4" applyFont="1" applyFill="1" applyBorder="1" applyAlignment="1" applyProtection="1">
      <protection locked="0"/>
    </xf>
    <xf numFmtId="0" fontId="0" fillId="0" borderId="22" xfId="4" applyFont="1" applyFill="1" applyBorder="1" applyAlignment="1" applyProtection="1">
      <protection locked="0"/>
    </xf>
    <xf numFmtId="1" fontId="0" fillId="0" borderId="22" xfId="0" applyNumberFormat="1" applyFont="1" applyFill="1" applyBorder="1" applyAlignment="1" applyProtection="1">
      <alignment horizontal="center" vertical="center"/>
      <protection locked="0"/>
    </xf>
    <xf numFmtId="0" fontId="0" fillId="0" borderId="22" xfId="4" applyFont="1" applyFill="1" applyBorder="1" applyAlignment="1" applyProtection="1">
      <alignment horizontal="left" vertical="center"/>
      <protection locked="0"/>
    </xf>
    <xf numFmtId="1" fontId="0" fillId="0" borderId="22" xfId="4" applyNumberFormat="1" applyFont="1" applyFill="1" applyBorder="1" applyAlignment="1" applyProtection="1">
      <alignment horizontal="center" vertical="center"/>
      <protection locked="0"/>
    </xf>
    <xf numFmtId="172" fontId="0" fillId="0" borderId="22" xfId="98" applyNumberFormat="1" applyFont="1" applyFill="1" applyBorder="1" applyAlignment="1" applyProtection="1">
      <alignment horizontal="right" vertical="center"/>
      <protection locked="0"/>
    </xf>
    <xf numFmtId="0" fontId="0" fillId="0" borderId="38" xfId="4" applyFont="1" applyFill="1" applyBorder="1" applyAlignment="1" applyProtection="1">
      <protection locked="0"/>
    </xf>
    <xf numFmtId="0" fontId="0" fillId="0" borderId="23" xfId="4" applyFont="1" applyFill="1" applyBorder="1" applyAlignment="1" applyProtection="1">
      <protection locked="0"/>
    </xf>
    <xf numFmtId="1" fontId="0" fillId="0" borderId="23" xfId="0" applyNumberFormat="1" applyFont="1" applyFill="1" applyBorder="1" applyAlignment="1" applyProtection="1">
      <alignment horizontal="center" vertical="center"/>
      <protection locked="0"/>
    </xf>
    <xf numFmtId="0" fontId="0" fillId="0" borderId="23" xfId="4" applyFont="1" applyFill="1" applyBorder="1" applyAlignment="1" applyProtection="1">
      <alignment horizontal="left" vertical="center"/>
      <protection locked="0"/>
    </xf>
    <xf numFmtId="1" fontId="0" fillId="0" borderId="23" xfId="4" applyNumberFormat="1" applyFont="1" applyFill="1" applyBorder="1" applyAlignment="1" applyProtection="1">
      <alignment horizontal="center" vertical="center"/>
      <protection locked="0"/>
    </xf>
    <xf numFmtId="172" fontId="0" fillId="0" borderId="23" xfId="98" applyNumberFormat="1" applyFont="1" applyFill="1" applyBorder="1" applyAlignment="1" applyProtection="1">
      <alignment horizontal="right" vertical="center"/>
      <protection locked="0"/>
    </xf>
    <xf numFmtId="0" fontId="4" fillId="0" borderId="22" xfId="4" applyFont="1" applyFill="1" applyBorder="1" applyAlignment="1" applyProtection="1">
      <alignment horizontal="left" vertical="center"/>
      <protection locked="0"/>
    </xf>
    <xf numFmtId="1" fontId="4" fillId="0" borderId="22" xfId="4" applyNumberFormat="1" applyFont="1" applyFill="1" applyBorder="1" applyAlignment="1" applyProtection="1">
      <alignment horizontal="center" vertical="center"/>
      <protection locked="0"/>
    </xf>
    <xf numFmtId="0" fontId="4" fillId="0" borderId="38" xfId="4" applyFont="1" applyFill="1" applyBorder="1" applyAlignment="1" applyProtection="1">
      <protection locked="0"/>
    </xf>
    <xf numFmtId="0" fontId="4" fillId="0" borderId="23" xfId="4" applyFont="1" applyFill="1" applyBorder="1" applyAlignment="1" applyProtection="1">
      <protection locked="0"/>
    </xf>
    <xf numFmtId="1" fontId="4" fillId="0" borderId="23" xfId="0" applyNumberFormat="1" applyFont="1" applyFill="1" applyBorder="1" applyAlignment="1" applyProtection="1">
      <alignment horizontal="center" vertical="center"/>
      <protection locked="0"/>
    </xf>
    <xf numFmtId="0" fontId="4" fillId="0" borderId="23" xfId="4" applyFont="1" applyFill="1" applyBorder="1" applyAlignment="1" applyProtection="1">
      <alignment horizontal="left" vertical="center"/>
      <protection locked="0"/>
    </xf>
    <xf numFmtId="1" fontId="4" fillId="0" borderId="23" xfId="4" applyNumberFormat="1" applyFont="1" applyFill="1" applyBorder="1" applyAlignment="1" applyProtection="1">
      <alignment horizontal="center" vertical="center"/>
      <protection locked="0"/>
    </xf>
    <xf numFmtId="172" fontId="4" fillId="0" borderId="23" xfId="98" applyNumberFormat="1" applyFont="1" applyFill="1" applyBorder="1" applyAlignment="1" applyProtection="1">
      <alignment horizontal="right" vertical="center"/>
      <protection locked="0"/>
    </xf>
    <xf numFmtId="4" fontId="43" fillId="35" borderId="47" xfId="4" applyNumberFormat="1" applyFont="1" applyFill="1" applyBorder="1" applyAlignment="1" applyProtection="1">
      <alignment horizontal="center" vertical="center"/>
      <protection locked="0"/>
    </xf>
    <xf numFmtId="4" fontId="4" fillId="0" borderId="45" xfId="4" applyNumberFormat="1" applyFont="1" applyFill="1" applyBorder="1" applyAlignment="1" applyProtection="1">
      <protection locked="0"/>
    </xf>
    <xf numFmtId="4" fontId="0" fillId="0" borderId="22" xfId="4" applyNumberFormat="1" applyFont="1" applyFill="1" applyBorder="1" applyAlignment="1" applyProtection="1">
      <protection locked="0"/>
    </xf>
    <xf numFmtId="4" fontId="0" fillId="0" borderId="23" xfId="4" applyNumberFormat="1" applyFont="1" applyFill="1" applyBorder="1" applyAlignment="1" applyProtection="1">
      <protection locked="0"/>
    </xf>
    <xf numFmtId="4" fontId="4" fillId="0" borderId="22" xfId="4" applyNumberFormat="1" applyFont="1" applyFill="1" applyBorder="1" applyAlignment="1" applyProtection="1">
      <protection locked="0"/>
    </xf>
    <xf numFmtId="4" fontId="4" fillId="0" borderId="23" xfId="4" applyNumberFormat="1" applyFont="1" applyFill="1" applyBorder="1" applyAlignment="1" applyProtection="1">
      <protection locked="0"/>
    </xf>
    <xf numFmtId="9" fontId="4" fillId="37" borderId="23" xfId="7" applyNumberFormat="1" applyFont="1" applyFill="1" applyBorder="1" applyAlignment="1" applyProtection="1">
      <alignment horizontal="center"/>
    </xf>
    <xf numFmtId="49" fontId="43" fillId="35" borderId="50" xfId="4" applyNumberFormat="1" applyFont="1" applyFill="1" applyBorder="1" applyAlignment="1" applyProtection="1">
      <alignment horizontal="center"/>
      <protection locked="0"/>
    </xf>
    <xf numFmtId="10" fontId="43" fillId="35" borderId="76" xfId="7" applyNumberFormat="1" applyFont="1" applyFill="1" applyBorder="1" applyAlignment="1" applyProtection="1">
      <alignment horizontal="center"/>
      <protection locked="0"/>
    </xf>
    <xf numFmtId="4" fontId="43" fillId="35" borderId="52" xfId="4" applyNumberFormat="1" applyFont="1" applyFill="1" applyBorder="1" applyAlignment="1" applyProtection="1">
      <alignment horizontal="center" vertical="center"/>
      <protection locked="0"/>
    </xf>
    <xf numFmtId="0" fontId="50" fillId="0" borderId="0" xfId="0" applyFont="1" applyFill="1" applyAlignment="1" applyProtection="1">
      <protection hidden="1"/>
    </xf>
    <xf numFmtId="10" fontId="4" fillId="0" borderId="25" xfId="0" applyNumberFormat="1" applyFont="1" applyFill="1" applyBorder="1" applyAlignment="1" applyProtection="1">
      <protection locked="0"/>
    </xf>
    <xf numFmtId="49" fontId="43" fillId="35" borderId="47" xfId="43" applyNumberFormat="1" applyFont="1" applyFill="1" applyBorder="1" applyAlignment="1" applyProtection="1">
      <protection locked="0"/>
    </xf>
    <xf numFmtId="49" fontId="43" fillId="35" borderId="48" xfId="43" applyNumberFormat="1" applyFont="1" applyFill="1" applyBorder="1" applyAlignment="1" applyProtection="1">
      <protection locked="0"/>
    </xf>
    <xf numFmtId="44" fontId="4" fillId="37" borderId="24" xfId="98" applyFont="1" applyFill="1" applyBorder="1" applyAlignment="1">
      <alignment vertical="top"/>
    </xf>
    <xf numFmtId="10" fontId="4" fillId="0" borderId="38" xfId="0" applyNumberFormat="1" applyFont="1" applyFill="1" applyBorder="1" applyAlignment="1" applyProtection="1">
      <protection locked="0"/>
    </xf>
    <xf numFmtId="10" fontId="4" fillId="0" borderId="23" xfId="0" applyNumberFormat="1" applyFont="1" applyFill="1" applyBorder="1" applyAlignment="1" applyProtection="1">
      <protection locked="0"/>
    </xf>
    <xf numFmtId="14" fontId="4" fillId="0" borderId="23" xfId="0" applyNumberFormat="1" applyFont="1" applyFill="1" applyBorder="1" applyAlignment="1" applyProtection="1">
      <protection locked="0"/>
    </xf>
    <xf numFmtId="49" fontId="43" fillId="35" borderId="52" xfId="43" applyNumberFormat="1" applyFont="1" applyFill="1" applyBorder="1" applyAlignment="1" applyProtection="1">
      <protection locked="0"/>
    </xf>
    <xf numFmtId="0" fontId="4" fillId="0" borderId="23" xfId="0" applyFont="1" applyFill="1" applyBorder="1" applyAlignment="1" applyProtection="1">
      <protection locked="0"/>
    </xf>
    <xf numFmtId="49" fontId="4" fillId="0" borderId="23" xfId="43" applyNumberFormat="1" applyFont="1" applyFill="1" applyBorder="1" applyAlignment="1" applyProtection="1">
      <alignment horizontal="center" vertical="center"/>
      <protection locked="0"/>
    </xf>
    <xf numFmtId="1" fontId="4" fillId="0" borderId="23" xfId="0" applyNumberFormat="1" applyFont="1" applyFill="1" applyBorder="1" applyAlignment="1" applyProtection="1">
      <protection locked="0"/>
    </xf>
    <xf numFmtId="44" fontId="4" fillId="0" borderId="23" xfId="98" applyFont="1" applyFill="1" applyBorder="1" applyAlignment="1" applyProtection="1">
      <protection locked="0"/>
    </xf>
    <xf numFmtId="49" fontId="43" fillId="35" borderId="50" xfId="43" applyNumberFormat="1" applyFont="1" applyFill="1" applyBorder="1" applyAlignment="1" applyProtection="1">
      <protection locked="0"/>
    </xf>
    <xf numFmtId="49" fontId="43" fillId="35" borderId="51" xfId="43" applyNumberFormat="1" applyFont="1" applyFill="1" applyBorder="1" applyAlignment="1" applyProtection="1">
      <protection locked="0"/>
    </xf>
    <xf numFmtId="9" fontId="4" fillId="37" borderId="23" xfId="0" applyNumberFormat="1" applyFont="1" applyFill="1" applyBorder="1" applyAlignment="1" applyProtection="1">
      <protection hidden="1"/>
    </xf>
    <xf numFmtId="9" fontId="4" fillId="0" borderId="23" xfId="0" applyNumberFormat="1" applyFont="1" applyFill="1" applyBorder="1" applyAlignment="1" applyProtection="1">
      <protection locked="0"/>
    </xf>
    <xf numFmtId="44" fontId="4" fillId="37" borderId="23" xfId="98" applyFont="1" applyFill="1" applyBorder="1" applyAlignment="1" applyProtection="1">
      <protection hidden="1"/>
    </xf>
    <xf numFmtId="165" fontId="4" fillId="0" borderId="23" xfId="2" applyFont="1" applyFill="1" applyBorder="1" applyAlignment="1" applyProtection="1">
      <protection hidden="1"/>
    </xf>
    <xf numFmtId="0" fontId="43" fillId="35" borderId="52" xfId="2" applyNumberFormat="1" applyFont="1" applyFill="1" applyBorder="1" applyAlignment="1" applyProtection="1">
      <alignment horizontal="center"/>
      <protection hidden="1"/>
    </xf>
    <xf numFmtId="44" fontId="4" fillId="37" borderId="39" xfId="98" applyFont="1" applyFill="1" applyBorder="1" applyAlignment="1">
      <alignment vertical="top"/>
    </xf>
    <xf numFmtId="171" fontId="40" fillId="37" borderId="22" xfId="2" applyNumberFormat="1" applyFont="1" applyFill="1" applyBorder="1" applyProtection="1"/>
    <xf numFmtId="0" fontId="42" fillId="38" borderId="24" xfId="43" applyFont="1" applyFill="1" applyBorder="1" applyAlignment="1" applyProtection="1"/>
    <xf numFmtId="0" fontId="41" fillId="38" borderId="46" xfId="43" applyFont="1" applyFill="1" applyBorder="1" applyAlignment="1" applyProtection="1">
      <alignment horizontal="center" vertical="center" wrapText="1"/>
    </xf>
    <xf numFmtId="0" fontId="41" fillId="38" borderId="25" xfId="43" applyFont="1" applyFill="1" applyBorder="1" applyAlignment="1" applyProtection="1">
      <alignment horizontal="center" vertical="center" wrapText="1"/>
    </xf>
    <xf numFmtId="0" fontId="40" fillId="38" borderId="24" xfId="43" applyFont="1" applyFill="1" applyBorder="1" applyAlignment="1" applyProtection="1">
      <alignment vertical="center"/>
    </xf>
    <xf numFmtId="44" fontId="42" fillId="37" borderId="25" xfId="98" applyFont="1" applyFill="1" applyBorder="1" applyProtection="1"/>
    <xf numFmtId="0" fontId="42" fillId="35" borderId="24" xfId="43" applyFont="1" applyFill="1" applyBorder="1" applyAlignment="1" applyProtection="1"/>
    <xf numFmtId="44" fontId="42" fillId="35" borderId="46" xfId="98" applyFont="1" applyFill="1" applyBorder="1" applyProtection="1"/>
    <xf numFmtId="164" fontId="42" fillId="35" borderId="46" xfId="2" applyNumberFormat="1" applyFont="1" applyFill="1" applyBorder="1" applyProtection="1"/>
    <xf numFmtId="44" fontId="42" fillId="35" borderId="25" xfId="98" applyFont="1" applyFill="1" applyBorder="1" applyProtection="1"/>
    <xf numFmtId="0" fontId="4" fillId="38" borderId="24" xfId="43" applyFont="1" applyFill="1" applyBorder="1" applyProtection="1"/>
    <xf numFmtId="44" fontId="41" fillId="0" borderId="22" xfId="98" applyFont="1" applyFill="1" applyBorder="1" applyProtection="1"/>
    <xf numFmtId="44" fontId="42" fillId="2" borderId="22" xfId="98" applyFont="1" applyFill="1" applyBorder="1" applyAlignment="1" applyProtection="1">
      <alignment vertical="center"/>
    </xf>
    <xf numFmtId="0" fontId="41" fillId="38" borderId="24" xfId="43" applyFont="1" applyFill="1" applyBorder="1" applyProtection="1"/>
    <xf numFmtId="44" fontId="41" fillId="0" borderId="25" xfId="98" applyFont="1" applyFill="1" applyBorder="1" applyProtection="1">
      <protection locked="0"/>
    </xf>
    <xf numFmtId="0" fontId="40" fillId="38" borderId="78" xfId="43" applyFont="1" applyFill="1" applyBorder="1" applyAlignment="1" applyProtection="1">
      <alignment vertical="center"/>
    </xf>
    <xf numFmtId="0" fontId="40" fillId="38" borderId="0" xfId="43" applyFont="1" applyFill="1" applyBorder="1" applyAlignment="1" applyProtection="1">
      <alignment vertical="center"/>
    </xf>
    <xf numFmtId="44" fontId="42" fillId="35" borderId="79" xfId="98" applyFont="1" applyFill="1" applyBorder="1" applyProtection="1"/>
    <xf numFmtId="0" fontId="41" fillId="38" borderId="80" xfId="43" applyFont="1" applyFill="1" applyBorder="1" applyAlignment="1" applyProtection="1">
      <alignment horizontal="center" vertical="center" wrapText="1"/>
    </xf>
    <xf numFmtId="44" fontId="41" fillId="0" borderId="81" xfId="98" applyFont="1" applyFill="1" applyBorder="1" applyProtection="1">
      <protection locked="0"/>
    </xf>
    <xf numFmtId="44" fontId="41" fillId="0" borderId="82" xfId="98" applyFont="1" applyFill="1" applyBorder="1" applyProtection="1">
      <protection locked="0"/>
    </xf>
    <xf numFmtId="44" fontId="42" fillId="37" borderId="83" xfId="98" applyFont="1" applyFill="1" applyBorder="1" applyProtection="1"/>
    <xf numFmtId="0" fontId="40" fillId="38" borderId="24" xfId="43" applyFont="1" applyFill="1" applyBorder="1" applyProtection="1"/>
    <xf numFmtId="44" fontId="41" fillId="37" borderId="25" xfId="98" applyFont="1" applyFill="1" applyBorder="1" applyProtection="1"/>
    <xf numFmtId="44" fontId="42" fillId="35" borderId="78" xfId="98" applyFont="1" applyFill="1" applyBorder="1" applyProtection="1"/>
    <xf numFmtId="44" fontId="41" fillId="0" borderId="80" xfId="98" applyFont="1" applyFill="1" applyBorder="1" applyProtection="1">
      <protection locked="0"/>
    </xf>
    <xf numFmtId="0" fontId="99" fillId="38" borderId="24" xfId="43" applyFont="1" applyFill="1" applyBorder="1" applyAlignment="1" applyProtection="1">
      <alignment vertical="center"/>
    </xf>
    <xf numFmtId="44" fontId="42" fillId="37" borderId="83" xfId="98" applyFont="1" applyFill="1" applyBorder="1" applyAlignment="1" applyProtection="1">
      <alignment vertical="center"/>
    </xf>
    <xf numFmtId="0" fontId="100" fillId="0" borderId="0" xfId="0" applyFont="1" applyFill="1" applyAlignment="1" applyProtection="1">
      <protection hidden="1"/>
    </xf>
    <xf numFmtId="9" fontId="75" fillId="48" borderId="7" xfId="7" applyFont="1" applyFill="1" applyBorder="1" applyAlignment="1">
      <alignment horizontal="center" vertical="center" wrapText="1"/>
    </xf>
    <xf numFmtId="9" fontId="75" fillId="48" borderId="2" xfId="7" applyFont="1" applyFill="1" applyBorder="1" applyAlignment="1">
      <alignment horizontal="center" vertical="center" wrapText="1"/>
    </xf>
    <xf numFmtId="0" fontId="70" fillId="0" borderId="69" xfId="43" applyFont="1" applyBorder="1" applyAlignment="1">
      <alignment vertical="center"/>
    </xf>
    <xf numFmtId="0" fontId="71" fillId="16" borderId="7" xfId="43" applyFont="1" applyFill="1" applyBorder="1" applyAlignment="1">
      <alignment horizontal="left" vertical="center"/>
    </xf>
    <xf numFmtId="0" fontId="72" fillId="0" borderId="0" xfId="43" applyFont="1" applyFill="1" applyBorder="1" applyAlignment="1">
      <alignment vertical="center"/>
    </xf>
    <xf numFmtId="0" fontId="73" fillId="41" borderId="2" xfId="43" applyFont="1" applyFill="1" applyBorder="1" applyAlignment="1">
      <alignment horizontal="left" vertical="center"/>
    </xf>
    <xf numFmtId="0" fontId="102" fillId="0" borderId="0" xfId="43" applyFont="1" applyFill="1" applyBorder="1" applyAlignment="1">
      <alignment vertical="center"/>
    </xf>
    <xf numFmtId="0" fontId="74" fillId="0" borderId="0" xfId="43" applyFont="1" applyFill="1" applyBorder="1" applyAlignment="1">
      <alignment horizontal="center" vertical="center"/>
    </xf>
    <xf numFmtId="0" fontId="95" fillId="0" borderId="0" xfId="43" applyFont="1" applyFill="1" applyBorder="1" applyAlignment="1">
      <alignment horizontal="center" vertical="center"/>
    </xf>
    <xf numFmtId="0" fontId="70" fillId="0" borderId="0" xfId="43" applyFont="1" applyBorder="1" applyAlignment="1">
      <alignment vertical="center"/>
    </xf>
    <xf numFmtId="0" fontId="72" fillId="0" borderId="0" xfId="43" applyFont="1" applyFill="1" applyBorder="1" applyAlignment="1">
      <alignment horizontal="left" vertical="center"/>
    </xf>
    <xf numFmtId="0" fontId="82" fillId="41" borderId="1" xfId="43" applyFont="1" applyFill="1" applyBorder="1" applyAlignment="1">
      <alignment vertical="center"/>
    </xf>
    <xf numFmtId="0" fontId="95" fillId="46" borderId="1" xfId="43" applyFont="1" applyFill="1" applyBorder="1" applyAlignment="1">
      <alignment vertical="center"/>
    </xf>
    <xf numFmtId="0" fontId="95" fillId="39" borderId="1" xfId="43" applyFont="1" applyFill="1" applyBorder="1" applyAlignment="1">
      <alignment vertical="center"/>
    </xf>
    <xf numFmtId="0" fontId="95" fillId="47" borderId="1" xfId="43" applyFont="1" applyFill="1" applyBorder="1" applyAlignment="1">
      <alignment vertical="center"/>
    </xf>
    <xf numFmtId="0" fontId="95" fillId="48" borderId="1" xfId="43" applyFont="1" applyFill="1" applyBorder="1" applyAlignment="1">
      <alignment vertical="center"/>
    </xf>
    <xf numFmtId="0" fontId="77" fillId="0" borderId="0" xfId="43" applyFont="1" applyFill="1" applyBorder="1" applyAlignment="1">
      <alignment vertical="center"/>
    </xf>
    <xf numFmtId="0" fontId="78" fillId="0" borderId="0" xfId="43" applyFont="1" applyFill="1" applyBorder="1" applyAlignment="1">
      <alignment vertical="center"/>
    </xf>
    <xf numFmtId="0" fontId="75" fillId="0" borderId="0" xfId="43" applyFont="1" applyFill="1" applyBorder="1" applyAlignment="1">
      <alignment horizontal="right" vertical="center"/>
    </xf>
    <xf numFmtId="0" fontId="79" fillId="0" borderId="70" xfId="43" applyFont="1" applyFill="1" applyBorder="1" applyAlignment="1">
      <alignment vertical="center"/>
    </xf>
    <xf numFmtId="0" fontId="79" fillId="0" borderId="73" xfId="43" applyFont="1" applyFill="1" applyBorder="1" applyAlignment="1">
      <alignment vertical="center"/>
    </xf>
    <xf numFmtId="0" fontId="80" fillId="0" borderId="74" xfId="43" applyFont="1" applyFill="1" applyBorder="1" applyAlignment="1">
      <alignment vertical="center"/>
    </xf>
    <xf numFmtId="0" fontId="78" fillId="0" borderId="74" xfId="43" applyFont="1" applyFill="1" applyBorder="1" applyAlignment="1">
      <alignment horizontal="right" vertical="center"/>
    </xf>
    <xf numFmtId="0" fontId="80" fillId="0" borderId="75" xfId="43" applyFont="1" applyFill="1" applyBorder="1" applyAlignment="1">
      <alignment vertical="center"/>
    </xf>
    <xf numFmtId="0" fontId="77" fillId="0" borderId="64" xfId="43" applyFont="1" applyFill="1" applyBorder="1" applyAlignment="1">
      <alignment vertical="center"/>
    </xf>
    <xf numFmtId="0" fontId="72" fillId="0" borderId="64" xfId="43" applyFont="1" applyFill="1" applyBorder="1" applyAlignment="1">
      <alignment vertical="center"/>
    </xf>
    <xf numFmtId="0" fontId="82" fillId="44" borderId="1" xfId="110" applyNumberFormat="1" applyFont="1" applyFill="1" applyBorder="1" applyAlignment="1">
      <alignment horizontal="left" vertical="center" wrapText="1"/>
    </xf>
    <xf numFmtId="0" fontId="82" fillId="42" borderId="1" xfId="110" applyNumberFormat="1" applyFont="1" applyFill="1" applyBorder="1" applyAlignment="1">
      <alignment horizontal="left" vertical="center" wrapText="1"/>
    </xf>
    <xf numFmtId="0" fontId="72" fillId="16" borderId="0" xfId="43" applyFont="1" applyFill="1" applyBorder="1" applyAlignment="1">
      <alignment vertical="center"/>
    </xf>
    <xf numFmtId="0" fontId="85" fillId="0" borderId="0" xfId="43" applyFont="1" applyFill="1" applyBorder="1" applyAlignment="1">
      <alignment vertical="center"/>
    </xf>
    <xf numFmtId="0" fontId="72" fillId="0" borderId="0" xfId="43" applyFont="1" applyBorder="1" applyAlignment="1">
      <alignment vertical="center"/>
    </xf>
    <xf numFmtId="0" fontId="72" fillId="0" borderId="63" xfId="43" applyFont="1" applyBorder="1" applyAlignment="1">
      <alignment vertical="center"/>
    </xf>
    <xf numFmtId="0" fontId="72" fillId="0" borderId="65" xfId="43" applyFont="1" applyBorder="1" applyAlignment="1">
      <alignment vertical="center"/>
    </xf>
    <xf numFmtId="0" fontId="86" fillId="16" borderId="0" xfId="43" applyFont="1" applyFill="1" applyBorder="1" applyAlignment="1">
      <alignment horizontal="left" vertical="top" wrapText="1"/>
    </xf>
    <xf numFmtId="0" fontId="72" fillId="16" borderId="0" xfId="43" applyFont="1" applyFill="1" applyBorder="1" applyAlignment="1">
      <alignment horizontal="left" vertical="top" wrapText="1"/>
    </xf>
    <xf numFmtId="0" fontId="78" fillId="0" borderId="64" xfId="43" applyFont="1" applyFill="1" applyBorder="1" applyAlignment="1">
      <alignment vertical="center"/>
    </xf>
    <xf numFmtId="0" fontId="89" fillId="0" borderId="64" xfId="43" applyFont="1" applyFill="1" applyBorder="1" applyAlignment="1">
      <alignment vertical="center"/>
    </xf>
    <xf numFmtId="0" fontId="89" fillId="0" borderId="0" xfId="43" applyFont="1" applyFill="1" applyBorder="1" applyAlignment="1">
      <alignment vertical="center"/>
    </xf>
    <xf numFmtId="0" fontId="84" fillId="57" borderId="3" xfId="110" applyNumberFormat="1" applyFont="1" applyFill="1" applyBorder="1" applyAlignment="1">
      <alignment horizontal="left" vertical="center"/>
    </xf>
    <xf numFmtId="0" fontId="72" fillId="57" borderId="6" xfId="43" applyFont="1" applyFill="1" applyBorder="1" applyAlignment="1">
      <alignment vertical="center" wrapText="1"/>
    </xf>
    <xf numFmtId="0" fontId="82" fillId="44" borderId="1" xfId="110" applyNumberFormat="1" applyFont="1" applyFill="1" applyBorder="1" applyAlignment="1">
      <alignment horizontal="center" vertical="center" wrapText="1"/>
    </xf>
    <xf numFmtId="0" fontId="82" fillId="44" borderId="3" xfId="110" applyNumberFormat="1" applyFont="1" applyFill="1" applyBorder="1" applyAlignment="1">
      <alignment horizontal="center" vertical="center" wrapText="1"/>
    </xf>
    <xf numFmtId="0" fontId="82" fillId="57" borderId="3" xfId="110" applyNumberFormat="1" applyFont="1" applyFill="1" applyBorder="1" applyAlignment="1">
      <alignment horizontal="left" vertical="center"/>
    </xf>
    <xf numFmtId="0" fontId="88" fillId="57" borderId="6" xfId="43" applyFont="1" applyFill="1" applyBorder="1" applyAlignment="1">
      <alignment vertical="center" wrapText="1"/>
    </xf>
    <xf numFmtId="183" fontId="75" fillId="46" borderId="1" xfId="43" applyNumberFormat="1" applyFont="1" applyFill="1" applyBorder="1" applyAlignment="1">
      <alignment horizontal="center" vertical="center"/>
    </xf>
    <xf numFmtId="0" fontId="70" fillId="0" borderId="0" xfId="43" applyFont="1" applyFill="1" applyBorder="1" applyAlignment="1">
      <alignment vertical="center"/>
    </xf>
    <xf numFmtId="0" fontId="83" fillId="50" borderId="1" xfId="43" applyFont="1" applyFill="1" applyBorder="1" applyAlignment="1">
      <alignment horizontal="center" vertical="center"/>
    </xf>
    <xf numFmtId="0" fontId="89" fillId="57" borderId="6" xfId="43" applyFont="1" applyFill="1" applyBorder="1" applyAlignment="1">
      <alignment vertical="center" wrapText="1"/>
    </xf>
    <xf numFmtId="0" fontId="75" fillId="43" borderId="1" xfId="43" applyFont="1" applyFill="1" applyBorder="1" applyAlignment="1">
      <alignment horizontal="center" vertical="center" wrapText="1"/>
    </xf>
    <xf numFmtId="0" fontId="83" fillId="50" borderId="6" xfId="43" applyFont="1" applyFill="1" applyBorder="1" applyAlignment="1">
      <alignment vertical="center"/>
    </xf>
    <xf numFmtId="49" fontId="75" fillId="39" borderId="1" xfId="2" applyNumberFormat="1" applyFont="1" applyFill="1" applyBorder="1" applyAlignment="1">
      <alignment horizontal="center" vertical="center" wrapText="1"/>
    </xf>
    <xf numFmtId="0" fontId="70" fillId="0" borderId="0" xfId="43" applyFont="1" applyFill="1" applyBorder="1" applyAlignment="1">
      <alignment horizontal="left" vertical="center"/>
    </xf>
    <xf numFmtId="0" fontId="72" fillId="43" borderId="3" xfId="43" applyFont="1" applyFill="1" applyBorder="1" applyAlignment="1">
      <alignment vertical="center"/>
    </xf>
    <xf numFmtId="0" fontId="72" fillId="43" borderId="5" xfId="43" applyFont="1" applyFill="1" applyBorder="1" applyAlignment="1">
      <alignment vertical="center"/>
    </xf>
    <xf numFmtId="0" fontId="72" fillId="43" borderId="6" xfId="43" applyFont="1" applyFill="1" applyBorder="1" applyAlignment="1">
      <alignment vertical="center"/>
    </xf>
    <xf numFmtId="0" fontId="90" fillId="44" borderId="1" xfId="110" applyNumberFormat="1" applyFont="1" applyFill="1" applyBorder="1" applyAlignment="1">
      <alignment horizontal="center" vertical="center" wrapText="1"/>
    </xf>
    <xf numFmtId="0" fontId="84" fillId="44" borderId="1" xfId="110" applyNumberFormat="1" applyFont="1" applyFill="1" applyBorder="1" applyAlignment="1">
      <alignment horizontal="left" vertical="center" wrapText="1"/>
    </xf>
    <xf numFmtId="177" fontId="72" fillId="0" borderId="0" xfId="43" applyNumberFormat="1" applyFont="1" applyFill="1" applyBorder="1" applyAlignment="1">
      <alignment horizontal="left" vertical="center"/>
    </xf>
    <xf numFmtId="177" fontId="95" fillId="48" borderId="1" xfId="2" applyNumberFormat="1" applyFont="1" applyFill="1" applyBorder="1" applyAlignment="1">
      <alignment horizontal="center" vertical="center" wrapText="1"/>
    </xf>
    <xf numFmtId="177" fontId="95" fillId="51" borderId="1" xfId="2" applyNumberFormat="1" applyFont="1" applyFill="1" applyBorder="1" applyAlignment="1">
      <alignment horizontal="center" vertical="center" wrapText="1"/>
    </xf>
    <xf numFmtId="177" fontId="71" fillId="51" borderId="1" xfId="2" applyNumberFormat="1" applyFont="1" applyFill="1" applyBorder="1" applyAlignment="1">
      <alignment horizontal="center" vertical="center" wrapText="1"/>
    </xf>
    <xf numFmtId="0" fontId="84" fillId="0" borderId="0" xfId="110" applyNumberFormat="1" applyFont="1" applyFill="1" applyBorder="1" applyAlignment="1">
      <alignment horizontal="left" vertical="center" wrapText="1"/>
    </xf>
    <xf numFmtId="0" fontId="72" fillId="0" borderId="0" xfId="43" applyFont="1" applyAlignment="1">
      <alignment horizontal="left" vertical="center"/>
    </xf>
    <xf numFmtId="0" fontId="72" fillId="0" borderId="0" xfId="43" applyFont="1" applyAlignment="1">
      <alignment vertical="center"/>
    </xf>
    <xf numFmtId="0" fontId="70" fillId="0" borderId="0" xfId="43" applyFont="1" applyAlignment="1">
      <alignment vertical="center"/>
    </xf>
    <xf numFmtId="187" fontId="75" fillId="39" borderId="1" xfId="54" applyNumberFormat="1" applyFont="1" applyFill="1" applyBorder="1" applyAlignment="1">
      <alignment horizontal="center" vertical="center" wrapText="1"/>
    </xf>
    <xf numFmtId="0" fontId="70" fillId="0" borderId="63" xfId="43" applyFont="1" applyFill="1" applyBorder="1" applyAlignment="1">
      <alignment vertical="center"/>
    </xf>
    <xf numFmtId="0" fontId="70" fillId="0" borderId="63" xfId="43" applyFont="1" applyBorder="1" applyAlignment="1">
      <alignment vertical="center"/>
    </xf>
    <xf numFmtId="0" fontId="84" fillId="44" borderId="2" xfId="110" applyNumberFormat="1" applyFont="1" applyFill="1" applyBorder="1" applyAlignment="1">
      <alignment horizontal="left" vertical="center" wrapText="1"/>
    </xf>
    <xf numFmtId="0" fontId="84" fillId="44" borderId="2" xfId="110" applyNumberFormat="1" applyFont="1" applyFill="1" applyBorder="1" applyAlignment="1">
      <alignment horizontal="center" vertical="center" wrapText="1"/>
    </xf>
    <xf numFmtId="175" fontId="75" fillId="39" borderId="1" xfId="43" applyNumberFormat="1" applyFont="1" applyFill="1" applyBorder="1" applyAlignment="1">
      <alignment horizontal="center" vertical="center"/>
    </xf>
    <xf numFmtId="0" fontId="91" fillId="0" borderId="0" xfId="43" applyFont="1" applyAlignment="1">
      <alignment horizontal="right" vertical="center" wrapText="1"/>
    </xf>
    <xf numFmtId="0" fontId="103" fillId="0" borderId="64" xfId="43" applyFont="1" applyFill="1" applyBorder="1" applyAlignment="1">
      <alignment vertical="center"/>
    </xf>
    <xf numFmtId="0" fontId="70" fillId="0" borderId="64" xfId="43" applyFont="1" applyFill="1" applyBorder="1" applyAlignment="1">
      <alignment vertical="center"/>
    </xf>
    <xf numFmtId="0" fontId="95" fillId="48" borderId="1" xfId="2" applyNumberFormat="1" applyFont="1" applyFill="1" applyBorder="1" applyAlignment="1">
      <alignment horizontal="center" vertical="center" wrapText="1"/>
    </xf>
    <xf numFmtId="0" fontId="82" fillId="44" borderId="1" xfId="110" applyNumberFormat="1" applyFont="1" applyFill="1" applyBorder="1" applyAlignment="1">
      <alignment horizontal="right" vertical="center" wrapText="1"/>
    </xf>
    <xf numFmtId="0" fontId="84" fillId="0" borderId="0" xfId="110" applyNumberFormat="1" applyFont="1" applyFill="1" applyBorder="1" applyAlignment="1">
      <alignment horizontal="right" vertical="center" wrapText="1"/>
    </xf>
    <xf numFmtId="0" fontId="84" fillId="44" borderId="1" xfId="110" applyNumberFormat="1" applyFont="1" applyFill="1" applyBorder="1" applyAlignment="1">
      <alignment horizontal="center" vertical="center" wrapText="1"/>
    </xf>
    <xf numFmtId="0" fontId="84" fillId="59" borderId="1" xfId="110" applyNumberFormat="1" applyFont="1" applyFill="1" applyBorder="1" applyAlignment="1">
      <alignment horizontal="center" vertical="center" wrapText="1"/>
    </xf>
    <xf numFmtId="0" fontId="83" fillId="47" borderId="1" xfId="43" applyFont="1" applyFill="1" applyBorder="1" applyAlignment="1">
      <alignment horizontal="center" vertical="center"/>
    </xf>
    <xf numFmtId="0" fontId="73" fillId="0" borderId="0" xfId="43" applyFont="1" applyFill="1" applyBorder="1" applyAlignment="1">
      <alignment vertical="center" wrapText="1"/>
    </xf>
    <xf numFmtId="0" fontId="84" fillId="44" borderId="1" xfId="43" applyFont="1" applyFill="1" applyBorder="1" applyAlignment="1">
      <alignment horizontal="center" vertical="center"/>
    </xf>
    <xf numFmtId="0" fontId="73" fillId="41" borderId="0" xfId="43" applyFont="1" applyFill="1" applyBorder="1" applyAlignment="1">
      <alignment vertical="center" wrapText="1"/>
    </xf>
    <xf numFmtId="0" fontId="72" fillId="0" borderId="0" xfId="43" applyFont="1" applyFill="1" applyBorder="1" applyAlignment="1">
      <alignment vertical="top"/>
    </xf>
    <xf numFmtId="0" fontId="72" fillId="0" borderId="0" xfId="43" applyFont="1" applyFill="1" applyBorder="1" applyAlignment="1">
      <alignment horizontal="left" vertical="top"/>
    </xf>
    <xf numFmtId="0" fontId="92" fillId="0" borderId="0" xfId="43" applyFont="1" applyFill="1" applyBorder="1" applyAlignment="1">
      <alignment vertical="center"/>
    </xf>
    <xf numFmtId="0" fontId="93" fillId="0" borderId="0" xfId="43" applyFont="1" applyBorder="1" applyAlignment="1">
      <alignment horizontal="center" vertical="center"/>
    </xf>
    <xf numFmtId="0" fontId="82" fillId="44" borderId="4" xfId="110" applyNumberFormat="1" applyFont="1" applyFill="1" applyBorder="1" applyAlignment="1">
      <alignment horizontal="center" vertical="center" wrapText="1"/>
    </xf>
    <xf numFmtId="0" fontId="82" fillId="44" borderId="3" xfId="110" applyNumberFormat="1" applyFont="1" applyFill="1" applyBorder="1" applyAlignment="1">
      <alignment horizontal="left" vertical="center" wrapText="1"/>
    </xf>
    <xf numFmtId="178" fontId="95" fillId="45" borderId="1" xfId="2" applyNumberFormat="1" applyFont="1" applyFill="1" applyBorder="1" applyAlignment="1">
      <alignment horizontal="center" vertical="center" wrapText="1"/>
    </xf>
    <xf numFmtId="178" fontId="95" fillId="43" borderId="1" xfId="2" applyNumberFormat="1" applyFont="1" applyFill="1" applyBorder="1" applyAlignment="1">
      <alignment horizontal="center" vertical="center" wrapText="1"/>
    </xf>
    <xf numFmtId="178" fontId="72" fillId="0" borderId="0" xfId="43" applyNumberFormat="1" applyFont="1" applyFill="1" applyBorder="1" applyAlignment="1">
      <alignment horizontal="left" vertical="center"/>
    </xf>
    <xf numFmtId="0" fontId="103" fillId="0" borderId="0" xfId="43" applyFont="1" applyFill="1" applyBorder="1" applyAlignment="1">
      <alignment vertical="center"/>
    </xf>
    <xf numFmtId="180" fontId="95" fillId="45" borderId="1" xfId="2" applyNumberFormat="1" applyFont="1" applyFill="1" applyBorder="1" applyAlignment="1">
      <alignment horizontal="center" vertical="center" wrapText="1"/>
    </xf>
    <xf numFmtId="180" fontId="95" fillId="46" borderId="1" xfId="43" applyNumberFormat="1" applyFont="1" applyFill="1" applyBorder="1" applyAlignment="1">
      <alignment horizontal="center" vertical="center"/>
    </xf>
    <xf numFmtId="0" fontId="83" fillId="52" borderId="20" xfId="43" applyFont="1" applyFill="1" applyBorder="1" applyAlignment="1">
      <alignment vertical="center" wrapText="1"/>
    </xf>
    <xf numFmtId="0" fontId="83" fillId="52" borderId="21" xfId="43" applyFont="1" applyFill="1" applyBorder="1" applyAlignment="1">
      <alignment vertical="center" wrapText="1"/>
    </xf>
    <xf numFmtId="0" fontId="73" fillId="44" borderId="3" xfId="110" applyNumberFormat="1" applyFont="1" applyFill="1" applyBorder="1" applyAlignment="1">
      <alignment horizontal="left" vertical="center" wrapText="1"/>
    </xf>
    <xf numFmtId="0" fontId="84" fillId="44" borderId="3" xfId="110" applyNumberFormat="1" applyFont="1" applyFill="1" applyBorder="1" applyAlignment="1">
      <alignment horizontal="left" vertical="center" wrapText="1"/>
    </xf>
    <xf numFmtId="0" fontId="83" fillId="52" borderId="62" xfId="43" applyFont="1" applyFill="1" applyBorder="1" applyAlignment="1">
      <alignment vertical="center" wrapText="1"/>
    </xf>
    <xf numFmtId="0" fontId="83" fillId="52" borderId="0" xfId="43" applyFont="1" applyFill="1" applyBorder="1" applyAlignment="1">
      <alignment vertical="center" wrapText="1"/>
    </xf>
    <xf numFmtId="0" fontId="72" fillId="16" borderId="0" xfId="43" applyFont="1" applyFill="1"/>
    <xf numFmtId="0" fontId="76" fillId="0" borderId="0" xfId="43" applyFont="1" applyFill="1" applyBorder="1" applyAlignment="1">
      <alignment vertical="center"/>
    </xf>
    <xf numFmtId="0" fontId="84" fillId="44" borderId="4" xfId="110" applyNumberFormat="1" applyFont="1" applyFill="1" applyBorder="1" applyAlignment="1">
      <alignment horizontal="center" vertical="center" wrapText="1"/>
    </xf>
    <xf numFmtId="178" fontId="75" fillId="60" borderId="1" xfId="2" applyNumberFormat="1" applyFont="1" applyFill="1" applyBorder="1" applyAlignment="1">
      <alignment horizontal="center" vertical="center" wrapText="1"/>
    </xf>
    <xf numFmtId="178" fontId="75" fillId="48" borderId="1" xfId="2" applyNumberFormat="1" applyFont="1" applyFill="1" applyBorder="1" applyAlignment="1">
      <alignment horizontal="center" vertical="center" wrapText="1"/>
    </xf>
    <xf numFmtId="179" fontId="75" fillId="48" borderId="1" xfId="2" applyNumberFormat="1" applyFont="1" applyFill="1" applyBorder="1" applyAlignment="1">
      <alignment horizontal="center" vertical="center" wrapText="1"/>
    </xf>
    <xf numFmtId="178" fontId="75" fillId="51" borderId="1" xfId="2" applyNumberFormat="1" applyFont="1" applyFill="1" applyBorder="1" applyAlignment="1">
      <alignment horizontal="center" vertical="center" wrapText="1"/>
    </xf>
    <xf numFmtId="180" fontId="75" fillId="60" borderId="1" xfId="2" applyNumberFormat="1" applyFont="1" applyFill="1" applyBorder="1" applyAlignment="1">
      <alignment horizontal="center" vertical="center" wrapText="1"/>
    </xf>
    <xf numFmtId="180" fontId="75" fillId="51" borderId="1" xfId="2" applyNumberFormat="1" applyFont="1" applyFill="1" applyBorder="1" applyAlignment="1">
      <alignment horizontal="center" vertical="center" wrapText="1"/>
    </xf>
    <xf numFmtId="0" fontId="89" fillId="0" borderId="0" xfId="43" applyFont="1" applyAlignment="1">
      <alignment vertical="center"/>
    </xf>
    <xf numFmtId="0" fontId="89" fillId="0" borderId="0" xfId="43" applyFont="1" applyBorder="1" applyAlignment="1">
      <alignment vertical="center"/>
    </xf>
    <xf numFmtId="0" fontId="97" fillId="0" borderId="0" xfId="43" applyFont="1" applyAlignment="1">
      <alignment vertical="center"/>
    </xf>
    <xf numFmtId="0" fontId="84" fillId="44" borderId="1" xfId="111" applyFont="1" applyFill="1" applyBorder="1" applyAlignment="1">
      <alignment horizontal="center" vertical="center" wrapText="1"/>
    </xf>
    <xf numFmtId="177" fontId="83" fillId="39" borderId="1" xfId="43" applyNumberFormat="1" applyFont="1" applyFill="1" applyBorder="1" applyAlignment="1">
      <alignment horizontal="center" vertical="center"/>
    </xf>
    <xf numFmtId="178" fontId="83" fillId="39" borderId="1" xfId="43" applyNumberFormat="1" applyFont="1" applyFill="1" applyBorder="1" applyAlignment="1">
      <alignment horizontal="center" vertical="center"/>
    </xf>
    <xf numFmtId="178" fontId="83" fillId="46" borderId="1" xfId="43" applyNumberFormat="1" applyFont="1" applyFill="1" applyBorder="1" applyAlignment="1">
      <alignment horizontal="center" vertical="center"/>
    </xf>
    <xf numFmtId="0" fontId="75" fillId="0" borderId="1" xfId="43" applyFont="1" applyBorder="1" applyAlignment="1">
      <alignment horizontal="center" vertical="center" wrapText="1"/>
    </xf>
    <xf numFmtId="0" fontId="75" fillId="16" borderId="1" xfId="43" applyFont="1" applyFill="1" applyBorder="1" applyAlignment="1">
      <alignment horizontal="center" vertical="center" wrapText="1"/>
    </xf>
    <xf numFmtId="0" fontId="75" fillId="16" borderId="1" xfId="43" applyFont="1" applyFill="1" applyBorder="1" applyAlignment="1">
      <alignment horizontal="center" vertical="center"/>
    </xf>
    <xf numFmtId="0" fontId="72" fillId="0" borderId="0" xfId="43" applyFont="1" applyFill="1" applyBorder="1"/>
    <xf numFmtId="0" fontId="72" fillId="0" borderId="0" xfId="43" applyFont="1"/>
    <xf numFmtId="0" fontId="72" fillId="48" borderId="1" xfId="43" applyFont="1" applyFill="1" applyBorder="1" applyAlignment="1">
      <alignment horizontal="center" vertical="center" wrapText="1"/>
    </xf>
    <xf numFmtId="0" fontId="70" fillId="0" borderId="0" xfId="43" applyFont="1"/>
    <xf numFmtId="0" fontId="72" fillId="53" borderId="1" xfId="43" applyFont="1" applyFill="1" applyBorder="1" applyAlignment="1">
      <alignment horizontal="center" vertical="center" wrapText="1"/>
    </xf>
    <xf numFmtId="0" fontId="72" fillId="0" borderId="0" xfId="43" applyFont="1" applyAlignment="1">
      <alignment horizontal="center" wrapText="1"/>
    </xf>
    <xf numFmtId="0" fontId="72" fillId="0" borderId="0" xfId="43" applyFont="1" applyAlignment="1">
      <alignment horizontal="center"/>
    </xf>
    <xf numFmtId="0" fontId="72" fillId="0" borderId="0" xfId="43" applyFont="1" applyBorder="1"/>
    <xf numFmtId="0" fontId="72" fillId="0" borderId="0" xfId="43" applyFont="1" applyAlignment="1">
      <alignment horizontal="left"/>
    </xf>
    <xf numFmtId="178" fontId="104" fillId="53" borderId="1" xfId="41" applyNumberFormat="1" applyFont="1" applyFill="1" applyBorder="1" applyAlignment="1">
      <alignment horizontal="center" vertical="center" wrapText="1"/>
    </xf>
    <xf numFmtId="179" fontId="104" fillId="53" borderId="1" xfId="41" applyNumberFormat="1" applyFont="1" applyFill="1" applyBorder="1" applyAlignment="1">
      <alignment horizontal="center" vertical="center" wrapText="1"/>
    </xf>
    <xf numFmtId="180" fontId="104" fillId="53" borderId="1" xfId="41" applyNumberFormat="1" applyFont="1" applyFill="1" applyBorder="1" applyAlignment="1">
      <alignment horizontal="center" vertical="center" wrapText="1"/>
    </xf>
    <xf numFmtId="0" fontId="77" fillId="0" borderId="0" xfId="43" applyFont="1" applyFill="1" applyBorder="1" applyAlignment="1">
      <alignment horizontal="left" vertical="center"/>
    </xf>
    <xf numFmtId="0" fontId="84" fillId="54" borderId="0" xfId="43" applyFont="1" applyFill="1" applyAlignment="1">
      <alignment horizontal="center" vertical="center" wrapText="1"/>
    </xf>
    <xf numFmtId="0" fontId="84" fillId="54" borderId="1" xfId="43" applyFont="1" applyFill="1" applyBorder="1" applyAlignment="1">
      <alignment horizontal="center" vertical="center" wrapText="1"/>
    </xf>
    <xf numFmtId="0" fontId="84" fillId="54" borderId="3" xfId="43" applyFont="1" applyFill="1" applyBorder="1" applyAlignment="1">
      <alignment horizontal="center" vertical="center" wrapText="1"/>
    </xf>
    <xf numFmtId="0" fontId="84" fillId="54" borderId="1" xfId="43" applyFont="1" applyFill="1" applyBorder="1" applyAlignment="1">
      <alignment horizontal="center" wrapText="1"/>
    </xf>
    <xf numFmtId="0" fontId="72" fillId="0" borderId="0" xfId="43" applyFont="1" applyFill="1" applyBorder="1" applyAlignment="1">
      <alignment vertical="center" wrapText="1"/>
    </xf>
    <xf numFmtId="0" fontId="70" fillId="0" borderId="0" xfId="43" applyFont="1" applyFill="1" applyBorder="1" applyAlignment="1">
      <alignment horizontal="left" vertical="center" wrapText="1"/>
    </xf>
    <xf numFmtId="0" fontId="73" fillId="55" borderId="1" xfId="43" applyFont="1" applyFill="1" applyBorder="1" applyAlignment="1">
      <alignment horizontal="center" vertical="center" wrapText="1"/>
    </xf>
    <xf numFmtId="0" fontId="73" fillId="55" borderId="3" xfId="43" applyFont="1" applyFill="1" applyBorder="1" applyAlignment="1">
      <alignment horizontal="center" vertical="center" wrapText="1"/>
    </xf>
    <xf numFmtId="0" fontId="75" fillId="53" borderId="1" xfId="43" applyFont="1" applyFill="1" applyBorder="1" applyAlignment="1">
      <alignment horizontal="center" vertical="center" wrapText="1"/>
    </xf>
    <xf numFmtId="0" fontId="73" fillId="55" borderId="1" xfId="43" applyFont="1" applyFill="1" applyBorder="1" applyAlignment="1">
      <alignment vertical="center" wrapText="1"/>
    </xf>
    <xf numFmtId="0" fontId="4" fillId="0" borderId="0" xfId="0" applyFont="1" applyBorder="1"/>
    <xf numFmtId="0" fontId="41" fillId="0" borderId="0" xfId="0" quotePrefix="1" applyFont="1" applyAlignment="1">
      <alignment vertical="center" wrapText="1"/>
    </xf>
    <xf numFmtId="0" fontId="4" fillId="0" borderId="56" xfId="0" applyFont="1" applyBorder="1" applyAlignment="1" applyProtection="1">
      <alignment horizontal="left" vertical="top" wrapText="1"/>
    </xf>
    <xf numFmtId="0" fontId="4" fillId="0" borderId="56" xfId="0" quotePrefix="1" applyFont="1" applyBorder="1" applyAlignment="1" applyProtection="1">
      <alignment horizontal="left" vertical="top" wrapText="1"/>
    </xf>
    <xf numFmtId="0" fontId="55" fillId="38" borderId="22" xfId="0" applyFont="1" applyFill="1" applyBorder="1" applyAlignment="1" applyProtection="1">
      <alignment horizontal="center" vertical="center" wrapText="1"/>
    </xf>
    <xf numFmtId="0" fontId="4" fillId="0" borderId="0" xfId="0" quotePrefix="1" applyFont="1" applyAlignment="1">
      <alignment vertical="top" wrapText="1"/>
    </xf>
    <xf numFmtId="0" fontId="73" fillId="41" borderId="1" xfId="43" applyFont="1" applyFill="1" applyBorder="1" applyAlignment="1">
      <alignment horizontal="left" vertical="center" wrapText="1"/>
    </xf>
    <xf numFmtId="0" fontId="40" fillId="37" borderId="22" xfId="0" applyFont="1" applyFill="1" applyBorder="1" applyAlignment="1" applyProtection="1">
      <alignment horizontal="center" vertical="center" wrapText="1"/>
    </xf>
    <xf numFmtId="10" fontId="4" fillId="0" borderId="24" xfId="0" applyNumberFormat="1" applyFont="1" applyFill="1" applyBorder="1" applyAlignment="1">
      <alignment vertical="top" wrapText="1"/>
    </xf>
    <xf numFmtId="0" fontId="52" fillId="0" borderId="22" xfId="98" applyNumberFormat="1" applyFont="1" applyFill="1" applyBorder="1" applyAlignment="1" applyProtection="1">
      <alignment vertical="center" wrapText="1"/>
      <protection locked="0"/>
    </xf>
    <xf numFmtId="0" fontId="45" fillId="0" borderId="0" xfId="52" applyFont="1" applyAlignment="1">
      <alignment horizontal="center" vertical="center" wrapText="1"/>
    </xf>
    <xf numFmtId="0" fontId="41" fillId="36" borderId="24" xfId="52" applyFont="1" applyFill="1" applyBorder="1" applyAlignment="1"/>
    <xf numFmtId="0" fontId="41" fillId="36" borderId="46" xfId="52" applyFont="1" applyFill="1" applyBorder="1" applyAlignment="1"/>
    <xf numFmtId="0" fontId="41" fillId="36" borderId="25" xfId="52" applyFont="1" applyFill="1" applyBorder="1" applyAlignment="1"/>
    <xf numFmtId="0" fontId="41" fillId="0" borderId="0" xfId="0" applyFont="1" applyAlignment="1">
      <alignment vertical="center" wrapText="1"/>
    </xf>
    <xf numFmtId="0" fontId="4" fillId="0" borderId="0" xfId="0" applyFont="1" applyBorder="1" applyAlignment="1">
      <alignment vertical="top" wrapText="1"/>
    </xf>
    <xf numFmtId="0" fontId="4" fillId="0" borderId="0" xfId="0" applyFont="1" applyBorder="1" applyAlignment="1"/>
    <xf numFmtId="0" fontId="41" fillId="37" borderId="24" xfId="52" applyFont="1" applyFill="1" applyBorder="1" applyAlignment="1"/>
    <xf numFmtId="0" fontId="41" fillId="37" borderId="46" xfId="52" applyFont="1" applyFill="1" applyBorder="1" applyAlignment="1"/>
    <xf numFmtId="0" fontId="41" fillId="37" borderId="25" xfId="52" applyFont="1" applyFill="1" applyBorder="1" applyAlignment="1"/>
    <xf numFmtId="0" fontId="43" fillId="35" borderId="24" xfId="52" applyFont="1" applyFill="1" applyBorder="1" applyAlignment="1"/>
    <xf numFmtId="0" fontId="43" fillId="35" borderId="46" xfId="52" applyFont="1" applyFill="1" applyBorder="1" applyAlignment="1"/>
    <xf numFmtId="0" fontId="43" fillId="35" borderId="25" xfId="52" applyFont="1" applyFill="1" applyBorder="1" applyAlignment="1"/>
    <xf numFmtId="0" fontId="41" fillId="0" borderId="24" xfId="52" applyFont="1" applyBorder="1" applyAlignment="1"/>
    <xf numFmtId="0" fontId="41" fillId="0" borderId="46" xfId="52" applyFont="1" applyBorder="1" applyAlignment="1"/>
    <xf numFmtId="0" fontId="41" fillId="0" borderId="25" xfId="52" applyFont="1" applyBorder="1" applyAlignment="1"/>
    <xf numFmtId="0" fontId="41" fillId="0" borderId="0" xfId="0" quotePrefix="1" applyFont="1" applyAlignment="1">
      <alignment vertical="center" wrapText="1"/>
    </xf>
    <xf numFmtId="0" fontId="107" fillId="0" borderId="0" xfId="176" applyFont="1" applyAlignment="1" applyProtection="1">
      <alignment horizontal="center" vertical="center"/>
    </xf>
    <xf numFmtId="0" fontId="4" fillId="0" borderId="56" xfId="0" quotePrefix="1"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57" xfId="0" applyFont="1" applyBorder="1" applyAlignment="1" applyProtection="1">
      <alignment horizontal="left" vertical="top" wrapText="1"/>
    </xf>
    <xf numFmtId="0" fontId="4" fillId="0" borderId="58" xfId="0" quotePrefix="1" applyFont="1" applyBorder="1" applyAlignment="1" applyProtection="1">
      <alignment horizontal="left" vertical="top" wrapText="1"/>
    </xf>
    <xf numFmtId="0" fontId="4" fillId="0" borderId="59" xfId="0" applyFont="1" applyBorder="1" applyAlignment="1" applyProtection="1">
      <alignment horizontal="left" vertical="top" wrapText="1"/>
    </xf>
    <xf numFmtId="0" fontId="4" fillId="0" borderId="60" xfId="0" applyFont="1" applyBorder="1" applyAlignment="1" applyProtection="1">
      <alignment horizontal="left" vertical="top" wrapText="1"/>
    </xf>
    <xf numFmtId="0" fontId="4" fillId="0" borderId="56" xfId="0" applyFont="1" applyBorder="1" applyAlignment="1" applyProtection="1">
      <alignment horizontal="left" vertical="top" wrapText="1"/>
    </xf>
    <xf numFmtId="0" fontId="53" fillId="0" borderId="59" xfId="0" applyFont="1" applyBorder="1" applyAlignment="1" applyProtection="1">
      <alignment horizontal="left" vertical="center" wrapText="1"/>
    </xf>
    <xf numFmtId="0" fontId="4" fillId="0" borderId="58" xfId="0" applyFont="1" applyBorder="1" applyAlignment="1" applyProtection="1">
      <alignment horizontal="left" vertical="top" wrapText="1"/>
    </xf>
    <xf numFmtId="0" fontId="4" fillId="0" borderId="0" xfId="0" applyFont="1" applyAlignment="1" applyProtection="1">
      <alignment horizontal="left" vertical="center" wrapText="1"/>
    </xf>
    <xf numFmtId="0" fontId="55" fillId="38" borderId="22" xfId="0" applyFont="1" applyFill="1" applyBorder="1" applyAlignment="1" applyProtection="1">
      <alignment horizontal="center" vertical="center"/>
    </xf>
    <xf numFmtId="0" fontId="55" fillId="38" borderId="22" xfId="0" applyFont="1" applyFill="1" applyBorder="1" applyAlignment="1" applyProtection="1">
      <alignment horizontal="center" vertical="center" wrapText="1"/>
    </xf>
    <xf numFmtId="0" fontId="4" fillId="0" borderId="27" xfId="0" quotePrefix="1" applyFont="1" applyBorder="1" applyAlignment="1">
      <alignment vertical="top" wrapText="1"/>
    </xf>
    <xf numFmtId="0" fontId="4" fillId="0" borderId="28" xfId="0" quotePrefix="1" applyFont="1" applyBorder="1" applyAlignment="1">
      <alignment vertical="top" wrapText="1"/>
    </xf>
    <xf numFmtId="0" fontId="4" fillId="0" borderId="0" xfId="0" applyFont="1" applyFill="1" applyBorder="1" applyAlignment="1">
      <alignment vertical="top" wrapText="1"/>
    </xf>
    <xf numFmtId="0" fontId="4" fillId="0" borderId="0" xfId="0" quotePrefix="1" applyFont="1" applyAlignment="1">
      <alignment vertical="top" wrapText="1"/>
    </xf>
    <xf numFmtId="0" fontId="4" fillId="0" borderId="0" xfId="0" applyFont="1" applyAlignment="1">
      <alignment horizontal="left" vertical="center" wrapText="1"/>
    </xf>
    <xf numFmtId="0" fontId="84" fillId="41" borderId="68" xfId="44" applyFont="1" applyFill="1" applyBorder="1" applyAlignment="1" applyProtection="1">
      <alignment horizontal="left" vertical="center" wrapText="1"/>
      <protection locked="0"/>
    </xf>
    <xf numFmtId="0" fontId="83" fillId="49" borderId="21" xfId="43" applyFont="1" applyFill="1" applyBorder="1" applyAlignment="1">
      <alignment horizontal="left" vertical="top" wrapText="1"/>
    </xf>
    <xf numFmtId="0" fontId="84" fillId="41" borderId="0" xfId="44" applyFont="1" applyFill="1" applyAlignment="1" applyProtection="1">
      <alignment horizontal="left" vertical="center" wrapText="1"/>
      <protection locked="0"/>
    </xf>
    <xf numFmtId="0" fontId="73" fillId="58" borderId="7" xfId="43" applyFont="1" applyFill="1" applyBorder="1" applyAlignment="1">
      <alignment horizontal="left" vertical="center" wrapText="1"/>
    </xf>
    <xf numFmtId="0" fontId="73" fillId="58" borderId="66" xfId="43" applyFont="1" applyFill="1" applyBorder="1" applyAlignment="1">
      <alignment horizontal="left" vertical="center" wrapText="1"/>
    </xf>
    <xf numFmtId="0" fontId="73" fillId="58" borderId="2" xfId="43" applyFont="1" applyFill="1" applyBorder="1" applyAlignment="1">
      <alignment horizontal="left" vertical="center" wrapText="1"/>
    </xf>
    <xf numFmtId="0" fontId="83" fillId="49" borderId="0" xfId="43" applyFont="1" applyFill="1" applyBorder="1" applyAlignment="1">
      <alignment horizontal="left" vertical="center" wrapText="1"/>
    </xf>
    <xf numFmtId="0" fontId="86" fillId="49" borderId="0" xfId="43" applyFont="1" applyFill="1" applyBorder="1" applyAlignment="1">
      <alignment horizontal="left" vertical="top" wrapText="1"/>
    </xf>
    <xf numFmtId="0" fontId="83" fillId="49" borderId="0" xfId="43" applyFont="1" applyFill="1" applyBorder="1" applyAlignment="1">
      <alignment horizontal="left" vertical="top" wrapText="1"/>
    </xf>
    <xf numFmtId="0" fontId="83" fillId="51" borderId="1" xfId="43" applyFont="1" applyFill="1" applyBorder="1" applyAlignment="1">
      <alignment horizontal="center" vertical="center" wrapText="1"/>
    </xf>
    <xf numFmtId="0" fontId="73" fillId="41" borderId="1" xfId="43" applyFont="1" applyFill="1" applyBorder="1" applyAlignment="1">
      <alignment horizontal="left" vertical="center" wrapText="1"/>
    </xf>
    <xf numFmtId="0" fontId="80" fillId="0" borderId="71" xfId="43" applyFont="1" applyFill="1" applyBorder="1" applyAlignment="1">
      <alignment horizontal="left" vertical="center" wrapText="1"/>
    </xf>
    <xf numFmtId="0" fontId="80" fillId="0" borderId="72" xfId="43" applyFont="1" applyFill="1" applyBorder="1" applyAlignment="1">
      <alignment horizontal="left" vertical="center" wrapText="1"/>
    </xf>
    <xf numFmtId="0" fontId="80" fillId="0" borderId="74" xfId="43" applyFont="1" applyFill="1" applyBorder="1" applyAlignment="1">
      <alignment horizontal="left" vertical="center" wrapText="1"/>
    </xf>
    <xf numFmtId="0" fontId="80" fillId="0" borderId="75" xfId="43" applyFont="1" applyFill="1" applyBorder="1" applyAlignment="1">
      <alignment horizontal="left" vertical="center" wrapText="1"/>
    </xf>
    <xf numFmtId="0" fontId="73" fillId="41" borderId="7" xfId="43" applyFont="1" applyFill="1" applyBorder="1" applyAlignment="1">
      <alignment horizontal="left" vertical="center" wrapText="1"/>
    </xf>
    <xf numFmtId="0" fontId="73" fillId="41" borderId="66" xfId="43" applyFont="1" applyFill="1" applyBorder="1" applyAlignment="1">
      <alignment horizontal="left" vertical="center" wrapText="1"/>
    </xf>
    <xf numFmtId="0" fontId="73" fillId="41" borderId="2" xfId="43" applyFont="1" applyFill="1" applyBorder="1" applyAlignment="1">
      <alignment horizontal="left" vertical="center" wrapText="1"/>
    </xf>
    <xf numFmtId="0" fontId="73" fillId="41" borderId="0" xfId="43" applyFont="1" applyFill="1" applyBorder="1" applyAlignment="1">
      <alignment horizontal="left" vertical="center" wrapText="1"/>
    </xf>
    <xf numFmtId="0" fontId="83" fillId="51" borderId="3" xfId="43" applyFont="1" applyFill="1" applyBorder="1" applyAlignment="1">
      <alignment horizontal="center" vertical="center" wrapText="1"/>
    </xf>
    <xf numFmtId="0" fontId="83" fillId="51" borderId="5" xfId="43" applyFont="1" applyFill="1" applyBorder="1" applyAlignment="1">
      <alignment horizontal="center" vertical="center" wrapText="1"/>
    </xf>
    <xf numFmtId="0" fontId="83" fillId="51" borderId="6" xfId="43" applyFont="1" applyFill="1" applyBorder="1" applyAlignment="1">
      <alignment horizontal="center" vertical="center" wrapText="1"/>
    </xf>
    <xf numFmtId="0" fontId="83" fillId="51" borderId="1" xfId="43" applyNumberFormat="1" applyFont="1" applyFill="1" applyBorder="1" applyAlignment="1">
      <alignment horizontal="center" vertical="center" wrapText="1"/>
    </xf>
    <xf numFmtId="9" fontId="83" fillId="47" borderId="1" xfId="7" applyFont="1" applyFill="1" applyBorder="1" applyAlignment="1">
      <alignment horizontal="center" vertical="center"/>
    </xf>
    <xf numFmtId="0" fontId="73" fillId="41" borderId="66" xfId="44" applyFont="1" applyFill="1" applyBorder="1" applyAlignment="1" applyProtection="1">
      <alignment horizontal="left" vertical="top" wrapText="1"/>
      <protection locked="0"/>
    </xf>
    <xf numFmtId="0" fontId="73" fillId="41" borderId="2" xfId="44" applyFont="1" applyFill="1" applyBorder="1" applyAlignment="1" applyProtection="1">
      <alignment horizontal="left" vertical="top" wrapText="1"/>
      <protection locked="0"/>
    </xf>
    <xf numFmtId="176" fontId="83" fillId="47" borderId="3" xfId="7" applyNumberFormat="1" applyFont="1" applyFill="1" applyBorder="1" applyAlignment="1">
      <alignment horizontal="center" vertical="center"/>
    </xf>
    <xf numFmtId="176" fontId="83" fillId="47" borderId="6" xfId="7" applyNumberFormat="1" applyFont="1" applyFill="1" applyBorder="1" applyAlignment="1">
      <alignment horizontal="center" vertical="center"/>
    </xf>
    <xf numFmtId="0" fontId="83" fillId="47" borderId="1" xfId="7" applyNumberFormat="1" applyFont="1" applyFill="1" applyBorder="1" applyAlignment="1">
      <alignment horizontal="center" vertical="center"/>
    </xf>
    <xf numFmtId="0" fontId="83" fillId="49" borderId="69" xfId="43" applyFont="1" applyFill="1" applyBorder="1" applyAlignment="1">
      <alignment horizontal="left" vertical="top" wrapText="1"/>
    </xf>
    <xf numFmtId="0" fontId="73" fillId="41" borderId="7" xfId="43" applyFont="1" applyFill="1" applyBorder="1" applyAlignment="1">
      <alignment horizontal="left" vertical="top" wrapText="1"/>
    </xf>
    <xf numFmtId="0" fontId="73" fillId="41" borderId="66" xfId="43" applyFont="1" applyFill="1" applyBorder="1" applyAlignment="1">
      <alignment horizontal="left" vertical="top" wrapText="1"/>
    </xf>
    <xf numFmtId="0" fontId="82" fillId="57" borderId="3" xfId="110" applyNumberFormat="1" applyFont="1" applyFill="1" applyBorder="1" applyAlignment="1">
      <alignment horizontal="left" vertical="center" wrapText="1"/>
    </xf>
    <xf numFmtId="0" fontId="82" fillId="57" borderId="6" xfId="110" applyNumberFormat="1" applyFont="1" applyFill="1" applyBorder="1" applyAlignment="1">
      <alignment horizontal="left" vertical="center" wrapText="1"/>
    </xf>
    <xf numFmtId="0" fontId="73" fillId="41" borderId="2" xfId="43" applyFont="1" applyFill="1" applyBorder="1" applyAlignment="1">
      <alignment horizontal="left" vertical="top" wrapText="1"/>
    </xf>
    <xf numFmtId="0" fontId="96" fillId="51" borderId="67" xfId="43" applyNumberFormat="1" applyFont="1" applyFill="1" applyBorder="1" applyAlignment="1">
      <alignment horizontal="center" vertical="center" wrapText="1"/>
    </xf>
    <xf numFmtId="0" fontId="96" fillId="51" borderId="5" xfId="43" applyNumberFormat="1" applyFont="1" applyFill="1" applyBorder="1" applyAlignment="1">
      <alignment horizontal="center" vertical="center" wrapText="1"/>
    </xf>
    <xf numFmtId="0" fontId="96" fillId="51" borderId="67" xfId="43" applyFont="1" applyFill="1" applyBorder="1" applyAlignment="1">
      <alignment horizontal="center" vertical="center" wrapText="1"/>
    </xf>
    <xf numFmtId="0" fontId="96" fillId="51" borderId="5" xfId="43" applyFont="1" applyFill="1" applyBorder="1" applyAlignment="1">
      <alignment horizontal="center" vertical="center" wrapText="1"/>
    </xf>
    <xf numFmtId="4" fontId="96" fillId="45" borderId="1" xfId="43" applyNumberFormat="1" applyFont="1" applyFill="1" applyBorder="1" applyAlignment="1">
      <alignment horizontal="center" vertical="center"/>
    </xf>
    <xf numFmtId="0" fontId="96" fillId="45" borderId="1" xfId="43" applyNumberFormat="1" applyFont="1" applyFill="1" applyBorder="1" applyAlignment="1">
      <alignment horizontal="center" vertical="center"/>
    </xf>
    <xf numFmtId="0" fontId="96" fillId="43" borderId="1" xfId="43" applyFont="1" applyFill="1" applyBorder="1" applyAlignment="1">
      <alignment horizontal="center" vertical="center"/>
    </xf>
    <xf numFmtId="0" fontId="101" fillId="40" borderId="0" xfId="43" applyFont="1" applyFill="1" applyBorder="1" applyAlignment="1">
      <alignment horizontal="center" vertical="center"/>
    </xf>
    <xf numFmtId="14" fontId="75" fillId="0" borderId="0" xfId="43" applyNumberFormat="1" applyFont="1" applyFill="1" applyBorder="1" applyAlignment="1">
      <alignment horizontal="center" vertical="center"/>
    </xf>
    <xf numFmtId="0" fontId="76" fillId="0" borderId="0" xfId="43" applyFont="1" applyFill="1" applyBorder="1" applyAlignment="1">
      <alignment horizontal="center" vertical="center"/>
    </xf>
    <xf numFmtId="1" fontId="96" fillId="43" borderId="1" xfId="43" applyNumberFormat="1" applyFont="1" applyFill="1" applyBorder="1" applyAlignment="1">
      <alignment horizontal="center" vertical="center"/>
    </xf>
    <xf numFmtId="0" fontId="96" fillId="43" borderId="3" xfId="43" applyFont="1" applyFill="1" applyBorder="1" applyAlignment="1">
      <alignment horizontal="center" vertical="center"/>
    </xf>
    <xf numFmtId="0" fontId="96" fillId="43" borderId="6" xfId="43" applyFont="1" applyFill="1" applyBorder="1" applyAlignment="1">
      <alignment horizontal="center" vertical="center"/>
    </xf>
    <xf numFmtId="0" fontId="40" fillId="37" borderId="22" xfId="0" applyFont="1" applyFill="1" applyBorder="1" applyAlignment="1" applyProtection="1">
      <alignment horizontal="center" vertical="center"/>
    </xf>
    <xf numFmtId="0" fontId="40" fillId="37" borderId="22" xfId="0" applyFont="1" applyFill="1" applyBorder="1" applyAlignment="1" applyProtection="1">
      <alignment horizontal="center" vertical="center" wrapText="1"/>
    </xf>
    <xf numFmtId="0" fontId="40" fillId="38" borderId="22" xfId="0" applyFont="1" applyFill="1" applyBorder="1" applyAlignment="1" applyProtection="1">
      <alignment horizontal="center" vertical="center"/>
    </xf>
    <xf numFmtId="0" fontId="40" fillId="0" borderId="1" xfId="0" applyFont="1" applyFill="1" applyBorder="1" applyAlignment="1" applyProtection="1">
      <alignment horizontal="center" vertical="center"/>
    </xf>
    <xf numFmtId="0" fontId="40" fillId="0" borderId="20" xfId="0" applyFont="1" applyFill="1" applyBorder="1" applyAlignment="1" applyProtection="1">
      <alignment horizontal="center" vertical="center" wrapText="1"/>
    </xf>
    <xf numFmtId="0" fontId="40" fillId="0" borderId="4" xfId="0" applyFont="1" applyFill="1" applyBorder="1" applyAlignment="1" applyProtection="1">
      <alignment horizontal="center" vertical="center" wrapText="1"/>
    </xf>
    <xf numFmtId="0" fontId="40" fillId="0" borderId="7"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55" fillId="0" borderId="3" xfId="0" applyFont="1" applyFill="1" applyBorder="1" applyAlignment="1" applyProtection="1">
      <alignment horizontal="center" vertical="center"/>
    </xf>
    <xf numFmtId="0" fontId="55" fillId="0" borderId="5" xfId="0" applyFont="1" applyFill="1" applyBorder="1" applyAlignment="1" applyProtection="1">
      <alignment horizontal="center" vertical="center"/>
    </xf>
    <xf numFmtId="0" fontId="55" fillId="0" borderId="6" xfId="0" applyFont="1" applyFill="1" applyBorder="1" applyAlignment="1" applyProtection="1">
      <alignment horizontal="center" vertical="center"/>
    </xf>
    <xf numFmtId="0" fontId="49" fillId="0" borderId="0" xfId="0" applyFont="1" applyAlignment="1" applyProtection="1">
      <alignment wrapText="1"/>
    </xf>
    <xf numFmtId="0" fontId="54" fillId="0" borderId="0" xfId="0" applyFont="1" applyAlignment="1" applyProtection="1">
      <alignment wrapText="1"/>
    </xf>
    <xf numFmtId="0" fontId="55" fillId="0" borderId="20" xfId="0" applyFont="1" applyFill="1" applyBorder="1" applyAlignment="1" applyProtection="1">
      <alignment horizontal="center" vertical="center"/>
    </xf>
    <xf numFmtId="0" fontId="55" fillId="0" borderId="21" xfId="0" applyFont="1" applyFill="1" applyBorder="1" applyAlignment="1" applyProtection="1">
      <alignment horizontal="center" vertical="center"/>
    </xf>
    <xf numFmtId="0" fontId="55" fillId="0" borderId="8" xfId="0" applyFont="1" applyFill="1" applyBorder="1" applyAlignment="1" applyProtection="1">
      <alignment horizontal="center" vertical="center"/>
    </xf>
    <xf numFmtId="0" fontId="52" fillId="0" borderId="27" xfId="0" applyFont="1" applyFill="1" applyBorder="1" applyAlignment="1" applyProtection="1">
      <alignment vertical="center" wrapText="1"/>
      <protection locked="0"/>
    </xf>
    <xf numFmtId="0" fontId="52" fillId="0" borderId="29" xfId="0" applyFont="1" applyFill="1" applyBorder="1" applyAlignment="1" applyProtection="1">
      <alignment vertical="center" wrapText="1"/>
      <protection locked="0"/>
    </xf>
    <xf numFmtId="0" fontId="52" fillId="0" borderId="28" xfId="0" applyFont="1" applyFill="1" applyBorder="1" applyAlignment="1" applyProtection="1">
      <alignment vertical="center" wrapText="1"/>
      <protection locked="0"/>
    </xf>
    <xf numFmtId="0" fontId="55" fillId="38" borderId="25" xfId="0" applyFont="1" applyFill="1" applyBorder="1" applyAlignment="1" applyProtection="1">
      <alignment horizontal="center" vertical="center" wrapText="1"/>
    </xf>
    <xf numFmtId="0" fontId="58" fillId="35" borderId="62" xfId="0" applyFont="1" applyFill="1" applyBorder="1" applyAlignment="1" applyProtection="1">
      <alignment horizontal="center" vertical="center" wrapText="1"/>
      <protection locked="0"/>
    </xf>
    <xf numFmtId="0" fontId="58" fillId="35" borderId="77" xfId="0" applyFont="1" applyFill="1" applyBorder="1" applyAlignment="1" applyProtection="1">
      <alignment horizontal="center" vertical="center" wrapText="1"/>
      <protection locked="0"/>
    </xf>
    <xf numFmtId="0" fontId="42" fillId="38" borderId="22" xfId="43" applyFont="1" applyFill="1" applyBorder="1" applyAlignment="1" applyProtection="1">
      <alignment horizontal="center" vertical="center"/>
    </xf>
    <xf numFmtId="0" fontId="42" fillId="38" borderId="24" xfId="43" applyFont="1" applyFill="1" applyBorder="1" applyAlignment="1" applyProtection="1">
      <alignment horizontal="left"/>
    </xf>
    <xf numFmtId="0" fontId="42" fillId="38" borderId="25" xfId="43" applyFont="1" applyFill="1" applyBorder="1" applyAlignment="1" applyProtection="1">
      <alignment horizontal="left"/>
    </xf>
    <xf numFmtId="173" fontId="4" fillId="37" borderId="22" xfId="87" applyNumberFormat="1" applyFont="1" applyFill="1" applyBorder="1" applyAlignment="1" applyProtection="1">
      <alignment horizontal="center" vertical="center"/>
    </xf>
    <xf numFmtId="0" fontId="75" fillId="0" borderId="66" xfId="43" applyFont="1" applyBorder="1" applyAlignment="1">
      <alignment horizontal="center" vertical="center"/>
    </xf>
  </cellXfs>
  <cellStyles count="177">
    <cellStyle name="20 % - Accent1 2" xfId="13" xr:uid="{00000000-0005-0000-0000-000000000000}"/>
    <cellStyle name="20 % - Accent1 2 2" xfId="112" xr:uid="{00000000-0005-0000-0000-000001000000}"/>
    <cellStyle name="20 % - Accent1 2 3" xfId="113" xr:uid="{00000000-0005-0000-0000-000002000000}"/>
    <cellStyle name="20 % - Accent1 3" xfId="14" xr:uid="{00000000-0005-0000-0000-000003000000}"/>
    <cellStyle name="20 % - Accent1 4" xfId="56" xr:uid="{00000000-0005-0000-0000-000004000000}"/>
    <cellStyle name="20 % - Accent1 5" xfId="114" xr:uid="{00000000-0005-0000-0000-000005000000}"/>
    <cellStyle name="20 % - Accent2 2" xfId="15" xr:uid="{00000000-0005-0000-0000-000006000000}"/>
    <cellStyle name="20 % - Accent2 3" xfId="16" xr:uid="{00000000-0005-0000-0000-000007000000}"/>
    <cellStyle name="20 % - Accent2 4" xfId="57" xr:uid="{00000000-0005-0000-0000-000008000000}"/>
    <cellStyle name="20 % - Accent3 2" xfId="17" xr:uid="{00000000-0005-0000-0000-000009000000}"/>
    <cellStyle name="20 % - Accent3 3" xfId="18" xr:uid="{00000000-0005-0000-0000-00000A000000}"/>
    <cellStyle name="20 % - Accent3 4" xfId="58" xr:uid="{00000000-0005-0000-0000-00000B000000}"/>
    <cellStyle name="20 % - Accent4 2" xfId="19" xr:uid="{00000000-0005-0000-0000-00000C000000}"/>
    <cellStyle name="20 % - Accent4 2 2" xfId="115" xr:uid="{00000000-0005-0000-0000-00000D000000}"/>
    <cellStyle name="20 % - Accent4 2 2 2" xfId="116" xr:uid="{00000000-0005-0000-0000-00000E000000}"/>
    <cellStyle name="20 % - Accent4 2 3" xfId="117" xr:uid="{00000000-0005-0000-0000-00000F000000}"/>
    <cellStyle name="20 % - Accent4 3" xfId="20" xr:uid="{00000000-0005-0000-0000-000010000000}"/>
    <cellStyle name="20 % - Accent4 4" xfId="59" xr:uid="{00000000-0005-0000-0000-000011000000}"/>
    <cellStyle name="20 % - Accent4 5" xfId="118" xr:uid="{00000000-0005-0000-0000-000012000000}"/>
    <cellStyle name="20 % - Accent5 2" xfId="21" xr:uid="{00000000-0005-0000-0000-000013000000}"/>
    <cellStyle name="20 % - Accent5 3" xfId="22" xr:uid="{00000000-0005-0000-0000-000014000000}"/>
    <cellStyle name="20 % - Accent5 4" xfId="60" xr:uid="{00000000-0005-0000-0000-000015000000}"/>
    <cellStyle name="20 % - Accent6 2" xfId="23" xr:uid="{00000000-0005-0000-0000-000016000000}"/>
    <cellStyle name="20 % - Accent6 3" xfId="24" xr:uid="{00000000-0005-0000-0000-000017000000}"/>
    <cellStyle name="20 % - Accent6 4" xfId="61" xr:uid="{00000000-0005-0000-0000-000018000000}"/>
    <cellStyle name="40 % - Accent1 2" xfId="25" xr:uid="{00000000-0005-0000-0000-000019000000}"/>
    <cellStyle name="40 % - Accent1 2 2" xfId="119" xr:uid="{00000000-0005-0000-0000-00001A000000}"/>
    <cellStyle name="40 % - Accent1 2 3" xfId="120" xr:uid="{00000000-0005-0000-0000-00001B000000}"/>
    <cellStyle name="40 % - Accent1 3" xfId="26" xr:uid="{00000000-0005-0000-0000-00001C000000}"/>
    <cellStyle name="40 % - Accent1 4" xfId="62" xr:uid="{00000000-0005-0000-0000-00001D000000}"/>
    <cellStyle name="40 % - Accent1 5" xfId="121" xr:uid="{00000000-0005-0000-0000-00001E000000}"/>
    <cellStyle name="40 % - Accent2 2" xfId="27" xr:uid="{00000000-0005-0000-0000-00001F000000}"/>
    <cellStyle name="40 % - Accent2 3" xfId="28" xr:uid="{00000000-0005-0000-0000-000020000000}"/>
    <cellStyle name="40 % - Accent2 4" xfId="63" xr:uid="{00000000-0005-0000-0000-000021000000}"/>
    <cellStyle name="40 % - Accent3 2" xfId="29" xr:uid="{00000000-0005-0000-0000-000022000000}"/>
    <cellStyle name="40 % - Accent3 3" xfId="30" xr:uid="{00000000-0005-0000-0000-000023000000}"/>
    <cellStyle name="40 % - Accent3 4" xfId="64" xr:uid="{00000000-0005-0000-0000-000024000000}"/>
    <cellStyle name="40 % - Accent4 2" xfId="31" xr:uid="{00000000-0005-0000-0000-000025000000}"/>
    <cellStyle name="40 % - Accent4 3" xfId="32" xr:uid="{00000000-0005-0000-0000-000026000000}"/>
    <cellStyle name="40 % - Accent4 4" xfId="65" xr:uid="{00000000-0005-0000-0000-000027000000}"/>
    <cellStyle name="40 % - Accent5 2" xfId="33" xr:uid="{00000000-0005-0000-0000-000028000000}"/>
    <cellStyle name="40 % - Accent5 3" xfId="34" xr:uid="{00000000-0005-0000-0000-000029000000}"/>
    <cellStyle name="40 % - Accent5 4" xfId="66" xr:uid="{00000000-0005-0000-0000-00002A000000}"/>
    <cellStyle name="40 % - Accent6 2" xfId="35" xr:uid="{00000000-0005-0000-0000-00002B000000}"/>
    <cellStyle name="40 % - Accent6 3" xfId="36" xr:uid="{00000000-0005-0000-0000-00002C000000}"/>
    <cellStyle name="40 % - Accent6 4" xfId="67" xr:uid="{00000000-0005-0000-0000-00002D000000}"/>
    <cellStyle name="60 % - Accent1 2" xfId="68" xr:uid="{00000000-0005-0000-0000-00002E000000}"/>
    <cellStyle name="60 % - Accent2 2" xfId="69" xr:uid="{00000000-0005-0000-0000-00002F000000}"/>
    <cellStyle name="60 % - Accent3 2" xfId="70" xr:uid="{00000000-0005-0000-0000-000030000000}"/>
    <cellStyle name="60 % - Accent4 2" xfId="71" xr:uid="{00000000-0005-0000-0000-000031000000}"/>
    <cellStyle name="60 % - Accent5 2" xfId="72" xr:uid="{00000000-0005-0000-0000-000032000000}"/>
    <cellStyle name="60 % - Accent6 2" xfId="73" xr:uid="{00000000-0005-0000-0000-000033000000}"/>
    <cellStyle name="Accent1 2" xfId="74" xr:uid="{00000000-0005-0000-0000-000034000000}"/>
    <cellStyle name="Accent2 2" xfId="75" xr:uid="{00000000-0005-0000-0000-000035000000}"/>
    <cellStyle name="Accent3 2" xfId="76" xr:uid="{00000000-0005-0000-0000-000036000000}"/>
    <cellStyle name="Accent4 2" xfId="77" xr:uid="{00000000-0005-0000-0000-000037000000}"/>
    <cellStyle name="Accent5 2" xfId="78" xr:uid="{00000000-0005-0000-0000-000038000000}"/>
    <cellStyle name="Accent6 2" xfId="79" xr:uid="{00000000-0005-0000-0000-000039000000}"/>
    <cellStyle name="Avertissement 2" xfId="80" xr:uid="{00000000-0005-0000-0000-00003A000000}"/>
    <cellStyle name="Calcul 2" xfId="81" xr:uid="{00000000-0005-0000-0000-00003B000000}"/>
    <cellStyle name="Cellule liée 2" xfId="82" xr:uid="{00000000-0005-0000-0000-00003C000000}"/>
    <cellStyle name="Commentaire 2" xfId="37" xr:uid="{00000000-0005-0000-0000-00003D000000}"/>
    <cellStyle name="Commentaire 3" xfId="38" xr:uid="{00000000-0005-0000-0000-00003E000000}"/>
    <cellStyle name="Commentaire 4" xfId="39" xr:uid="{00000000-0005-0000-0000-00003F000000}"/>
    <cellStyle name="Commentaire 5" xfId="83" xr:uid="{00000000-0005-0000-0000-000040000000}"/>
    <cellStyle name="Entrée 2" xfId="84" xr:uid="{00000000-0005-0000-0000-000041000000}"/>
    <cellStyle name="Euro" xfId="1" xr:uid="{00000000-0005-0000-0000-000042000000}"/>
    <cellStyle name="Euro 2" xfId="40" xr:uid="{00000000-0005-0000-0000-000043000000}"/>
    <cellStyle name="Euro 3" xfId="105" xr:uid="{00000000-0005-0000-0000-000044000000}"/>
    <cellStyle name="Haha" xfId="122" xr:uid="{00000000-0005-0000-0000-000045000000}"/>
    <cellStyle name="Insatisfaisant 2" xfId="85" xr:uid="{00000000-0005-0000-0000-000046000000}"/>
    <cellStyle name="Lien hypertexte" xfId="176" builtinId="8"/>
    <cellStyle name="Milliers" xfId="2" builtinId="3"/>
    <cellStyle name="Milliers 2" xfId="3" xr:uid="{00000000-0005-0000-0000-000048000000}"/>
    <cellStyle name="Milliers 2 2" xfId="41" xr:uid="{00000000-0005-0000-0000-000049000000}"/>
    <cellStyle name="Milliers 2 3" xfId="103" xr:uid="{00000000-0005-0000-0000-00004A000000}"/>
    <cellStyle name="Milliers 3" xfId="42" xr:uid="{00000000-0005-0000-0000-00004B000000}"/>
    <cellStyle name="Milliers 4" xfId="86" xr:uid="{00000000-0005-0000-0000-00004C000000}"/>
    <cellStyle name="Milliers 5" xfId="109" xr:uid="{00000000-0005-0000-0000-00004D000000}"/>
    <cellStyle name="Monétaire" xfId="98" builtinId="4"/>
    <cellStyle name="Monétaire 2" xfId="54" xr:uid="{00000000-0005-0000-0000-00004F000000}"/>
    <cellStyle name="Monétaire 2 2" xfId="123" xr:uid="{00000000-0005-0000-0000-000050000000}"/>
    <cellStyle name="Monétaire 2 2 2" xfId="124" xr:uid="{00000000-0005-0000-0000-000051000000}"/>
    <cellStyle name="Monétaire 3" xfId="87" xr:uid="{00000000-0005-0000-0000-000052000000}"/>
    <cellStyle name="Monétaire 3 2" xfId="125" xr:uid="{00000000-0005-0000-0000-000053000000}"/>
    <cellStyle name="Monétaire 4" xfId="126" xr:uid="{00000000-0005-0000-0000-000054000000}"/>
    <cellStyle name="Monétaire 4 2" xfId="127" xr:uid="{00000000-0005-0000-0000-000055000000}"/>
    <cellStyle name="Monétaire 5" xfId="128" xr:uid="{00000000-0005-0000-0000-000056000000}"/>
    <cellStyle name="Monétaire 5 2" xfId="129" xr:uid="{00000000-0005-0000-0000-000057000000}"/>
    <cellStyle name="Monétaire 6" xfId="130" xr:uid="{00000000-0005-0000-0000-000058000000}"/>
    <cellStyle name="Monétaire 7" xfId="131" xr:uid="{00000000-0005-0000-0000-000059000000}"/>
    <cellStyle name="Monétaire 8" xfId="132" xr:uid="{00000000-0005-0000-0000-00005A000000}"/>
    <cellStyle name="Monétaire 9" xfId="133" xr:uid="{00000000-0005-0000-0000-00005B000000}"/>
    <cellStyle name="Neutre 2" xfId="88" xr:uid="{00000000-0005-0000-0000-00005C000000}"/>
    <cellStyle name="Normal" xfId="0" builtinId="0"/>
    <cellStyle name="Normal - Style1" xfId="106" xr:uid="{00000000-0005-0000-0000-00005E000000}"/>
    <cellStyle name="Normal 10" xfId="52" xr:uid="{00000000-0005-0000-0000-00005F000000}"/>
    <cellStyle name="Normal 10 2" xfId="111" xr:uid="{00000000-0005-0000-0000-000060000000}"/>
    <cellStyle name="Normal 11" xfId="101" xr:uid="{00000000-0005-0000-0000-000061000000}"/>
    <cellStyle name="Normal 12" xfId="104" xr:uid="{00000000-0005-0000-0000-000062000000}"/>
    <cellStyle name="Normal 13" xfId="134" xr:uid="{00000000-0005-0000-0000-000063000000}"/>
    <cellStyle name="Normal 14" xfId="135" xr:uid="{00000000-0005-0000-0000-000064000000}"/>
    <cellStyle name="Normal 15" xfId="136" xr:uid="{00000000-0005-0000-0000-000065000000}"/>
    <cellStyle name="Normal 16" xfId="137" xr:uid="{00000000-0005-0000-0000-000066000000}"/>
    <cellStyle name="Normal 17" xfId="138" xr:uid="{00000000-0005-0000-0000-000067000000}"/>
    <cellStyle name="Normal 18" xfId="139" xr:uid="{00000000-0005-0000-0000-000068000000}"/>
    <cellStyle name="Normal 19" xfId="140" xr:uid="{00000000-0005-0000-0000-000069000000}"/>
    <cellStyle name="Normal 2" xfId="4" xr:uid="{00000000-0005-0000-0000-00006A000000}"/>
    <cellStyle name="Normal 2 2" xfId="43" xr:uid="{00000000-0005-0000-0000-00006B000000}"/>
    <cellStyle name="Normal 2 3" xfId="141" xr:uid="{00000000-0005-0000-0000-00006C000000}"/>
    <cellStyle name="Normal 2 4" xfId="142" xr:uid="{00000000-0005-0000-0000-00006D000000}"/>
    <cellStyle name="Normal 2_HISTORIQUTCD" xfId="143" xr:uid="{00000000-0005-0000-0000-00006E000000}"/>
    <cellStyle name="Normal 20" xfId="144" xr:uid="{00000000-0005-0000-0000-00006F000000}"/>
    <cellStyle name="Normal 21" xfId="145" xr:uid="{00000000-0005-0000-0000-000070000000}"/>
    <cellStyle name="Normal 22" xfId="146" xr:uid="{00000000-0005-0000-0000-000071000000}"/>
    <cellStyle name="Normal 23" xfId="147" xr:uid="{00000000-0005-0000-0000-000072000000}"/>
    <cellStyle name="Normal 23 2" xfId="148" xr:uid="{00000000-0005-0000-0000-000073000000}"/>
    <cellStyle name="Normal 24" xfId="149" xr:uid="{00000000-0005-0000-0000-000074000000}"/>
    <cellStyle name="Normal 25" xfId="150" xr:uid="{00000000-0005-0000-0000-000075000000}"/>
    <cellStyle name="Normal 26" xfId="151" xr:uid="{00000000-0005-0000-0000-000076000000}"/>
    <cellStyle name="Normal 3" xfId="5" xr:uid="{00000000-0005-0000-0000-000077000000}"/>
    <cellStyle name="Normal 3 2" xfId="44" xr:uid="{00000000-0005-0000-0000-000078000000}"/>
    <cellStyle name="Normal 3 3" xfId="152" xr:uid="{00000000-0005-0000-0000-000079000000}"/>
    <cellStyle name="Normal 3 3 2" xfId="153" xr:uid="{00000000-0005-0000-0000-00007A000000}"/>
    <cellStyle name="Normal 3_HISTORIQUTCD" xfId="154" xr:uid="{00000000-0005-0000-0000-00007B000000}"/>
    <cellStyle name="Normal 4" xfId="11" xr:uid="{00000000-0005-0000-0000-00007C000000}"/>
    <cellStyle name="Normal 4 2" xfId="100" xr:uid="{00000000-0005-0000-0000-00007D000000}"/>
    <cellStyle name="Normal 4 3" xfId="107" xr:uid="{00000000-0005-0000-0000-00007E000000}"/>
    <cellStyle name="Normal 4_HISTORIQUTCD" xfId="155" xr:uid="{00000000-0005-0000-0000-00007F000000}"/>
    <cellStyle name="Normal 5" xfId="6" xr:uid="{00000000-0005-0000-0000-000080000000}"/>
    <cellStyle name="Normal 5 2" xfId="45" xr:uid="{00000000-0005-0000-0000-000081000000}"/>
    <cellStyle name="Normal 5 2 2" xfId="99" xr:uid="{00000000-0005-0000-0000-000082000000}"/>
    <cellStyle name="Normal 5 2 3" xfId="110" xr:uid="{00000000-0005-0000-0000-000083000000}"/>
    <cellStyle name="Normal 5 3" xfId="108" xr:uid="{00000000-0005-0000-0000-000084000000}"/>
    <cellStyle name="Normal 5_HISTORIQUTCD" xfId="156" xr:uid="{00000000-0005-0000-0000-000085000000}"/>
    <cellStyle name="Normal 6" xfId="12" xr:uid="{00000000-0005-0000-0000-000086000000}"/>
    <cellStyle name="Normal 6 2" xfId="157" xr:uid="{00000000-0005-0000-0000-000087000000}"/>
    <cellStyle name="Normal 6 2 2" xfId="158" xr:uid="{00000000-0005-0000-0000-000088000000}"/>
    <cellStyle name="Normal 6 2 3" xfId="159" xr:uid="{00000000-0005-0000-0000-000089000000}"/>
    <cellStyle name="Normal 6 3" xfId="160" xr:uid="{00000000-0005-0000-0000-00008A000000}"/>
    <cellStyle name="Normal 6 4" xfId="161" xr:uid="{00000000-0005-0000-0000-00008B000000}"/>
    <cellStyle name="Normal 6 5" xfId="162" xr:uid="{00000000-0005-0000-0000-00008C000000}"/>
    <cellStyle name="Normal 6_HISTORIQUTCD" xfId="163" xr:uid="{00000000-0005-0000-0000-00008D000000}"/>
    <cellStyle name="Normal 7" xfId="46" xr:uid="{00000000-0005-0000-0000-00008E000000}"/>
    <cellStyle name="Normal 8" xfId="47" xr:uid="{00000000-0005-0000-0000-00008F000000}"/>
    <cellStyle name="Normal 8 2" xfId="164" xr:uid="{00000000-0005-0000-0000-000090000000}"/>
    <cellStyle name="Normal 9" xfId="48" xr:uid="{00000000-0005-0000-0000-000091000000}"/>
    <cellStyle name="Normal 9 2" xfId="165" xr:uid="{00000000-0005-0000-0000-000092000000}"/>
    <cellStyle name="Normal 9 2 2" xfId="166" xr:uid="{00000000-0005-0000-0000-000093000000}"/>
    <cellStyle name="Normal 9 3" xfId="167" xr:uid="{00000000-0005-0000-0000-000094000000}"/>
    <cellStyle name="Pourcentage" xfId="7" builtinId="5"/>
    <cellStyle name="Pourcentage 2" xfId="8" xr:uid="{00000000-0005-0000-0000-000096000000}"/>
    <cellStyle name="Pourcentage 2 2" xfId="49" xr:uid="{00000000-0005-0000-0000-000097000000}"/>
    <cellStyle name="Pourcentage 2 2 2" xfId="168" xr:uid="{00000000-0005-0000-0000-000098000000}"/>
    <cellStyle name="Pourcentage 2 2 3" xfId="169" xr:uid="{00000000-0005-0000-0000-000099000000}"/>
    <cellStyle name="Pourcentage 2 3" xfId="170" xr:uid="{00000000-0005-0000-0000-00009A000000}"/>
    <cellStyle name="Pourcentage 2 4" xfId="171" xr:uid="{00000000-0005-0000-0000-00009B000000}"/>
    <cellStyle name="Pourcentage 2 5" xfId="172" xr:uid="{00000000-0005-0000-0000-00009C000000}"/>
    <cellStyle name="Pourcentage 3" xfId="9" xr:uid="{00000000-0005-0000-0000-00009D000000}"/>
    <cellStyle name="Pourcentage 3 2" xfId="10" xr:uid="{00000000-0005-0000-0000-00009E000000}"/>
    <cellStyle name="Pourcentage 3 2 2" xfId="50" xr:uid="{00000000-0005-0000-0000-00009F000000}"/>
    <cellStyle name="Pourcentage 3 3" xfId="51" xr:uid="{00000000-0005-0000-0000-0000A0000000}"/>
    <cellStyle name="Pourcentage 4" xfId="53" xr:uid="{00000000-0005-0000-0000-0000A1000000}"/>
    <cellStyle name="Pourcentage 5" xfId="102" xr:uid="{00000000-0005-0000-0000-0000A2000000}"/>
    <cellStyle name="Pourcentage 5 2" xfId="173" xr:uid="{00000000-0005-0000-0000-0000A3000000}"/>
    <cellStyle name="Pourcentage 6" xfId="174" xr:uid="{00000000-0005-0000-0000-0000A4000000}"/>
    <cellStyle name="Pourcentage 7" xfId="175" xr:uid="{00000000-0005-0000-0000-0000A5000000}"/>
    <cellStyle name="Satisfaisant 2" xfId="89" xr:uid="{00000000-0005-0000-0000-0000A6000000}"/>
    <cellStyle name="Sortie 2" xfId="90" xr:uid="{00000000-0005-0000-0000-0000A7000000}"/>
    <cellStyle name="Texte explicatif 2" xfId="91" xr:uid="{00000000-0005-0000-0000-0000A8000000}"/>
    <cellStyle name="Titre" xfId="55" builtinId="15" customBuiltin="1"/>
    <cellStyle name="Titre 1 2" xfId="92" xr:uid="{00000000-0005-0000-0000-0000AA000000}"/>
    <cellStyle name="Titre 2 2" xfId="93" xr:uid="{00000000-0005-0000-0000-0000AB000000}"/>
    <cellStyle name="Titre 3 2" xfId="94" xr:uid="{00000000-0005-0000-0000-0000AC000000}"/>
    <cellStyle name="Titre 4 2" xfId="95" xr:uid="{00000000-0005-0000-0000-0000AD000000}"/>
    <cellStyle name="Total 2" xfId="96" xr:uid="{00000000-0005-0000-0000-0000AE000000}"/>
    <cellStyle name="Vérification 2" xfId="97" xr:uid="{00000000-0005-0000-0000-0000AF000000}"/>
  </cellStyles>
  <dxfs count="379">
    <dxf>
      <font>
        <b val="0"/>
        <i val="0"/>
        <strike val="0"/>
        <condense val="0"/>
        <extend val="0"/>
        <outline val="0"/>
        <shadow val="0"/>
        <u val="none"/>
        <vertAlign val="baseline"/>
        <sz val="10"/>
        <color auto="1"/>
        <name val="Arial"/>
        <scheme val="none"/>
      </font>
      <numFmt numFmtId="172" formatCode="_-* #,##0\ &quot;€&quot;_-;\-* #,##0\ &quot;€&quot;_-;_-* &quot;-&quot;??\ &quot;€&quot;_-;_-@_-"/>
      <fill>
        <patternFill patternType="solid">
          <fgColor indexed="64"/>
          <bgColor rgb="FFC8C5E1"/>
        </patternFill>
      </fill>
      <alignment horizontal="general" vertical="top" textRotation="0" wrapText="0" relativeIndent="0" justifyLastLine="0" shrinkToFit="0" readingOrder="0"/>
      <border diagonalUp="0" diagonalDown="0" outline="0">
        <left style="thin">
          <color rgb="FF464599"/>
        </left>
        <right style="thin">
          <color rgb="FF464599"/>
        </right>
        <top style="thin">
          <color rgb="FF464599"/>
        </top>
        <bottom style="thin">
          <color rgb="FF464599"/>
        </bottom>
      </border>
      <protection locked="1" hidden="0"/>
    </dxf>
    <dxf>
      <font>
        <b val="0"/>
        <i val="0"/>
        <strike val="0"/>
        <condense val="0"/>
        <extend val="0"/>
        <outline val="0"/>
        <shadow val="0"/>
        <u val="none"/>
        <vertAlign val="baseline"/>
        <sz val="10"/>
        <color auto="1"/>
        <name val="Arial"/>
        <scheme val="none"/>
      </font>
      <numFmt numFmtId="172" formatCode="_-* #,##0\ &quot;€&quot;_-;\-* #,##0\ &quot;€&quot;_-;_-* &quot;-&quot;??\ &quot;€&quot;_-;_-@_-"/>
      <fill>
        <patternFill patternType="solid">
          <fgColor indexed="64"/>
          <bgColor rgb="FFC8C5E1"/>
        </patternFill>
      </fill>
      <alignment horizontal="general" vertical="bottom" textRotation="0" wrapText="0" relativeIndent="0" justifyLastLine="0" shrinkToFit="0" readingOrder="0"/>
      <border diagonalUp="0" diagonalDown="0" outline="0">
        <left style="thin">
          <color rgb="FF464599"/>
        </left>
        <right style="thin">
          <color rgb="FF464599"/>
        </right>
        <top style="thin">
          <color rgb="FF464599"/>
        </top>
        <bottom style="thin">
          <color rgb="FF464599"/>
        </bottom>
      </border>
      <protection locked="1" hidden="0"/>
    </dxf>
    <dxf>
      <font>
        <b val="0"/>
        <i val="0"/>
        <strike val="0"/>
        <condense val="0"/>
        <extend val="0"/>
        <outline val="0"/>
        <shadow val="0"/>
        <u val="none"/>
        <vertAlign val="baseline"/>
        <sz val="10"/>
        <color auto="1"/>
        <name val="Arial"/>
        <scheme val="none"/>
      </font>
      <numFmt numFmtId="172" formatCode="_-* #,##0\ &quot;€&quot;_-;\-* #,##0\ &quot;€&quot;_-;_-* &quot;-&quot;??\ &quot;€&quot;_-;_-@_-"/>
      <fill>
        <patternFill patternType="solid">
          <fgColor indexed="64"/>
          <bgColor rgb="FFC8C5E1"/>
        </patternFill>
      </fill>
      <alignment horizontal="general" vertical="bottom" textRotation="0" wrapText="0" indent="0" justifyLastLine="0" shrinkToFit="0" readingOrder="0"/>
      <border diagonalUp="0" diagonalDown="0" outline="0">
        <left style="thin">
          <color rgb="FF464599"/>
        </left>
        <right style="thin">
          <color rgb="FF464599"/>
        </right>
        <top style="thin">
          <color rgb="FF464599"/>
        </top>
        <bottom/>
      </border>
      <protection locked="1" hidden="0"/>
    </dxf>
    <dxf>
      <font>
        <b val="0"/>
        <i val="0"/>
        <strike val="0"/>
        <condense val="0"/>
        <extend val="0"/>
        <outline val="0"/>
        <shadow val="0"/>
        <u val="none"/>
        <vertAlign val="baseline"/>
        <sz val="10"/>
        <color auto="1"/>
        <name val="Arial"/>
        <scheme val="none"/>
      </font>
      <numFmt numFmtId="172" formatCode="_-* #,##0\ &quot;€&quot;_-;\-* #,##0\ &quot;€&quot;_-;_-* &quot;-&quot;??\ &quot;€&quot;_-;_-@_-"/>
      <fill>
        <patternFill patternType="solid">
          <fgColor indexed="64"/>
          <bgColor rgb="FFC8C5E1"/>
        </patternFill>
      </fill>
      <alignment horizontal="general" vertical="bottom" textRotation="0" wrapText="0" indent="0" justifyLastLine="0" shrinkToFit="0" readingOrder="0"/>
      <border diagonalUp="0" diagonalDown="0" outline="0">
        <left style="thin">
          <color rgb="FF464599"/>
        </left>
        <right style="thin">
          <color rgb="FF464599"/>
        </right>
        <top style="thin">
          <color rgb="FF464599"/>
        </top>
        <bottom/>
      </border>
      <protection locked="1" hidden="0"/>
    </dxf>
    <dxf>
      <font>
        <b val="0"/>
        <i val="0"/>
        <strike val="0"/>
        <condense val="0"/>
        <extend val="0"/>
        <outline val="0"/>
        <shadow val="0"/>
        <u val="none"/>
        <vertAlign val="baseline"/>
        <sz val="10"/>
        <color auto="1"/>
        <name val="Arial"/>
        <scheme val="none"/>
      </font>
      <numFmt numFmtId="13" formatCode="0%"/>
      <fill>
        <patternFill patternType="solid">
          <fgColor indexed="64"/>
          <bgColor rgb="FFC8C5E1"/>
        </patternFill>
      </fill>
      <alignment horizontal="center" vertical="bottom" textRotation="0" wrapText="0" indent="0" justifyLastLine="0" shrinkToFit="0" readingOrder="0"/>
      <border diagonalUp="0" diagonalDown="0" outline="0">
        <left style="thin">
          <color rgb="FF464599"/>
        </left>
        <right style="thin">
          <color rgb="FF464599"/>
        </right>
        <top style="thin">
          <color rgb="FF464599"/>
        </top>
        <bottom/>
      </border>
      <protection locked="1" hidden="0"/>
    </dxf>
    <dxf>
      <font>
        <b val="0"/>
        <i val="0"/>
        <strike val="0"/>
        <condense val="0"/>
        <extend val="0"/>
        <outline val="0"/>
        <shadow val="0"/>
        <u val="none"/>
        <vertAlign val="baseline"/>
        <sz val="10"/>
        <color auto="1"/>
        <name val="Arial"/>
        <scheme val="none"/>
      </font>
      <numFmt numFmtId="4" formatCode="#,##0.00"/>
      <fill>
        <patternFill patternType="none">
          <fgColor indexed="64"/>
          <bgColor indexed="65"/>
        </patternFill>
      </fill>
      <alignment textRotation="0" relativeIndent="0" justifyLastLine="0" shrinkToFit="0" readingOrder="0"/>
      <border diagonalUp="0" diagonalDown="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theme="0"/>
        <name val="Arial"/>
        <scheme val="none"/>
      </font>
      <numFmt numFmtId="4" formatCode="#,##0.00"/>
      <fill>
        <patternFill patternType="solid">
          <fgColor indexed="64"/>
          <bgColor rgb="FF464599"/>
        </patternFill>
      </fill>
      <alignment horizontal="center" vertical="center" textRotation="0" wrapText="0" indent="0" justifyLastLine="0" shrinkToFit="0" readingOrder="0"/>
      <border diagonalUp="0" diagonalDown="0">
        <left style="thin">
          <color rgb="FF464599"/>
        </left>
        <right style="thin">
          <color rgb="FF464599"/>
        </right>
        <top style="thin">
          <color rgb="FFEF6B35"/>
        </top>
        <bottom style="thin">
          <color rgb="FFEF6B35"/>
        </bottom>
        <vertical/>
        <horizontal style="thin">
          <color rgb="FFEF6B35"/>
        </horizontal>
      </border>
      <protection locked="0" hidden="0"/>
    </dxf>
    <dxf>
      <font>
        <b val="0"/>
        <i val="0"/>
        <strike val="0"/>
        <condense val="0"/>
        <extend val="0"/>
        <outline val="0"/>
        <shadow val="0"/>
        <u val="none"/>
        <vertAlign val="baseline"/>
        <sz val="10"/>
        <color auto="1"/>
        <name val="Arial"/>
        <scheme val="none"/>
      </font>
      <numFmt numFmtId="172" formatCode="_-* #,##0\ &quot;€&quot;_-;\-* #,##0\ &quot;€&quot;_-;_-* &quot;-&quot;??\ &quot;€&quot;_-;_-@_-"/>
      <fill>
        <patternFill patternType="solid">
          <fgColor indexed="64"/>
          <bgColor rgb="FFC8C5E1"/>
        </patternFill>
      </fill>
      <border diagonalUp="0" diagonalDown="0" outline="0">
        <left style="thin">
          <color rgb="FF464599"/>
        </left>
        <right style="thin">
          <color rgb="FF464599"/>
        </right>
        <top style="thin">
          <color rgb="FF464599"/>
        </top>
        <bottom style="thin">
          <color rgb="FF464599"/>
        </bottom>
      </border>
      <protection locked="1" hidden="0"/>
    </dxf>
    <dxf>
      <font>
        <b val="0"/>
        <i val="0"/>
        <strike val="0"/>
        <condense val="0"/>
        <extend val="0"/>
        <outline val="0"/>
        <shadow val="0"/>
        <u val="none"/>
        <vertAlign val="baseline"/>
        <sz val="10"/>
        <color auto="1"/>
        <name val="Arial"/>
        <scheme val="none"/>
      </font>
      <numFmt numFmtId="172" formatCode="_-* #,##0\ &quot;€&quot;_-;\-* #,##0\ &quot;€&quot;_-;_-* &quot;-&quot;??\ &quot;€&quot;_-;_-@_-"/>
      <fill>
        <patternFill patternType="solid">
          <fgColor indexed="64"/>
          <bgColor rgb="FFC8C5E1"/>
        </patternFill>
      </fill>
      <border diagonalUp="0" diagonalDown="0">
        <left style="thin">
          <color rgb="FF464599"/>
        </left>
        <right style="thin">
          <color rgb="FF464599"/>
        </right>
        <top style="thin">
          <color rgb="FF464599"/>
        </top>
        <bottom style="thin">
          <color rgb="FF464599"/>
        </bottom>
      </border>
      <protection locked="1" hidden="0"/>
    </dxf>
    <dxf>
      <font>
        <b val="0"/>
        <i val="0"/>
        <strike val="0"/>
        <condense val="0"/>
        <extend val="0"/>
        <outline val="0"/>
        <shadow val="0"/>
        <u val="none"/>
        <vertAlign val="baseline"/>
        <sz val="10"/>
        <color auto="1"/>
        <name val="Arial"/>
        <scheme val="none"/>
      </font>
      <numFmt numFmtId="172" formatCode="_-* #,##0\ &quot;€&quot;_-;\-* #,##0\ &quot;€&quot;_-;_-* &quot;-&quot;??\ &quot;€&quot;_-;_-@_-"/>
      <fill>
        <patternFill patternType="solid">
          <fgColor indexed="64"/>
          <bgColor rgb="FFC8C5E1"/>
        </patternFill>
      </fill>
      <border diagonalUp="0" diagonalDown="0" outline="0">
        <left style="thin">
          <color rgb="FF464599"/>
        </left>
        <right style="thin">
          <color rgb="FF464599"/>
        </right>
        <top style="thin">
          <color rgb="FF464599"/>
        </top>
        <bottom style="thin">
          <color rgb="FF464599"/>
        </bottom>
      </border>
      <protection locked="1" hidden="0"/>
    </dxf>
    <dxf>
      <font>
        <b val="0"/>
        <i val="0"/>
        <strike val="0"/>
        <condense val="0"/>
        <extend val="0"/>
        <outline val="0"/>
        <shadow val="0"/>
        <u val="none"/>
        <vertAlign val="baseline"/>
        <sz val="10"/>
        <color auto="1"/>
        <name val="Arial"/>
        <scheme val="none"/>
      </font>
      <numFmt numFmtId="172" formatCode="_-* #,##0\ &quot;€&quot;_-;\-* #,##0\ &quot;€&quot;_-;_-* &quot;-&quot;??\ &quot;€&quot;_-;_-@_-"/>
      <fill>
        <patternFill patternType="solid">
          <fgColor indexed="64"/>
          <bgColor rgb="FFC8C5E1"/>
        </patternFill>
      </fill>
      <border diagonalUp="0" diagonalDown="0" outline="0">
        <left style="thin">
          <color rgb="FF464599"/>
        </left>
        <right style="thin">
          <color rgb="FF464599"/>
        </right>
        <top style="thin">
          <color rgb="FF464599"/>
        </top>
        <bottom style="thin">
          <color rgb="FF464599"/>
        </bottom>
      </border>
      <protection locked="1" hidden="0"/>
    </dxf>
    <dxf>
      <font>
        <b val="0"/>
        <i val="0"/>
        <strike val="0"/>
        <condense val="0"/>
        <extend val="0"/>
        <outline val="0"/>
        <shadow val="0"/>
        <u val="none"/>
        <vertAlign val="baseline"/>
        <sz val="10"/>
        <color auto="1"/>
        <name val="Arial"/>
        <scheme val="none"/>
      </font>
      <numFmt numFmtId="172" formatCode="_-* #,##0\ &quot;€&quot;_-;\-* #,##0\ &quot;€&quot;_-;_-* &quot;-&quot;??\ &quot;€&quot;_-;_-@_-"/>
      <fill>
        <patternFill patternType="solid">
          <fgColor indexed="64"/>
          <bgColor rgb="FFC8C5E1"/>
        </patternFill>
      </fill>
      <border diagonalUp="0" diagonalDown="0" outline="0">
        <left style="thin">
          <color rgb="FF464599"/>
        </left>
        <right style="thin">
          <color rgb="FF464599"/>
        </right>
        <top style="thin">
          <color rgb="FF464599"/>
        </top>
        <bottom style="thin">
          <color rgb="FF464599"/>
        </bottom>
      </border>
      <protection locked="1" hidden="0"/>
    </dxf>
    <dxf>
      <font>
        <b val="0"/>
        <i val="0"/>
        <strike val="0"/>
        <condense val="0"/>
        <extend val="0"/>
        <outline val="0"/>
        <shadow val="0"/>
        <u val="none"/>
        <vertAlign val="baseline"/>
        <sz val="10"/>
        <color auto="1"/>
        <name val="Arial"/>
        <scheme val="none"/>
      </font>
      <numFmt numFmtId="1" formatCode="0"/>
      <fill>
        <patternFill patternType="solid">
          <fgColor indexed="64"/>
          <bgColor rgb="FFC8C5E1"/>
        </patternFill>
      </fill>
      <alignment horizontal="center" vertical="bottom" textRotation="0" wrapText="0" indent="0" justifyLastLine="0" shrinkToFit="0" readingOrder="0"/>
      <border diagonalUp="0" diagonalDown="0" outline="0">
        <left style="thin">
          <color rgb="FF464599"/>
        </left>
        <right style="thin">
          <color rgb="FF464599"/>
        </right>
        <top style="thin">
          <color rgb="FF464599"/>
        </top>
        <bottom style="thin">
          <color rgb="FF464599"/>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rgb="FFC8C5E1"/>
        </patternFill>
      </fill>
      <alignment horizontal="center" vertical="bottom" textRotation="0" wrapText="0" indent="0" justifyLastLine="0" shrinkToFit="0" readingOrder="0"/>
      <border diagonalUp="0" diagonalDown="0" outline="0">
        <left style="thin">
          <color rgb="FF464599"/>
        </left>
        <right style="thin">
          <color rgb="FF464599"/>
        </right>
        <top style="thin">
          <color rgb="FF464599"/>
        </top>
        <bottom style="thin">
          <color rgb="FF464599"/>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rgb="FFC8C5E1"/>
        </patternFill>
      </fill>
      <alignment horizontal="center" vertical="bottom" textRotation="0" wrapText="0" indent="0" justifyLastLine="0" shrinkToFit="0" readingOrder="0"/>
      <border diagonalUp="0" diagonalDown="0" outline="0">
        <left style="thin">
          <color rgb="FF464599"/>
        </left>
        <right style="thin">
          <color rgb="FF464599"/>
        </right>
        <top style="thin">
          <color rgb="FF464599"/>
        </top>
        <bottom style="thin">
          <color rgb="FF464599"/>
        </bottom>
      </border>
      <protection locked="1" hidden="0"/>
    </dxf>
    <dxf>
      <font>
        <b val="0"/>
        <i val="0"/>
        <strike val="0"/>
        <condense val="0"/>
        <extend val="0"/>
        <outline val="0"/>
        <shadow val="0"/>
        <u val="none"/>
        <vertAlign val="baseline"/>
        <sz val="10"/>
        <color auto="1"/>
        <name val="Arial"/>
        <scheme val="none"/>
      </font>
      <numFmt numFmtId="172" formatCode="_-* #,##0\ &quot;€&quot;_-;\-* #,##0\ &quot;€&quot;_-;_-* &quot;-&quot;??\ &quot;€&quot;_-;_-@_-"/>
      <fill>
        <patternFill patternType="solid">
          <fgColor indexed="64"/>
          <bgColor rgb="FFC8C5E1"/>
        </patternFill>
      </fill>
      <border diagonalUp="0" diagonalDown="0">
        <left style="thin">
          <color rgb="FF464599"/>
        </left>
        <right style="thin">
          <color rgb="FF464599"/>
        </right>
        <top style="thin">
          <color rgb="FF464599"/>
        </top>
        <bottom style="thin">
          <color rgb="FF464599"/>
        </bottom>
      </border>
      <protection locked="1" hidden="0"/>
    </dxf>
    <dxf>
      <font>
        <b val="0"/>
        <i val="0"/>
        <strike val="0"/>
        <condense val="0"/>
        <extend val="0"/>
        <outline val="0"/>
        <shadow val="0"/>
        <u val="none"/>
        <vertAlign val="baseline"/>
        <sz val="10"/>
        <color auto="1"/>
        <name val="Arial"/>
        <scheme val="none"/>
      </font>
      <numFmt numFmtId="172" formatCode="_-* #,##0\ &quot;€&quot;_-;\-* #,##0\ &quot;€&quot;_-;_-* &quot;-&quot;??\ &quot;€&quot;_-;_-@_-"/>
      <fill>
        <patternFill patternType="solid">
          <fgColor indexed="64"/>
          <bgColor rgb="FFC8C5E1"/>
        </patternFill>
      </fill>
      <border diagonalUp="0" diagonalDown="0" outline="0">
        <left style="thin">
          <color rgb="FF464599"/>
        </left>
        <right style="thin">
          <color rgb="FF464599"/>
        </right>
        <top style="thin">
          <color rgb="FF464599"/>
        </top>
        <bottom style="thin">
          <color rgb="FF464599"/>
        </bottom>
      </border>
      <protection locked="1" hidden="0"/>
    </dxf>
    <dxf>
      <font>
        <b val="0"/>
        <i val="0"/>
        <strike val="0"/>
        <condense val="0"/>
        <extend val="0"/>
        <outline val="0"/>
        <shadow val="0"/>
        <u val="none"/>
        <vertAlign val="baseline"/>
        <sz val="10"/>
        <color auto="1"/>
        <name val="Arial"/>
        <scheme val="none"/>
      </font>
      <numFmt numFmtId="169" formatCode="0.000%"/>
      <fill>
        <patternFill patternType="solid">
          <fgColor indexed="64"/>
          <bgColor rgb="FFC8C5E1"/>
        </patternFill>
      </fill>
      <border diagonalUp="0" diagonalDown="0">
        <left style="thin">
          <color rgb="FF464599"/>
        </left>
        <right style="thin">
          <color rgb="FF464599"/>
        </right>
        <top style="thin">
          <color rgb="FF464599"/>
        </top>
        <bottom style="thin">
          <color rgb="FF464599"/>
        </bottom>
      </border>
      <protection locked="1" hidden="0"/>
    </dxf>
    <dxf>
      <font>
        <b val="0"/>
        <i val="0"/>
        <strike val="0"/>
        <condense val="0"/>
        <extend val="0"/>
        <outline val="0"/>
        <shadow val="0"/>
        <u val="none"/>
        <vertAlign val="baseline"/>
        <sz val="10"/>
        <color auto="1"/>
        <name val="Arial"/>
        <scheme val="none"/>
      </font>
      <numFmt numFmtId="14" formatCode="0.00%"/>
      <fill>
        <patternFill patternType="solid">
          <fgColor indexed="64"/>
          <bgColor rgb="FFC8C5E1"/>
        </patternFill>
      </fill>
      <border diagonalUp="0" diagonalDown="0" outline="0">
        <left style="thin">
          <color rgb="FF464599"/>
        </left>
        <right style="thin">
          <color rgb="FF464599"/>
        </right>
        <top style="thin">
          <color rgb="FF464599"/>
        </top>
        <bottom style="thin">
          <color rgb="FF464599"/>
        </bottom>
      </border>
      <protection locked="1" hidden="0"/>
    </dxf>
    <dxf>
      <font>
        <b val="0"/>
        <i val="0"/>
        <strike val="0"/>
        <condense val="0"/>
        <extend val="0"/>
        <outline val="0"/>
        <shadow val="0"/>
        <u val="none"/>
        <vertAlign val="baseline"/>
        <sz val="10"/>
        <color theme="0"/>
        <name val="Arial"/>
        <scheme val="none"/>
      </font>
      <fill>
        <patternFill patternType="solid">
          <fgColor indexed="64"/>
          <bgColor rgb="FF464599"/>
        </patternFill>
      </fill>
      <alignment horizontal="general" vertical="center" textRotation="0" wrapText="0" indent="0" justifyLastLine="0" shrinkToFit="0" readingOrder="0"/>
      <border diagonalUp="0" diagonalDown="0">
        <left style="thin">
          <color rgb="FFEF6B35"/>
        </left>
        <right style="thin">
          <color rgb="FF464599"/>
        </right>
        <top style="thin">
          <color rgb="FFEF6B35"/>
        </top>
        <bottom style="thin">
          <color rgb="FFEF6B35"/>
        </bottom>
      </border>
      <protection locked="0" hidden="0"/>
    </dxf>
    <dxf>
      <font>
        <b val="0"/>
        <i val="0"/>
        <strike val="0"/>
        <condense val="0"/>
        <extend val="0"/>
        <outline val="0"/>
        <shadow val="0"/>
        <u val="none"/>
        <vertAlign val="baseline"/>
        <sz val="10"/>
        <color theme="0"/>
        <name val="Arial"/>
        <scheme val="none"/>
      </font>
      <numFmt numFmtId="14" formatCode="0.00%"/>
      <fill>
        <patternFill patternType="solid">
          <fgColor indexed="64"/>
          <bgColor rgb="FF464599"/>
        </patternFill>
      </fill>
      <alignment horizontal="center" vertical="bottom" textRotation="0" wrapText="0" indent="0" justifyLastLine="0" shrinkToFit="0" readingOrder="0"/>
      <border diagonalUp="0" diagonalDown="0">
        <left style="thin">
          <color rgb="FFEF6B35"/>
        </left>
        <right style="thin">
          <color rgb="FFEF6B35"/>
        </right>
        <top style="thin">
          <color rgb="FFEF6B35"/>
        </top>
        <bottom style="thin">
          <color rgb="FFEF6B35"/>
        </bottom>
      </border>
      <protection locked="0" hidden="0"/>
    </dxf>
    <dxf>
      <font>
        <b val="0"/>
        <i val="0"/>
        <strike val="0"/>
        <condense val="0"/>
        <extend val="0"/>
        <outline val="0"/>
        <shadow val="0"/>
        <u val="none"/>
        <vertAlign val="baseline"/>
        <sz val="10"/>
        <color theme="0"/>
        <name val="Arial"/>
        <scheme val="none"/>
      </font>
      <numFmt numFmtId="30" formatCode="@"/>
      <fill>
        <patternFill patternType="solid">
          <fgColor indexed="64"/>
          <bgColor rgb="FF464599"/>
        </patternFill>
      </fill>
      <alignment horizontal="center" vertical="bottom" textRotation="0" wrapText="0" indent="0" justifyLastLine="0" shrinkToFit="0" readingOrder="0"/>
      <border diagonalUp="0" diagonalDown="0">
        <left style="thin">
          <color rgb="FF464599"/>
        </left>
        <right style="thin">
          <color rgb="FFEF6B35"/>
        </right>
        <top style="thin">
          <color rgb="FFEF6B35"/>
        </top>
        <bottom style="thin">
          <color rgb="FFEF6B35"/>
        </bottom>
      </border>
      <protection locked="0" hidden="0"/>
    </dxf>
    <dxf>
      <font>
        <b val="0"/>
        <i val="0"/>
        <strike val="0"/>
        <condense val="0"/>
        <extend val="0"/>
        <outline val="0"/>
        <shadow val="0"/>
        <u val="none"/>
        <vertAlign val="baseline"/>
        <sz val="10"/>
        <color auto="1"/>
        <name val="Arial"/>
        <scheme val="none"/>
      </font>
      <numFmt numFmtId="172" formatCode="_-* #,##0\ &quot;€&quot;_-;\-* #,##0\ &quot;€&quot;_-;_-* &quot;-&quot;??\ &quot;€&quot;_-;_-@_-"/>
      <fill>
        <patternFill patternType="none">
          <fgColor indexed="64"/>
          <bgColor indexed="65"/>
        </patternFill>
      </fill>
      <alignment horizontal="right" vertical="center" textRotation="0" wrapText="0" relativeIndent="0" justifyLastLine="0" shrinkToFit="0" readingOrder="0"/>
      <border diagonalUp="0" diagonalDown="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auto="1"/>
        <name val="Arial"/>
        <scheme val="none"/>
      </font>
      <numFmt numFmtId="172" formatCode="_-* #,##0\ &quot;€&quot;_-;\-* #,##0\ &quot;€&quot;_-;_-* &quot;-&quot;??\ &quot;€&quot;_-;_-@_-"/>
      <fill>
        <patternFill patternType="none">
          <fgColor theme="4" tint="0.59999389629810485"/>
          <bgColor indexed="65"/>
        </patternFill>
      </fill>
      <alignment horizontal="right" vertical="center" textRotation="0" wrapText="0" relativeIndent="0" justifyLastLine="0" shrinkToFit="0" readingOrder="0"/>
      <border diagonalUp="0" diagonalDown="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rgb="FF464599"/>
        </left>
        <right style="thin">
          <color rgb="FF464599"/>
        </right>
        <top style="thin">
          <color rgb="FF464599"/>
        </top>
        <bottom style="thin">
          <color rgb="FF464599"/>
        </bottom>
        <vertical style="thin">
          <color rgb="FF464599"/>
        </vertical>
        <horizontal style="thin">
          <color rgb="FF464599"/>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rgb="FF464599"/>
        </left>
        <right style="thin">
          <color rgb="FF464599"/>
        </right>
        <top style="thin">
          <color rgb="FF464599"/>
        </top>
        <bottom style="thin">
          <color rgb="FF464599"/>
        </bottom>
        <vertical style="thin">
          <color rgb="FF464599"/>
        </vertical>
        <horizontal style="thin">
          <color rgb="FF464599"/>
        </horizontal>
      </border>
      <protection locked="0" hidden="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auto="1"/>
        <name val="Arial"/>
        <scheme val="none"/>
      </font>
      <numFmt numFmtId="1" formatCode="0"/>
      <fill>
        <patternFill patternType="none">
          <fgColor theme="4" tint="0.59999389629810485"/>
          <bgColor indexed="65"/>
        </patternFill>
      </fill>
      <alignment horizontal="center" vertical="center" textRotation="0" wrapText="0" relativeIndent="0" justifyLastLine="0" shrinkToFit="0" readingOrder="0"/>
      <border diagonalUp="0" diagonalDown="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auto="1"/>
        <name val="Arial"/>
        <scheme val="none"/>
      </font>
      <numFmt numFmtId="1" formatCode="0"/>
      <fill>
        <patternFill patternType="none">
          <fgColor theme="4" tint="0.59999389629810485"/>
          <bgColor indexed="65"/>
        </patternFill>
      </fill>
      <alignment horizontal="center" vertical="center" textRotation="0" wrapText="0" relativeIndent="0" justifyLastLine="0" shrinkToFit="0" readingOrder="0"/>
      <border diagonalUp="0" diagonalDown="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auto="1"/>
        <name val="Arial"/>
        <scheme val="none"/>
      </font>
      <fill>
        <patternFill patternType="none">
          <fgColor theme="4" tint="0.59999389629810485"/>
          <bgColor indexed="65"/>
        </patternFill>
      </fill>
      <alignment horizontal="left" vertical="center" textRotation="0" wrapText="0" indent="0" justifyLastLine="0" shrinkToFit="0" readingOrder="0"/>
      <border diagonalUp="0" diagonalDown="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auto="1"/>
        <name val="Arial"/>
        <scheme val="none"/>
      </font>
      <numFmt numFmtId="1" formatCode="0"/>
      <fill>
        <patternFill patternType="none">
          <fgColor theme="4" tint="0.59999389629810485"/>
          <bgColor indexed="65"/>
        </patternFill>
      </fill>
      <alignment horizontal="center" vertical="center" textRotation="0" wrapText="0" indent="0" justifyLastLine="0" shrinkToFit="0" readingOrder="0"/>
      <border diagonalUp="0" diagonalDown="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textRotation="0" wrapText="0" indent="0" justifyLastLine="0" shrinkToFit="0" readingOrder="0"/>
      <border diagonalUp="0" diagonalDown="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textRotation="0" wrapText="0" indent="0" justifyLastLine="0" shrinkToFit="0" readingOrder="0"/>
      <border diagonalUp="0" diagonalDown="0">
        <left/>
        <right style="thin">
          <color rgb="FF464599"/>
        </right>
        <top style="thin">
          <color rgb="FF464599"/>
        </top>
        <bottom style="thin">
          <color rgb="FF464599"/>
        </bottom>
      </border>
      <protection locked="0" hidden="0"/>
    </dxf>
    <dxf>
      <border>
        <top style="thin">
          <color rgb="FF464599"/>
        </top>
        <vertical/>
        <horizontal/>
      </border>
    </dxf>
    <dxf>
      <border diagonalUp="0" diagonalDown="0">
        <left style="thin">
          <color rgb="FF464599"/>
        </left>
        <right style="thin">
          <color rgb="FF464599"/>
        </right>
        <top style="thin">
          <color rgb="FF464599"/>
        </top>
        <bottom style="thin">
          <color rgb="FF464599"/>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textRotation="0" relativeIndent="0" justifyLastLine="0" shrinkToFit="0" readingOrder="0"/>
      <border diagonalUp="0" diagonalDown="0" outline="0"/>
    </dxf>
    <dxf>
      <border>
        <bottom style="thin">
          <color rgb="FF464599"/>
        </bottom>
        <vertical/>
        <horizontal/>
      </border>
    </dxf>
    <dxf>
      <font>
        <b/>
        <i val="0"/>
        <strike val="0"/>
        <condense val="0"/>
        <extend val="0"/>
        <outline val="0"/>
        <shadow val="0"/>
        <u val="none"/>
        <vertAlign val="baseline"/>
        <sz val="10"/>
        <color auto="1"/>
        <name val="Arial"/>
        <scheme val="none"/>
      </font>
      <fill>
        <patternFill patternType="solid">
          <fgColor indexed="64"/>
          <bgColor rgb="FFF5A17F"/>
        </patternFill>
      </fill>
      <alignment horizontal="center" vertical="center" textRotation="0" wrapText="1" relativeIndent="0" justifyLastLine="0" shrinkToFit="0" readingOrder="0"/>
      <border diagonalUp="0" diagonalDown="0" outline="0">
        <left style="thin">
          <color rgb="FF464599"/>
        </left>
        <right style="thin">
          <color rgb="FF464599"/>
        </right>
        <top/>
        <bottom/>
      </border>
    </dxf>
    <dxf>
      <numFmt numFmtId="174" formatCode="#,##0.00\ &quot;€&quot;"/>
    </dxf>
    <dxf>
      <font>
        <color theme="0"/>
      </font>
    </dxf>
    <dxf>
      <fill>
        <patternFill patternType="solid">
          <bgColor rgb="FF464599"/>
        </patternFill>
      </fill>
    </dxf>
    <dxf>
      <font>
        <name val="Arial"/>
        <scheme val="none"/>
      </font>
    </dxf>
    <dxf>
      <font>
        <color rgb="FFEF6B35"/>
      </font>
      <fill>
        <patternFill>
          <bgColor rgb="FFEF6B35"/>
        </patternFill>
      </fill>
    </dxf>
    <dxf>
      <font>
        <color rgb="FFEF6B35"/>
      </font>
      <fill>
        <patternFill>
          <bgColor rgb="FFEF6B35"/>
        </patternFill>
      </fill>
    </dxf>
    <dxf>
      <font>
        <color rgb="FFEF6B35"/>
      </font>
      <fill>
        <patternFill>
          <bgColor rgb="FFEF6B35"/>
        </patternFill>
      </fill>
    </dxf>
    <dxf>
      <font>
        <color rgb="FFEF6B35"/>
      </font>
      <fill>
        <patternFill>
          <bgColor rgb="FFEF6B35"/>
        </patternFill>
      </fill>
    </dxf>
    <dxf>
      <font>
        <b/>
        <i val="0"/>
        <color rgb="FFFF0000"/>
      </font>
      <fill>
        <patternFill patternType="none">
          <bgColor auto="1"/>
        </patternFill>
      </fill>
    </dxf>
    <dxf>
      <font>
        <condense val="0"/>
        <extend val="0"/>
        <color rgb="FF9C6500"/>
      </font>
      <fill>
        <patternFill>
          <bgColor rgb="FFFFEB9C"/>
        </patternFill>
      </fill>
    </dxf>
    <dxf>
      <font>
        <condense val="0"/>
        <extend val="0"/>
        <color rgb="FF9C6500"/>
      </font>
      <fill>
        <patternFill>
          <bgColor rgb="FFFFEB9C"/>
        </patternFill>
      </fill>
    </dxf>
    <dxf>
      <font>
        <color rgb="FFEF6B35"/>
      </font>
      <fill>
        <patternFill>
          <bgColor rgb="FFEF6B35"/>
        </patternFill>
      </fill>
      <border>
        <left style="thin">
          <color rgb="FF464599"/>
        </left>
        <right style="thin">
          <color rgb="FF464599"/>
        </right>
        <top style="thin">
          <color rgb="FF464599"/>
        </top>
        <bottom style="thin">
          <color rgb="FF464599"/>
        </bottom>
      </border>
    </dxf>
    <dxf>
      <font>
        <color auto="1"/>
      </font>
      <fill>
        <patternFill>
          <bgColor theme="1"/>
        </patternFill>
      </fill>
    </dxf>
    <dxf>
      <font>
        <condense val="0"/>
        <extend val="0"/>
        <color rgb="FF9C6500"/>
      </font>
      <fill>
        <patternFill>
          <bgColor rgb="FFFFEB9C"/>
        </patternFill>
      </fill>
    </dxf>
    <dxf>
      <font>
        <color rgb="FFEF6B35"/>
      </font>
      <fill>
        <patternFill>
          <bgColor rgb="FFEF6B35"/>
        </patternFill>
      </fill>
      <border>
        <left style="thin">
          <color rgb="FF464599"/>
        </left>
        <right style="thin">
          <color rgb="FF464599"/>
        </right>
        <top style="thin">
          <color rgb="FF464599"/>
        </top>
        <bottom style="thin">
          <color rgb="FF464599"/>
        </bottom>
      </border>
    </dxf>
    <dxf>
      <font>
        <color auto="1"/>
      </font>
      <fill>
        <patternFill>
          <bgColor theme="1"/>
        </patternFill>
      </fill>
    </dxf>
    <dxf>
      <font>
        <condense val="0"/>
        <extend val="0"/>
        <color rgb="FF9C6500"/>
      </font>
      <fill>
        <patternFill>
          <bgColor rgb="FFFFEB9C"/>
        </patternFill>
      </fill>
    </dxf>
    <dxf>
      <font>
        <color rgb="FFEF6B35"/>
      </font>
      <fill>
        <patternFill>
          <bgColor rgb="FFEF6B35"/>
        </patternFill>
      </fill>
      <border>
        <left style="thin">
          <color rgb="FF464599"/>
        </left>
        <right style="thin">
          <color rgb="FF464599"/>
        </right>
        <top style="thin">
          <color rgb="FF464599"/>
        </top>
        <bottom style="thin">
          <color rgb="FF464599"/>
        </bottom>
      </border>
    </dxf>
    <dxf>
      <font>
        <color auto="1"/>
      </font>
      <fill>
        <patternFill>
          <bgColor theme="1"/>
        </patternFill>
      </fill>
    </dxf>
    <dxf>
      <font>
        <condense val="0"/>
        <extend val="0"/>
        <color rgb="FF9C6500"/>
      </font>
      <fill>
        <patternFill>
          <bgColor rgb="FFFFEB9C"/>
        </patternFill>
      </fill>
    </dxf>
    <dxf>
      <font>
        <color rgb="FFEF6B35"/>
      </font>
      <fill>
        <patternFill>
          <bgColor rgb="FFEF6B35"/>
        </patternFill>
      </fill>
      <border>
        <left style="thin">
          <color rgb="FF464599"/>
        </left>
        <right style="thin">
          <color rgb="FF464599"/>
        </right>
        <top style="thin">
          <color rgb="FF464599"/>
        </top>
        <bottom style="thin">
          <color rgb="FF464599"/>
        </bottom>
      </border>
    </dxf>
    <dxf>
      <font>
        <color auto="1"/>
      </font>
      <fill>
        <patternFill>
          <bgColor theme="1"/>
        </patternFill>
      </fill>
    </dxf>
    <dxf>
      <font>
        <condense val="0"/>
        <extend val="0"/>
        <color rgb="FF9C6500"/>
      </font>
      <fill>
        <patternFill>
          <bgColor rgb="FFFFEB9C"/>
        </patternFill>
      </fill>
    </dxf>
    <dxf>
      <font>
        <color rgb="FFEF6B35"/>
      </font>
      <fill>
        <patternFill>
          <bgColor rgb="FFEF6B35"/>
        </patternFill>
      </fill>
      <border>
        <left style="thin">
          <color rgb="FF464599"/>
        </left>
        <right style="thin">
          <color rgb="FF464599"/>
        </right>
        <top style="thin">
          <color rgb="FF464599"/>
        </top>
        <bottom style="thin">
          <color rgb="FF464599"/>
        </bottom>
      </border>
    </dxf>
    <dxf>
      <font>
        <color auto="1"/>
      </font>
      <fill>
        <patternFill>
          <bgColor theme="1"/>
        </patternFill>
      </fill>
    </dxf>
    <dxf>
      <font>
        <condense val="0"/>
        <extend val="0"/>
        <color rgb="FF9C6500"/>
      </font>
      <fill>
        <patternFill>
          <bgColor rgb="FFFFEB9C"/>
        </patternFill>
      </fill>
    </dxf>
    <dxf>
      <font>
        <color rgb="FFEF6B35"/>
      </font>
      <fill>
        <patternFill>
          <bgColor rgb="FFEF6B35"/>
        </patternFill>
      </fill>
      <border>
        <left style="thin">
          <color rgb="FF464599"/>
        </left>
        <right style="thin">
          <color rgb="FF464599"/>
        </right>
        <top style="thin">
          <color rgb="FF464599"/>
        </top>
        <bottom style="thin">
          <color rgb="FF464599"/>
        </bottom>
      </border>
    </dxf>
    <dxf>
      <font>
        <color auto="1"/>
      </font>
      <fill>
        <patternFill>
          <bgColor theme="1"/>
        </patternFill>
      </fill>
    </dxf>
    <dxf>
      <font>
        <condense val="0"/>
        <extend val="0"/>
        <color rgb="FF9C6500"/>
      </font>
      <fill>
        <patternFill>
          <bgColor rgb="FFFFEB9C"/>
        </patternFill>
      </fill>
    </dxf>
    <dxf>
      <font>
        <color rgb="FFEF6B35"/>
      </font>
      <fill>
        <patternFill>
          <bgColor rgb="FFEF6B35"/>
        </patternFill>
      </fill>
      <border>
        <left style="thin">
          <color rgb="FF464599"/>
        </left>
        <right style="thin">
          <color rgb="FF464599"/>
        </right>
        <top style="thin">
          <color rgb="FF464599"/>
        </top>
        <bottom style="thin">
          <color rgb="FF464599"/>
        </bottom>
      </border>
    </dxf>
    <dxf>
      <font>
        <color auto="1"/>
      </font>
      <fill>
        <patternFill>
          <bgColor theme="1"/>
        </patternFill>
      </fill>
    </dxf>
    <dxf>
      <font>
        <condense val="0"/>
        <extend val="0"/>
        <color rgb="FF9C6500"/>
      </font>
      <fill>
        <patternFill>
          <bgColor rgb="FFFFEB9C"/>
        </patternFill>
      </fill>
    </dxf>
    <dxf>
      <font>
        <color rgb="FFEF6B35"/>
      </font>
      <fill>
        <patternFill>
          <bgColor rgb="FFEF6B35"/>
        </patternFill>
      </fill>
      <border>
        <left style="thin">
          <color rgb="FF464599"/>
        </left>
        <right style="thin">
          <color rgb="FF464599"/>
        </right>
        <top style="thin">
          <color rgb="FF464599"/>
        </top>
        <bottom style="thin">
          <color rgb="FF464599"/>
        </bottom>
      </border>
    </dxf>
    <dxf>
      <font>
        <color auto="1"/>
      </font>
      <fill>
        <patternFill>
          <bgColor theme="1"/>
        </patternFill>
      </fill>
    </dxf>
    <dxf>
      <fill>
        <patternFill>
          <bgColor rgb="FFEF6B35"/>
        </patternFill>
      </fill>
    </dxf>
    <dxf>
      <font>
        <color theme="1"/>
      </font>
      <fill>
        <patternFill>
          <bgColor theme="1"/>
        </patternFill>
      </fill>
    </dxf>
    <dxf>
      <fill>
        <patternFill>
          <bgColor rgb="FFEF6B35"/>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ndense val="0"/>
        <extend val="0"/>
        <color rgb="FF9C0006"/>
      </font>
      <fill>
        <patternFill>
          <bgColor rgb="FFFFC7CE"/>
        </patternFill>
      </fill>
    </dxf>
    <dxf>
      <font>
        <strike val="0"/>
        <outline val="0"/>
        <shadow val="0"/>
        <u val="none"/>
        <vertAlign val="baseline"/>
        <sz val="10"/>
        <name val="Arial"/>
        <scheme val="none"/>
      </font>
      <fill>
        <patternFill patternType="solid">
          <fgColor indexed="64"/>
          <bgColor rgb="FFC8C5E1"/>
        </patternFill>
      </fill>
      <alignment horizontal="general" vertical="top" textRotation="0" wrapText="0" indent="0" justifyLastLine="0" shrinkToFit="0" readingOrder="0"/>
      <border diagonalUp="0" diagonalDown="0">
        <left style="thin">
          <color rgb="FF464599"/>
        </left>
        <right/>
        <top style="thin">
          <color rgb="FF464599"/>
        </top>
        <bottom style="thin">
          <color rgb="FF464599"/>
        </bottom>
      </border>
    </dxf>
    <dxf>
      <font>
        <b val="0"/>
        <i val="0"/>
        <strike val="0"/>
        <condense val="0"/>
        <extend val="0"/>
        <outline val="0"/>
        <shadow val="0"/>
        <u val="none"/>
        <vertAlign val="baseline"/>
        <sz val="10"/>
        <color auto="1"/>
        <name val="Arial"/>
        <scheme val="none"/>
      </font>
      <fill>
        <patternFill patternType="solid">
          <fgColor indexed="64"/>
          <bgColor rgb="FFC8C5E1"/>
        </patternFill>
      </fill>
      <alignment horizontal="general" vertical="bottom" textRotation="0" wrapText="0" relativeIndent="0" justifyLastLine="0" shrinkToFit="0" readingOrder="0"/>
      <border diagonalUp="0" diagonalDown="0">
        <left style="thin">
          <color rgb="FF464599"/>
        </left>
        <right style="thin">
          <color rgb="FF464599"/>
        </right>
        <top style="thin">
          <color rgb="FF464599"/>
        </top>
        <bottom style="thin">
          <color rgb="FF464599"/>
        </bottom>
      </border>
      <protection locked="1" hidden="1"/>
    </dxf>
    <dxf>
      <font>
        <b val="0"/>
        <i val="0"/>
        <strike val="0"/>
        <condense val="0"/>
        <extend val="0"/>
        <outline val="0"/>
        <shadow val="0"/>
        <u val="none"/>
        <vertAlign val="baseline"/>
        <sz val="10"/>
        <color auto="1"/>
        <name val="Arial"/>
        <scheme val="none"/>
      </font>
      <numFmt numFmtId="34" formatCode="_-* #,##0.00\ &quot;€&quot;_-;\-* #,##0.00\ &quot;€&quot;_-;_-* &quot;-&quot;??\ &quot;€&quot;_-;_-@_-"/>
      <fill>
        <patternFill patternType="solid">
          <fgColor indexed="64"/>
          <bgColor rgb="FFC8C5E1"/>
        </patternFill>
      </fill>
      <alignment horizontal="general" vertical="bottom" textRotation="0" wrapText="0" relativeIndent="0" justifyLastLine="0" shrinkToFit="0" readingOrder="0"/>
      <border diagonalUp="0" diagonalDown="0">
        <left style="thin">
          <color rgb="FF464599"/>
        </left>
        <right style="thin">
          <color rgb="FF464599"/>
        </right>
        <top style="thin">
          <color rgb="FF464599"/>
        </top>
        <bottom style="thin">
          <color rgb="FF464599"/>
        </bottom>
      </border>
      <protection locked="1" hidden="1"/>
    </dxf>
    <dxf>
      <font>
        <b val="0"/>
        <i val="0"/>
        <strike val="0"/>
        <condense val="0"/>
        <extend val="0"/>
        <outline val="0"/>
        <shadow val="0"/>
        <u val="none"/>
        <vertAlign val="baseline"/>
        <sz val="10"/>
        <color theme="0"/>
        <name val="Arial"/>
        <scheme val="none"/>
      </font>
      <numFmt numFmtId="0" formatCode="General"/>
      <fill>
        <patternFill patternType="solid">
          <fgColor indexed="64"/>
          <bgColor rgb="FF464599"/>
        </patternFill>
      </fill>
      <alignment horizontal="center" vertical="bottom" textRotation="0" wrapText="0" indent="0" justifyLastLine="0" shrinkToFit="0" readingOrder="0"/>
      <border diagonalUp="0" diagonalDown="0">
        <left style="thin">
          <color rgb="FF464599"/>
        </left>
        <right style="thin">
          <color rgb="FF464599"/>
        </right>
        <top style="thin">
          <color rgb="FFEF6B35"/>
        </top>
        <bottom style="thin">
          <color rgb="FFEF6B35"/>
        </bottom>
        <vertical/>
        <horizontal style="thin">
          <color rgb="FFEF6B35"/>
        </horizontal>
      </border>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relativeIndent="0" justifyLastLine="0" shrinkToFit="0" readingOrder="0"/>
      <border diagonalUp="0" diagonalDown="0" outline="0">
        <left style="thin">
          <color rgb="FF464599"/>
        </left>
        <right style="thin">
          <color rgb="FF464599"/>
        </right>
        <top style="thin">
          <color rgb="FF464599"/>
        </top>
        <bottom style="thin">
          <color rgb="FF464599"/>
        </bottom>
      </border>
      <protection locked="1" hidden="1"/>
    </dxf>
    <dxf>
      <font>
        <b val="0"/>
        <i val="0"/>
        <strike val="0"/>
        <condense val="0"/>
        <extend val="0"/>
        <outline val="0"/>
        <shadow val="0"/>
        <u val="none"/>
        <vertAlign val="baseline"/>
        <sz val="10"/>
        <color auto="1"/>
        <name val="Arial"/>
        <scheme val="none"/>
      </font>
      <numFmt numFmtId="34" formatCode="_-* #,##0.00\ &quot;€&quot;_-;\-* #,##0.00\ &quot;€&quot;_-;_-* &quot;-&quot;??\ &quot;€&quot;_-;_-@_-"/>
      <fill>
        <patternFill patternType="solid">
          <fgColor indexed="64"/>
          <bgColor rgb="FFC8C5E1"/>
        </patternFill>
      </fill>
      <alignment horizontal="general" vertical="bottom" textRotation="0" wrapText="0" indent="0" justifyLastLine="0" shrinkToFit="0" readingOrder="0"/>
      <border diagonalUp="0" diagonalDown="0">
        <left style="thin">
          <color rgb="FF464599"/>
        </left>
        <right style="thin">
          <color rgb="FF464599"/>
        </right>
        <top style="thin">
          <color rgb="FF464599"/>
        </top>
        <bottom style="thin">
          <color rgb="FF464599"/>
        </bottom>
      </border>
      <protection locked="1" hidden="1"/>
    </dxf>
    <dxf>
      <font>
        <b val="0"/>
        <i val="0"/>
        <strike val="0"/>
        <condense val="0"/>
        <extend val="0"/>
        <outline val="0"/>
        <shadow val="0"/>
        <u val="none"/>
        <vertAlign val="baseline"/>
        <sz val="10"/>
        <color auto="1"/>
        <name val="Arial"/>
        <scheme val="none"/>
      </font>
      <fill>
        <patternFill patternType="solid">
          <fgColor indexed="64"/>
          <bgColor rgb="FFC8C5E1"/>
        </patternFill>
      </fill>
      <alignment horizontal="general" vertical="bottom" textRotation="0" wrapText="0" indent="0" justifyLastLine="0" shrinkToFit="0" readingOrder="0"/>
      <border diagonalUp="0" diagonalDown="0">
        <left style="thin">
          <color rgb="FF464599"/>
        </left>
        <right style="thin">
          <color rgb="FF464599"/>
        </right>
        <top style="thin">
          <color rgb="FF464599"/>
        </top>
        <bottom style="thin">
          <color rgb="FF464599"/>
        </bottom>
      </border>
      <protection locked="1" hidden="1"/>
    </dxf>
    <dxf>
      <font>
        <b val="0"/>
        <i val="0"/>
        <strike val="0"/>
        <condense val="0"/>
        <extend val="0"/>
        <outline val="0"/>
        <shadow val="0"/>
        <u val="none"/>
        <vertAlign val="baseline"/>
        <sz val="10"/>
        <color auto="1"/>
        <name val="Tahoma"/>
        <scheme val="none"/>
      </font>
      <numFmt numFmtId="14" formatCode="0.00%"/>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1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auto="1"/>
        <name val="Arial"/>
        <scheme val="none"/>
      </font>
      <numFmt numFmtId="13" formatCode="0%"/>
      <fill>
        <patternFill patternType="solid">
          <fgColor indexed="64"/>
          <bgColor rgb="FFC8C5E1"/>
        </patternFill>
      </fill>
      <alignment horizontal="general" vertical="bottom" textRotation="0" wrapText="0" indent="0" justifyLastLine="0" shrinkToFit="0" readingOrder="0"/>
      <border diagonalUp="0" diagonalDown="0">
        <left style="thin">
          <color rgb="FF464599"/>
        </left>
        <right style="thin">
          <color rgb="FF464599"/>
        </right>
        <top style="thin">
          <color rgb="FF464599"/>
        </top>
        <bottom style="thin">
          <color rgb="FF464599"/>
        </bottom>
      </border>
      <protection locked="1" hidden="1"/>
    </dxf>
    <dxf>
      <font>
        <b val="0"/>
        <i val="0"/>
        <strike val="0"/>
        <condense val="0"/>
        <extend val="0"/>
        <outline val="0"/>
        <shadow val="0"/>
        <u val="none"/>
        <vertAlign val="baseline"/>
        <sz val="10"/>
        <color theme="0"/>
        <name val="Arial"/>
        <scheme val="none"/>
      </font>
      <numFmt numFmtId="30" formatCode="@"/>
      <fill>
        <patternFill patternType="solid">
          <fgColor indexed="64"/>
          <bgColor rgb="FF464599"/>
        </patternFill>
      </fill>
      <alignment horizontal="general" vertical="bottom" textRotation="0" wrapText="0" relativeIndent="0" justifyLastLine="0" shrinkToFit="0" readingOrder="0"/>
      <border diagonalUp="0" diagonalDown="0" outline="0">
        <left style="thin">
          <color rgb="FFEF6B35"/>
        </left>
        <right style="thin">
          <color rgb="FF464599"/>
        </right>
        <top style="thin">
          <color rgb="FFEF6B35"/>
        </top>
        <bottom style="thin">
          <color rgb="FFEF6B35"/>
        </bottom>
      </border>
      <protection locked="0" hidden="0"/>
    </dxf>
    <dxf>
      <font>
        <b val="0"/>
        <i val="0"/>
        <strike val="0"/>
        <condense val="0"/>
        <extend val="0"/>
        <outline val="0"/>
        <shadow val="0"/>
        <u val="none"/>
        <vertAlign val="baseline"/>
        <sz val="10"/>
        <color theme="0"/>
        <name val="Arial"/>
        <scheme val="none"/>
      </font>
      <numFmt numFmtId="30" formatCode="@"/>
      <fill>
        <patternFill patternType="solid">
          <fgColor indexed="64"/>
          <bgColor rgb="FF464599"/>
        </patternFill>
      </fill>
      <alignment horizontal="general" vertical="bottom" textRotation="0" wrapText="0" relativeIndent="0" justifyLastLine="0" shrinkToFit="0" readingOrder="0"/>
      <border diagonalUp="0" diagonalDown="0" outline="0">
        <left style="thin">
          <color rgb="FF464599"/>
        </left>
        <right style="thin">
          <color rgb="FFEF6B35"/>
        </right>
        <top style="thin">
          <color rgb="FFEF6B35"/>
        </top>
        <bottom style="thin">
          <color rgb="FFEF6B35"/>
        </bottom>
      </border>
      <protection locked="0" hidden="0"/>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relativeIndent="0" justifyLastLine="0" shrinkToFit="0" readingOrder="0"/>
      <border diagonalUp="0" diagonalDown="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rgb="FF464599"/>
        </left>
        <right style="thin">
          <color rgb="FF464599"/>
        </right>
        <top style="thin">
          <color rgb="FF464599"/>
        </top>
        <bottom style="thin">
          <color rgb="FF464599"/>
        </bottom>
        <vertical/>
        <horizontal/>
      </border>
      <protection locked="0" hidden="0"/>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rgb="FF464599"/>
        </left>
        <right style="thin">
          <color rgb="FF464599"/>
        </right>
        <top style="thin">
          <color rgb="FF464599"/>
        </top>
        <bottom style="thin">
          <color rgb="FF464599"/>
        </bottom>
        <vertical/>
        <horizontal/>
      </border>
      <protection locked="0" hidden="0"/>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rgb="FF464599"/>
        </left>
        <right style="thin">
          <color rgb="FF464599"/>
        </right>
        <top style="thin">
          <color rgb="FF464599"/>
        </top>
        <bottom style="thin">
          <color rgb="FF464599"/>
        </bottom>
        <vertical/>
        <horizontal/>
      </border>
      <protection locked="0" hidden="0"/>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rgb="FF464599"/>
        </left>
        <right style="thin">
          <color rgb="FF464599"/>
        </right>
        <top style="thin">
          <color rgb="FF464599"/>
        </top>
        <bottom style="thin">
          <color rgb="FF464599"/>
        </bottom>
        <vertical/>
        <horizontal/>
      </border>
      <protection locked="0" hidden="0"/>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rgb="FF464599"/>
        </left>
        <right style="thin">
          <color rgb="FF464599"/>
        </right>
        <top style="thin">
          <color rgb="FF464599"/>
        </top>
        <bottom style="thin">
          <color rgb="FF464599"/>
        </bottom>
        <vertical/>
        <horizontal/>
      </border>
      <protection locked="0" hidden="0"/>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rgb="FF464599"/>
        </left>
        <right style="thin">
          <color rgb="FF464599"/>
        </right>
        <top style="thin">
          <color rgb="FF464599"/>
        </top>
        <bottom style="thin">
          <color rgb="FF464599"/>
        </bottom>
        <vertical/>
        <horizontal/>
      </border>
      <protection locked="0" hidden="0"/>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rgb="FF464599"/>
        </left>
        <right style="thin">
          <color rgb="FF464599"/>
        </right>
        <top style="thin">
          <color rgb="FF464599"/>
        </top>
        <bottom style="thin">
          <color rgb="FF464599"/>
        </bottom>
        <vertical/>
        <horizontal/>
      </border>
      <protection locked="0" hidden="0"/>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indexed="8"/>
        <name val="Tahoma"/>
        <scheme val="none"/>
      </font>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auto="1"/>
        <name val="Tahoma"/>
        <scheme val="none"/>
      </font>
      <numFmt numFmtId="1" formatCode="0"/>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auto="1"/>
        <name val="Tahoma"/>
        <scheme val="none"/>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indexed="8"/>
        <name val="Tahoma"/>
        <scheme val="none"/>
      </font>
      <numFmt numFmtId="19" formatCode="dd/mm/yyyy"/>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indexed="8"/>
        <name val="Arial"/>
        <scheme val="none"/>
      </font>
      <numFmt numFmtId="19" formatCode="dd/mm/yyyy"/>
      <fill>
        <patternFill patternType="none">
          <fgColor indexed="64"/>
          <bgColor indexed="65"/>
        </patternFill>
      </fill>
      <alignment horizontal="general" vertical="bottom" textRotation="0" wrapText="0" indent="0" justifyLastLine="0" shrinkToFit="0" readingOrder="0"/>
      <border diagonalUp="0" diagonalDown="0" outline="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theme="0"/>
        <name val="Arial"/>
        <scheme val="none"/>
      </font>
      <numFmt numFmtId="30" formatCode="@"/>
      <fill>
        <patternFill patternType="solid">
          <fgColor indexed="64"/>
          <bgColor rgb="FF464599"/>
        </patternFill>
      </fill>
      <alignment horizontal="general" vertical="bottom" textRotation="0" wrapText="0" indent="0" justifyLastLine="0" shrinkToFit="0" readingOrder="0"/>
      <border diagonalUp="0" diagonalDown="0" outline="0">
        <left style="thin">
          <color rgb="FF464599"/>
        </left>
        <right style="thin">
          <color rgb="FF464599"/>
        </right>
        <top style="thin">
          <color rgb="FFEF6B35"/>
        </top>
        <bottom style="thin">
          <color rgb="FFEF6B35"/>
        </bottom>
      </border>
      <protection locked="0" hidden="0"/>
    </dxf>
    <dxf>
      <font>
        <b val="0"/>
        <i val="0"/>
        <strike val="0"/>
        <condense val="0"/>
        <extend val="0"/>
        <outline val="0"/>
        <shadow val="0"/>
        <u val="none"/>
        <vertAlign val="baseline"/>
        <sz val="10"/>
        <color auto="1"/>
        <name val="Tahoma"/>
        <scheme val="none"/>
      </font>
      <numFmt numFmtId="19" formatCode="dd/mm/yyyy"/>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general" vertical="bottom" textRotation="0" wrapText="0" indent="0" justifyLastLine="0" shrinkToFit="0" readingOrder="0"/>
      <border diagonalUp="0" diagonalDown="0" outline="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auto="1"/>
        <name val="Tahoma"/>
        <scheme val="none"/>
      </font>
      <numFmt numFmtId="14" formatCode="0.00%"/>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general" vertical="bottom" textRotation="0" wrapText="0" indent="0" justifyLastLine="0" shrinkToFit="0" readingOrder="0"/>
      <border diagonalUp="0" diagonalDown="0" outline="0">
        <left style="thin">
          <color rgb="FF464599"/>
        </left>
        <right style="thin">
          <color rgb="FF464599"/>
        </right>
        <top style="thin">
          <color rgb="FF464599"/>
        </top>
        <bottom style="thin">
          <color rgb="FF464599"/>
        </bottom>
      </border>
      <protection locked="0" hidden="0"/>
    </dxf>
    <dxf>
      <font>
        <b val="0"/>
        <i val="0"/>
        <strike val="0"/>
        <condense val="0"/>
        <extend val="0"/>
        <outline val="0"/>
        <shadow val="0"/>
        <u val="none"/>
        <vertAlign val="baseline"/>
        <sz val="10"/>
        <color auto="1"/>
        <name val="Tahoma"/>
        <scheme val="none"/>
      </font>
      <numFmt numFmtId="14" formatCode="0.00%"/>
      <fill>
        <patternFill patternType="none">
          <fgColor indexed="64"/>
          <bgColor indexed="65"/>
        </patternFill>
      </fill>
      <alignment horizontal="general"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general" vertical="bottom" textRotation="0" wrapText="0" indent="0" justifyLastLine="0" shrinkToFit="0" readingOrder="0"/>
      <border diagonalUp="0" diagonalDown="0" outline="0">
        <left/>
        <right style="thin">
          <color rgb="FF464599"/>
        </right>
        <top style="thin">
          <color rgb="FF464599"/>
        </top>
        <bottom style="thin">
          <color rgb="FF464599"/>
        </bottom>
      </border>
      <protection locked="0" hidden="0"/>
    </dxf>
    <dxf>
      <font>
        <strike val="0"/>
        <outline val="0"/>
        <shadow val="0"/>
        <u val="none"/>
        <vertAlign val="baseline"/>
        <name val="Arial"/>
        <scheme val="none"/>
      </font>
      <fill>
        <patternFill>
          <fgColor indexed="64"/>
        </patternFill>
      </fill>
      <alignment textRotation="0" indent="0" justifyLastLine="0" shrinkToFit="0" readingOrder="0"/>
      <border diagonalUp="0" diagonalDown="0">
        <left style="thin">
          <color rgb="FF464599"/>
        </left>
        <right style="thin">
          <color rgb="FF464599"/>
        </right>
        <top/>
        <bottom/>
      </border>
    </dxf>
    <dxf>
      <border diagonalUp="0" diagonalDown="0">
        <left style="thin">
          <color rgb="FF464599"/>
        </left>
        <right style="thin">
          <color rgb="FF464599"/>
        </right>
        <top style="thin">
          <color rgb="FF464599"/>
        </top>
        <bottom style="thin">
          <color rgb="FF464599"/>
        </bottom>
      </border>
    </dxf>
    <dxf>
      <font>
        <strike val="0"/>
        <outline val="0"/>
        <shadow val="0"/>
        <u val="none"/>
        <vertAlign val="baseline"/>
        <sz val="10"/>
        <name val="Arial"/>
        <scheme val="none"/>
      </font>
      <fill>
        <patternFill patternType="none">
          <fgColor indexed="64"/>
          <bgColor auto="1"/>
        </patternFill>
      </fill>
      <alignment textRotation="0" indent="0" justifyLastLine="0" shrinkToFit="0" readingOrder="0"/>
      <border diagonalUp="0" diagonalDown="0" outline="0"/>
    </dxf>
    <dxf>
      <border>
        <bottom style="thin">
          <color rgb="FF464599"/>
        </bottom>
        <vertical/>
        <horizontal/>
      </border>
    </dxf>
    <dxf>
      <font>
        <b/>
        <i val="0"/>
        <strike val="0"/>
        <condense val="0"/>
        <extend val="0"/>
        <outline val="0"/>
        <shadow val="0"/>
        <u val="none"/>
        <vertAlign val="baseline"/>
        <sz val="10"/>
        <color auto="1"/>
        <name val="Arial"/>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rgb="FF464599"/>
        </left>
        <right style="thin">
          <color rgb="FF464599"/>
        </right>
        <top/>
        <bottom/>
      </border>
    </dxf>
    <dxf>
      <fill>
        <patternFill patternType="solid">
          <bgColor rgb="FFF5A17F"/>
        </patternFill>
      </fill>
    </dxf>
    <dxf>
      <font>
        <color theme="0"/>
      </font>
    </dxf>
    <dxf>
      <fill>
        <patternFill patternType="solid">
          <bgColor rgb="FF464599"/>
        </patternFill>
      </fill>
    </dxf>
    <dxf>
      <font>
        <color theme="0"/>
      </font>
    </dxf>
    <dxf>
      <fill>
        <patternFill patternType="solid">
          <bgColor rgb="FF464599"/>
        </patternFill>
      </fill>
    </dxf>
    <dxf>
      <font>
        <color theme="0"/>
      </font>
    </dxf>
    <dxf>
      <fill>
        <patternFill patternType="solid">
          <bgColor rgb="FF464599"/>
        </patternFill>
      </fill>
    </dxf>
    <dxf>
      <font>
        <name val="Arial"/>
        <scheme val="none"/>
      </font>
    </dxf>
    <dxf>
      <alignment vertical="center" readingOrder="0"/>
    </dxf>
    <dxf>
      <alignment vertical="center" readingOrder="0"/>
    </dxf>
    <dxf>
      <alignment wrapText="1" readingOrder="0"/>
    </dxf>
    <dxf>
      <alignment wrapText="1" readingOrder="0"/>
    </dxf>
    <dxf>
      <font>
        <color rgb="FFEF6B35"/>
      </font>
      <fill>
        <patternFill>
          <bgColor rgb="FFEF6B35"/>
        </patternFill>
      </fill>
      <border>
        <left style="thin">
          <color rgb="FF464599"/>
        </left>
        <right style="thin">
          <color rgb="FF464599"/>
        </right>
        <top style="thin">
          <color rgb="FF464599"/>
        </top>
        <bottom style="thin">
          <color rgb="FF464599"/>
        </bottom>
      </border>
    </dxf>
    <dxf>
      <font>
        <color auto="1"/>
      </font>
      <fill>
        <patternFill>
          <bgColor theme="1"/>
        </patternFill>
      </fill>
    </dxf>
    <dxf>
      <font>
        <color rgb="FFEF6B35"/>
      </font>
      <fill>
        <patternFill>
          <bgColor rgb="FFEF6B35"/>
        </patternFill>
      </fill>
      <border>
        <left style="thin">
          <color rgb="FF464599"/>
        </left>
        <right style="thin">
          <color rgb="FF464599"/>
        </right>
        <top style="thin">
          <color rgb="FF464599"/>
        </top>
        <bottom style="thin">
          <color rgb="FF464599"/>
        </bottom>
      </border>
    </dxf>
    <dxf>
      <font>
        <color rgb="FFEF6B35"/>
      </font>
      <fill>
        <patternFill>
          <bgColor rgb="FFEF6B35"/>
        </patternFill>
      </fill>
      <border>
        <left style="thin">
          <color rgb="FF464599"/>
        </left>
        <right style="thin">
          <color rgb="FF464599"/>
        </right>
        <top style="thin">
          <color rgb="FF464599"/>
        </top>
        <bottom style="thin">
          <color rgb="FF464599"/>
        </bottom>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numFmt numFmtId="14" formatCode="0.00%"/>
      <alignment horizontal="general" vertical="top" textRotation="0" wrapText="1" relativeIndent="0" justifyLastLine="0" shrinkToFit="0" readingOrder="0"/>
      <border diagonalUp="0" diagonalDown="0">
        <left style="thin">
          <color rgb="FF464599"/>
        </left>
        <right/>
        <top style="thin">
          <color rgb="FF464599"/>
        </top>
        <bottom style="thin">
          <color rgb="FF464599"/>
        </bottom>
      </border>
    </dxf>
    <dxf>
      <font>
        <b val="0"/>
        <i val="0"/>
        <strike val="0"/>
        <condense val="0"/>
        <extend val="0"/>
        <outline val="0"/>
        <shadow val="0"/>
        <u val="none"/>
        <vertAlign val="baseline"/>
        <sz val="10"/>
        <color auto="1"/>
        <name val="Arial"/>
        <scheme val="none"/>
      </font>
      <alignment horizontal="justify" vertical="top" textRotation="0" wrapText="0" relativeIndent="0" justifyLastLine="0" shrinkToFit="0" readingOrder="0"/>
      <border diagonalUp="0" diagonalDown="0">
        <left style="thin">
          <color rgb="FF464599"/>
        </left>
        <right style="thin">
          <color rgb="FF464599"/>
        </right>
        <top style="thin">
          <color rgb="FF464599"/>
        </top>
        <bottom style="thin">
          <color rgb="FF464599"/>
        </bottom>
      </border>
    </dxf>
    <dxf>
      <font>
        <b val="0"/>
        <i val="0"/>
        <strike val="0"/>
        <condense val="0"/>
        <extend val="0"/>
        <outline val="0"/>
        <shadow val="0"/>
        <u val="none"/>
        <vertAlign val="baseline"/>
        <sz val="10"/>
        <color auto="1"/>
        <name val="Arial"/>
        <scheme val="none"/>
      </font>
      <alignment horizontal="justify" vertical="top" textRotation="0" wrapText="1" relativeIndent="0" justifyLastLine="0" shrinkToFit="0" readingOrder="0"/>
      <border diagonalUp="0" diagonalDown="0">
        <left/>
        <right style="thin">
          <color rgb="FF464599"/>
        </right>
        <top style="thin">
          <color rgb="FF464599"/>
        </top>
        <bottom style="thin">
          <color rgb="FF464599"/>
        </bottom>
      </border>
    </dxf>
    <dxf>
      <border>
        <top style="thin">
          <color rgb="FF464599"/>
        </top>
        <vertical/>
        <horizontal/>
      </border>
    </dxf>
    <dxf>
      <border diagonalUp="0" diagonalDown="0">
        <left style="thin">
          <color rgb="FF464599"/>
        </left>
        <right style="thin">
          <color rgb="FF464599"/>
        </right>
        <top style="thin">
          <color rgb="FF464599"/>
        </top>
        <bottom style="thin">
          <color rgb="FF464599"/>
        </bottom>
      </border>
    </dxf>
    <dxf>
      <font>
        <strike val="0"/>
        <outline val="0"/>
        <shadow val="0"/>
        <u val="none"/>
        <vertAlign val="baseline"/>
        <name val="Arial"/>
        <scheme val="none"/>
      </font>
    </dxf>
    <dxf>
      <border>
        <bottom style="thin">
          <color rgb="FF464599"/>
        </bottom>
        <vertical/>
        <horizontal/>
      </border>
    </dxf>
    <dxf>
      <font>
        <strike val="0"/>
        <outline val="0"/>
        <shadow val="0"/>
        <u val="none"/>
        <vertAlign val="baseline"/>
        <name val="Arial"/>
        <scheme val="none"/>
      </font>
      <fill>
        <patternFill patternType="solid">
          <fgColor indexed="64"/>
          <bgColor rgb="FFF5A17F"/>
        </patternFill>
      </fill>
      <border diagonalUp="0" diagonalDown="0" outline="0">
        <left style="thin">
          <color rgb="FF464599"/>
        </left>
        <right style="thin">
          <color rgb="FF464599"/>
        </right>
        <top/>
        <bottom/>
      </border>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numFmt numFmtId="170" formatCode="_-* #,##0\ _€_-;\-* #,##0\ _€_-;_-* &quot;-&quot;?\ _€_-;_-@_-"/>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auto="1"/>
        <name val="Arial"/>
        <scheme val="none"/>
      </font>
      <fill>
        <patternFill patternType="solid">
          <fgColor indexed="64"/>
          <bgColor rgb="FF92D050"/>
        </patternFill>
      </fill>
      <alignment horizontal="left" vertical="center" textRotation="0" wrapText="1" relativeIndent="0"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right style="thin">
          <color indexed="64"/>
        </right>
        <top/>
        <bottom/>
      </border>
      <protection locked="1" hidden="0"/>
    </dxf>
    <dxf>
      <border outline="0">
        <bottom style="thin">
          <color indexed="64"/>
        </bottom>
      </border>
    </dxf>
    <dxf>
      <font>
        <b/>
        <i val="0"/>
        <strike val="0"/>
        <condense val="0"/>
        <extend val="0"/>
        <outline val="0"/>
        <shadow val="0"/>
        <u val="none"/>
        <vertAlign val="baseline"/>
        <sz val="9"/>
        <color auto="1"/>
        <name val="Arial"/>
        <scheme val="none"/>
      </font>
      <fill>
        <patternFill patternType="solid">
          <fgColor indexed="64"/>
          <bgColor rgb="FF92D050"/>
        </patternFill>
      </fill>
      <alignment horizontal="center" vertical="center" textRotation="0" wrapText="1" relativeIndent="0" justifyLastLine="0" shrinkToFit="0" readingOrder="0"/>
      <border diagonalUp="0" diagonalDown="0">
        <left style="thin">
          <color indexed="64"/>
        </left>
        <right style="thin">
          <color indexed="64"/>
        </right>
        <top/>
        <bottom/>
      </border>
      <protection locked="1" hidden="0"/>
    </dxf>
    <dxf>
      <font>
        <b/>
        <i val="0"/>
        <color rgb="FFFF0000"/>
      </font>
      <fill>
        <patternFill patternType="none">
          <bgColor auto="1"/>
        </patternFill>
      </fill>
    </dxf>
    <dxf>
      <font>
        <b/>
        <i val="0"/>
        <color rgb="FFFF0000"/>
      </font>
      <fill>
        <patternFill>
          <bgColor theme="0"/>
        </patternFill>
      </fill>
    </dxf>
    <dxf>
      <font>
        <condense val="0"/>
        <extend val="0"/>
        <color rgb="FF9C6500"/>
      </font>
      <fill>
        <patternFill>
          <bgColor rgb="FFFFEB9C"/>
        </patternFill>
      </fill>
    </dxf>
    <dxf>
      <font>
        <condense val="0"/>
        <extend val="0"/>
        <color rgb="FF9C6500"/>
      </font>
      <fill>
        <patternFill>
          <bgColor rgb="FFFFEB9C"/>
        </patternFill>
      </fill>
    </dxf>
    <dxf>
      <fill>
        <patternFill>
          <bgColor theme="1"/>
        </patternFill>
      </fill>
    </dxf>
    <dxf>
      <font>
        <condense val="0"/>
        <extend val="0"/>
        <color rgb="FF9C6500"/>
      </font>
      <fill>
        <patternFill>
          <bgColor rgb="FFFFEB9C"/>
        </patternFill>
      </fill>
    </dxf>
    <dxf>
      <font>
        <condense val="0"/>
        <extend val="0"/>
        <color rgb="FF9C6500"/>
      </font>
      <fill>
        <patternFill>
          <bgColor rgb="FFFFEB9C"/>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ill>
        <patternFill>
          <bgColor rgb="FFF5A17F"/>
        </patternFill>
      </fill>
    </dxf>
    <dxf>
      <fill>
        <patternFill>
          <bgColor rgb="FFC8C5E1"/>
        </patternFill>
      </fill>
      <border>
        <left style="thin">
          <color rgb="FF464599"/>
        </left>
        <right style="thin">
          <color rgb="FF464599"/>
        </right>
        <top style="thin">
          <color rgb="FF464599"/>
        </top>
        <bottom style="thin">
          <color rgb="FF464599"/>
        </bottom>
        <vertical style="thin">
          <color rgb="FF464599"/>
        </vertical>
        <horizontal style="thin">
          <color rgb="FF464599"/>
        </horizontal>
      </border>
    </dxf>
    <dxf>
      <fill>
        <patternFill>
          <bgColor rgb="FFC8C5E1"/>
        </patternFill>
      </fill>
      <border>
        <left style="thin">
          <color rgb="FF464599"/>
        </left>
        <right style="thin">
          <color rgb="FF464599"/>
        </right>
        <top style="thin">
          <color rgb="FF464599"/>
        </top>
        <bottom style="thin">
          <color rgb="FF464599"/>
        </bottom>
        <vertical style="thin">
          <color rgb="FF464599"/>
        </vertical>
        <horizontal style="thin">
          <color rgb="FF464599"/>
        </horizontal>
      </border>
    </dxf>
    <dxf>
      <border>
        <left style="thin">
          <color rgb="FF464599"/>
        </left>
        <right style="thin">
          <color rgb="FF464599"/>
        </right>
        <top style="thin">
          <color rgb="FF464599"/>
        </top>
        <bottom style="thin">
          <color rgb="FF464599"/>
        </bottom>
        <vertical style="thin">
          <color rgb="FF464599"/>
        </vertical>
        <horizontal style="thin">
          <color rgb="FF464599"/>
        </horizontal>
      </border>
    </dxf>
    <dxf>
      <border>
        <left style="thin">
          <color rgb="FF464599"/>
        </left>
        <right style="thin">
          <color rgb="FF464599"/>
        </right>
        <top style="thin">
          <color rgb="FF464599"/>
        </top>
        <bottom style="thin">
          <color rgb="FF464599"/>
        </bottom>
        <vertical style="thin">
          <color rgb="FF464599"/>
        </vertical>
        <horizontal style="thin">
          <color rgb="FF464599"/>
        </horizontal>
      </border>
    </dxf>
    <dxf>
      <border>
        <left style="thin">
          <color theme="8"/>
        </left>
        <right style="thin">
          <color theme="8"/>
        </right>
        <top style="thin">
          <color theme="8"/>
        </top>
        <bottom style="thin">
          <color theme="8"/>
        </bottom>
      </border>
    </dxf>
  </dxfs>
  <tableStyles count="5" defaultTableStyle="TableStyleMedium2" defaultPivotStyle="Style de tableau croisé dynamique 1">
    <tableStyle name="Style de tableau 1" pivot="0" count="1" xr9:uid="{00000000-0011-0000-FFFF-FFFF00000000}">
      <tableStyleElement type="wholeTable" dxfId="378"/>
    </tableStyle>
    <tableStyle name="Style de tableau 2" pivot="0" count="1" xr9:uid="{00000000-0011-0000-FFFF-FFFF01000000}">
      <tableStyleElement type="headerRow" dxfId="377"/>
    </tableStyle>
    <tableStyle name="Style de tableau 3" pivot="0" count="1" xr9:uid="{00000000-0011-0000-FFFF-FFFF02000000}">
      <tableStyleElement type="wholeTable" dxfId="376"/>
    </tableStyle>
    <tableStyle name="Style de tableau croisé dynamique 1" table="0" count="1" xr9:uid="{00000000-0011-0000-FFFF-FFFF03000000}">
      <tableStyleElement type="wholeTable" dxfId="375"/>
    </tableStyle>
    <tableStyle name="Style de tableau croisé dynamique 2" table="0" count="2" xr9:uid="{00000000-0011-0000-FFFF-FFFF04000000}">
      <tableStyleElement type="wholeTable" dxfId="374"/>
      <tableStyleElement type="headerRow" dxfId="373"/>
    </tableStyle>
  </tableStyles>
  <colors>
    <mruColors>
      <color rgb="FF464599"/>
      <color rgb="FFF5A17F"/>
      <color rgb="FFC8C5E1"/>
      <color rgb="FFEF6B35"/>
      <color rgb="FFFFC7CE"/>
      <color rgb="FFC8C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t>Comparaison des ratios collectés avec les moyennes nationales</a:t>
            </a:r>
          </a:p>
        </c:rich>
      </c:tx>
      <c:overlay val="0"/>
    </c:title>
    <c:autoTitleDeleted val="0"/>
    <c:plotArea>
      <c:layout/>
      <c:barChart>
        <c:barDir val="col"/>
        <c:grouping val="clustered"/>
        <c:varyColors val="0"/>
        <c:ser>
          <c:idx val="0"/>
          <c:order val="0"/>
          <c:tx>
            <c:strRef>
              <c:f>Analyse!$A$41</c:f>
              <c:strCache>
                <c:ptCount val="1"/>
                <c:pt idx="0">
                  <c:v>0</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2-E534-47DB-842C-42E50738097A}"/>
              </c:ext>
            </c:extLst>
          </c:dPt>
          <c:cat>
            <c:strRef>
              <c:f>Analyse!$B$40:$I$40</c:f>
              <c:strCache>
                <c:ptCount val="8"/>
                <c:pt idx="0">
                  <c:v>Total (DMA)
hors gravats</c:v>
                </c:pt>
                <c:pt idx="1">
                  <c:v>OMR</c:v>
                </c:pt>
                <c:pt idx="2">
                  <c:v>Verre</c:v>
                </c:pt>
                <c:pt idx="3">
                  <c:v>Recyclables 
hors verre</c:v>
                </c:pt>
                <c:pt idx="4">
                  <c:v>Déchèteries
hors gravats</c:v>
                </c:pt>
                <c:pt idx="5">
                  <c:v>Déchets verts</c:v>
                </c:pt>
                <c:pt idx="6">
                  <c:v>Encombrants</c:v>
                </c:pt>
                <c:pt idx="7">
                  <c:v>Autres flux*</c:v>
                </c:pt>
              </c:strCache>
            </c:strRef>
          </c:cat>
          <c:val>
            <c:numRef>
              <c:f>Analyse!$B$41:$I$41</c:f>
              <c:numCache>
                <c:formatCode>#\ ##0" kg/hab."</c:formatCode>
                <c:ptCount val="8"/>
              </c:numCache>
            </c:numRef>
          </c:val>
          <c:extLst>
            <c:ext xmlns:c16="http://schemas.microsoft.com/office/drawing/2014/chart" uri="{C3380CC4-5D6E-409C-BE32-E72D297353CC}">
              <c16:uniqueId val="{00000000-E534-47DB-842C-42E50738097A}"/>
            </c:ext>
          </c:extLst>
        </c:ser>
        <c:ser>
          <c:idx val="1"/>
          <c:order val="1"/>
          <c:tx>
            <c:strRef>
              <c:f>Analyse!$A$43</c:f>
              <c:strCache>
                <c:ptCount val="1"/>
                <c:pt idx="0">
                  <c:v>Référentiel national ADEME 2021 (Données 2018) - Ratio kg/hab.</c:v>
                </c:pt>
              </c:strCache>
            </c:strRef>
          </c:tx>
          <c:spPr>
            <a:solidFill>
              <a:schemeClr val="bg2">
                <a:lumMod val="75000"/>
              </a:schemeClr>
            </a:solidFill>
            <a:ln>
              <a:noFill/>
            </a:ln>
            <a:effectLst/>
          </c:spPr>
          <c:invertIfNegative val="0"/>
          <c:cat>
            <c:strRef>
              <c:f>Analyse!$B$40:$I$40</c:f>
              <c:strCache>
                <c:ptCount val="8"/>
                <c:pt idx="0">
                  <c:v>Total (DMA)
hors gravats</c:v>
                </c:pt>
                <c:pt idx="1">
                  <c:v>OMR</c:v>
                </c:pt>
                <c:pt idx="2">
                  <c:v>Verre</c:v>
                </c:pt>
                <c:pt idx="3">
                  <c:v>Recyclables 
hors verre</c:v>
                </c:pt>
                <c:pt idx="4">
                  <c:v>Déchèteries
hors gravats</c:v>
                </c:pt>
                <c:pt idx="5">
                  <c:v>Déchets verts</c:v>
                </c:pt>
                <c:pt idx="6">
                  <c:v>Encombrants</c:v>
                </c:pt>
                <c:pt idx="7">
                  <c:v>Autres flux*</c:v>
                </c:pt>
              </c:strCache>
            </c:strRef>
          </c:cat>
          <c:val>
            <c:numRef>
              <c:f>Analyse!$B$43:$I$43</c:f>
              <c:numCache>
                <c:formatCode>#\ ##0" kg/hab."</c:formatCode>
                <c:ptCount val="8"/>
                <c:pt idx="0">
                  <c:v>543</c:v>
                </c:pt>
                <c:pt idx="1">
                  <c:v>231</c:v>
                </c:pt>
                <c:pt idx="2">
                  <c:v>35</c:v>
                </c:pt>
                <c:pt idx="3">
                  <c:v>51</c:v>
                </c:pt>
                <c:pt idx="4">
                  <c:v>188</c:v>
                </c:pt>
                <c:pt idx="5">
                  <c:v>53</c:v>
                </c:pt>
                <c:pt idx="6">
                  <c:v>5</c:v>
                </c:pt>
                <c:pt idx="7">
                  <c:v>40</c:v>
                </c:pt>
              </c:numCache>
            </c:numRef>
          </c:val>
          <c:extLst>
            <c:ext xmlns:c16="http://schemas.microsoft.com/office/drawing/2014/chart" uri="{C3380CC4-5D6E-409C-BE32-E72D297353CC}">
              <c16:uniqueId val="{00000001-E534-47DB-842C-42E50738097A}"/>
            </c:ext>
          </c:extLst>
        </c:ser>
        <c:dLbls>
          <c:showLegendKey val="0"/>
          <c:showVal val="0"/>
          <c:showCatName val="0"/>
          <c:showSerName val="0"/>
          <c:showPercent val="0"/>
          <c:showBubbleSize val="0"/>
        </c:dLbls>
        <c:gapWidth val="75"/>
        <c:overlap val="-25"/>
        <c:axId val="270211072"/>
        <c:axId val="158934144"/>
      </c:barChart>
      <c:catAx>
        <c:axId val="27021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158934144"/>
        <c:crosses val="autoZero"/>
        <c:auto val="1"/>
        <c:lblAlgn val="ctr"/>
        <c:lblOffset val="100"/>
        <c:noMultiLvlLbl val="0"/>
      </c:catAx>
      <c:valAx>
        <c:axId val="158934144"/>
        <c:scaling>
          <c:orientation val="minMax"/>
        </c:scaling>
        <c:delete val="0"/>
        <c:axPos val="l"/>
        <c:majorGridlines>
          <c:spPr>
            <a:ln w="9525" cap="flat" cmpd="sng" algn="ctr">
              <a:solidFill>
                <a:schemeClr val="tx1">
                  <a:lumMod val="15000"/>
                  <a:lumOff val="85000"/>
                </a:schemeClr>
              </a:solidFill>
              <a:round/>
            </a:ln>
            <a:effectLst/>
          </c:spPr>
        </c:majorGridlines>
        <c:numFmt formatCode="#\ ##0&quot; kg/hab.&quot;" sourceLinked="1"/>
        <c:majorTickMark val="none"/>
        <c:minorTickMark val="none"/>
        <c:tickLblPos val="nextTo"/>
        <c:spPr>
          <a:noFill/>
          <a:ln>
            <a:noFill/>
          </a:ln>
          <a:effectLst/>
        </c:spPr>
        <c:txPr>
          <a:bodyPr rot="-60000000" vert="horz"/>
          <a:lstStyle/>
          <a:p>
            <a:pPr>
              <a:defRPr b="0"/>
            </a:pPr>
            <a:endParaRPr lang="fr-FR"/>
          </a:p>
        </c:txPr>
        <c:crossAx val="270211072"/>
        <c:crosses val="autoZero"/>
        <c:crossBetween val="between"/>
      </c:valAx>
      <c:spPr>
        <a:noFill/>
        <a:ln>
          <a:noFill/>
        </a:ln>
        <a:effectLst/>
      </c:spPr>
    </c:plotArea>
    <c:legend>
      <c:legendPos val="b"/>
      <c:overlay val="0"/>
      <c:spPr>
        <a:noFill/>
        <a:ln>
          <a:noFill/>
        </a:ln>
        <a:effectLst/>
      </c:spPr>
      <c:txPr>
        <a:bodyPr rot="0" vert="horz"/>
        <a:lstStyle/>
        <a:p>
          <a:pPr>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latin typeface="+mn-lt"/>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fr-FR" sz="1400"/>
              <a:t>Évolution des coûts aidés en €HT/habitant</a:t>
            </a:r>
            <a:endParaRPr lang="fr-FR"/>
          </a:p>
        </c:rich>
      </c:tx>
      <c:overlay val="0"/>
      <c:spPr>
        <a:noFill/>
        <a:ln>
          <a:noFill/>
        </a:ln>
        <a:effectLst/>
      </c:spPr>
    </c:title>
    <c:autoTitleDeleted val="0"/>
    <c:plotArea>
      <c:layout/>
      <c:barChart>
        <c:barDir val="col"/>
        <c:grouping val="clustered"/>
        <c:varyColors val="0"/>
        <c:ser>
          <c:idx val="0"/>
          <c:order val="0"/>
          <c:tx>
            <c:strRef>
              <c:f>Analyse!$A$305</c:f>
              <c:strCache>
                <c:ptCount val="1"/>
                <c:pt idx="0">
                  <c:v>2006</c:v>
                </c:pt>
              </c:strCache>
            </c:strRef>
          </c:tx>
          <c:spPr>
            <a:solidFill>
              <a:schemeClr val="tx1"/>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Analyse!$B$305:$I$305</c:f>
              <c:numCache>
                <c:formatCode>#\ ##0" €HT/hab."</c:formatCode>
                <c:ptCount val="8"/>
              </c:numCache>
            </c:numRef>
          </c:val>
          <c:extLst>
            <c:ext xmlns:c16="http://schemas.microsoft.com/office/drawing/2014/chart" uri="{C3380CC4-5D6E-409C-BE32-E72D297353CC}">
              <c16:uniqueId val="{00000000-50D9-4AB0-95BB-2949482BA024}"/>
            </c:ext>
          </c:extLst>
        </c:ser>
        <c:ser>
          <c:idx val="1"/>
          <c:order val="1"/>
          <c:tx>
            <c:strRef>
              <c:f>Analyse!$A$306</c:f>
              <c:strCache>
                <c:ptCount val="1"/>
                <c:pt idx="0">
                  <c:v>2007</c:v>
                </c:pt>
              </c:strCache>
            </c:strRef>
          </c:tx>
          <c:spPr>
            <a:solidFill>
              <a:schemeClr val="bg2">
                <a:lumMod val="50000"/>
              </a:schemeClr>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Analyse!$B$306:$I$306</c:f>
              <c:numCache>
                <c:formatCode>#\ ##0" €HT/hab."</c:formatCode>
                <c:ptCount val="8"/>
              </c:numCache>
            </c:numRef>
          </c:val>
          <c:extLst>
            <c:ext xmlns:c16="http://schemas.microsoft.com/office/drawing/2014/chart" uri="{C3380CC4-5D6E-409C-BE32-E72D297353CC}">
              <c16:uniqueId val="{00000001-50D9-4AB0-95BB-2949482BA024}"/>
            </c:ext>
          </c:extLst>
        </c:ser>
        <c:ser>
          <c:idx val="2"/>
          <c:order val="2"/>
          <c:tx>
            <c:strRef>
              <c:f>Analyse!$A$307</c:f>
              <c:strCache>
                <c:ptCount val="1"/>
                <c:pt idx="0">
                  <c:v>2008</c:v>
                </c:pt>
              </c:strCache>
            </c:strRef>
          </c:tx>
          <c:spPr>
            <a:solidFill>
              <a:schemeClr val="accent4">
                <a:lumMod val="75000"/>
              </a:schemeClr>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Analyse!$B$307:$I$307</c:f>
              <c:numCache>
                <c:formatCode>#\ ##0" €HT/hab."</c:formatCode>
                <c:ptCount val="8"/>
              </c:numCache>
            </c:numRef>
          </c:val>
          <c:extLst>
            <c:ext xmlns:c16="http://schemas.microsoft.com/office/drawing/2014/chart" uri="{C3380CC4-5D6E-409C-BE32-E72D297353CC}">
              <c16:uniqueId val="{00000002-50D9-4AB0-95BB-2949482BA024}"/>
            </c:ext>
          </c:extLst>
        </c:ser>
        <c:ser>
          <c:idx val="3"/>
          <c:order val="3"/>
          <c:tx>
            <c:strRef>
              <c:f>Analyse!$A$308</c:f>
              <c:strCache>
                <c:ptCount val="1"/>
                <c:pt idx="0">
                  <c:v>2009</c:v>
                </c:pt>
              </c:strCache>
            </c:strRef>
          </c:tx>
          <c:spPr>
            <a:solidFill>
              <a:schemeClr val="accent4"/>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Analyse!$B$308:$I$308</c:f>
              <c:numCache>
                <c:formatCode>#\ ##0" €HT/hab."</c:formatCode>
                <c:ptCount val="8"/>
              </c:numCache>
            </c:numRef>
          </c:val>
          <c:extLst>
            <c:ext xmlns:c16="http://schemas.microsoft.com/office/drawing/2014/chart" uri="{C3380CC4-5D6E-409C-BE32-E72D297353CC}">
              <c16:uniqueId val="{00000003-50D9-4AB0-95BB-2949482BA024}"/>
            </c:ext>
          </c:extLst>
        </c:ser>
        <c:ser>
          <c:idx val="4"/>
          <c:order val="4"/>
          <c:tx>
            <c:strRef>
              <c:f>Analyse!$A$309</c:f>
              <c:strCache>
                <c:ptCount val="1"/>
                <c:pt idx="0">
                  <c:v>2010</c:v>
                </c:pt>
              </c:strCache>
            </c:strRef>
          </c:tx>
          <c:spPr>
            <a:solidFill>
              <a:srgbClr val="00206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Analyse!$B$309:$I$309</c:f>
              <c:numCache>
                <c:formatCode>#\ ##0" €HT/hab."</c:formatCode>
                <c:ptCount val="8"/>
              </c:numCache>
            </c:numRef>
          </c:val>
          <c:extLst>
            <c:ext xmlns:c16="http://schemas.microsoft.com/office/drawing/2014/chart" uri="{C3380CC4-5D6E-409C-BE32-E72D297353CC}">
              <c16:uniqueId val="{00000004-50D9-4AB0-95BB-2949482BA024}"/>
            </c:ext>
          </c:extLst>
        </c:ser>
        <c:ser>
          <c:idx val="5"/>
          <c:order val="5"/>
          <c:tx>
            <c:strRef>
              <c:f>Analyse!$A$310</c:f>
              <c:strCache>
                <c:ptCount val="1"/>
                <c:pt idx="0">
                  <c:v>2011</c:v>
                </c:pt>
              </c:strCache>
            </c:strRef>
          </c:tx>
          <c:spPr>
            <a:solidFill>
              <a:srgbClr val="0070C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Analyse!$B$310:$I$310</c:f>
              <c:numCache>
                <c:formatCode>#\ ##0" €HT/hab."</c:formatCode>
                <c:ptCount val="8"/>
              </c:numCache>
            </c:numRef>
          </c:val>
          <c:extLst>
            <c:ext xmlns:c16="http://schemas.microsoft.com/office/drawing/2014/chart" uri="{C3380CC4-5D6E-409C-BE32-E72D297353CC}">
              <c16:uniqueId val="{00000005-50D9-4AB0-95BB-2949482BA024}"/>
            </c:ext>
          </c:extLst>
        </c:ser>
        <c:ser>
          <c:idx val="6"/>
          <c:order val="6"/>
          <c:tx>
            <c:strRef>
              <c:f>Analyse!$A$311</c:f>
              <c:strCache>
                <c:ptCount val="1"/>
                <c:pt idx="0">
                  <c:v>2012</c:v>
                </c:pt>
              </c:strCache>
            </c:strRef>
          </c:tx>
          <c:spPr>
            <a:solidFill>
              <a:srgbClr val="00B0F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Analyse!$B$311:$I$311</c:f>
              <c:numCache>
                <c:formatCode>#\ ##0" €HT/hab."</c:formatCode>
                <c:ptCount val="8"/>
              </c:numCache>
            </c:numRef>
          </c:val>
          <c:extLst>
            <c:ext xmlns:c16="http://schemas.microsoft.com/office/drawing/2014/chart" uri="{C3380CC4-5D6E-409C-BE32-E72D297353CC}">
              <c16:uniqueId val="{00000006-50D9-4AB0-95BB-2949482BA024}"/>
            </c:ext>
          </c:extLst>
        </c:ser>
        <c:ser>
          <c:idx val="7"/>
          <c:order val="7"/>
          <c:tx>
            <c:strRef>
              <c:f>Analyse!$A$312</c:f>
              <c:strCache>
                <c:ptCount val="1"/>
                <c:pt idx="0">
                  <c:v>2013</c:v>
                </c:pt>
              </c:strCache>
            </c:strRef>
          </c:tx>
          <c:spPr>
            <a:solidFill>
              <a:srgbClr val="00B05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Analyse!$B$312:$I$312</c:f>
              <c:numCache>
                <c:formatCode>#\ ##0" €HT/hab."</c:formatCode>
                <c:ptCount val="8"/>
              </c:numCache>
            </c:numRef>
          </c:val>
          <c:extLst>
            <c:ext xmlns:c16="http://schemas.microsoft.com/office/drawing/2014/chart" uri="{C3380CC4-5D6E-409C-BE32-E72D297353CC}">
              <c16:uniqueId val="{00000007-50D9-4AB0-95BB-2949482BA024}"/>
            </c:ext>
          </c:extLst>
        </c:ser>
        <c:ser>
          <c:idx val="8"/>
          <c:order val="8"/>
          <c:tx>
            <c:strRef>
              <c:f>Analyse!$A$313</c:f>
              <c:strCache>
                <c:ptCount val="1"/>
                <c:pt idx="0">
                  <c:v>2014</c:v>
                </c:pt>
              </c:strCache>
            </c:strRef>
          </c:tx>
          <c:spPr>
            <a:solidFill>
              <a:srgbClr val="92D05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Analyse!$B$313:$I$313</c:f>
              <c:numCache>
                <c:formatCode>#\ ##0" €HT/hab."</c:formatCode>
                <c:ptCount val="8"/>
              </c:numCache>
            </c:numRef>
          </c:val>
          <c:extLst>
            <c:ext xmlns:c16="http://schemas.microsoft.com/office/drawing/2014/chart" uri="{C3380CC4-5D6E-409C-BE32-E72D297353CC}">
              <c16:uniqueId val="{00000008-50D9-4AB0-95BB-2949482BA024}"/>
            </c:ext>
          </c:extLst>
        </c:ser>
        <c:ser>
          <c:idx val="9"/>
          <c:order val="9"/>
          <c:tx>
            <c:strRef>
              <c:f>Analyse!$A$314</c:f>
              <c:strCache>
                <c:ptCount val="1"/>
                <c:pt idx="0">
                  <c:v>2015</c:v>
                </c:pt>
              </c:strCache>
            </c:strRef>
          </c:tx>
          <c:spPr>
            <a:solidFill>
              <a:srgbClr val="FFFF0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Analyse!$B$314:$I$314</c:f>
              <c:numCache>
                <c:formatCode>#\ ##0" €HT/hab."</c:formatCode>
                <c:ptCount val="8"/>
              </c:numCache>
            </c:numRef>
          </c:val>
          <c:extLst>
            <c:ext xmlns:c16="http://schemas.microsoft.com/office/drawing/2014/chart" uri="{C3380CC4-5D6E-409C-BE32-E72D297353CC}">
              <c16:uniqueId val="{00000009-50D9-4AB0-95BB-2949482BA024}"/>
            </c:ext>
          </c:extLst>
        </c:ser>
        <c:ser>
          <c:idx val="10"/>
          <c:order val="10"/>
          <c:tx>
            <c:strRef>
              <c:f>Analyse!$A$317</c:f>
              <c:strCache>
                <c:ptCount val="1"/>
                <c:pt idx="0">
                  <c:v>2018</c:v>
                </c:pt>
              </c:strCache>
            </c:strRef>
          </c:tx>
          <c:spPr>
            <a:solidFill>
              <a:srgbClr val="FFC00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Analyse!$B$317:$I$317</c:f>
              <c:numCache>
                <c:formatCode>#\ ##0" €HT/hab."</c:formatCode>
                <c:ptCount val="8"/>
              </c:numCache>
            </c:numRef>
          </c:val>
          <c:extLst>
            <c:ext xmlns:c16="http://schemas.microsoft.com/office/drawing/2014/chart" uri="{C3380CC4-5D6E-409C-BE32-E72D297353CC}">
              <c16:uniqueId val="{0000000A-50D9-4AB0-95BB-2949482BA024}"/>
            </c:ext>
          </c:extLst>
        </c:ser>
        <c:ser>
          <c:idx val="11"/>
          <c:order val="11"/>
          <c:tx>
            <c:strRef>
              <c:f>Analyse!$A$318</c:f>
              <c:strCache>
                <c:ptCount val="1"/>
                <c:pt idx="0">
                  <c:v>2019</c:v>
                </c:pt>
              </c:strCache>
            </c:strRef>
          </c:tx>
          <c:spPr>
            <a:solidFill>
              <a:srgbClr val="FF000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Analyse!$B$318:$I$318</c:f>
              <c:numCache>
                <c:formatCode>#\ ##0" €HT/hab."</c:formatCode>
                <c:ptCount val="8"/>
              </c:numCache>
            </c:numRef>
          </c:val>
          <c:extLst>
            <c:ext xmlns:c16="http://schemas.microsoft.com/office/drawing/2014/chart" uri="{C3380CC4-5D6E-409C-BE32-E72D297353CC}">
              <c16:uniqueId val="{0000000B-50D9-4AB0-95BB-2949482BA024}"/>
            </c:ext>
          </c:extLst>
        </c:ser>
        <c:ser>
          <c:idx val="12"/>
          <c:order val="12"/>
          <c:tx>
            <c:strRef>
              <c:f>Analyse!$A$318</c:f>
              <c:strCache>
                <c:ptCount val="1"/>
                <c:pt idx="0">
                  <c:v>2019</c:v>
                </c:pt>
              </c:strCache>
            </c:strRef>
          </c:tx>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Analyse!$B$318:$I$318</c:f>
              <c:numCache>
                <c:formatCode>#\ ##0" €HT/hab."</c:formatCode>
                <c:ptCount val="8"/>
              </c:numCache>
            </c:numRef>
          </c:val>
          <c:extLst>
            <c:ext xmlns:c16="http://schemas.microsoft.com/office/drawing/2014/chart" uri="{C3380CC4-5D6E-409C-BE32-E72D297353CC}">
              <c16:uniqueId val="{00000000-4850-4114-8A6C-C21E6130D6FA}"/>
            </c:ext>
          </c:extLst>
        </c:ser>
        <c:dLbls>
          <c:showLegendKey val="0"/>
          <c:showVal val="0"/>
          <c:showCatName val="0"/>
          <c:showSerName val="0"/>
          <c:showPercent val="0"/>
          <c:showBubbleSize val="0"/>
        </c:dLbls>
        <c:gapWidth val="219"/>
        <c:overlap val="-27"/>
        <c:axId val="284427264"/>
        <c:axId val="284632192"/>
      </c:barChart>
      <c:catAx>
        <c:axId val="284427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100" b="1"/>
            </a:pPr>
            <a:endParaRPr lang="fr-FR"/>
          </a:p>
        </c:txPr>
        <c:crossAx val="284632192"/>
        <c:crosses val="autoZero"/>
        <c:auto val="1"/>
        <c:lblAlgn val="ctr"/>
        <c:lblOffset val="100"/>
        <c:noMultiLvlLbl val="0"/>
      </c:catAx>
      <c:valAx>
        <c:axId val="284632192"/>
        <c:scaling>
          <c:orientation val="minMax"/>
        </c:scaling>
        <c:delete val="0"/>
        <c:axPos val="l"/>
        <c:majorGridlines>
          <c:spPr>
            <a:ln w="9525" cap="flat" cmpd="sng" algn="ctr">
              <a:solidFill>
                <a:schemeClr val="tx1">
                  <a:lumMod val="15000"/>
                  <a:lumOff val="85000"/>
                </a:schemeClr>
              </a:solidFill>
              <a:round/>
            </a:ln>
            <a:effectLst/>
          </c:spPr>
        </c:majorGridlines>
        <c:numFmt formatCode="#\ ##0&quot; €HT/hab.&quot;" sourceLinked="1"/>
        <c:majorTickMark val="none"/>
        <c:minorTickMark val="none"/>
        <c:tickLblPos val="nextTo"/>
        <c:spPr>
          <a:noFill/>
          <a:ln>
            <a:noFill/>
          </a:ln>
          <a:effectLst/>
        </c:spPr>
        <c:txPr>
          <a:bodyPr rot="-60000000" vert="horz"/>
          <a:lstStyle/>
          <a:p>
            <a:pPr>
              <a:defRPr sz="1050" b="1">
                <a:solidFill>
                  <a:sysClr val="windowText" lastClr="000000"/>
                </a:solidFill>
              </a:defRPr>
            </a:pPr>
            <a:endParaRPr lang="fr-FR"/>
          </a:p>
        </c:txPr>
        <c:crossAx val="284427264"/>
        <c:crosses val="autoZero"/>
        <c:crossBetween val="between"/>
      </c:valAx>
      <c:spPr>
        <a:noFill/>
        <a:ln>
          <a:noFill/>
        </a:ln>
        <a:effectLst/>
      </c:spPr>
    </c:plotArea>
    <c:legend>
      <c:legendPos val="b"/>
      <c:overlay val="0"/>
      <c:spPr>
        <a:noFill/>
        <a:ln>
          <a:noFill/>
        </a:ln>
        <a:effectLst/>
      </c:spPr>
      <c:txPr>
        <a:bodyPr rot="0" vert="horz"/>
        <a:lstStyle/>
        <a:p>
          <a:pPr>
            <a:defRPr b="1"/>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n-lt"/>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Coût aidé en €HT/habitant par flux</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75000"/>
                </a:schemeClr>
              </a:solidFill>
              <a:ln>
                <a:noFill/>
              </a:ln>
              <a:effectLst/>
            </c:spPr>
            <c:extLst>
              <c:ext xmlns:c16="http://schemas.microsoft.com/office/drawing/2014/chart" uri="{C3380CC4-5D6E-409C-BE32-E72D297353CC}">
                <c16:uniqueId val="{00000001-1909-4AF4-99CB-A3C20614C03A}"/>
              </c:ext>
            </c:extLst>
          </c:dPt>
          <c:dPt>
            <c:idx val="1"/>
            <c:invertIfNegative val="0"/>
            <c:bubble3D val="0"/>
            <c:spPr>
              <a:solidFill>
                <a:srgbClr val="92D050"/>
              </a:solidFill>
              <a:ln>
                <a:noFill/>
              </a:ln>
              <a:effectLst/>
            </c:spPr>
            <c:extLst>
              <c:ext xmlns:c16="http://schemas.microsoft.com/office/drawing/2014/chart" uri="{C3380CC4-5D6E-409C-BE32-E72D297353CC}">
                <c16:uniqueId val="{00000002-1909-4AF4-99CB-A3C20614C03A}"/>
              </c:ext>
            </c:extLst>
          </c:dPt>
          <c:dPt>
            <c:idx val="2"/>
            <c:invertIfNegative val="0"/>
            <c:bubble3D val="0"/>
            <c:spPr>
              <a:solidFill>
                <a:srgbClr val="FFC000"/>
              </a:solidFill>
              <a:ln>
                <a:noFill/>
              </a:ln>
              <a:effectLst/>
            </c:spPr>
            <c:extLst>
              <c:ext xmlns:c16="http://schemas.microsoft.com/office/drawing/2014/chart" uri="{C3380CC4-5D6E-409C-BE32-E72D297353CC}">
                <c16:uniqueId val="{00000003-1909-4AF4-99CB-A3C20614C03A}"/>
              </c:ext>
            </c:extLst>
          </c:dPt>
          <c:dPt>
            <c:idx val="3"/>
            <c:invertIfNegative val="0"/>
            <c:bubble3D val="0"/>
            <c:spPr>
              <a:solidFill>
                <a:srgbClr val="00B050"/>
              </a:solidFill>
              <a:ln>
                <a:noFill/>
              </a:ln>
              <a:effectLst/>
            </c:spPr>
            <c:extLst>
              <c:ext xmlns:c16="http://schemas.microsoft.com/office/drawing/2014/chart" uri="{C3380CC4-5D6E-409C-BE32-E72D297353CC}">
                <c16:uniqueId val="{00000004-1909-4AF4-99CB-A3C20614C03A}"/>
              </c:ext>
            </c:extLst>
          </c:dPt>
          <c:dPt>
            <c:idx val="4"/>
            <c:invertIfNegative val="0"/>
            <c:bubble3D val="0"/>
            <c:spPr>
              <a:solidFill>
                <a:schemeClr val="accent3"/>
              </a:solidFill>
              <a:ln>
                <a:noFill/>
              </a:ln>
              <a:effectLst/>
            </c:spPr>
            <c:extLst>
              <c:ext xmlns:c16="http://schemas.microsoft.com/office/drawing/2014/chart" uri="{C3380CC4-5D6E-409C-BE32-E72D297353CC}">
                <c16:uniqueId val="{00000005-1909-4AF4-99CB-A3C20614C03A}"/>
              </c:ext>
            </c:extLst>
          </c:dPt>
          <c:dLbls>
            <c:dLbl>
              <c:idx val="5"/>
              <c:layout>
                <c:manualLayout>
                  <c:x val="6.2956707225409921E-3"/>
                  <c:y val="-3.77364321183985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09-4AF4-99CB-A3C20614C03A}"/>
                </c:ext>
              </c:extLst>
            </c:dLbl>
            <c:spPr>
              <a:noFill/>
              <a:ln>
                <a:noFill/>
              </a:ln>
              <a:effectLst/>
            </c:spPr>
            <c:txPr>
              <a:bodyPr rot="0" vert="horz"/>
              <a:lstStyle/>
              <a:p>
                <a:pPr>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Analyse!$C$165:$I$165</c:f>
              <c:strCache>
                <c:ptCount val="7"/>
                <c:pt idx="0">
                  <c:v>OMR</c:v>
                </c:pt>
                <c:pt idx="1">
                  <c:v>Verre</c:v>
                </c:pt>
                <c:pt idx="2">
                  <c:v>Recyclables 
hors verre</c:v>
                </c:pt>
                <c:pt idx="3">
                  <c:v> Déchèteries</c:v>
                </c:pt>
                <c:pt idx="4">
                  <c:v>Déchets verts</c:v>
                </c:pt>
                <c:pt idx="5">
                  <c:v>Encombrants</c:v>
                </c:pt>
                <c:pt idx="6">
                  <c:v>Autres flux</c:v>
                </c:pt>
              </c:strCache>
            </c:strRef>
          </c:cat>
          <c:val>
            <c:numRef>
              <c:f>Analyse!$C$166:$I$166</c:f>
              <c:numCache>
                <c:formatCode>#\ ##0" €HT/hab."</c:formatCode>
                <c:ptCount val="7"/>
              </c:numCache>
            </c:numRef>
          </c:val>
          <c:extLst>
            <c:ext xmlns:c16="http://schemas.microsoft.com/office/drawing/2014/chart" uri="{C3380CC4-5D6E-409C-BE32-E72D297353CC}">
              <c16:uniqueId val="{00000000-1909-4AF4-99CB-A3C20614C03A}"/>
            </c:ext>
          </c:extLst>
        </c:ser>
        <c:dLbls>
          <c:dLblPos val="outEnd"/>
          <c:showLegendKey val="0"/>
          <c:showVal val="1"/>
          <c:showCatName val="0"/>
          <c:showSerName val="0"/>
          <c:showPercent val="0"/>
          <c:showBubbleSize val="0"/>
        </c:dLbls>
        <c:gapWidth val="219"/>
        <c:overlap val="-27"/>
        <c:axId val="285132288"/>
        <c:axId val="284635648"/>
      </c:barChart>
      <c:catAx>
        <c:axId val="28513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050"/>
            </a:pPr>
            <a:endParaRPr lang="fr-FR"/>
          </a:p>
        </c:txPr>
        <c:crossAx val="284635648"/>
        <c:crosses val="autoZero"/>
        <c:auto val="1"/>
        <c:lblAlgn val="ctr"/>
        <c:lblOffset val="100"/>
        <c:noMultiLvlLbl val="0"/>
      </c:catAx>
      <c:valAx>
        <c:axId val="284635648"/>
        <c:scaling>
          <c:orientation val="minMax"/>
        </c:scaling>
        <c:delete val="0"/>
        <c:axPos val="l"/>
        <c:majorGridlines>
          <c:spPr>
            <a:ln w="9525" cap="flat" cmpd="sng" algn="ctr">
              <a:solidFill>
                <a:schemeClr val="tx1">
                  <a:lumMod val="15000"/>
                  <a:lumOff val="85000"/>
                </a:schemeClr>
              </a:solidFill>
              <a:round/>
            </a:ln>
            <a:effectLst/>
          </c:spPr>
        </c:majorGridlines>
        <c:numFmt formatCode="#\ ##0&quot; €HT/hab.&quot;" sourceLinked="1"/>
        <c:majorTickMark val="none"/>
        <c:minorTickMark val="none"/>
        <c:tickLblPos val="nextTo"/>
        <c:spPr>
          <a:noFill/>
          <a:ln>
            <a:noFill/>
          </a:ln>
          <a:effectLst/>
        </c:spPr>
        <c:txPr>
          <a:bodyPr rot="-60000000" vert="horz"/>
          <a:lstStyle/>
          <a:p>
            <a:pPr>
              <a:defRPr b="1"/>
            </a:pPr>
            <a:endParaRPr lang="fr-FR"/>
          </a:p>
        </c:txPr>
        <c:crossAx val="2851322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latin typeface="+mn-lt"/>
          <a:cs typeface="Arial" panose="020B060402020202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Part des dépenses de la responsabilité</a:t>
            </a:r>
            <a:r>
              <a:rPr lang="en-US" baseline="0"/>
              <a:t> directe de la collectivité</a:t>
            </a:r>
            <a:endParaRPr lang="en-US"/>
          </a:p>
        </c:rich>
      </c:tx>
      <c:layout>
        <c:manualLayout>
          <c:xMode val="edge"/>
          <c:yMode val="edge"/>
          <c:x val="0.14343715648476138"/>
          <c:y val="3.3027980943932327E-2"/>
        </c:manualLayout>
      </c:layout>
      <c:overlay val="1"/>
      <c:spPr>
        <a:noFill/>
        <a:ln>
          <a:noFill/>
        </a:ln>
        <a:effectLst/>
      </c:spPr>
    </c:title>
    <c:autoTitleDeleted val="0"/>
    <c:plotArea>
      <c:layout>
        <c:manualLayout>
          <c:layoutTarget val="inner"/>
          <c:xMode val="edge"/>
          <c:yMode val="edge"/>
          <c:x val="0.11233453489511741"/>
          <c:y val="0.27418582217888793"/>
          <c:w val="0.45631547232203107"/>
          <c:h val="0.50779203460894351"/>
        </c:manualLayout>
      </c:layout>
      <c:pieChart>
        <c:varyColors val="1"/>
        <c:ser>
          <c:idx val="0"/>
          <c:order val="0"/>
          <c:tx>
            <c:strRef>
              <c:f>Analyse!$A$115</c:f>
              <c:strCache>
                <c:ptCount val="1"/>
                <c:pt idx="0">
                  <c:v>ETAPE 3 : Part des dépenses de la responsabilité directe de la collectivité</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6C4-4F50-B7CD-7E8383DDE6B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76C4-4F50-B7CD-7E8383DDE6B6}"/>
              </c:ext>
            </c:extLst>
          </c:dPt>
          <c:dLbls>
            <c:dLbl>
              <c:idx val="1"/>
              <c:layout>
                <c:manualLayout>
                  <c:x val="1.4046369203850081E-3"/>
                  <c:y val="3.21321142292036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6C4-4F50-B7CD-7E8383DDE6B6}"/>
                </c:ext>
              </c:extLst>
            </c:dLbl>
            <c:dLbl>
              <c:idx val="2"/>
              <c:layout>
                <c:manualLayout>
                  <c:x val="-0.11586802141425337"/>
                  <c:y val="-0.1285927554332725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6C4-4F50-B7CD-7E8383DDE6B6}"/>
                </c:ext>
              </c:extLst>
            </c:dLbl>
            <c:dLbl>
              <c:idx val="4"/>
              <c:layout>
                <c:manualLayout>
                  <c:x val="0.13699235128660547"/>
                  <c:y val="9.811657729838588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6C4-4F50-B7CD-7E8383DDE6B6}"/>
                </c:ext>
              </c:extLst>
            </c:dLbl>
            <c:spPr>
              <a:noFill/>
              <a:ln>
                <a:noFill/>
              </a:ln>
              <a:effectLst/>
            </c:spPr>
            <c:txPr>
              <a:bodyPr rot="0" vert="horz"/>
              <a:lstStyle/>
              <a:p>
                <a:pPr>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Analyse!$A$122:$A$123</c:f>
              <c:strCache>
                <c:ptCount val="2"/>
                <c:pt idx="0">
                  <c:v>Part collectivité</c:v>
                </c:pt>
                <c:pt idx="1">
                  <c:v>Part syndicat</c:v>
                </c:pt>
              </c:strCache>
            </c:strRef>
          </c:cat>
          <c:val>
            <c:numRef>
              <c:f>Analyse!$B$122:$B$123</c:f>
              <c:numCache>
                <c:formatCode>0%</c:formatCode>
                <c:ptCount val="2"/>
                <c:pt idx="0">
                  <c:v>0</c:v>
                </c:pt>
                <c:pt idx="1">
                  <c:v>0</c:v>
                </c:pt>
              </c:numCache>
            </c:numRef>
          </c:val>
          <c:extLst>
            <c:ext xmlns:c16="http://schemas.microsoft.com/office/drawing/2014/chart" uri="{C3380CC4-5D6E-409C-BE32-E72D297353CC}">
              <c16:uniqueId val="{00000009-76C4-4F50-B7CD-7E8383DDE6B6}"/>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49626743957310865"/>
          <c:y val="0.19745282054923344"/>
          <c:w val="0.49682675396581871"/>
          <c:h val="0.65386588341648999"/>
        </c:manualLayout>
      </c:layout>
      <c:overlay val="0"/>
      <c:spPr>
        <a:noFill/>
        <a:ln>
          <a:noFill/>
        </a:ln>
        <a:effectLst/>
      </c:spPr>
      <c:txPr>
        <a:bodyPr rot="0" vert="horz"/>
        <a:lstStyle/>
        <a:p>
          <a:pPr rtl="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000" b="1">
          <a:latin typeface="+mn-lt"/>
          <a:cs typeface="Arial" panose="020B0604020202020204" pitchFamily="34" charset="0"/>
        </a:defRPr>
      </a:pPr>
      <a:endParaRPr lang="fr-FR"/>
    </a:p>
  </c:txPr>
  <c:printSettings>
    <c:headerFooter/>
    <c:pageMargins b="0.75000000000000366" l="0.70000000000000062" r="0.70000000000000062" t="0.75000000000000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Répartition des tonnages par flux</a:t>
            </a:r>
          </a:p>
        </c:rich>
      </c:tx>
      <c:overlay val="0"/>
      <c:spPr>
        <a:noFill/>
        <a:ln>
          <a:noFill/>
        </a:ln>
        <a:effectLst/>
      </c:spPr>
    </c:title>
    <c:autoTitleDeleted val="0"/>
    <c:plotArea>
      <c:layout>
        <c:manualLayout>
          <c:layoutTarget val="inner"/>
          <c:xMode val="edge"/>
          <c:yMode val="edge"/>
          <c:x val="5.9823281961936162E-2"/>
          <c:y val="0.24191502800900563"/>
          <c:w val="0.58413478960291254"/>
          <c:h val="0.57249564438968514"/>
        </c:manualLayout>
      </c:layout>
      <c:pieChart>
        <c:varyColors val="1"/>
        <c:ser>
          <c:idx val="0"/>
          <c:order val="0"/>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2-7417-42C3-AC7D-2E0AF61C7012}"/>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7417-42C3-AC7D-2E0AF61C701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417-42C3-AC7D-2E0AF61C7012}"/>
              </c:ext>
            </c:extLst>
          </c:dPt>
          <c:dPt>
            <c:idx val="3"/>
            <c:bubble3D val="0"/>
            <c:spPr>
              <a:solidFill>
                <a:srgbClr val="7030A0"/>
              </a:solidFill>
              <a:ln w="19050">
                <a:solidFill>
                  <a:schemeClr val="lt1"/>
                </a:solidFill>
              </a:ln>
              <a:effectLst/>
            </c:spPr>
            <c:extLst>
              <c:ext xmlns:c16="http://schemas.microsoft.com/office/drawing/2014/chart" uri="{C3380CC4-5D6E-409C-BE32-E72D297353CC}">
                <c16:uniqueId val="{00000005-7417-42C3-AC7D-2E0AF61C7012}"/>
              </c:ext>
            </c:extLst>
          </c:dPt>
          <c:dPt>
            <c:idx val="4"/>
            <c:bubble3D val="0"/>
            <c:spPr>
              <a:solidFill>
                <a:schemeClr val="accent1"/>
              </a:solidFill>
              <a:ln w="19050">
                <a:solidFill>
                  <a:schemeClr val="lt1"/>
                </a:solidFill>
              </a:ln>
              <a:effectLst/>
            </c:spPr>
            <c:extLst>
              <c:ext xmlns:c16="http://schemas.microsoft.com/office/drawing/2014/chart" uri="{C3380CC4-5D6E-409C-BE32-E72D297353CC}">
                <c16:uniqueId val="{00000009-1D7F-4939-A14E-831028B5A50E}"/>
              </c:ext>
            </c:extLst>
          </c:dPt>
          <c:dLbls>
            <c:dLbl>
              <c:idx val="0"/>
              <c:layout>
                <c:manualLayout>
                  <c:x val="-0.22616848700364067"/>
                  <c:y val="5.008794200441386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417-42C3-AC7D-2E0AF61C7012}"/>
                </c:ext>
              </c:extLst>
            </c:dLbl>
            <c:dLbl>
              <c:idx val="2"/>
              <c:layout>
                <c:manualLayout>
                  <c:x val="9.0322580645161285E-2"/>
                  <c:y val="6.255682042604413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417-42C3-AC7D-2E0AF61C7012}"/>
                </c:ext>
              </c:extLst>
            </c:dLbl>
            <c:dLbl>
              <c:idx val="3"/>
              <c:layout>
                <c:manualLayout>
                  <c:x val="0.12558326983320633"/>
                  <c:y val="8.008082897495698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417-42C3-AC7D-2E0AF61C7012}"/>
                </c:ext>
              </c:extLst>
            </c:dLbl>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Analyse!$C$40:$I$40</c:f>
              <c:strCache>
                <c:ptCount val="7"/>
                <c:pt idx="0">
                  <c:v>OMR</c:v>
                </c:pt>
                <c:pt idx="1">
                  <c:v>Verre</c:v>
                </c:pt>
                <c:pt idx="2">
                  <c:v>Recyclables 
hors verre</c:v>
                </c:pt>
                <c:pt idx="3">
                  <c:v>Déchèteries
hors gravats</c:v>
                </c:pt>
                <c:pt idx="4">
                  <c:v>Déchets verts</c:v>
                </c:pt>
                <c:pt idx="5">
                  <c:v>Encombrants</c:v>
                </c:pt>
                <c:pt idx="6">
                  <c:v>Autres flux*</c:v>
                </c:pt>
              </c:strCache>
            </c:strRef>
          </c:cat>
          <c:val>
            <c:numRef>
              <c:f>Analyse!$C$41:$I$41</c:f>
              <c:numCache>
                <c:formatCode>#\ ##0" kg/hab."</c:formatCode>
                <c:ptCount val="7"/>
              </c:numCache>
            </c:numRef>
          </c:val>
          <c:extLst>
            <c:ext xmlns:c16="http://schemas.microsoft.com/office/drawing/2014/chart" uri="{C3380CC4-5D6E-409C-BE32-E72D297353CC}">
              <c16:uniqueId val="{00000000-7417-42C3-AC7D-2E0AF61C7012}"/>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57673355346710697"/>
          <c:y val="0.18450627509931852"/>
          <c:w val="0.42126841348436106"/>
          <c:h val="0.78758445010521672"/>
        </c:manualLayout>
      </c:layout>
      <c:overlay val="0"/>
      <c:spPr>
        <a:noFill/>
        <a:ln>
          <a:noFill/>
        </a:ln>
        <a:effectLst/>
      </c:spPr>
      <c:txPr>
        <a:bodyPr rot="0" vert="horz"/>
        <a:lstStyle/>
        <a:p>
          <a:pPr>
            <a:defRPr sz="1000" b="1"/>
          </a:pPr>
          <a:endParaRPr lang="fr-FR"/>
        </a:p>
      </c:txPr>
    </c:legend>
    <c:plotVisOnly val="1"/>
    <c:dispBlanksAs val="gap"/>
    <c:showDLblsOverMax val="0"/>
  </c:chart>
  <c:spPr>
    <a:solidFill>
      <a:schemeClr val="bg1"/>
    </a:solidFill>
    <a:ln w="9525" cap="flat" cmpd="sng" algn="ctr">
      <a:noFill/>
      <a:round/>
    </a:ln>
    <a:effectLst/>
  </c:spPr>
  <c:txPr>
    <a:bodyPr/>
    <a:lstStyle/>
    <a:p>
      <a:pPr>
        <a:defRPr sz="1000">
          <a:latin typeface="+mn-lt"/>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200"/>
            </a:pPr>
            <a:r>
              <a:rPr lang="en-US" sz="1200"/>
              <a:t>Répartition du coût aidé par flux</a:t>
            </a:r>
          </a:p>
        </c:rich>
      </c:tx>
      <c:overlay val="0"/>
      <c:spPr>
        <a:noFill/>
        <a:ln>
          <a:noFill/>
        </a:ln>
        <a:effectLst/>
      </c:spPr>
    </c:title>
    <c:autoTitleDeleted val="0"/>
    <c:plotArea>
      <c:layout>
        <c:manualLayout>
          <c:layoutTarget val="inner"/>
          <c:xMode val="edge"/>
          <c:yMode val="edge"/>
          <c:x val="7.3001744875491617E-2"/>
          <c:y val="0.16780840943618164"/>
          <c:w val="0.57304049888153508"/>
          <c:h val="0.7276652000507543"/>
        </c:manualLayout>
      </c:layout>
      <c:pieChart>
        <c:varyColors val="1"/>
        <c:ser>
          <c:idx val="0"/>
          <c:order val="0"/>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D75D-4136-A45B-D4C8DE500345}"/>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75D-4136-A45B-D4C8DE500345}"/>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75D-4136-A45B-D4C8DE500345}"/>
              </c:ext>
            </c:extLst>
          </c:dPt>
          <c:dPt>
            <c:idx val="3"/>
            <c:bubble3D val="0"/>
            <c:spPr>
              <a:solidFill>
                <a:srgbClr val="7030A0"/>
              </a:solidFill>
              <a:ln w="19050">
                <a:solidFill>
                  <a:schemeClr val="lt1"/>
                </a:solidFill>
              </a:ln>
              <a:effectLst/>
            </c:spPr>
            <c:extLst>
              <c:ext xmlns:c16="http://schemas.microsoft.com/office/drawing/2014/chart" uri="{C3380CC4-5D6E-409C-BE32-E72D297353CC}">
                <c16:uniqueId val="{00000007-D75D-4136-A45B-D4C8DE50034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75D-4136-A45B-D4C8DE500345}"/>
              </c:ext>
            </c:extLst>
          </c:dPt>
          <c:dLbls>
            <c:dLbl>
              <c:idx val="0"/>
              <c:layout>
                <c:manualLayout>
                  <c:x val="-0.21886823614953357"/>
                  <c:y val="0.1067600175732749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75D-4136-A45B-D4C8DE500345}"/>
                </c:ext>
              </c:extLst>
            </c:dLbl>
            <c:dLbl>
              <c:idx val="1"/>
              <c:layout>
                <c:manualLayout>
                  <c:x val="2.0016022525054061E-2"/>
                  <c:y val="-4.105256900680478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75D-4136-A45B-D4C8DE500345}"/>
                </c:ext>
              </c:extLst>
            </c:dLbl>
            <c:dLbl>
              <c:idx val="2"/>
              <c:layout>
                <c:manualLayout>
                  <c:x val="2.9034685777685837E-2"/>
                  <c:y val="-3.675869862877215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75D-4136-A45B-D4C8DE500345}"/>
                </c:ext>
              </c:extLst>
            </c:dLbl>
            <c:dLbl>
              <c:idx val="3"/>
              <c:layout>
                <c:manualLayout>
                  <c:x val="0.15813113551877733"/>
                  <c:y val="0.135926821330605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75D-4136-A45B-D4C8DE500345}"/>
                </c:ext>
              </c:extLst>
            </c:dLbl>
            <c:dLbl>
              <c:idx val="4"/>
              <c:layout>
                <c:manualLayout>
                  <c:x val="-5.6496121773554531E-4"/>
                  <c:y val="1.892795078208099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75D-4136-A45B-D4C8DE500345}"/>
                </c:ext>
              </c:extLst>
            </c:dLbl>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Analyse!$C$165:$I$165</c:f>
              <c:strCache>
                <c:ptCount val="7"/>
                <c:pt idx="0">
                  <c:v>OMR</c:v>
                </c:pt>
                <c:pt idx="1">
                  <c:v>Verre</c:v>
                </c:pt>
                <c:pt idx="2">
                  <c:v>Recyclables 
hors verre</c:v>
                </c:pt>
                <c:pt idx="3">
                  <c:v> Déchèteries</c:v>
                </c:pt>
                <c:pt idx="4">
                  <c:v>Déchets verts</c:v>
                </c:pt>
                <c:pt idx="5">
                  <c:v>Encombrants</c:v>
                </c:pt>
                <c:pt idx="6">
                  <c:v>Autres flux</c:v>
                </c:pt>
              </c:strCache>
            </c:strRef>
          </c:cat>
          <c:val>
            <c:numRef>
              <c:f>Analyse!$C$166:$I$166</c:f>
              <c:numCache>
                <c:formatCode>#\ ##0" €HT/hab."</c:formatCode>
                <c:ptCount val="7"/>
              </c:numCache>
            </c:numRef>
          </c:val>
          <c:extLst>
            <c:ext xmlns:c16="http://schemas.microsoft.com/office/drawing/2014/chart" uri="{C3380CC4-5D6E-409C-BE32-E72D297353CC}">
              <c16:uniqueId val="{0000000A-D75D-4136-A45B-D4C8DE500345}"/>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63804120605236436"/>
          <c:y val="0.25681303790514559"/>
          <c:w val="0.3345202767233848"/>
          <c:h val="0.63576878471586395"/>
        </c:manualLayout>
      </c:layout>
      <c:overlay val="0"/>
      <c:spPr>
        <a:noFill/>
        <a:ln>
          <a:noFill/>
        </a:ln>
        <a:effectLst/>
      </c:spPr>
      <c:txPr>
        <a:bodyPr rot="0" vert="horz"/>
        <a:lstStyle/>
        <a:p>
          <a:pPr rtl="0">
            <a:defRPr sz="1050" b="1"/>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mn-lt"/>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Postes de charges</a:t>
            </a:r>
          </a:p>
        </c:rich>
      </c:tx>
      <c:layout>
        <c:manualLayout>
          <c:xMode val="edge"/>
          <c:yMode val="edge"/>
          <c:x val="0.29627256826821408"/>
          <c:y val="9.4584867389409244E-3"/>
        </c:manualLayout>
      </c:layout>
      <c:overlay val="1"/>
      <c:spPr>
        <a:noFill/>
        <a:ln>
          <a:noFill/>
        </a:ln>
        <a:effectLst/>
      </c:spPr>
    </c:title>
    <c:autoTitleDeleted val="0"/>
    <c:plotArea>
      <c:layout>
        <c:manualLayout>
          <c:layoutTarget val="inner"/>
          <c:xMode val="edge"/>
          <c:yMode val="edge"/>
          <c:x val="4.1599256121766674E-2"/>
          <c:y val="0.24966958276979145"/>
          <c:w val="0.48990695952377245"/>
          <c:h val="0.5257810383768483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6C4-4F50-B7CD-7E8383DDE6B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76C4-4F50-B7CD-7E8383DDE6B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76C4-4F50-B7CD-7E8383DDE6B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6-76C4-4F50-B7CD-7E8383DDE6B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8-76C4-4F50-B7CD-7E8383DDE6B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AEC-4FC7-88D1-C8927C044692}"/>
              </c:ext>
            </c:extLst>
          </c:dPt>
          <c:dLbls>
            <c:dLbl>
              <c:idx val="1"/>
              <c:layout>
                <c:manualLayout>
                  <c:x val="1.4046369203850081E-3"/>
                  <c:y val="3.21321142292036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6C4-4F50-B7CD-7E8383DDE6B6}"/>
                </c:ext>
              </c:extLst>
            </c:dLbl>
            <c:dLbl>
              <c:idx val="2"/>
              <c:layout>
                <c:manualLayout>
                  <c:x val="-0.11586802141425337"/>
                  <c:y val="-0.1285927554332725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6C4-4F50-B7CD-7E8383DDE6B6}"/>
                </c:ext>
              </c:extLst>
            </c:dLbl>
            <c:dLbl>
              <c:idx val="4"/>
              <c:layout>
                <c:manualLayout>
                  <c:x val="-0.123611127803944"/>
                  <c:y val="3.41881551911763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6C4-4F50-B7CD-7E8383DDE6B6}"/>
                </c:ext>
              </c:extLst>
            </c:dLbl>
            <c:spPr>
              <a:noFill/>
              <a:ln>
                <a:noFill/>
              </a:ln>
              <a:effectLst/>
            </c:spPr>
            <c:txPr>
              <a:bodyPr rot="0" vert="horz"/>
              <a:lstStyle/>
              <a:p>
                <a:pPr>
                  <a:defRPr/>
                </a:pPr>
                <a:endParaRPr lang="fr-FR"/>
              </a:p>
            </c:txPr>
            <c:showLegendKey val="0"/>
            <c:showVal val="0"/>
            <c:showCatName val="0"/>
            <c:showSerName val="0"/>
            <c:showPercent val="1"/>
            <c:showBubbleSize val="0"/>
            <c:showLeaderLines val="0"/>
            <c:extLst>
              <c:ext xmlns:c15="http://schemas.microsoft.com/office/drawing/2012/chart" uri="{CE6537A1-D6FC-4f65-9D91-7224C49458BB}"/>
            </c:extLst>
          </c:dLbls>
          <c:cat>
            <c:strRef>
              <c:f>Analyse!$A$92:$A$98</c:f>
              <c:strCache>
                <c:ptCount val="7"/>
                <c:pt idx="0">
                  <c:v>Structure</c:v>
                </c:pt>
                <c:pt idx="1">
                  <c:v>Communication</c:v>
                </c:pt>
                <c:pt idx="2">
                  <c:v>Prévention</c:v>
                </c:pt>
                <c:pt idx="3">
                  <c:v>Précollecte</c:v>
                </c:pt>
                <c:pt idx="4">
                  <c:v>Collecte</c:v>
                </c:pt>
                <c:pt idx="5">
                  <c:v>Transfert/transport</c:v>
                </c:pt>
                <c:pt idx="6">
                  <c:v>Traitement</c:v>
                </c:pt>
              </c:strCache>
            </c:strRef>
          </c:cat>
          <c:val>
            <c:numRef>
              <c:f>Analyse!$B$92:$B$98</c:f>
              <c:numCache>
                <c:formatCode>#\ ##0\ " k€"</c:formatCode>
                <c:ptCount val="7"/>
              </c:numCache>
            </c:numRef>
          </c:val>
          <c:extLst>
            <c:ext xmlns:c16="http://schemas.microsoft.com/office/drawing/2014/chart" uri="{C3380CC4-5D6E-409C-BE32-E72D297353CC}">
              <c16:uniqueId val="{00000009-76C4-4F50-B7CD-7E8383DDE6B6}"/>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0.49930012244559352"/>
          <c:y val="0.15830453882060319"/>
          <c:w val="0.49682675396581871"/>
          <c:h val="0.75064062346652427"/>
        </c:manualLayout>
      </c:layout>
      <c:overlay val="0"/>
      <c:spPr>
        <a:noFill/>
        <a:ln>
          <a:noFill/>
        </a:ln>
        <a:effectLst/>
      </c:spPr>
      <c:txPr>
        <a:bodyPr rot="0" vert="horz"/>
        <a:lstStyle/>
        <a:p>
          <a:pPr rtl="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000" b="1">
          <a:latin typeface="+mn-lt"/>
          <a:cs typeface="Arial" panose="020B0604020202020204" pitchFamily="34" charset="0"/>
        </a:defRPr>
      </a:pPr>
      <a:endParaRPr lang="fr-FR"/>
    </a:p>
  </c:txPr>
  <c:printSettings>
    <c:headerFooter/>
    <c:pageMargins b="0.75000000000000366" l="0.70000000000000062" r="0.70000000000000062" t="0.75000000000000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Postes de recettes</a:t>
            </a:r>
          </a:p>
        </c:rich>
      </c:tx>
      <c:overlay val="1"/>
      <c:spPr>
        <a:noFill/>
        <a:ln>
          <a:noFill/>
        </a:ln>
        <a:effectLst/>
      </c:spPr>
    </c:title>
    <c:autoTitleDeleted val="0"/>
    <c:plotArea>
      <c:layout>
        <c:manualLayout>
          <c:layoutTarget val="inner"/>
          <c:xMode val="edge"/>
          <c:yMode val="edge"/>
          <c:x val="9.6887802455706815E-2"/>
          <c:y val="0.26550868600003397"/>
          <c:w val="0.34261686874717961"/>
          <c:h val="0.6370718087554807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01-4095-A71A-FB8C0C26A18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0901-4095-A71A-FB8C0C26A18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0901-4095-A71A-FB8C0C26A18F}"/>
              </c:ext>
            </c:extLst>
          </c:dPt>
          <c:dLbls>
            <c:spPr>
              <a:noFill/>
              <a:ln>
                <a:noFill/>
              </a:ln>
              <a:effectLst/>
            </c:spPr>
            <c:txPr>
              <a:bodyPr rot="0" vert="horz"/>
              <a:lstStyle/>
              <a:p>
                <a:pPr>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Analyse!$A$104:$A$108</c:f>
              <c:strCache>
                <c:ptCount val="5"/>
                <c:pt idx="0">
                  <c:v>Ventes de produits ou d'énergie</c:v>
                </c:pt>
                <c:pt idx="1">
                  <c:v>Prestations à des tiers</c:v>
                </c:pt>
                <c:pt idx="2">
                  <c:v>Autres produits</c:v>
                </c:pt>
                <c:pt idx="3">
                  <c:v>Soutiens</c:v>
                </c:pt>
                <c:pt idx="4">
                  <c:v>Aides</c:v>
                </c:pt>
              </c:strCache>
            </c:strRef>
          </c:cat>
          <c:val>
            <c:numRef>
              <c:f>Analyse!$B$104:$B$108</c:f>
              <c:numCache>
                <c:formatCode>#\ ##0\ " k€"</c:formatCode>
                <c:ptCount val="5"/>
              </c:numCache>
            </c:numRef>
          </c:val>
          <c:extLst>
            <c:ext xmlns:c16="http://schemas.microsoft.com/office/drawing/2014/chart" uri="{C3380CC4-5D6E-409C-BE32-E72D297353CC}">
              <c16:uniqueId val="{00000009-0901-4095-A71A-FB8C0C26A18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vert="horz"/>
        <a:lstStyle/>
        <a:p>
          <a:pPr>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000" b="1">
          <a:latin typeface="+mn-lt"/>
          <a:cs typeface="Arial" panose="020B0604020202020204" pitchFamily="34" charset="0"/>
        </a:defRPr>
      </a:pPr>
      <a:endParaRPr lang="fr-FR"/>
    </a:p>
  </c:txPr>
  <c:printSettings>
    <c:headerFooter/>
    <c:pageMargins b="0.75000000000000366" l="0.70000000000000062" r="0.70000000000000062" t="0.75000000000000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Coût aidé en €HT/tonne par flux</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75000"/>
                </a:schemeClr>
              </a:solidFill>
              <a:ln>
                <a:noFill/>
              </a:ln>
              <a:effectLst/>
            </c:spPr>
            <c:extLst>
              <c:ext xmlns:c16="http://schemas.microsoft.com/office/drawing/2014/chart" uri="{C3380CC4-5D6E-409C-BE32-E72D297353CC}">
                <c16:uniqueId val="{00000001-1909-4AF4-99CB-A3C20614C03A}"/>
              </c:ext>
            </c:extLst>
          </c:dPt>
          <c:dPt>
            <c:idx val="1"/>
            <c:invertIfNegative val="0"/>
            <c:bubble3D val="0"/>
            <c:spPr>
              <a:solidFill>
                <a:srgbClr val="92D050"/>
              </a:solidFill>
              <a:ln>
                <a:noFill/>
              </a:ln>
              <a:effectLst/>
            </c:spPr>
            <c:extLst>
              <c:ext xmlns:c16="http://schemas.microsoft.com/office/drawing/2014/chart" uri="{C3380CC4-5D6E-409C-BE32-E72D297353CC}">
                <c16:uniqueId val="{00000002-1909-4AF4-99CB-A3C20614C03A}"/>
              </c:ext>
            </c:extLst>
          </c:dPt>
          <c:dPt>
            <c:idx val="2"/>
            <c:invertIfNegative val="0"/>
            <c:bubble3D val="0"/>
            <c:spPr>
              <a:solidFill>
                <a:srgbClr val="FFC000"/>
              </a:solidFill>
              <a:ln>
                <a:noFill/>
              </a:ln>
              <a:effectLst/>
            </c:spPr>
            <c:extLst>
              <c:ext xmlns:c16="http://schemas.microsoft.com/office/drawing/2014/chart" uri="{C3380CC4-5D6E-409C-BE32-E72D297353CC}">
                <c16:uniqueId val="{00000003-1909-4AF4-99CB-A3C20614C03A}"/>
              </c:ext>
            </c:extLst>
          </c:dPt>
          <c:dPt>
            <c:idx val="3"/>
            <c:invertIfNegative val="0"/>
            <c:bubble3D val="0"/>
            <c:spPr>
              <a:solidFill>
                <a:srgbClr val="00B050"/>
              </a:solidFill>
              <a:ln>
                <a:noFill/>
              </a:ln>
              <a:effectLst/>
            </c:spPr>
            <c:extLst>
              <c:ext xmlns:c16="http://schemas.microsoft.com/office/drawing/2014/chart" uri="{C3380CC4-5D6E-409C-BE32-E72D297353CC}">
                <c16:uniqueId val="{00000004-1909-4AF4-99CB-A3C20614C03A}"/>
              </c:ext>
            </c:extLst>
          </c:dPt>
          <c:dPt>
            <c:idx val="4"/>
            <c:invertIfNegative val="0"/>
            <c:bubble3D val="0"/>
            <c:spPr>
              <a:solidFill>
                <a:schemeClr val="accent3"/>
              </a:solidFill>
              <a:ln>
                <a:noFill/>
              </a:ln>
              <a:effectLst/>
            </c:spPr>
            <c:extLst>
              <c:ext xmlns:c16="http://schemas.microsoft.com/office/drawing/2014/chart" uri="{C3380CC4-5D6E-409C-BE32-E72D297353CC}">
                <c16:uniqueId val="{00000005-1909-4AF4-99CB-A3C20614C03A}"/>
              </c:ext>
            </c:extLst>
          </c:dPt>
          <c:dPt>
            <c:idx val="5"/>
            <c:invertIfNegative val="0"/>
            <c:bubble3D val="0"/>
            <c:spPr>
              <a:solidFill>
                <a:schemeClr val="bg1">
                  <a:lumMod val="50000"/>
                </a:schemeClr>
              </a:solidFill>
              <a:ln>
                <a:noFill/>
              </a:ln>
              <a:effectLst/>
            </c:spPr>
            <c:extLst>
              <c:ext xmlns:c16="http://schemas.microsoft.com/office/drawing/2014/chart" uri="{C3380CC4-5D6E-409C-BE32-E72D297353CC}">
                <c16:uniqueId val="{00000006-1909-4AF4-99CB-A3C20614C03A}"/>
              </c:ext>
            </c:extLst>
          </c:dPt>
          <c:dLbls>
            <c:dLbl>
              <c:idx val="5"/>
              <c:layout>
                <c:manualLayout>
                  <c:x val="6.2956707225409921E-3"/>
                  <c:y val="-3.77364321183985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09-4AF4-99CB-A3C20614C03A}"/>
                </c:ext>
              </c:extLst>
            </c:dLbl>
            <c:spPr>
              <a:noFill/>
              <a:ln>
                <a:noFill/>
              </a:ln>
              <a:effectLst/>
            </c:spPr>
            <c:txPr>
              <a:bodyPr rot="0" vert="horz"/>
              <a:lstStyle/>
              <a:p>
                <a:pPr>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Analyse!$B$185:$I$185</c:f>
              <c:strCache>
                <c:ptCount val="8"/>
                <c:pt idx="0">
                  <c:v>Tous flux</c:v>
                </c:pt>
                <c:pt idx="1">
                  <c:v>OMR</c:v>
                </c:pt>
                <c:pt idx="2">
                  <c:v>Verre</c:v>
                </c:pt>
                <c:pt idx="3">
                  <c:v>Recyclables 
hors verre</c:v>
                </c:pt>
                <c:pt idx="4">
                  <c:v> Déchèteries</c:v>
                </c:pt>
                <c:pt idx="5">
                  <c:v>Déchets verts</c:v>
                </c:pt>
                <c:pt idx="6">
                  <c:v>Encombrants</c:v>
                </c:pt>
                <c:pt idx="7">
                  <c:v>Autres flux</c:v>
                </c:pt>
              </c:strCache>
            </c:strRef>
          </c:cat>
          <c:val>
            <c:numRef>
              <c:f>Analyse!$B$186:$I$186</c:f>
              <c:numCache>
                <c:formatCode>#\ ##0" €HT/t"</c:formatCode>
                <c:ptCount val="8"/>
              </c:numCache>
            </c:numRef>
          </c:val>
          <c:extLst>
            <c:ext xmlns:c16="http://schemas.microsoft.com/office/drawing/2014/chart" uri="{C3380CC4-5D6E-409C-BE32-E72D297353CC}">
              <c16:uniqueId val="{00000000-1909-4AF4-99CB-A3C20614C03A}"/>
            </c:ext>
          </c:extLst>
        </c:ser>
        <c:dLbls>
          <c:dLblPos val="outEnd"/>
          <c:showLegendKey val="0"/>
          <c:showVal val="1"/>
          <c:showCatName val="0"/>
          <c:showSerName val="0"/>
          <c:showPercent val="0"/>
          <c:showBubbleSize val="0"/>
        </c:dLbls>
        <c:gapWidth val="219"/>
        <c:overlap val="-27"/>
        <c:axId val="270382592"/>
        <c:axId val="158940480"/>
      </c:barChart>
      <c:catAx>
        <c:axId val="27038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100"/>
            </a:pPr>
            <a:endParaRPr lang="fr-FR"/>
          </a:p>
        </c:txPr>
        <c:crossAx val="158940480"/>
        <c:crosses val="autoZero"/>
        <c:auto val="1"/>
        <c:lblAlgn val="ctr"/>
        <c:lblOffset val="100"/>
        <c:noMultiLvlLbl val="0"/>
      </c:catAx>
      <c:valAx>
        <c:axId val="158940480"/>
        <c:scaling>
          <c:orientation val="minMax"/>
        </c:scaling>
        <c:delete val="0"/>
        <c:axPos val="l"/>
        <c:majorGridlines>
          <c:spPr>
            <a:ln w="9525" cap="flat" cmpd="sng" algn="ctr">
              <a:solidFill>
                <a:schemeClr val="tx1">
                  <a:lumMod val="15000"/>
                  <a:lumOff val="85000"/>
                </a:schemeClr>
              </a:solidFill>
              <a:round/>
            </a:ln>
            <a:effectLst/>
          </c:spPr>
        </c:majorGridlines>
        <c:numFmt formatCode="#\ ##0&quot; €HT/t&quot;" sourceLinked="1"/>
        <c:majorTickMark val="none"/>
        <c:minorTickMark val="none"/>
        <c:tickLblPos val="nextTo"/>
        <c:spPr>
          <a:noFill/>
          <a:ln>
            <a:noFill/>
          </a:ln>
          <a:effectLst/>
        </c:spPr>
        <c:txPr>
          <a:bodyPr rot="-60000000" vert="horz"/>
          <a:lstStyle/>
          <a:p>
            <a:pPr>
              <a:defRPr sz="1100" b="1"/>
            </a:pPr>
            <a:endParaRPr lang="fr-FR"/>
          </a:p>
        </c:txPr>
        <c:crossAx val="2703825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latin typeface="+mn-lt"/>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Évolution des ratios collectés</a:t>
            </a:r>
          </a:p>
        </c:rich>
      </c:tx>
      <c:overlay val="0"/>
      <c:spPr>
        <a:noFill/>
        <a:ln>
          <a:noFill/>
        </a:ln>
        <a:effectLst/>
      </c:spPr>
    </c:title>
    <c:autoTitleDeleted val="0"/>
    <c:plotArea>
      <c:layout/>
      <c:lineChart>
        <c:grouping val="standard"/>
        <c:varyColors val="0"/>
        <c:ser>
          <c:idx val="0"/>
          <c:order val="0"/>
          <c:tx>
            <c:strRef>
              <c:f>Analyse!$B$284</c:f>
              <c:strCache>
                <c:ptCount val="1"/>
                <c:pt idx="0">
                  <c:v>Tous flux</c:v>
                </c:pt>
              </c:strCache>
            </c:strRef>
          </c:tx>
          <c:spPr>
            <a:ln w="28575" cap="rnd">
              <a:solidFill>
                <a:srgbClr val="C00000"/>
              </a:solidFill>
              <a:round/>
            </a:ln>
            <a:effectLst/>
          </c:spPr>
          <c:marker>
            <c:symbol val="none"/>
          </c:marker>
          <c:cat>
            <c:numRef>
              <c:f>Analyse!$A$285:$A$298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Analyse!$B$285:$B$298</c:f>
              <c:numCache>
                <c:formatCode>#\ ##0" kg/hab."</c:formatCode>
                <c:ptCount val="14"/>
              </c:numCache>
            </c:numRef>
          </c:val>
          <c:smooth val="0"/>
          <c:extLst>
            <c:ext xmlns:c16="http://schemas.microsoft.com/office/drawing/2014/chart" uri="{C3380CC4-5D6E-409C-BE32-E72D297353CC}">
              <c16:uniqueId val="{00000000-55F4-4641-BF1B-72629AEB6B9D}"/>
            </c:ext>
          </c:extLst>
        </c:ser>
        <c:ser>
          <c:idx val="1"/>
          <c:order val="1"/>
          <c:tx>
            <c:strRef>
              <c:f>Analyse!$C$284</c:f>
              <c:strCache>
                <c:ptCount val="1"/>
                <c:pt idx="0">
                  <c:v>OMR</c:v>
                </c:pt>
              </c:strCache>
            </c:strRef>
          </c:tx>
          <c:spPr>
            <a:ln w="28575" cap="rnd">
              <a:solidFill>
                <a:schemeClr val="bg1">
                  <a:lumMod val="75000"/>
                </a:schemeClr>
              </a:solidFill>
              <a:round/>
            </a:ln>
            <a:effectLst/>
          </c:spPr>
          <c:marker>
            <c:symbol val="none"/>
          </c:marker>
          <c:cat>
            <c:numRef>
              <c:f>Analyse!$A$285:$A$298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Analyse!$C$285:$C$298</c:f>
              <c:numCache>
                <c:formatCode>#\ ##0" kg/hab."</c:formatCode>
                <c:ptCount val="14"/>
              </c:numCache>
            </c:numRef>
          </c:val>
          <c:smooth val="0"/>
          <c:extLst>
            <c:ext xmlns:c16="http://schemas.microsoft.com/office/drawing/2014/chart" uri="{C3380CC4-5D6E-409C-BE32-E72D297353CC}">
              <c16:uniqueId val="{00000001-55F4-4641-BF1B-72629AEB6B9D}"/>
            </c:ext>
          </c:extLst>
        </c:ser>
        <c:ser>
          <c:idx val="2"/>
          <c:order val="2"/>
          <c:tx>
            <c:strRef>
              <c:f>Analyse!$D$284</c:f>
              <c:strCache>
                <c:ptCount val="1"/>
                <c:pt idx="0">
                  <c:v>Verre</c:v>
                </c:pt>
              </c:strCache>
            </c:strRef>
          </c:tx>
          <c:spPr>
            <a:ln w="28575" cap="rnd">
              <a:solidFill>
                <a:srgbClr val="92D050"/>
              </a:solidFill>
              <a:round/>
            </a:ln>
            <a:effectLst/>
          </c:spPr>
          <c:marker>
            <c:symbol val="none"/>
          </c:marker>
          <c:cat>
            <c:numRef>
              <c:f>Analyse!$A$285:$A$298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Analyse!$D$285:$D$298</c:f>
              <c:numCache>
                <c:formatCode>#\ ##0" kg/hab."</c:formatCode>
                <c:ptCount val="14"/>
              </c:numCache>
            </c:numRef>
          </c:val>
          <c:smooth val="0"/>
          <c:extLst>
            <c:ext xmlns:c16="http://schemas.microsoft.com/office/drawing/2014/chart" uri="{C3380CC4-5D6E-409C-BE32-E72D297353CC}">
              <c16:uniqueId val="{00000002-55F4-4641-BF1B-72629AEB6B9D}"/>
            </c:ext>
          </c:extLst>
        </c:ser>
        <c:ser>
          <c:idx val="3"/>
          <c:order val="3"/>
          <c:tx>
            <c:strRef>
              <c:f>Analyse!$E$284</c:f>
              <c:strCache>
                <c:ptCount val="1"/>
                <c:pt idx="0">
                  <c:v>Recyclables 
hors verre</c:v>
                </c:pt>
              </c:strCache>
            </c:strRef>
          </c:tx>
          <c:spPr>
            <a:ln w="28575" cap="rnd">
              <a:solidFill>
                <a:srgbClr val="FFC000"/>
              </a:solidFill>
              <a:round/>
            </a:ln>
            <a:effectLst/>
          </c:spPr>
          <c:marker>
            <c:symbol val="none"/>
          </c:marker>
          <c:cat>
            <c:numRef>
              <c:f>Analyse!$A$285:$A$298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Analyse!$E$285:$E$298</c:f>
              <c:numCache>
                <c:formatCode>#\ ##0" kg/hab."</c:formatCode>
                <c:ptCount val="14"/>
              </c:numCache>
            </c:numRef>
          </c:val>
          <c:smooth val="0"/>
          <c:extLst>
            <c:ext xmlns:c16="http://schemas.microsoft.com/office/drawing/2014/chart" uri="{C3380CC4-5D6E-409C-BE32-E72D297353CC}">
              <c16:uniqueId val="{00000003-55F4-4641-BF1B-72629AEB6B9D}"/>
            </c:ext>
          </c:extLst>
        </c:ser>
        <c:ser>
          <c:idx val="4"/>
          <c:order val="4"/>
          <c:tx>
            <c:strRef>
              <c:f>Analyse!$F$284</c:f>
              <c:strCache>
                <c:ptCount val="1"/>
                <c:pt idx="0">
                  <c:v> Déchèteries
hors gravats</c:v>
                </c:pt>
              </c:strCache>
            </c:strRef>
          </c:tx>
          <c:spPr>
            <a:ln w="28575" cap="rnd">
              <a:solidFill>
                <a:srgbClr val="7030A0"/>
              </a:solidFill>
              <a:round/>
            </a:ln>
            <a:effectLst/>
          </c:spPr>
          <c:marker>
            <c:symbol val="none"/>
          </c:marker>
          <c:cat>
            <c:numRef>
              <c:f>Analyse!$A$285:$A$298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Analyse!$F$285:$F$298</c:f>
              <c:numCache>
                <c:formatCode>#\ ##0" kg/hab."</c:formatCode>
                <c:ptCount val="14"/>
              </c:numCache>
            </c:numRef>
          </c:val>
          <c:smooth val="0"/>
          <c:extLst>
            <c:ext xmlns:c16="http://schemas.microsoft.com/office/drawing/2014/chart" uri="{C3380CC4-5D6E-409C-BE32-E72D297353CC}">
              <c16:uniqueId val="{00000004-55F4-4641-BF1B-72629AEB6B9D}"/>
            </c:ext>
          </c:extLst>
        </c:ser>
        <c:ser>
          <c:idx val="6"/>
          <c:order val="5"/>
          <c:tx>
            <c:strRef>
              <c:f>Analyse!$I$284</c:f>
              <c:strCache>
                <c:ptCount val="1"/>
                <c:pt idx="0">
                  <c:v>Autres flux</c:v>
                </c:pt>
              </c:strCache>
            </c:strRef>
          </c:tx>
          <c:spPr>
            <a:ln w="28575" cap="rnd">
              <a:solidFill>
                <a:schemeClr val="bg2">
                  <a:lumMod val="50000"/>
                </a:schemeClr>
              </a:solidFill>
              <a:round/>
            </a:ln>
            <a:effectLst/>
          </c:spPr>
          <c:marker>
            <c:symbol val="none"/>
          </c:marker>
          <c:cat>
            <c:numRef>
              <c:f>Analyse!$A$285:$A$298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Analyse!$I$285:$I$298</c:f>
              <c:numCache>
                <c:formatCode>#\ ##0" kg/hab."</c:formatCode>
                <c:ptCount val="14"/>
              </c:numCache>
            </c:numRef>
          </c:val>
          <c:smooth val="0"/>
          <c:extLst>
            <c:ext xmlns:c16="http://schemas.microsoft.com/office/drawing/2014/chart" uri="{C3380CC4-5D6E-409C-BE32-E72D297353CC}">
              <c16:uniqueId val="{00000006-55F4-4641-BF1B-72629AEB6B9D}"/>
            </c:ext>
          </c:extLst>
        </c:ser>
        <c:dLbls>
          <c:showLegendKey val="0"/>
          <c:showVal val="0"/>
          <c:showCatName val="0"/>
          <c:showSerName val="0"/>
          <c:showPercent val="0"/>
          <c:showBubbleSize val="0"/>
        </c:dLbls>
        <c:smooth val="0"/>
        <c:axId val="270383616"/>
        <c:axId val="284050560"/>
      </c:lineChart>
      <c:catAx>
        <c:axId val="27038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050560"/>
        <c:crosses val="autoZero"/>
        <c:auto val="1"/>
        <c:lblAlgn val="ctr"/>
        <c:lblOffset val="100"/>
        <c:noMultiLvlLbl val="0"/>
      </c:catAx>
      <c:valAx>
        <c:axId val="284050560"/>
        <c:scaling>
          <c:orientation val="minMax"/>
        </c:scaling>
        <c:delete val="0"/>
        <c:axPos val="l"/>
        <c:majorGridlines>
          <c:spPr>
            <a:ln w="9525" cap="flat" cmpd="sng" algn="ctr">
              <a:solidFill>
                <a:schemeClr val="tx1">
                  <a:lumMod val="15000"/>
                  <a:lumOff val="85000"/>
                </a:schemeClr>
              </a:solidFill>
              <a:round/>
            </a:ln>
            <a:effectLst/>
          </c:spPr>
        </c:majorGridlines>
        <c:numFmt formatCode="#\ ##0&quot; kg/hab.&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70383616"/>
        <c:crosses val="autoZero"/>
        <c:crossBetween val="between"/>
      </c:valAx>
      <c:spPr>
        <a:noFill/>
        <a:ln>
          <a:noFill/>
        </a:ln>
        <a:effectLst/>
      </c:spPr>
    </c:plotArea>
    <c:legend>
      <c:legendPos val="b"/>
      <c:layout>
        <c:manualLayout>
          <c:xMode val="edge"/>
          <c:yMode val="edge"/>
          <c:x val="9.1610439795764276E-2"/>
          <c:y val="0.90181075571196068"/>
          <c:w val="0.84217631299768558"/>
          <c:h val="9.81892442880392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coûts aidés en €HT/habitant</a:t>
            </a:r>
          </a:p>
        </c:rich>
      </c:tx>
      <c:overlay val="0"/>
      <c:spPr>
        <a:noFill/>
        <a:ln>
          <a:noFill/>
        </a:ln>
        <a:effectLst/>
      </c:spPr>
    </c:title>
    <c:autoTitleDeleted val="0"/>
    <c:plotArea>
      <c:layout>
        <c:manualLayout>
          <c:layoutTarget val="inner"/>
          <c:xMode val="edge"/>
          <c:yMode val="edge"/>
          <c:x val="0.13986740723913221"/>
          <c:y val="0.10413994777559912"/>
          <c:w val="0.82233681100819511"/>
          <c:h val="0.7468425373073283"/>
        </c:manualLayout>
      </c:layout>
      <c:lineChart>
        <c:grouping val="standard"/>
        <c:varyColors val="0"/>
        <c:ser>
          <c:idx val="0"/>
          <c:order val="0"/>
          <c:tx>
            <c:strRef>
              <c:f>Analyse!$B$304</c:f>
              <c:strCache>
                <c:ptCount val="1"/>
                <c:pt idx="0">
                  <c:v>Tous flux</c:v>
                </c:pt>
              </c:strCache>
            </c:strRef>
          </c:tx>
          <c:spPr>
            <a:ln w="28575" cap="rnd">
              <a:solidFill>
                <a:srgbClr val="C00000"/>
              </a:solidFill>
              <a:round/>
            </a:ln>
            <a:effectLst/>
          </c:spPr>
          <c:marker>
            <c:symbol val="none"/>
          </c:marker>
          <c:cat>
            <c:numRef>
              <c:f>Analyse!$A$305:$A$318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Analyse!$B$305:$B$318</c:f>
              <c:numCache>
                <c:formatCode>#\ ##0" €HT/hab."</c:formatCode>
                <c:ptCount val="14"/>
              </c:numCache>
            </c:numRef>
          </c:val>
          <c:smooth val="0"/>
          <c:extLst>
            <c:ext xmlns:c16="http://schemas.microsoft.com/office/drawing/2014/chart" uri="{C3380CC4-5D6E-409C-BE32-E72D297353CC}">
              <c16:uniqueId val="{00000000-65C5-4431-90A3-A9AD84F763F0}"/>
            </c:ext>
          </c:extLst>
        </c:ser>
        <c:ser>
          <c:idx val="1"/>
          <c:order val="1"/>
          <c:tx>
            <c:strRef>
              <c:f>Analyse!$C$304</c:f>
              <c:strCache>
                <c:ptCount val="1"/>
                <c:pt idx="0">
                  <c:v>OMR</c:v>
                </c:pt>
              </c:strCache>
            </c:strRef>
          </c:tx>
          <c:spPr>
            <a:ln w="28575" cap="rnd">
              <a:solidFill>
                <a:schemeClr val="bg1">
                  <a:lumMod val="75000"/>
                </a:schemeClr>
              </a:solidFill>
              <a:round/>
            </a:ln>
            <a:effectLst/>
          </c:spPr>
          <c:marker>
            <c:symbol val="none"/>
          </c:marker>
          <c:cat>
            <c:numRef>
              <c:f>Analyse!$A$305:$A$318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Analyse!$C$305:$C$318</c:f>
              <c:numCache>
                <c:formatCode>#\ ##0" €HT/hab."</c:formatCode>
                <c:ptCount val="14"/>
              </c:numCache>
            </c:numRef>
          </c:val>
          <c:smooth val="0"/>
          <c:extLst>
            <c:ext xmlns:c16="http://schemas.microsoft.com/office/drawing/2014/chart" uri="{C3380CC4-5D6E-409C-BE32-E72D297353CC}">
              <c16:uniqueId val="{00000001-65C5-4431-90A3-A9AD84F763F0}"/>
            </c:ext>
          </c:extLst>
        </c:ser>
        <c:ser>
          <c:idx val="2"/>
          <c:order val="2"/>
          <c:tx>
            <c:strRef>
              <c:f>Analyse!$D$304</c:f>
              <c:strCache>
                <c:ptCount val="1"/>
                <c:pt idx="0">
                  <c:v>Verre</c:v>
                </c:pt>
              </c:strCache>
            </c:strRef>
          </c:tx>
          <c:spPr>
            <a:ln w="28575" cap="rnd">
              <a:solidFill>
                <a:schemeClr val="accent3"/>
              </a:solidFill>
              <a:round/>
            </a:ln>
            <a:effectLst/>
          </c:spPr>
          <c:marker>
            <c:symbol val="none"/>
          </c:marker>
          <c:cat>
            <c:numRef>
              <c:f>Analyse!$A$305:$A$318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Analyse!$D$305:$D$318</c:f>
              <c:numCache>
                <c:formatCode>#\ ##0" €HT/hab."</c:formatCode>
                <c:ptCount val="14"/>
              </c:numCache>
            </c:numRef>
          </c:val>
          <c:smooth val="0"/>
          <c:extLst>
            <c:ext xmlns:c16="http://schemas.microsoft.com/office/drawing/2014/chart" uri="{C3380CC4-5D6E-409C-BE32-E72D297353CC}">
              <c16:uniqueId val="{00000002-65C5-4431-90A3-A9AD84F763F0}"/>
            </c:ext>
          </c:extLst>
        </c:ser>
        <c:ser>
          <c:idx val="3"/>
          <c:order val="3"/>
          <c:tx>
            <c:strRef>
              <c:f>Analyse!$E$304</c:f>
              <c:strCache>
                <c:ptCount val="1"/>
                <c:pt idx="0">
                  <c:v>Recyclables 
hors verre</c:v>
                </c:pt>
              </c:strCache>
            </c:strRef>
          </c:tx>
          <c:spPr>
            <a:ln w="28575" cap="rnd">
              <a:solidFill>
                <a:srgbClr val="FFC000"/>
              </a:solidFill>
              <a:round/>
            </a:ln>
            <a:effectLst/>
          </c:spPr>
          <c:marker>
            <c:symbol val="none"/>
          </c:marker>
          <c:cat>
            <c:numRef>
              <c:f>Analyse!$A$305:$A$318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Analyse!$E$305:$E$318</c:f>
              <c:numCache>
                <c:formatCode>#\ ##0" €HT/hab."</c:formatCode>
                <c:ptCount val="14"/>
              </c:numCache>
            </c:numRef>
          </c:val>
          <c:smooth val="0"/>
          <c:extLst>
            <c:ext xmlns:c16="http://schemas.microsoft.com/office/drawing/2014/chart" uri="{C3380CC4-5D6E-409C-BE32-E72D297353CC}">
              <c16:uniqueId val="{00000003-65C5-4431-90A3-A9AD84F763F0}"/>
            </c:ext>
          </c:extLst>
        </c:ser>
        <c:ser>
          <c:idx val="4"/>
          <c:order val="4"/>
          <c:tx>
            <c:strRef>
              <c:f>Analyse!$F$304</c:f>
              <c:strCache>
                <c:ptCount val="1"/>
                <c:pt idx="0">
                  <c:v> Déchèteries
hors gravats</c:v>
                </c:pt>
              </c:strCache>
            </c:strRef>
          </c:tx>
          <c:spPr>
            <a:ln w="28575" cap="rnd">
              <a:solidFill>
                <a:srgbClr val="7030A0"/>
              </a:solidFill>
              <a:round/>
            </a:ln>
            <a:effectLst/>
          </c:spPr>
          <c:marker>
            <c:symbol val="none"/>
          </c:marker>
          <c:cat>
            <c:numRef>
              <c:f>Analyse!$A$305:$A$318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Analyse!$F$305:$F$318</c:f>
              <c:numCache>
                <c:formatCode>#\ ##0" €HT/hab."</c:formatCode>
                <c:ptCount val="14"/>
              </c:numCache>
            </c:numRef>
          </c:val>
          <c:smooth val="0"/>
          <c:extLst>
            <c:ext xmlns:c16="http://schemas.microsoft.com/office/drawing/2014/chart" uri="{C3380CC4-5D6E-409C-BE32-E72D297353CC}">
              <c16:uniqueId val="{00000004-65C5-4431-90A3-A9AD84F763F0}"/>
            </c:ext>
          </c:extLst>
        </c:ser>
        <c:ser>
          <c:idx val="5"/>
          <c:order val="5"/>
          <c:tx>
            <c:strRef>
              <c:f>Analyse!$I$304</c:f>
              <c:strCache>
                <c:ptCount val="1"/>
                <c:pt idx="0">
                  <c:v>Autres flux</c:v>
                </c:pt>
              </c:strCache>
            </c:strRef>
          </c:tx>
          <c:spPr>
            <a:ln w="28575" cap="rnd">
              <a:solidFill>
                <a:schemeClr val="bg2">
                  <a:lumMod val="50000"/>
                </a:schemeClr>
              </a:solidFill>
              <a:round/>
            </a:ln>
            <a:effectLst/>
          </c:spPr>
          <c:marker>
            <c:symbol val="none"/>
          </c:marker>
          <c:cat>
            <c:numRef>
              <c:f>Analyse!$A$305:$A$318</c:f>
              <c:numCache>
                <c:formatCode>General</c:formatCod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numCache>
            </c:numRef>
          </c:cat>
          <c:val>
            <c:numRef>
              <c:f>Analyse!$I$305:$I$318</c:f>
              <c:numCache>
                <c:formatCode>#\ ##0" €HT/hab."</c:formatCode>
                <c:ptCount val="14"/>
              </c:numCache>
            </c:numRef>
          </c:val>
          <c:smooth val="0"/>
          <c:extLst>
            <c:ext xmlns:c16="http://schemas.microsoft.com/office/drawing/2014/chart" uri="{C3380CC4-5D6E-409C-BE32-E72D297353CC}">
              <c16:uniqueId val="{00000005-65C5-4431-90A3-A9AD84F763F0}"/>
            </c:ext>
          </c:extLst>
        </c:ser>
        <c:dLbls>
          <c:showLegendKey val="0"/>
          <c:showVal val="0"/>
          <c:showCatName val="0"/>
          <c:showSerName val="0"/>
          <c:showPercent val="0"/>
          <c:showBubbleSize val="0"/>
        </c:dLbls>
        <c:smooth val="0"/>
        <c:axId val="270384640"/>
        <c:axId val="284052864"/>
      </c:lineChart>
      <c:catAx>
        <c:axId val="27038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4052864"/>
        <c:crosses val="autoZero"/>
        <c:auto val="1"/>
        <c:lblAlgn val="ctr"/>
        <c:lblOffset val="100"/>
        <c:noMultiLvlLbl val="0"/>
      </c:catAx>
      <c:valAx>
        <c:axId val="284052864"/>
        <c:scaling>
          <c:orientation val="minMax"/>
        </c:scaling>
        <c:delete val="0"/>
        <c:axPos val="l"/>
        <c:majorGridlines>
          <c:spPr>
            <a:ln w="9525" cap="flat" cmpd="sng" algn="ctr">
              <a:solidFill>
                <a:schemeClr val="tx1">
                  <a:lumMod val="15000"/>
                  <a:lumOff val="85000"/>
                </a:schemeClr>
              </a:solidFill>
              <a:round/>
            </a:ln>
            <a:effectLst/>
          </c:spPr>
        </c:majorGridlines>
        <c:numFmt formatCode="#\ ##0&quot; €HT/hab.&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70384640"/>
        <c:crosses val="autoZero"/>
        <c:crossBetween val="between"/>
      </c:valAx>
      <c:spPr>
        <a:noFill/>
        <a:ln>
          <a:noFill/>
        </a:ln>
        <a:effectLst/>
      </c:spPr>
    </c:plotArea>
    <c:legend>
      <c:legendPos val="b"/>
      <c:layout>
        <c:manualLayout>
          <c:xMode val="edge"/>
          <c:yMode val="edge"/>
          <c:x val="3.5363757118949575E-2"/>
          <c:y val="0.88523233579613236"/>
          <c:w val="0.94447849261295835"/>
          <c:h val="0.114767664203867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1400"/>
              <a:t>Évolution des ratios collectés</a:t>
            </a:r>
          </a:p>
        </c:rich>
      </c:tx>
      <c:overlay val="0"/>
      <c:spPr>
        <a:noFill/>
        <a:ln>
          <a:noFill/>
        </a:ln>
        <a:effectLst/>
      </c:spPr>
    </c:title>
    <c:autoTitleDeleted val="0"/>
    <c:plotArea>
      <c:layout/>
      <c:barChart>
        <c:barDir val="col"/>
        <c:grouping val="clustered"/>
        <c:varyColors val="0"/>
        <c:ser>
          <c:idx val="0"/>
          <c:order val="0"/>
          <c:tx>
            <c:strRef>
              <c:f>Analyse!$A$285</c:f>
              <c:strCache>
                <c:ptCount val="1"/>
                <c:pt idx="0">
                  <c:v>2006</c:v>
                </c:pt>
              </c:strCache>
            </c:strRef>
          </c:tx>
          <c:spPr>
            <a:solidFill>
              <a:schemeClr val="bg2">
                <a:lumMod val="10000"/>
              </a:schemeClr>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Analyse!$B$285:$I$285</c:f>
              <c:numCache>
                <c:formatCode>#\ ##0" kg/hab."</c:formatCode>
                <c:ptCount val="8"/>
              </c:numCache>
            </c:numRef>
          </c:val>
          <c:extLst>
            <c:ext xmlns:c16="http://schemas.microsoft.com/office/drawing/2014/chart" uri="{C3380CC4-5D6E-409C-BE32-E72D297353CC}">
              <c16:uniqueId val="{00000000-DCAB-4C6E-A648-E0C444C12FC7}"/>
            </c:ext>
          </c:extLst>
        </c:ser>
        <c:ser>
          <c:idx val="1"/>
          <c:order val="1"/>
          <c:tx>
            <c:strRef>
              <c:f>Analyse!$A$286</c:f>
              <c:strCache>
                <c:ptCount val="1"/>
                <c:pt idx="0">
                  <c:v>2007</c:v>
                </c:pt>
              </c:strCache>
            </c:strRef>
          </c:tx>
          <c:spPr>
            <a:solidFill>
              <a:schemeClr val="bg2">
                <a:lumMod val="50000"/>
              </a:schemeClr>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Analyse!$B$286:$I$286</c:f>
              <c:numCache>
                <c:formatCode>#\ ##0" kg/hab."</c:formatCode>
                <c:ptCount val="8"/>
              </c:numCache>
            </c:numRef>
          </c:val>
          <c:extLst>
            <c:ext xmlns:c16="http://schemas.microsoft.com/office/drawing/2014/chart" uri="{C3380CC4-5D6E-409C-BE32-E72D297353CC}">
              <c16:uniqueId val="{00000001-DCAB-4C6E-A648-E0C444C12FC7}"/>
            </c:ext>
          </c:extLst>
        </c:ser>
        <c:ser>
          <c:idx val="2"/>
          <c:order val="2"/>
          <c:tx>
            <c:strRef>
              <c:f>Analyse!$A$287</c:f>
              <c:strCache>
                <c:ptCount val="1"/>
                <c:pt idx="0">
                  <c:v>2008</c:v>
                </c:pt>
              </c:strCache>
            </c:strRef>
          </c:tx>
          <c:spPr>
            <a:solidFill>
              <a:schemeClr val="accent4">
                <a:lumMod val="75000"/>
              </a:schemeClr>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Analyse!$B$287:$I$287</c:f>
              <c:numCache>
                <c:formatCode>#\ ##0" kg/hab."</c:formatCode>
                <c:ptCount val="8"/>
              </c:numCache>
            </c:numRef>
          </c:val>
          <c:extLst>
            <c:ext xmlns:c16="http://schemas.microsoft.com/office/drawing/2014/chart" uri="{C3380CC4-5D6E-409C-BE32-E72D297353CC}">
              <c16:uniqueId val="{00000002-DCAB-4C6E-A648-E0C444C12FC7}"/>
            </c:ext>
          </c:extLst>
        </c:ser>
        <c:ser>
          <c:idx val="3"/>
          <c:order val="3"/>
          <c:tx>
            <c:strRef>
              <c:f>Analyse!$A$288</c:f>
              <c:strCache>
                <c:ptCount val="1"/>
                <c:pt idx="0">
                  <c:v>2009</c:v>
                </c:pt>
              </c:strCache>
            </c:strRef>
          </c:tx>
          <c:spPr>
            <a:solidFill>
              <a:srgbClr val="7030A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Analyse!$B$288:$I$288</c:f>
              <c:numCache>
                <c:formatCode>#\ ##0" kg/hab."</c:formatCode>
                <c:ptCount val="8"/>
              </c:numCache>
            </c:numRef>
          </c:val>
          <c:extLst>
            <c:ext xmlns:c16="http://schemas.microsoft.com/office/drawing/2014/chart" uri="{C3380CC4-5D6E-409C-BE32-E72D297353CC}">
              <c16:uniqueId val="{00000003-DCAB-4C6E-A648-E0C444C12FC7}"/>
            </c:ext>
          </c:extLst>
        </c:ser>
        <c:ser>
          <c:idx val="4"/>
          <c:order val="4"/>
          <c:tx>
            <c:strRef>
              <c:f>Analyse!$A$289</c:f>
              <c:strCache>
                <c:ptCount val="1"/>
                <c:pt idx="0">
                  <c:v>2010</c:v>
                </c:pt>
              </c:strCache>
            </c:strRef>
          </c:tx>
          <c:spPr>
            <a:solidFill>
              <a:schemeClr val="tx2">
                <a:lumMod val="75000"/>
              </a:schemeClr>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Analyse!$B$289:$I$289</c:f>
              <c:numCache>
                <c:formatCode>#\ ##0" kg/hab."</c:formatCode>
                <c:ptCount val="8"/>
              </c:numCache>
            </c:numRef>
          </c:val>
          <c:extLst>
            <c:ext xmlns:c16="http://schemas.microsoft.com/office/drawing/2014/chart" uri="{C3380CC4-5D6E-409C-BE32-E72D297353CC}">
              <c16:uniqueId val="{00000004-DCAB-4C6E-A648-E0C444C12FC7}"/>
            </c:ext>
          </c:extLst>
        </c:ser>
        <c:ser>
          <c:idx val="5"/>
          <c:order val="5"/>
          <c:tx>
            <c:strRef>
              <c:f>Analyse!$A$290</c:f>
              <c:strCache>
                <c:ptCount val="1"/>
                <c:pt idx="0">
                  <c:v>2011</c:v>
                </c:pt>
              </c:strCache>
            </c:strRef>
          </c:tx>
          <c:spPr>
            <a:solidFill>
              <a:srgbClr val="0070C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Analyse!$B$290:$I$290</c:f>
              <c:numCache>
                <c:formatCode>#\ ##0" kg/hab."</c:formatCode>
                <c:ptCount val="8"/>
              </c:numCache>
            </c:numRef>
          </c:val>
          <c:extLst>
            <c:ext xmlns:c16="http://schemas.microsoft.com/office/drawing/2014/chart" uri="{C3380CC4-5D6E-409C-BE32-E72D297353CC}">
              <c16:uniqueId val="{00000005-DCAB-4C6E-A648-E0C444C12FC7}"/>
            </c:ext>
          </c:extLst>
        </c:ser>
        <c:ser>
          <c:idx val="6"/>
          <c:order val="6"/>
          <c:tx>
            <c:strRef>
              <c:f>Analyse!$A$291</c:f>
              <c:strCache>
                <c:ptCount val="1"/>
                <c:pt idx="0">
                  <c:v>2012</c:v>
                </c:pt>
              </c:strCache>
            </c:strRef>
          </c:tx>
          <c:spPr>
            <a:solidFill>
              <a:srgbClr val="00B0F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Analyse!$B$291:$I$291</c:f>
              <c:numCache>
                <c:formatCode>#\ ##0" kg/hab."</c:formatCode>
                <c:ptCount val="8"/>
              </c:numCache>
            </c:numRef>
          </c:val>
          <c:extLst>
            <c:ext xmlns:c16="http://schemas.microsoft.com/office/drawing/2014/chart" uri="{C3380CC4-5D6E-409C-BE32-E72D297353CC}">
              <c16:uniqueId val="{00000006-DCAB-4C6E-A648-E0C444C12FC7}"/>
            </c:ext>
          </c:extLst>
        </c:ser>
        <c:ser>
          <c:idx val="7"/>
          <c:order val="7"/>
          <c:tx>
            <c:strRef>
              <c:f>Analyse!$A$292</c:f>
              <c:strCache>
                <c:ptCount val="1"/>
                <c:pt idx="0">
                  <c:v>2013</c:v>
                </c:pt>
              </c:strCache>
            </c:strRef>
          </c:tx>
          <c:spPr>
            <a:solidFill>
              <a:srgbClr val="00B05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Analyse!$B$292:$I$292</c:f>
              <c:numCache>
                <c:formatCode>#\ ##0" kg/hab."</c:formatCode>
                <c:ptCount val="8"/>
              </c:numCache>
            </c:numRef>
          </c:val>
          <c:extLst>
            <c:ext xmlns:c16="http://schemas.microsoft.com/office/drawing/2014/chart" uri="{C3380CC4-5D6E-409C-BE32-E72D297353CC}">
              <c16:uniqueId val="{00000007-DCAB-4C6E-A648-E0C444C12FC7}"/>
            </c:ext>
          </c:extLst>
        </c:ser>
        <c:ser>
          <c:idx val="8"/>
          <c:order val="8"/>
          <c:tx>
            <c:strRef>
              <c:f>Analyse!$A$293</c:f>
              <c:strCache>
                <c:ptCount val="1"/>
                <c:pt idx="0">
                  <c:v>2014</c:v>
                </c:pt>
              </c:strCache>
            </c:strRef>
          </c:tx>
          <c:spPr>
            <a:solidFill>
              <a:srgbClr val="92D05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Analyse!$B$293:$I$293</c:f>
              <c:numCache>
                <c:formatCode>#\ ##0" kg/hab."</c:formatCode>
                <c:ptCount val="8"/>
              </c:numCache>
            </c:numRef>
          </c:val>
          <c:extLst>
            <c:ext xmlns:c16="http://schemas.microsoft.com/office/drawing/2014/chart" uri="{C3380CC4-5D6E-409C-BE32-E72D297353CC}">
              <c16:uniqueId val="{00000008-DCAB-4C6E-A648-E0C444C12FC7}"/>
            </c:ext>
          </c:extLst>
        </c:ser>
        <c:ser>
          <c:idx val="9"/>
          <c:order val="9"/>
          <c:tx>
            <c:strRef>
              <c:f>Analyse!$A$294</c:f>
              <c:strCache>
                <c:ptCount val="1"/>
                <c:pt idx="0">
                  <c:v>2015</c:v>
                </c:pt>
              </c:strCache>
            </c:strRef>
          </c:tx>
          <c:spPr>
            <a:solidFill>
              <a:srgbClr val="FFFF0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Analyse!$B$294:$I$294</c:f>
              <c:numCache>
                <c:formatCode>#\ ##0" kg/hab."</c:formatCode>
                <c:ptCount val="8"/>
              </c:numCache>
            </c:numRef>
          </c:val>
          <c:extLst>
            <c:ext xmlns:c16="http://schemas.microsoft.com/office/drawing/2014/chart" uri="{C3380CC4-5D6E-409C-BE32-E72D297353CC}">
              <c16:uniqueId val="{00000009-DCAB-4C6E-A648-E0C444C12FC7}"/>
            </c:ext>
          </c:extLst>
        </c:ser>
        <c:ser>
          <c:idx val="10"/>
          <c:order val="10"/>
          <c:tx>
            <c:strRef>
              <c:f>Analyse!$A$297</c:f>
              <c:strCache>
                <c:ptCount val="1"/>
                <c:pt idx="0">
                  <c:v>2018</c:v>
                </c:pt>
              </c:strCache>
            </c:strRef>
          </c:tx>
          <c:spPr>
            <a:solidFill>
              <a:srgbClr val="FFC00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Analyse!$B$297:$I$297</c:f>
              <c:numCache>
                <c:formatCode>#\ ##0" kg/hab."</c:formatCode>
                <c:ptCount val="8"/>
              </c:numCache>
            </c:numRef>
          </c:val>
          <c:extLst>
            <c:ext xmlns:c16="http://schemas.microsoft.com/office/drawing/2014/chart" uri="{C3380CC4-5D6E-409C-BE32-E72D297353CC}">
              <c16:uniqueId val="{0000000A-DCAB-4C6E-A648-E0C444C12FC7}"/>
            </c:ext>
          </c:extLst>
        </c:ser>
        <c:ser>
          <c:idx val="11"/>
          <c:order val="11"/>
          <c:tx>
            <c:strRef>
              <c:f>Analyse!$A$298</c:f>
              <c:strCache>
                <c:ptCount val="1"/>
                <c:pt idx="0">
                  <c:v>2019</c:v>
                </c:pt>
              </c:strCache>
            </c:strRef>
          </c:tx>
          <c:spPr>
            <a:solidFill>
              <a:srgbClr val="FF0000"/>
            </a:solidFill>
            <a:ln>
              <a:noFill/>
            </a:ln>
            <a:effectLst/>
          </c:spPr>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Analyse!$B$298:$I$298</c:f>
              <c:numCache>
                <c:formatCode>#\ ##0" kg/hab."</c:formatCode>
                <c:ptCount val="8"/>
              </c:numCache>
            </c:numRef>
          </c:val>
          <c:extLst>
            <c:ext xmlns:c16="http://schemas.microsoft.com/office/drawing/2014/chart" uri="{C3380CC4-5D6E-409C-BE32-E72D297353CC}">
              <c16:uniqueId val="{0000000B-DCAB-4C6E-A648-E0C444C12FC7}"/>
            </c:ext>
          </c:extLst>
        </c:ser>
        <c:ser>
          <c:idx val="12"/>
          <c:order val="12"/>
          <c:tx>
            <c:strRef>
              <c:f>Analyse!$A$318</c:f>
              <c:strCache>
                <c:ptCount val="1"/>
                <c:pt idx="0">
                  <c:v>2019</c:v>
                </c:pt>
              </c:strCache>
            </c:strRef>
          </c:tx>
          <c:invertIfNegative val="0"/>
          <c:cat>
            <c:strRef>
              <c:f>Analyse!$B$304:$I$304</c:f>
              <c:strCache>
                <c:ptCount val="8"/>
                <c:pt idx="0">
                  <c:v>Tous flux</c:v>
                </c:pt>
                <c:pt idx="1">
                  <c:v>OMR</c:v>
                </c:pt>
                <c:pt idx="2">
                  <c:v>Verre</c:v>
                </c:pt>
                <c:pt idx="3">
                  <c:v>Recyclables 
hors verre</c:v>
                </c:pt>
                <c:pt idx="4">
                  <c:v> Déchèteries
hors gravats</c:v>
                </c:pt>
                <c:pt idx="5">
                  <c:v>Déchets verts</c:v>
                </c:pt>
                <c:pt idx="6">
                  <c:v>Encombrants</c:v>
                </c:pt>
                <c:pt idx="7">
                  <c:v>Autres flux</c:v>
                </c:pt>
              </c:strCache>
            </c:strRef>
          </c:cat>
          <c:val>
            <c:numRef>
              <c:f>Analyse!$B$318:$I$318</c:f>
              <c:numCache>
                <c:formatCode>#\ ##0" €HT/hab."</c:formatCode>
                <c:ptCount val="8"/>
              </c:numCache>
            </c:numRef>
          </c:val>
          <c:extLst>
            <c:ext xmlns:c16="http://schemas.microsoft.com/office/drawing/2014/chart" uri="{C3380CC4-5D6E-409C-BE32-E72D297353CC}">
              <c16:uniqueId val="{00000000-7D4E-4A94-9718-B06A3F08AC55}"/>
            </c:ext>
          </c:extLst>
        </c:ser>
        <c:dLbls>
          <c:showLegendKey val="0"/>
          <c:showVal val="0"/>
          <c:showCatName val="0"/>
          <c:showSerName val="0"/>
          <c:showPercent val="0"/>
          <c:showBubbleSize val="0"/>
        </c:dLbls>
        <c:gapWidth val="219"/>
        <c:overlap val="-27"/>
        <c:axId val="284428288"/>
        <c:axId val="284055168"/>
      </c:barChart>
      <c:catAx>
        <c:axId val="28442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050" b="1"/>
            </a:pPr>
            <a:endParaRPr lang="fr-FR"/>
          </a:p>
        </c:txPr>
        <c:crossAx val="284055168"/>
        <c:crosses val="autoZero"/>
        <c:auto val="1"/>
        <c:lblAlgn val="ctr"/>
        <c:lblOffset val="100"/>
        <c:noMultiLvlLbl val="0"/>
      </c:catAx>
      <c:valAx>
        <c:axId val="284055168"/>
        <c:scaling>
          <c:orientation val="minMax"/>
        </c:scaling>
        <c:delete val="0"/>
        <c:axPos val="l"/>
        <c:majorGridlines>
          <c:spPr>
            <a:ln w="9525" cap="flat" cmpd="sng" algn="ctr">
              <a:solidFill>
                <a:schemeClr val="tx1">
                  <a:lumMod val="15000"/>
                  <a:lumOff val="85000"/>
                </a:schemeClr>
              </a:solidFill>
              <a:round/>
            </a:ln>
            <a:effectLst/>
          </c:spPr>
        </c:majorGridlines>
        <c:numFmt formatCode="#\ ##0&quot; kg/hab.&quot;" sourceLinked="1"/>
        <c:majorTickMark val="none"/>
        <c:minorTickMark val="none"/>
        <c:tickLblPos val="nextTo"/>
        <c:spPr>
          <a:noFill/>
          <a:ln>
            <a:noFill/>
          </a:ln>
          <a:effectLst/>
        </c:spPr>
        <c:txPr>
          <a:bodyPr rot="-60000000" vert="horz"/>
          <a:lstStyle/>
          <a:p>
            <a:pPr>
              <a:defRPr sz="1100" b="1"/>
            </a:pPr>
            <a:endParaRPr lang="fr-FR"/>
          </a:p>
        </c:txPr>
        <c:crossAx val="284428288"/>
        <c:crosses val="autoZero"/>
        <c:crossBetween val="between"/>
      </c:valAx>
      <c:spPr>
        <a:noFill/>
        <a:ln>
          <a:noFill/>
        </a:ln>
        <a:effectLst/>
      </c:spPr>
    </c:plotArea>
    <c:legend>
      <c:legendPos val="b"/>
      <c:overlay val="0"/>
      <c:spPr>
        <a:noFill/>
        <a:ln>
          <a:noFill/>
        </a:ln>
        <a:effectLst/>
      </c:spPr>
      <c:txPr>
        <a:bodyPr rot="0" vert="horz"/>
        <a:lstStyle/>
        <a:p>
          <a:pPr>
            <a:defRPr b="1"/>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mn-lt"/>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9525</xdr:rowOff>
    </xdr:from>
    <xdr:to>
      <xdr:col>1</xdr:col>
      <xdr:colOff>1209675</xdr:colOff>
      <xdr:row>0</xdr:row>
      <xdr:rowOff>1228725</xdr:rowOff>
    </xdr:to>
    <xdr:pic>
      <xdr:nvPicPr>
        <xdr:cNvPr id="3" name="Image 3" descr="cid:image001.png@01D60674.1FB99F8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9525"/>
          <a:ext cx="247650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819150</xdr:colOff>
      <xdr:row>10</xdr:row>
      <xdr:rowOff>711200</xdr:rowOff>
    </xdr:from>
    <xdr:to>
      <xdr:col>2</xdr:col>
      <xdr:colOff>4638675</xdr:colOff>
      <xdr:row>12</xdr:row>
      <xdr:rowOff>577850</xdr:rowOff>
    </xdr:to>
    <xdr:pic>
      <xdr:nvPicPr>
        <xdr:cNvPr id="2" name="Picture 5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66279" y="5157694"/>
          <a:ext cx="3819525" cy="915521"/>
        </a:xfrm>
        <a:prstGeom prst="rect">
          <a:avLst/>
        </a:prstGeom>
        <a:noFill/>
      </xdr:spPr>
    </xdr:pic>
    <xdr:clientData/>
  </xdr:twoCellAnchor>
  <xdr:oneCellAnchor>
    <xdr:from>
      <xdr:col>30</xdr:col>
      <xdr:colOff>112619</xdr:colOff>
      <xdr:row>45</xdr:row>
      <xdr:rowOff>0</xdr:rowOff>
    </xdr:from>
    <xdr:ext cx="3857625" cy="739589"/>
    <xdr:pic>
      <xdr:nvPicPr>
        <xdr:cNvPr id="3" name="Picture 8">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453679" y="29283660"/>
          <a:ext cx="3857625" cy="739589"/>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151680</xdr:colOff>
      <xdr:row>55</xdr:row>
      <xdr:rowOff>68035</xdr:rowOff>
    </xdr:from>
    <xdr:to>
      <xdr:col>8</xdr:col>
      <xdr:colOff>1360715</xdr:colOff>
      <xdr:row>70</xdr:row>
      <xdr:rowOff>88206</xdr:rowOff>
    </xdr:to>
    <xdr:graphicFrame macro="">
      <xdr:nvGraphicFramePr>
        <xdr:cNvPr id="2" name="Graphique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81643</xdr:colOff>
      <xdr:row>55</xdr:row>
      <xdr:rowOff>54427</xdr:rowOff>
    </xdr:from>
    <xdr:to>
      <xdr:col>1</xdr:col>
      <xdr:colOff>95250</xdr:colOff>
      <xdr:row>70</xdr:row>
      <xdr:rowOff>60030</xdr:rowOff>
    </xdr:to>
    <xdr:graphicFrame macro="">
      <xdr:nvGraphicFramePr>
        <xdr:cNvPr id="3" name="Graphique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166</xdr:row>
      <xdr:rowOff>89807</xdr:rowOff>
    </xdr:from>
    <xdr:to>
      <xdr:col>1</xdr:col>
      <xdr:colOff>204106</xdr:colOff>
      <xdr:row>180</xdr:row>
      <xdr:rowOff>68035</xdr:rowOff>
    </xdr:to>
    <xdr:graphicFrame macro="">
      <xdr:nvGraphicFramePr>
        <xdr:cNvPr id="4" name="Graphique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276225</xdr:colOff>
      <xdr:row>90</xdr:row>
      <xdr:rowOff>28574</xdr:rowOff>
    </xdr:from>
    <xdr:to>
      <xdr:col>8</xdr:col>
      <xdr:colOff>1143000</xdr:colOff>
      <xdr:row>100</xdr:row>
      <xdr:rowOff>213560</xdr:rowOff>
    </xdr:to>
    <xdr:graphicFrame macro="">
      <xdr:nvGraphicFramePr>
        <xdr:cNvPr id="5" name="Graphique 4">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340180</xdr:colOff>
      <xdr:row>102</xdr:row>
      <xdr:rowOff>176928</xdr:rowOff>
    </xdr:from>
    <xdr:to>
      <xdr:col>9</xdr:col>
      <xdr:colOff>1</xdr:colOff>
      <xdr:row>111</xdr:row>
      <xdr:rowOff>381000</xdr:rowOff>
    </xdr:to>
    <xdr:graphicFrame macro="">
      <xdr:nvGraphicFramePr>
        <xdr:cNvPr id="6" name="Graphique 5">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1088571</xdr:colOff>
      <xdr:row>199</xdr:row>
      <xdr:rowOff>115257</xdr:rowOff>
    </xdr:from>
    <xdr:to>
      <xdr:col>8</xdr:col>
      <xdr:colOff>394608</xdr:colOff>
      <xdr:row>213</xdr:row>
      <xdr:rowOff>24491</xdr:rowOff>
    </xdr:to>
    <xdr:graphicFrame macro="">
      <xdr:nvGraphicFramePr>
        <xdr:cNvPr id="7" name="Graphique 6">
          <a:extLst>
            <a:ext uri="{FF2B5EF4-FFF2-40B4-BE49-F238E27FC236}">
              <a16:creationId xmlns:a16="http://schemas.microsoft.com/office/drawing/2014/main" id="{00000000-0008-0000-1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321</xdr:row>
      <xdr:rowOff>56028</xdr:rowOff>
    </xdr:from>
    <xdr:to>
      <xdr:col>2</xdr:col>
      <xdr:colOff>1096579</xdr:colOff>
      <xdr:row>322</xdr:row>
      <xdr:rowOff>1768929</xdr:rowOff>
    </xdr:to>
    <xdr:graphicFrame macro="">
      <xdr:nvGraphicFramePr>
        <xdr:cNvPr id="8" name="Graphique 7">
          <a:extLst>
            <a:ext uri="{FF2B5EF4-FFF2-40B4-BE49-F238E27FC236}">
              <a16:creationId xmlns:a16="http://schemas.microsoft.com/office/drawing/2014/main" id="{00000000-0008-0000-1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40820</xdr:colOff>
      <xdr:row>321</xdr:row>
      <xdr:rowOff>76040</xdr:rowOff>
    </xdr:from>
    <xdr:to>
      <xdr:col>8</xdr:col>
      <xdr:colOff>1434351</xdr:colOff>
      <xdr:row>322</xdr:row>
      <xdr:rowOff>1768928</xdr:rowOff>
    </xdr:to>
    <xdr:graphicFrame macro="">
      <xdr:nvGraphicFramePr>
        <xdr:cNvPr id="9" name="Graphique 8">
          <a:extLst>
            <a:ext uri="{FF2B5EF4-FFF2-40B4-BE49-F238E27FC236}">
              <a16:creationId xmlns:a16="http://schemas.microsoft.com/office/drawing/2014/main" id="{00000000-0008-0000-1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319</xdr:row>
      <xdr:rowOff>100852</xdr:rowOff>
    </xdr:from>
    <xdr:to>
      <xdr:col>3</xdr:col>
      <xdr:colOff>39224</xdr:colOff>
      <xdr:row>320</xdr:row>
      <xdr:rowOff>1355911</xdr:rowOff>
    </xdr:to>
    <xdr:graphicFrame macro="">
      <xdr:nvGraphicFramePr>
        <xdr:cNvPr id="10" name="Graphique 9">
          <a:extLst>
            <a:ext uri="{FF2B5EF4-FFF2-40B4-BE49-F238E27FC236}">
              <a16:creationId xmlns:a16="http://schemas.microsoft.com/office/drawing/2014/main" id="{00000000-0008-0000-1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151278</xdr:colOff>
      <xdr:row>319</xdr:row>
      <xdr:rowOff>100853</xdr:rowOff>
    </xdr:from>
    <xdr:to>
      <xdr:col>8</xdr:col>
      <xdr:colOff>1355910</xdr:colOff>
      <xdr:row>320</xdr:row>
      <xdr:rowOff>1378324</xdr:rowOff>
    </xdr:to>
    <xdr:graphicFrame macro="">
      <xdr:nvGraphicFramePr>
        <xdr:cNvPr id="11" name="Graphique 10">
          <a:extLst>
            <a:ext uri="{FF2B5EF4-FFF2-40B4-BE49-F238E27FC236}">
              <a16:creationId xmlns:a16="http://schemas.microsoft.com/office/drawing/2014/main" id="{00000000-0008-0000-1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215872</xdr:colOff>
      <xdr:row>166</xdr:row>
      <xdr:rowOff>95250</xdr:rowOff>
    </xdr:from>
    <xdr:to>
      <xdr:col>8</xdr:col>
      <xdr:colOff>1387927</xdr:colOff>
      <xdr:row>179</xdr:row>
      <xdr:rowOff>190500</xdr:rowOff>
    </xdr:to>
    <xdr:graphicFrame macro="">
      <xdr:nvGraphicFramePr>
        <xdr:cNvPr id="12" name="Graphique 11">
          <a:extLst>
            <a:ext uri="{FF2B5EF4-FFF2-40B4-BE49-F238E27FC236}">
              <a16:creationId xmlns:a16="http://schemas.microsoft.com/office/drawing/2014/main" id="{00000000-0008-0000-1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721977</xdr:colOff>
      <xdr:row>119</xdr:row>
      <xdr:rowOff>24813</xdr:rowOff>
    </xdr:from>
    <xdr:to>
      <xdr:col>8</xdr:col>
      <xdr:colOff>1390249</xdr:colOff>
      <xdr:row>129</xdr:row>
      <xdr:rowOff>190499</xdr:rowOff>
    </xdr:to>
    <xdr:graphicFrame macro="">
      <xdr:nvGraphicFramePr>
        <xdr:cNvPr id="13" name="Graphique 12">
          <a:extLst>
            <a:ext uri="{FF2B5EF4-FFF2-40B4-BE49-F238E27FC236}">
              <a16:creationId xmlns:a16="http://schemas.microsoft.com/office/drawing/2014/main" id="{00000000-0008-0000-1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G" refreshedDate="41710.429856249997" createdVersion="3" refreshedVersion="3" minRefreshableVersion="3" recordCount="1" xr:uid="{00000000-000A-0000-FFFF-FFFF21000000}">
  <cacheSource type="worksheet">
    <worksheetSource name="Fonctionnement"/>
  </cacheSource>
  <cacheFields count="24">
    <cacheField name="Source d'information" numFmtId="10">
      <sharedItems containsNonDate="0" containsBlank="1" count="3">
        <m/>
        <s v="Grand livre" u="1"/>
        <s v="Budget principal" u="1"/>
      </sharedItems>
    </cacheField>
    <cacheField name="Explication" numFmtId="10">
      <sharedItems containsNonDate="0" containsString="0" containsBlank="1"/>
    </cacheField>
    <cacheField name="Date" numFmtId="14">
      <sharedItems containsNonDate="0" containsString="0" containsBlank="1"/>
    </cacheField>
    <cacheField name="Recette / Dépense" numFmtId="49">
      <sharedItems containsNonDate="0" containsBlank="1" count="3">
        <m/>
        <s v="D" u="1"/>
        <s v="R" u="1"/>
      </sharedItems>
    </cacheField>
    <cacheField name="Objet" numFmtId="14">
      <sharedItems containsNonDate="0" containsString="0" containsBlank="1"/>
    </cacheField>
    <cacheField name="N° bordereau" numFmtId="0">
      <sharedItems containsNonDate="0" containsString="0" containsBlank="1"/>
    </cacheField>
    <cacheField name="N° pièces" numFmtId="0">
      <sharedItems containsNonDate="0" containsString="0" containsBlank="1"/>
    </cacheField>
    <cacheField name="Chapitre" numFmtId="49">
      <sharedItems containsNonDate="0" containsString="0" containsBlank="1"/>
    </cacheField>
    <cacheField name="Compte" numFmtId="1">
      <sharedItems containsNonDate="0" containsString="0" containsBlank="1"/>
    </cacheField>
    <cacheField name="Services" numFmtId="0">
      <sharedItems containsNonDate="0" containsString="0" containsBlank="1"/>
    </cacheField>
    <cacheField name="Tiers" numFmtId="0">
      <sharedItems containsNonDate="0" containsString="0" containsBlank="1"/>
    </cacheField>
    <cacheField name="Réalisé (€TTC)" numFmtId="165">
      <sharedItems containsNonDate="0" containsString="0" containsBlank="1"/>
    </cacheField>
    <cacheField name="Réalisé (€HT)" numFmtId="165">
      <sharedItems containsNonDate="0" containsString="0" containsBlank="1"/>
    </cacheField>
    <cacheField name="Statut des données" numFmtId="49">
      <sharedItems containsNonDate="0" containsBlank="1" count="4">
        <m/>
        <s v="Amortissement" u="1"/>
        <s v="Incorporable" u="1"/>
        <s v="Amortissement extra-comptable" u="1"/>
      </sharedItems>
    </cacheField>
    <cacheField name="Affectation matrice" numFmtId="49">
      <sharedItems containsNonDate="0" containsBlank="1" count="3">
        <m/>
        <s v="OMR Collecte" u="1"/>
        <s v="Communication" u="1"/>
      </sharedItems>
    </cacheField>
    <cacheField name="Taux TVA automatique" numFmtId="168">
      <sharedItems/>
    </cacheField>
    <cacheField name="Taux TVA modifié" numFmtId="10">
      <sharedItems containsNonDate="0" containsString="0" containsBlank="1"/>
    </cacheField>
    <cacheField name="Montant (€HT)" numFmtId="3">
      <sharedItems/>
    </cacheField>
    <cacheField name="TVA acquittée" numFmtId="3">
      <sharedItems/>
    </cacheField>
    <cacheField name="Coefficient de déduction" numFmtId="165">
      <sharedItems containsNonDate="0" containsString="0" containsBlank="1"/>
    </cacheField>
    <cacheField name="TVA initiale" numFmtId="3">
      <sharedItems/>
    </cacheField>
    <cacheField name="TVA récupérée" numFmtId="3">
      <sharedItems/>
    </cacheField>
    <cacheField name="Réalisé pour contrôle CA" numFmtId="171">
      <sharedItems containsSemiMixedTypes="0" containsString="0" containsNumber="1" containsInteger="1" minValue="0" maxValue="0"/>
    </cacheField>
    <cacheField name="TVA réelle sur amortissements" numFmtId="17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G" refreshedDate="41710.429972916667" createdVersion="3" refreshedVersion="3" minRefreshableVersion="3" recordCount="1" xr:uid="{00000000-000A-0000-FFFF-FFFF22000000}">
  <cacheSource type="worksheet">
    <worksheetSource name="Invest"/>
  </cacheSource>
  <cacheFields count="25">
    <cacheField name="Source d'information" numFmtId="0">
      <sharedItems containsNonDate="0" containsString="0" containsBlank="1"/>
    </cacheField>
    <cacheField name="N° INVENTAIRE" numFmtId="0">
      <sharedItems containsNonDate="0" containsString="0" containsBlank="1"/>
    </cacheField>
    <cacheField name="N° FICHE" numFmtId="1">
      <sharedItems containsNonDate="0" containsString="0" containsBlank="1"/>
    </cacheField>
    <cacheField name="DÉSIGNATION" numFmtId="0">
      <sharedItems containsNonDate="0" containsString="0" containsBlank="1"/>
    </cacheField>
    <cacheField name="ANNEE INVESTISSEMENT" numFmtId="1">
      <sharedItems containsNonDate="0" containsString="0" containsBlank="1"/>
    </cacheField>
    <cacheField name="DURÉE D'AMORTISSEMENT" numFmtId="1">
      <sharedItems containsNonDate="0" containsString="0" containsBlank="1"/>
    </cacheField>
    <cacheField name="VALEUR BRUTE (€TTC)" numFmtId="39">
      <sharedItems containsNonDate="0" containsString="0" containsBlank="1"/>
    </cacheField>
    <cacheField name="VALEUR BRUTE (€HT)" numFmtId="39">
      <sharedItems containsNonDate="0" containsString="0" containsBlank="1"/>
    </cacheField>
    <cacheField name="Recette / Dépense" numFmtId="49">
      <sharedItems containsNonDate="0" containsBlank="1" count="2">
        <m/>
        <s v="R" u="1"/>
      </sharedItems>
    </cacheField>
    <cacheField name="Statut des données" numFmtId="10">
      <sharedItems containsNonDate="0" containsString="0" containsBlank="1" count="1">
        <m/>
      </sharedItems>
    </cacheField>
    <cacheField name="Affectation matrice" numFmtId="0">
      <sharedItems containsNonDate="0" containsString="0" containsBlank="1" count="1">
        <m/>
      </sharedItems>
    </cacheField>
    <cacheField name="Taux de TVA" numFmtId="10">
      <sharedItems containsSemiMixedTypes="0" containsString="0" containsNumber="1" minValue="0.19600000000000001" maxValue="0.19600000000000001"/>
    </cacheField>
    <cacheField name="Taux FCTVA" numFmtId="169">
      <sharedItems containsSemiMixedTypes="0" containsString="0" containsNumber="1" minValue="0.15481999999999999" maxValue="0.15481999999999999"/>
    </cacheField>
    <cacheField name="Montant HT" numFmtId="3">
      <sharedItems/>
    </cacheField>
    <cacheField name="Montant global FCTVA" numFmtId="3">
      <sharedItems/>
    </cacheField>
    <cacheField name="Fin amortissement" numFmtId="1">
      <sharedItems/>
    </cacheField>
    <cacheField name="Amortissement en cours" numFmtId="1">
      <sharedItems/>
    </cacheField>
    <cacheField name="Amortissement HT" numFmtId="4">
      <sharedItems/>
    </cacheField>
    <cacheField name="Amortissement TTC" numFmtId="4">
      <sharedItems/>
    </cacheField>
    <cacheField name="FCTVA Annualisé" numFmtId="4">
      <sharedItems/>
    </cacheField>
    <cacheField name="TVA payée" numFmtId="4">
      <sharedItems/>
    </cacheField>
    <cacheField name="TVA acquittée" numFmtId="4">
      <sharedItems/>
    </cacheField>
    <cacheField name="Coefficient de déduction" numFmtId="4">
      <sharedItems containsNonDate="0" containsString="0" containsBlank="1"/>
    </cacheField>
    <cacheField name="TVA initiale - FCTVA" numFmtId="4">
      <sharedItems/>
    </cacheField>
    <cacheField name="TVA récupérée" numFmtId="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x v="0"/>
    <m/>
    <m/>
    <x v="0"/>
    <m/>
    <m/>
    <m/>
    <m/>
    <m/>
    <m/>
    <m/>
    <m/>
    <m/>
    <x v="0"/>
    <x v="0"/>
    <s v=""/>
    <m/>
    <s v=""/>
    <s v=""/>
    <m/>
    <s v=""/>
    <s v=""/>
    <n v="0"/>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m/>
    <m/>
    <m/>
    <m/>
    <m/>
    <m/>
    <m/>
    <m/>
    <x v="0"/>
    <x v="0"/>
    <x v="0"/>
    <n v="0.19600000000000001"/>
    <n v="0.15481999999999999"/>
    <s v=""/>
    <s v=""/>
    <s v=""/>
    <s v=""/>
    <s v=""/>
    <s v=""/>
    <s v=""/>
    <s v=""/>
    <s v=""/>
    <m/>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eau croisé dynamique1" cacheId="11" applyNumberFormats="0" applyBorderFormats="0" applyFontFormats="0" applyPatternFormats="0" applyAlignmentFormats="0" applyWidthHeightFormats="1" dataCaption="Valeurs" updatedVersion="3" minRefreshableVersion="3" showCalcMbrs="0" rowGrandTotals="0" colGrandTotals="0" itemPrintTitles="1" createdVersion="3" indent="0" outline="1" outlineData="1" multipleFieldFilters="0">
  <location ref="AG5:AI9" firstHeaderRow="1" firstDataRow="3" firstDataCol="1" rowPageCount="1" colPageCount="1"/>
  <pivotFields count="24">
    <pivotField axis="axisRow" showAll="0">
      <items count="4">
        <item m="1" x="1"/>
        <item x="0"/>
        <item m="1" x="2"/>
        <item t="default"/>
      </items>
    </pivotField>
    <pivotField showAll="0"/>
    <pivotField showAll="0" defaultSubtotal="0"/>
    <pivotField axis="axisPage" showAll="0">
      <items count="4">
        <item m="1" x="1"/>
        <item m="1" x="2"/>
        <item x="0"/>
        <item t="default"/>
      </items>
    </pivotField>
    <pivotField showAll="0" defaultSubtotal="0"/>
    <pivotField showAll="0"/>
    <pivotField showAll="0"/>
    <pivotField showAll="0"/>
    <pivotField numFmtId="1" showAll="0" defaultSubtotal="0"/>
    <pivotField showAll="0"/>
    <pivotField showAll="0"/>
    <pivotField dataField="1" showAll="0" defaultSubtotal="0"/>
    <pivotField showAll="0"/>
    <pivotField axis="axisCol" showAll="0" defaultSubtotal="0">
      <items count="4">
        <item m="1" x="1"/>
        <item m="1" x="3"/>
        <item x="0"/>
        <item m="1" x="2"/>
      </items>
    </pivotField>
    <pivotField axis="axisRow" showAll="0" defaultSubtotal="0">
      <items count="3">
        <item m="1" x="2"/>
        <item x="0"/>
        <item m="1" x="1"/>
      </items>
    </pivotField>
    <pivotField showAll="0"/>
    <pivotField showAll="0" defaultSubtotal="0"/>
    <pivotField dataField="1" showAll="0"/>
    <pivotField showAll="0"/>
    <pivotField showAll="0" defaultSubtotal="0"/>
    <pivotField showAll="0" defaultSubtotal="0"/>
    <pivotField showAll="0" defaultSubtotal="0"/>
    <pivotField numFmtId="171" showAll="0" defaultSubtotal="0"/>
    <pivotField showAll="0" defaultSubtotal="0"/>
  </pivotFields>
  <rowFields count="2">
    <field x="0"/>
    <field x="14"/>
  </rowFields>
  <rowItems count="2">
    <i>
      <x v="1"/>
    </i>
    <i r="1">
      <x v="1"/>
    </i>
  </rowItems>
  <colFields count="2">
    <field x="-2"/>
    <field x="13"/>
  </colFields>
  <colItems count="2">
    <i>
      <x/>
      <x v="2"/>
    </i>
    <i i="1">
      <x v="1"/>
      <x v="2"/>
    </i>
  </colItems>
  <pageFields count="1">
    <pageField fld="3" item="2" hier="-1"/>
  </pageFields>
  <dataFields count="2">
    <dataField name="Somme de Réalisé (€TTC)" fld="11" baseField="0" baseItem="0" numFmtId="3"/>
    <dataField name="Somme de Montant (€HT)" fld="17" baseField="0" baseItem="0" numFmtId="3"/>
  </dataFields>
  <formats count="12">
    <format dxfId="147">
      <pivotArea dataOnly="0" labelOnly="1" fieldPosition="0">
        <references count="2">
          <reference field="4294967294" count="1" selected="0">
            <x v="0"/>
          </reference>
          <reference field="13" count="3">
            <x v="0"/>
            <x v="1"/>
            <x v="3"/>
          </reference>
        </references>
      </pivotArea>
    </format>
    <format dxfId="146">
      <pivotArea dataOnly="0" labelOnly="1" fieldPosition="0">
        <references count="2">
          <reference field="4294967294" count="1" selected="0">
            <x v="1"/>
          </reference>
          <reference field="13" count="3">
            <x v="0"/>
            <x v="1"/>
            <x v="3"/>
          </reference>
        </references>
      </pivotArea>
    </format>
    <format dxfId="145">
      <pivotArea dataOnly="0" labelOnly="1" fieldPosition="0">
        <references count="2">
          <reference field="4294967294" count="1" selected="0">
            <x v="0"/>
          </reference>
          <reference field="13" count="3">
            <x v="0"/>
            <x v="1"/>
            <x v="3"/>
          </reference>
        </references>
      </pivotArea>
    </format>
    <format dxfId="144">
      <pivotArea dataOnly="0" labelOnly="1" fieldPosition="0">
        <references count="2">
          <reference field="4294967294" count="1" selected="0">
            <x v="1"/>
          </reference>
          <reference field="13" count="3">
            <x v="0"/>
            <x v="1"/>
            <x v="3"/>
          </reference>
        </references>
      </pivotArea>
    </format>
    <format dxfId="143">
      <pivotArea type="all" dataOnly="0" outline="0" fieldPosition="0"/>
    </format>
    <format dxfId="142">
      <pivotArea dataOnly="0" labelOnly="1" outline="0" fieldPosition="0">
        <references count="1">
          <reference field="3" count="1">
            <x v="1"/>
          </reference>
        </references>
      </pivotArea>
    </format>
    <format dxfId="141">
      <pivotArea dataOnly="0" labelOnly="1" outline="0" fieldPosition="0">
        <references count="1">
          <reference field="3" count="1">
            <x v="1"/>
          </reference>
        </references>
      </pivotArea>
    </format>
    <format dxfId="140">
      <pivotArea field="-2" type="button" dataOnly="0" labelOnly="1" outline="0" axis="axisCol" fieldPosition="0"/>
    </format>
    <format dxfId="139">
      <pivotArea field="-2" type="button" dataOnly="0" labelOnly="1" outline="0" axis="axisCol" fieldPosition="0"/>
    </format>
    <format dxfId="138">
      <pivotArea field="0" type="button" dataOnly="0" labelOnly="1" outline="0" axis="axisRow" fieldPosition="0"/>
    </format>
    <format dxfId="137">
      <pivotArea field="0" type="button" dataOnly="0" labelOnly="1" outline="0" axis="axisRow" fieldPosition="0"/>
    </format>
    <format dxfId="136">
      <pivotArea field="3" type="button" dataOnly="0" labelOnly="1" outline="0" axis="axisPage" fieldPosition="0"/>
    </format>
  </formats>
  <pivotTableStyleInfo name="Style de tableau croisé dynamique 2"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1500-000000000000}" name="Tableau croisé dynamique1" cacheId="12" applyNumberFormats="0" applyBorderFormats="0" applyFontFormats="0" applyPatternFormats="0" applyAlignmentFormats="0" applyWidthHeightFormats="1" dataCaption="Valeurs" updatedVersion="3" minRefreshableVersion="3" showCalcMbrs="0" useAutoFormatting="1" rowGrandTotals="0" colGrandTotals="0" itemPrintTitles="1" createdVersion="3" indent="0" outline="1" outlineData="1" multipleFieldFilters="0">
  <location ref="AI7:AJ9" firstHeaderRow="1" firstDataRow="2" firstDataCol="1" rowPageCount="1" colPageCount="1"/>
  <pivotFields count="25">
    <pivotField showAll="0"/>
    <pivotField showAll="0" defaultSubtotal="0"/>
    <pivotField showAll="0" defaultSubtotal="0"/>
    <pivotField showAll="0" defaultSubtotal="0"/>
    <pivotField numFmtId="1" showAll="0" defaultSubtotal="0"/>
    <pivotField numFmtId="1" showAll="0" defaultSubtotal="0"/>
    <pivotField showAll="0" defaultSubtotal="0"/>
    <pivotField showAll="0" defaultSubtotal="0"/>
    <pivotField axis="axisPage" showAll="0">
      <items count="3">
        <item m="1" x="1"/>
        <item x="0"/>
        <item t="default"/>
      </items>
    </pivotField>
    <pivotField axis="axisCol" showAll="0" defaultSubtotal="0">
      <items count="1">
        <item x="0"/>
      </items>
    </pivotField>
    <pivotField axis="axisRow" showAll="0" defaultSubtotal="0">
      <items count="1">
        <item x="0"/>
      </items>
    </pivotField>
    <pivotField numFmtId="10" showAll="0" defaultSubtotal="0"/>
    <pivotField numFmtId="169" showAll="0" defaultSubtotal="0"/>
    <pivotField numFmtId="3" showAll="0" defaultSubtotal="0"/>
    <pivotField numFmtId="4" showAll="0" defaultSubtotal="0"/>
    <pivotField numFmtId="1" showAll="0" defaultSubtotal="0"/>
    <pivotField showAll="0" defaultSubtotal="0"/>
    <pivotField dataField="1" numFmtId="4" showAll="0" defaultSubtotal="0"/>
    <pivotField numFmtId="4" showAll="0" defaultSubtotal="0"/>
    <pivotField numFmtId="4" showAll="0" defaultSubtotal="0"/>
    <pivotField numFmtId="4" showAll="0" defaultSubtotal="0"/>
    <pivotField showAll="0"/>
    <pivotField showAll="0" defaultSubtotal="0"/>
    <pivotField showAll="0" defaultSubtotal="0"/>
    <pivotField showAll="0" defaultSubtotal="0"/>
  </pivotFields>
  <rowFields count="1">
    <field x="10"/>
  </rowFields>
  <rowItems count="1">
    <i>
      <x/>
    </i>
  </rowItems>
  <colFields count="1">
    <field x="9"/>
  </colFields>
  <colItems count="1">
    <i>
      <x/>
    </i>
  </colItems>
  <pageFields count="1">
    <pageField fld="8" item="1" hier="-1"/>
  </pageFields>
  <dataFields count="1">
    <dataField name="Somme de Amortissement HT" fld="17" baseField="0" baseItem="0" numFmtId="174"/>
  </dataFields>
  <formats count="4">
    <format dxfId="41">
      <pivotArea type="all" dataOnly="0" outline="0" fieldPosition="0"/>
    </format>
    <format dxfId="40">
      <pivotArea dataOnly="0" labelOnly="1" outline="0" fieldPosition="0">
        <references count="1">
          <reference field="8" count="1">
            <x v="0"/>
          </reference>
        </references>
      </pivotArea>
    </format>
    <format dxfId="39">
      <pivotArea dataOnly="0" labelOnly="1" outline="0" fieldPosition="0">
        <references count="1">
          <reference field="8" count="1">
            <x v="0"/>
          </reference>
        </references>
      </pivotArea>
    </format>
    <format dxfId="38">
      <pivotArea outline="0" fieldPosition="0">
        <references count="1">
          <reference field="4294967294" count="1">
            <x v="0"/>
          </reference>
        </references>
      </pivotArea>
    </format>
  </formats>
  <pivotTableStyleInfo name="Style de tableau croisé dynamique 2"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bl_Charges" displayName="Tbl_Charges" ref="A1:A37" totalsRowShown="0" headerRowDxfId="372">
  <autoFilter ref="A1:A37" xr:uid="{00000000-0009-0000-0100-000004000000}"/>
  <tableColumns count="1">
    <tableColumn id="1" xr3:uid="{00000000-0010-0000-0000-000001000000}" name="Charges"/>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_Colonnes" displayName="Tbl_Colonnes" ref="C1:C40" totalsRowShown="0" headerRowDxfId="371">
  <autoFilter ref="C1:C40" xr:uid="{00000000-0009-0000-0100-000005000000}"/>
  <tableColumns count="1">
    <tableColumn id="1" xr3:uid="{00000000-0010-0000-0100-000001000000}" name="Colonnes"/>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Matrice" displayName="Matrice" ref="A4:Z54" totalsRowShown="0" headerRowDxfId="363" dataDxfId="361" headerRowBorderDxfId="362" tableBorderDxfId="360" totalsRowBorderDxfId="359" dataCellStyle="Milliers">
  <tableColumns count="26">
    <tableColumn id="1" xr3:uid="{00000000-0010-0000-0200-000001000000}" name="Ligne de la matrice" dataDxfId="358"/>
    <tableColumn id="3" xr3:uid="{00000000-0010-0000-0200-000003000000}" name="OMR" dataDxfId="357" dataCellStyle="Milliers">
      <calculatedColumnFormula>SUMIF('4 - Codes matrice'!$C:$C,Matrice[[#This Row],[Ligne de la matrice]],'4 - Codes matrice'!#REF!)</calculatedColumnFormula>
    </tableColumn>
    <tableColumn id="4" xr3:uid="{00000000-0010-0000-0200-000004000000}" name="Verre" dataDxfId="356" dataCellStyle="Milliers">
      <calculatedColumnFormula>SUMIF('4 - Codes matrice'!$C:$C,Matrice[[#This Row],[Ligne de la matrice]],'4 - Codes matrice'!#REF!)</calculatedColumnFormula>
    </tableColumn>
    <tableColumn id="5" xr3:uid="{00000000-0010-0000-0200-000005000000}" name="RSOM hors verre" dataDxfId="355" dataCellStyle="Milliers">
      <calculatedColumnFormula>SUMIF('4 - Codes matrice'!$C:$C,Matrice[[#This Row],[Ligne de la matrice]],'4 - Codes matrice'!#REF!)</calculatedColumnFormula>
    </tableColumn>
    <tableColumn id="6" xr3:uid="{00000000-0010-0000-0200-000006000000}" name="Déchets des déchèteries" dataDxfId="354" dataCellStyle="Milliers">
      <calculatedColumnFormula>SUMIF('4 - Codes matrice'!$C:$C,Matrice[[#This Row],[Ligne de la matrice]],'4 - Codes matrice'!#REF!)</calculatedColumnFormula>
    </tableColumn>
    <tableColumn id="7" xr3:uid="{00000000-0010-0000-0200-000007000000}" name="Flux 5" dataDxfId="353" dataCellStyle="Milliers">
      <calculatedColumnFormula>SUMIF('4 - Codes matrice'!$C:$C,Matrice[[#This Row],[Ligne de la matrice]],'4 - Codes matrice'!#REF!)</calculatedColumnFormula>
    </tableColumn>
    <tableColumn id="8" xr3:uid="{00000000-0010-0000-0200-000008000000}" name="Flux 6" dataDxfId="352" dataCellStyle="Milliers">
      <calculatedColumnFormula>SUMIF('4 - Codes matrice'!$C:$C,Matrice[[#This Row],[Ligne de la matrice]],'4 - Codes matrice'!#REF!)</calculatedColumnFormula>
    </tableColumn>
    <tableColumn id="9" xr3:uid="{00000000-0010-0000-0200-000009000000}" name="Flux 7" dataDxfId="351" dataCellStyle="Milliers">
      <calculatedColumnFormula>SUMIF('4 - Codes matrice'!$C:$C,Matrice[[#This Row],[Ligne de la matrice]],'4 - Codes matrice'!#REF!)</calculatedColumnFormula>
    </tableColumn>
    <tableColumn id="10" xr3:uid="{00000000-0010-0000-0200-00000A000000}" name="Flux 8" dataDxfId="350" dataCellStyle="Milliers">
      <calculatedColumnFormula>SUMIF('4 - Codes matrice'!$C:$C,Matrice[[#This Row],[Ligne de la matrice]],'4 - Codes matrice'!#REF!)</calculatedColumnFormula>
    </tableColumn>
    <tableColumn id="11" xr3:uid="{00000000-0010-0000-0200-00000B000000}" name="Flux 9" dataDxfId="349" dataCellStyle="Milliers">
      <calculatedColumnFormula>SUMIF('4 - Codes matrice'!$C:$C,Matrice[[#This Row],[Ligne de la matrice]],'4 - Codes matrice'!#REF!)</calculatedColumnFormula>
    </tableColumn>
    <tableColumn id="12" xr3:uid="{00000000-0010-0000-0200-00000C000000}" name="Flux 10" dataDxfId="348" dataCellStyle="Milliers">
      <calculatedColumnFormula>SUMIF('4 - Codes matrice'!$C:$C,Matrice[[#This Row],[Ligne de la matrice]],'4 - Codes matrice'!#REF!)</calculatedColumnFormula>
    </tableColumn>
    <tableColumn id="13" xr3:uid="{00000000-0010-0000-0200-00000D000000}" name="Flux 11" dataDxfId="347" dataCellStyle="Milliers">
      <calculatedColumnFormula>SUMIF('4 - Codes matrice'!$C:$C,Matrice[[#This Row],[Ligne de la matrice]],'4 - Codes matrice'!#REF!)</calculatedColumnFormula>
    </tableColumn>
    <tableColumn id="14" xr3:uid="{00000000-0010-0000-0200-00000E000000}" name="Flux 12" dataDxfId="346" dataCellStyle="Milliers">
      <calculatedColumnFormula>SUMIF('4 - Codes matrice'!$C:$C,Matrice[[#This Row],[Ligne de la matrice]],'4 - Codes matrice'!#REF!)</calculatedColumnFormula>
    </tableColumn>
    <tableColumn id="15" xr3:uid="{00000000-0010-0000-0200-00000F000000}" name="Flux 13" dataDxfId="345" dataCellStyle="Milliers">
      <calculatedColumnFormula>SUMIF('4 - Codes matrice'!$C:$C,Matrice[[#This Row],[Ligne de la matrice]],'4 - Codes matrice'!#REF!)</calculatedColumnFormula>
    </tableColumn>
    <tableColumn id="16" xr3:uid="{00000000-0010-0000-0200-000010000000}" name="Flux 14" dataDxfId="344" dataCellStyle="Milliers">
      <calculatedColumnFormula>SUMIF('4 - Codes matrice'!$C:$C,Matrice[[#This Row],[Ligne de la matrice]],'4 - Codes matrice'!#REF!)</calculatedColumnFormula>
    </tableColumn>
    <tableColumn id="17" xr3:uid="{00000000-0010-0000-0200-000011000000}" name="Flux 15" dataDxfId="343" dataCellStyle="Milliers">
      <calculatedColumnFormula>SUMIF('4 - Codes matrice'!$C:$C,Matrice[[#This Row],[Ligne de la matrice]],'4 - Codes matrice'!#REF!)</calculatedColumnFormula>
    </tableColumn>
    <tableColumn id="19" xr3:uid="{00000000-0010-0000-0200-000013000000}" name="Flux 16" dataDxfId="342" dataCellStyle="Milliers"/>
    <tableColumn id="20" xr3:uid="{00000000-0010-0000-0200-000014000000}" name="Flux 17" dataDxfId="341" dataCellStyle="Milliers"/>
    <tableColumn id="21" xr3:uid="{00000000-0010-0000-0200-000015000000}" name="Flux 18" dataDxfId="340" dataCellStyle="Milliers"/>
    <tableColumn id="22" xr3:uid="{00000000-0010-0000-0200-000016000000}" name="Flux 19" dataDxfId="339" dataCellStyle="Milliers"/>
    <tableColumn id="23" xr3:uid="{00000000-0010-0000-0200-000017000000}" name="Flux 20" dataDxfId="338" dataCellStyle="Milliers"/>
    <tableColumn id="24" xr3:uid="{00000000-0010-0000-0200-000018000000}" name="Flux 21" dataDxfId="337" dataCellStyle="Milliers"/>
    <tableColumn id="25" xr3:uid="{00000000-0010-0000-0200-000019000000}" name="Flux 22" dataDxfId="336" dataCellStyle="Milliers"/>
    <tableColumn id="26" xr3:uid="{00000000-0010-0000-0200-00001A000000}" name="Flux 23" dataDxfId="335" dataCellStyle="Milliers"/>
    <tableColumn id="27" xr3:uid="{00000000-0010-0000-0200-00001B000000}" name="Flux 24" dataDxfId="334" dataCellStyle="Milliers"/>
    <tableColumn id="18" xr3:uid="{00000000-0010-0000-0200-000012000000}" name="Flux 25" dataDxfId="333" dataCellStyle="Milliers">
      <calculatedColumnFormula>SUMIF('4 - Codes matrice'!$C:$C,Matrice[[#This Row],[Ligne de la matrice]],'4 - Codes matrice'!#REF!)</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VA_conv" displayName="TVA_conv" ref="A7:C641" totalsRowShown="0" headerRowDxfId="332" dataDxfId="330" headerRowBorderDxfId="331" tableBorderDxfId="329" totalsRowBorderDxfId="328">
  <autoFilter ref="A7:C641" xr:uid="{00000000-0009-0000-0100-000001000000}"/>
  <tableColumns count="3">
    <tableColumn id="1" xr3:uid="{00000000-0010-0000-0300-000001000000}" name="N°" dataDxfId="327"/>
    <tableColumn id="2" xr3:uid="{00000000-0010-0000-0300-000002000000}" name="Libellé du compte" dataDxfId="326"/>
    <tableColumn id="3" xr3:uid="{00000000-0010-0000-0300-000003000000}" name="Taux de TVA" dataDxfId="3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00000000-000C-0000-FFFF-FFFF04000000}" name="Fonctionnement" displayName="Fonctionnement" ref="A3:AE28" headerRowDxfId="135" dataDxfId="133" totalsRowDxfId="131" headerRowBorderDxfId="134" tableBorderDxfId="132">
  <autoFilter ref="A3:AE28" xr:uid="{00000000-0009-0000-0100-000099000000}"/>
  <sortState xmlns:xlrd2="http://schemas.microsoft.com/office/spreadsheetml/2017/richdata2" ref="A8:X2086">
    <sortCondition ref="I7:I2086"/>
  </sortState>
  <tableColumns count="31">
    <tableColumn id="1" xr3:uid="{00000000-0010-0000-0400-000001000000}" name="Source d'information" dataDxfId="130" totalsRowDxfId="129"/>
    <tableColumn id="2" xr3:uid="{00000000-0010-0000-0400-000002000000}" name="Explication" dataDxfId="128" totalsRowDxfId="127"/>
    <tableColumn id="3" xr3:uid="{00000000-0010-0000-0400-000003000000}" name="Date" dataDxfId="126" totalsRowDxfId="125"/>
    <tableColumn id="10" xr3:uid="{00000000-0010-0000-0400-00000A000000}" name="Recette / Dépense" dataDxfId="124" dataCellStyle="Normal 2 2"/>
    <tableColumn id="9" xr3:uid="{00000000-0010-0000-0400-000009000000}" name="Objet" dataDxfId="123" totalsRowDxfId="122" dataCellStyle="Normal 2 2"/>
    <tableColumn id="4" xr3:uid="{00000000-0010-0000-0400-000004000000}" name="N° bordereau" dataDxfId="121" totalsRowDxfId="120"/>
    <tableColumn id="5" xr3:uid="{00000000-0010-0000-0400-000005000000}" name="N° pièces" dataDxfId="119" totalsRowDxfId="118"/>
    <tableColumn id="23" xr3:uid="{00000000-0010-0000-0400-000017000000}" name="Chapitre" dataDxfId="117" totalsRowDxfId="116" dataCellStyle="Normal 2 2"/>
    <tableColumn id="6" xr3:uid="{00000000-0010-0000-0400-000006000000}" name="Compte" dataDxfId="115" totalsRowDxfId="114"/>
    <tableColumn id="22" xr3:uid="{00000000-0010-0000-0400-000016000000}" name="Services" dataDxfId="113" totalsRowDxfId="112"/>
    <tableColumn id="8" xr3:uid="{00000000-0010-0000-0400-000008000000}" name="Tiers" dataDxfId="111" totalsRowDxfId="110"/>
    <tableColumn id="25" xr3:uid="{00000000-0010-0000-0400-000019000000}" name="Saisie libre1" dataDxfId="109" totalsRowDxfId="108"/>
    <tableColumn id="26" xr3:uid="{00000000-0010-0000-0400-00001A000000}" name="Saisie libre2" dataDxfId="107" totalsRowDxfId="106"/>
    <tableColumn id="27" xr3:uid="{00000000-0010-0000-0400-00001B000000}" name="Saisie libre3" dataDxfId="105" totalsRowDxfId="104"/>
    <tableColumn id="28" xr3:uid="{00000000-0010-0000-0400-00001C000000}" name="Saisie libre4" dataDxfId="103" totalsRowDxfId="102"/>
    <tableColumn id="29" xr3:uid="{00000000-0010-0000-0400-00001D000000}" name="Saisie libre5" dataDxfId="101" totalsRowDxfId="100"/>
    <tableColumn id="30" xr3:uid="{00000000-0010-0000-0400-00001E000000}" name="Saisie libre6" dataDxfId="99" totalsRowDxfId="98"/>
    <tableColumn id="31" xr3:uid="{00000000-0010-0000-0400-00001F000000}" name="Saisie libre7" dataDxfId="97" totalsRowDxfId="96"/>
    <tableColumn id="11" xr3:uid="{00000000-0010-0000-0400-00000B000000}" name="Réalisé (€TTC)" totalsRowFunction="custom" dataDxfId="95" totalsRowDxfId="94" dataCellStyle="Monétaire">
      <totalsRowFormula>#REF!</totalsRowFormula>
    </tableColumn>
    <tableColumn id="7" xr3:uid="{00000000-0010-0000-0400-000007000000}" name="Réalisé (€HT)" dataDxfId="93" totalsRowDxfId="92" dataCellStyle="Monétaire"/>
    <tableColumn id="16" xr3:uid="{00000000-0010-0000-0400-000010000000}" name="Statut des données" dataDxfId="91" dataCellStyle="Normal 2 2"/>
    <tableColumn id="14" xr3:uid="{00000000-0010-0000-0400-00000E000000}" name="Affectation matrice" dataDxfId="90" dataCellStyle="Normal 2 2"/>
    <tableColumn id="12" xr3:uid="{00000000-0010-0000-0400-00000C000000}" name="Taux TVA automatique" dataDxfId="89">
      <calculatedColumnFormula>IF(ISERROR(VLOOKUP(VALUE(Fonctionnement[[#This Row],[Compte]]),TVA_conv[],3,FALSE)),"",IF(AND(Fonctionnement[[#This Row],[Réalisé (€TTC)]]=0,Fonctionnement[[#This Row],[Réalisé (€HT)]]&lt;&gt;0),"",VLOOKUP(VALUE(Fonctionnement[[#This Row],[Compte]]),TVA_conv[],3,FALSE)))</calculatedColumnFormula>
    </tableColumn>
    <tableColumn id="13" xr3:uid="{00000000-0010-0000-0400-00000D000000}" name="Taux TVA modifié" dataDxfId="88" totalsRowDxfId="87"/>
    <tableColumn id="17" xr3:uid="{00000000-0010-0000-0400-000011000000}" name="Montant (€HT)" dataDxfId="86" dataCellStyle="Monétaire">
      <calculatedColumnFormula>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calculatedColumnFormula>
    </tableColumn>
    <tableColumn id="18" xr3:uid="{00000000-0010-0000-0400-000012000000}" name="TVA acquittée" dataDxfId="85" dataCellStyle="Monétaire">
      <calculatedColumnFormula>IF(OR(Fonctionnement[[#This Row],[Recette / Dépense]]="D",Fonctionnement[[#This Row],[Statut des données]]=Att_charge),IF(Fonctionnement[[#This Row],[TVA initiale]]="","",Fonctionnement[[#This Row],[TVA initiale]]-Fonctionnement[[#This Row],[TVA récupérée]]),"")</calculatedColumnFormula>
    </tableColumn>
    <tableColumn id="20" xr3:uid="{00000000-0010-0000-0400-000014000000}" name="Coefficient de déduction" dataDxfId="84" dataCellStyle="Milliers"/>
    <tableColumn id="32" xr3:uid="{00000000-0010-0000-0400-000020000000}" name="FCTVA sur charges de fonctionnement" dataDxfId="83" dataCellStyle="Milliers"/>
    <tableColumn id="21" xr3:uid="{00000000-0010-0000-0400-000015000000}" name="TVA initiale" dataDxfId="82" dataCellStyle="Monétaire">
      <calculatedColumnFormula>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calculatedColumnFormula>
    </tableColumn>
    <tableColumn id="24" xr3:uid="{00000000-0010-0000-0400-000018000000}" name="TVA récupérée" dataDxfId="81" dataCellStyle="Monétaire">
      <calculatedColumnFormula>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calculatedColumnFormula>
    </tableColumn>
    <tableColumn id="15" xr3:uid="{00000000-0010-0000-0400-00000F000000}" name="Réalisé pour contrôle CA" dataDxfId="80" dataCellStyle="Monétaire">
      <calculatedColumnFormula>IF(AND(Fonctionnement[[#This Row],[Réalisé (€TTC)]]=0,Fonctionnement[[#This Row],[Réalisé (€HT)]]&lt;&gt;0),Fonctionnement[Réalisé (€HT)],Fonctionnement[Réalisé (€TTC)])</calculatedColumnFormula>
    </tableColumn>
  </tableColumns>
  <tableStyleInfo name="Style de tableau 3"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Invest" displayName="Invest" ref="A5:AG30" insertRowShift="1" totalsRowShown="0" headerRowDxfId="37" dataDxfId="35" headerRowBorderDxfId="36" tableBorderDxfId="34" totalsRowBorderDxfId="33" dataCellStyle="Normal 2">
  <autoFilter ref="A5:AG30" xr:uid="{00000000-0009-0000-0100-000003000000}"/>
  <tableColumns count="33">
    <tableColumn id="26" xr3:uid="{00000000-0010-0000-0500-00001A000000}" name="Source d'information" dataDxfId="32" dataCellStyle="Normal 2"/>
    <tableColumn id="39" xr3:uid="{00000000-0010-0000-0500-000027000000}" name="N° INVENTAIRE" dataDxfId="31" dataCellStyle="Normal 2"/>
    <tableColumn id="1" xr3:uid="{00000000-0010-0000-0500-000001000000}" name="N° FICHE" dataDxfId="30"/>
    <tableColumn id="34" xr3:uid="{00000000-0010-0000-0500-000022000000}" name="DÉSIGNATION" dataDxfId="29" dataCellStyle="Normal 2"/>
    <tableColumn id="35" xr3:uid="{00000000-0010-0000-0500-000023000000}" name="ANNEE INVESTISSEMENT" dataDxfId="28" dataCellStyle="Normal 2"/>
    <tableColumn id="37" xr3:uid="{00000000-0010-0000-0500-000025000000}" name="DURÉE D'AMORTISSEMENT COLLECTIVITE" dataDxfId="27" dataCellStyle="Normal 2"/>
    <tableColumn id="10" xr3:uid="{00000000-0010-0000-0500-00000A000000}" name="DURÉE D'AMORTISSEMENT ADEME" dataDxfId="26" dataCellStyle="Normal 2"/>
    <tableColumn id="24" xr3:uid="{00000000-0010-0000-0500-000018000000}" name="Saisie libre 1" dataDxfId="25" dataCellStyle="Normal 2"/>
    <tableColumn id="25" xr3:uid="{00000000-0010-0000-0500-000019000000}" name="Saisie libre 2" dataDxfId="24" dataCellStyle="Normal 2"/>
    <tableColumn id="38" xr3:uid="{00000000-0010-0000-0500-000026000000}" name="VALEUR BRUTE (€TTC)" dataDxfId="23" dataCellStyle="Monétaire"/>
    <tableColumn id="7" xr3:uid="{00000000-0010-0000-0500-000007000000}" name="VALEUR BRUTE (€HT)" dataDxfId="22" dataCellStyle="Monétaire"/>
    <tableColumn id="2" xr3:uid="{00000000-0010-0000-0500-000002000000}" name="Recette / Dépense" dataDxfId="21" dataCellStyle="Normal 2"/>
    <tableColumn id="28" xr3:uid="{00000000-0010-0000-0500-00001C000000}" name="Statut des données" dataDxfId="20" dataCellStyle="Pourcentage"/>
    <tableColumn id="13" xr3:uid="{00000000-0010-0000-0500-00000D000000}" name="Affectation matrice" dataDxfId="19"/>
    <tableColumn id="3" xr3:uid="{00000000-0010-0000-0500-000003000000}" name="Taux de TVA" dataDxfId="18" dataCellStyle="Pourcentage">
      <calculatedColumnFormula>IF(Invest[[#This Row],[Recette / Dépense]]="R",0,IF(Invest[[#This Row],[ANNEE INVESTISSEMENT]]&lt;2014,19.6%,20%))</calculatedColumnFormula>
    </tableColumn>
    <tableColumn id="5" xr3:uid="{00000000-0010-0000-0500-000005000000}" name="Taux FCTVA" dataDxfId="17" dataCellStyle="Pourcentage 2 2">
      <calculatedColumnFormula>IF(OR(Invest[[#This Row],[Recette / Dépense]]="R",Invest[[#This Row],[Taux de TVA]]=0),0,IF(Invest[[#This Row],[ANNEE INVESTISSEMENT]]&lt;2014,15.482%,IF(Invest[[#This Row],[ANNEE INVESTISSEMENT]]=2014,15.761%,16.404%)))</calculatedColumnFormula>
    </tableColumn>
    <tableColumn id="4" xr3:uid="{00000000-0010-0000-0500-000004000000}" name="Montant HT" dataDxfId="16" dataCellStyle="Monétaire">
      <calculatedColumnFormula>IF(OR(AND(Invest[[#This Row],[VALEUR BRUTE (€TTC)]]=0,Invest[[#This Row],[VALEUR BRUTE (€HT)]]=0),Invest[[#This Row],[Statut des données]]=Non_incorp),"",
IF(Invest[[#This Row],[VALEUR BRUTE (€HT)]]=0,
Invest[[#This Row],[VALEUR BRUTE (€TTC)]]/(1+Invest[[#This Row],[Taux de TVA]]),Invest[VALEUR BRUTE (€HT)]))</calculatedColumnFormula>
    </tableColumn>
    <tableColumn id="6" xr3:uid="{00000000-0010-0000-0500-000006000000}" name="Montant global FCTVA" dataDxfId="15" dataCellStyle="Monétaire">
      <calculatedColumnFormula>IF(OR(AND(Invest[[#This Row],[VALEUR BRUTE (€TTC)]]=0,Invest[[#This Row],[VALEUR BRUTE (€HT)]]=0),Invest[[#This Row],[Statut des données]]=Non_incorp),"",
Invest[[#This Row],[VALEUR BRUTE (€TTC)]]*Invest[[#This Row],[Taux FCTVA]]*IF(Invest[[#This Row],[Recette / Dépense]]="R",0,1))</calculatedColumnFormula>
    </tableColumn>
    <tableColumn id="18" xr3:uid="{00000000-0010-0000-0500-000012000000}" name="Durée d'amortissement" dataDxfId="14" dataCellStyle="Pourcentage 2">
      <calculatedColumnFormula>IF(duree_amort="COLLECTIVITE",Invest[[#This Row],[DURÉE D''AMORTISSEMENT COLLECTIVITE]],
IF(ISBLANK(Invest[[#This Row],[DURÉE D''AMORTISSEMENT ADEME]]),Invest[[#This Row],[DURÉE D''AMORTISSEMENT COLLECTIVITE]],Invest[[#This Row],[DURÉE D''AMORTISSEMENT ADEME]]))</calculatedColumnFormula>
    </tableColumn>
    <tableColumn id="9" xr3:uid="{00000000-0010-0000-0500-000009000000}" name="Fin amortissement" dataDxfId="13" dataCellStyle="Normal 2">
      <calculatedColumnFormula>IF(Invest[[#This Row],[ANNEE INVESTISSEMENT]]="","",(Invest[[#This Row],[ANNEE INVESTISSEMENT]])+Invest[[#This Row],[Durée d''amortissement]])</calculatedColumnFormula>
    </tableColumn>
    <tableColumn id="21" xr3:uid="{00000000-0010-0000-0500-000015000000}" name="Amortissement en cours" dataDxfId="12" dataCellStyle="Normal 2">
      <calculatedColumnFormula>IF(OR(Invest[[#This Row],[ANNEE INVESTISSEMENT]]="",Invest[[#This Row],[Montant HT]]=""),"",IF(Invest[[#This Row],[ANNEE INVESTISSEMENT]]&gt;=Annee,"non",IF(Invest[[#This Row],[Fin amortissement]]&gt;=Annee,"oui","non")))</calculatedColumnFormula>
    </tableColumn>
    <tableColumn id="11" xr3:uid="{00000000-0010-0000-0500-00000B000000}" name="Amortissement HT" dataDxfId="11" dataCellStyle="Monétaire">
      <calculatedColumnFormula>IF(Invest[[#This Row],[Amortissement en cours]]="oui",Invest[[#This Row],[Montant HT]]/Invest[[#This Row],[Durée d''amortissement]],0)</calculatedColumnFormula>
    </tableColumn>
    <tableColumn id="12" xr3:uid="{00000000-0010-0000-0500-00000C000000}" name="Amortissement TTC" dataDxfId="10" dataCellStyle="Monétaire">
      <calculatedColumnFormula>IF(AND(Invest[[#This Row],[Amortissement en cours]]="oui",Invest[[#This Row],[VALEUR BRUTE (€TTC)]]&gt;0),Invest[[#This Row],[VALEUR BRUTE (€TTC)]]/Invest[[#This Row],[Durée d''amortissement]],0)</calculatedColumnFormula>
    </tableColumn>
    <tableColumn id="14" xr3:uid="{00000000-0010-0000-0500-00000E000000}" name="FCTVA Annualisé" dataDxfId="9" dataCellStyle="Monétaire">
      <calculatedColumnFormula>IF(Invest[[#This Row],[Amortissement TTC]]="","",Invest[[#This Row],[Amortissement TTC]]*Invest[[#This Row],[Taux FCTVA]])</calculatedColumnFormula>
    </tableColumn>
    <tableColumn id="33" xr3:uid="{00000000-0010-0000-0500-000021000000}" name="TVA payée" dataDxfId="8" dataCellStyle="Monétaire">
      <calculatedColumnFormula>IF(OR(Invest[[#This Row],[Amortissement HT]]=0,Invest[[#This Row],[Amortissement TTC]]=0),"",Invest[[#This Row],[Amortissement TTC]]-Invest[[#This Row],[Amortissement HT]])</calculatedColumnFormula>
    </tableColumn>
    <tableColumn id="15" xr3:uid="{00000000-0010-0000-0500-00000F000000}" name="TVA acquittée" dataDxfId="7" dataCellStyle="Monétaire">
      <calculatedColumnFormula>IF(Invest[[#This Row],[TVA payée]]="","",IF(Invest[[#This Row],[TVA récupérée]]="",Invest[TVA initiale - FCTVA],Invest[[#This Row],[TVA initiale - FCTVA]]-Invest[[#This Row],[TVA récupérée]]))</calculatedColumnFormula>
    </tableColumn>
    <tableColumn id="19" xr3:uid="{00000000-0010-0000-0500-000013000000}" name="Avec emprunt" dataDxfId="6" dataCellStyle="Normal 2"/>
    <tableColumn id="8" xr3:uid="{00000000-0010-0000-0500-000008000000}" name="Coefficient de déduction" dataDxfId="5" dataCellStyle="Normal 2"/>
    <tableColumn id="20" xr3:uid="{00000000-0010-0000-0500-000014000000}" name="Répartition des amortissements" dataDxfId="4" dataCellStyle="Pourcentage">
      <calculatedColumnFormula>IFERROR(IF(AND(Invest[[#This Row],[Recette / Dépense]]="D",Invest[[#This Row],[Avec emprunt]]="X"),Invest[[#This Row],[Amortissement HT]],"")/SUMIFS(Invest[Amortissement HT],Invest[Recette / Dépense],"D",Invest[Avec emprunt],"X"),0)</calculatedColumnFormula>
    </tableColumn>
    <tableColumn id="22" xr3:uid="{00000000-0010-0000-0500-000016000000}" name="Intérêts répartis" dataDxfId="3" dataCellStyle="Monétaire">
      <calculatedColumnFormula>IFERROR(SUMIF(Fonctionnement[Statut des données],Interet,Fonctionnement[Réalisé pour contrôle CA])*Invest[[#This Row],[Répartition des amortissements]],"")</calculatedColumnFormula>
    </tableColumn>
    <tableColumn id="23" xr3:uid="{00000000-0010-0000-0500-000017000000}" name="Amortissement HT + intérêts" dataDxfId="2" dataCellStyle="Monétaire">
      <calculatedColumnFormula>Invest[[#This Row],[Amortissement HT]]+Invest[[#This Row],[Intérêts répartis]]</calculatedColumnFormula>
    </tableColumn>
    <tableColumn id="17" xr3:uid="{00000000-0010-0000-0500-000011000000}" name="TVA initiale - FCTVA" dataDxfId="1" dataCellStyle="Monétaire">
      <calculatedColumnFormula>IF(Invest[[#This Row],[TVA payée]]="","",Invest[[#This Row],[TVA payée]]-Invest[[#This Row],[FCTVA Annualisé]])</calculatedColumnFormula>
    </tableColumn>
    <tableColumn id="16" xr3:uid="{00000000-0010-0000-0500-000010000000}" name="TVA récupérée" dataDxfId="0" dataCellStyle="Monétaire">
      <calculatedColumnFormula>IF(OR(Invest[[#This Row],[TVA payée]]=0,Invest[[#This Row],[Coefficient de déduction]]=""),0,
Invest[[#This Row],[Coefficient de déduction]]*Invest[[#This Row],[TVA initiale - FCTVA]])</calculatedColumnFormula>
    </tableColumn>
  </tableColumns>
  <tableStyleInfo name="TableStyleLight1"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1.bin"/><Relationship Id="rId1" Type="http://schemas.openxmlformats.org/officeDocument/2006/relationships/pivotTable" Target="../pivotTables/pivotTable2.xml"/><Relationship Id="rId5" Type="http://schemas.openxmlformats.org/officeDocument/2006/relationships/comments" Target="../comments14.xml"/><Relationship Id="rId4" Type="http://schemas.openxmlformats.org/officeDocument/2006/relationships/table" Target="../tables/table6.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onedrive.live.com/?authkey=%21AhqWmRG0SDNr51Y&amp;id=122673A82B1D5E52%21174&amp;cid=122673A82B1D5E5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4">
    <tabColor theme="1"/>
  </sheetPr>
  <dimension ref="A1:I40"/>
  <sheetViews>
    <sheetView showGridLines="0" workbookViewId="0">
      <selection activeCell="A7" sqref="A7"/>
    </sheetView>
  </sheetViews>
  <sheetFormatPr baseColWidth="10" defaultColWidth="11.44140625" defaultRowHeight="13.2" x14ac:dyDescent="0.25"/>
  <cols>
    <col min="1" max="1" width="42.33203125" bestFit="1" customWidth="1"/>
    <col min="3" max="3" width="42.88671875" bestFit="1" customWidth="1"/>
    <col min="5" max="5" width="27.5546875" bestFit="1" customWidth="1"/>
    <col min="7" max="7" width="27.5546875" bestFit="1" customWidth="1"/>
    <col min="9" max="9" width="21.33203125" bestFit="1" customWidth="1"/>
  </cols>
  <sheetData>
    <row r="1" spans="1:9" x14ac:dyDescent="0.25">
      <c r="A1" s="1" t="s">
        <v>0</v>
      </c>
      <c r="C1" s="1" t="s">
        <v>1</v>
      </c>
      <c r="E1" s="2" t="s">
        <v>2</v>
      </c>
      <c r="G1" s="5" t="s">
        <v>3</v>
      </c>
      <c r="I1" s="5" t="s">
        <v>4</v>
      </c>
    </row>
    <row r="2" spans="1:9" x14ac:dyDescent="0.25">
      <c r="A2" s="1" t="s">
        <v>5</v>
      </c>
      <c r="C2" t="s">
        <v>6</v>
      </c>
      <c r="E2" s="2" t="s">
        <v>7</v>
      </c>
      <c r="G2" s="2" t="str">
        <f>Incorp</f>
        <v>Incorporable</v>
      </c>
      <c r="I2" s="2" t="str">
        <f>Incorp</f>
        <v>Incorporable</v>
      </c>
    </row>
    <row r="3" spans="1:9" x14ac:dyDescent="0.25">
      <c r="A3" t="s">
        <v>8</v>
      </c>
      <c r="C3" t="s">
        <v>9</v>
      </c>
      <c r="E3" s="2" t="s">
        <v>10</v>
      </c>
      <c r="G3" s="2" t="str">
        <f>Non_incorp</f>
        <v>Non incorporable</v>
      </c>
      <c r="I3" s="2" t="str">
        <f>Non_incorp</f>
        <v>Non incorporable</v>
      </c>
    </row>
    <row r="4" spans="1:9" x14ac:dyDescent="0.25">
      <c r="A4" t="s">
        <v>11</v>
      </c>
      <c r="C4" t="s">
        <v>12</v>
      </c>
      <c r="E4" s="2" t="s">
        <v>13</v>
      </c>
      <c r="G4" s="2" t="str">
        <f>Att_produit</f>
        <v>Atténuation de produit</v>
      </c>
      <c r="I4" s="2" t="str">
        <f>Att_charge</f>
        <v>Atténuation de charge</v>
      </c>
    </row>
    <row r="5" spans="1:9" x14ac:dyDescent="0.25">
      <c r="A5" t="s">
        <v>14</v>
      </c>
      <c r="C5" t="s">
        <v>15</v>
      </c>
      <c r="E5" s="2" t="s">
        <v>16</v>
      </c>
      <c r="G5" s="2" t="str">
        <f>Amort_extrac</f>
        <v>Amortissement extra-comptable</v>
      </c>
      <c r="I5" s="2" t="str">
        <f>Reprise_extrac</f>
        <v>Reprise extra-comptable</v>
      </c>
    </row>
    <row r="6" spans="1:9" x14ac:dyDescent="0.25">
      <c r="A6" t="s">
        <v>17</v>
      </c>
      <c r="C6" t="s">
        <v>18</v>
      </c>
      <c r="E6" s="2" t="s">
        <v>19</v>
      </c>
      <c r="G6" s="2" t="str">
        <f>Amort</f>
        <v>Amortissement</v>
      </c>
      <c r="I6" s="2" t="str">
        <f>Reprise</f>
        <v>Reprise</v>
      </c>
    </row>
    <row r="7" spans="1:9" x14ac:dyDescent="0.25">
      <c r="A7" t="s">
        <v>20</v>
      </c>
      <c r="C7" t="s">
        <v>21</v>
      </c>
      <c r="E7" s="2" t="s">
        <v>22</v>
      </c>
      <c r="G7" s="2" t="str">
        <f>Interet</f>
        <v>Intérêts</v>
      </c>
    </row>
    <row r="8" spans="1:9" x14ac:dyDescent="0.25">
      <c r="A8" t="s">
        <v>23</v>
      </c>
      <c r="C8" t="s">
        <v>24</v>
      </c>
      <c r="E8" s="2" t="s">
        <v>25</v>
      </c>
    </row>
    <row r="9" spans="1:9" x14ac:dyDescent="0.25">
      <c r="A9" t="s">
        <v>26</v>
      </c>
      <c r="C9" t="s">
        <v>27</v>
      </c>
      <c r="E9" s="2" t="s">
        <v>28</v>
      </c>
    </row>
    <row r="10" spans="1:9" x14ac:dyDescent="0.25">
      <c r="A10" t="s">
        <v>29</v>
      </c>
      <c r="C10" t="s">
        <v>30</v>
      </c>
      <c r="E10" s="2" t="s">
        <v>31</v>
      </c>
    </row>
    <row r="11" spans="1:9" x14ac:dyDescent="0.25">
      <c r="A11" t="s">
        <v>32</v>
      </c>
      <c r="C11" t="s">
        <v>33</v>
      </c>
    </row>
    <row r="12" spans="1:9" x14ac:dyDescent="0.25">
      <c r="A12" t="s">
        <v>34</v>
      </c>
      <c r="C12" t="s">
        <v>35</v>
      </c>
    </row>
    <row r="13" spans="1:9" x14ac:dyDescent="0.25">
      <c r="A13" t="s">
        <v>36</v>
      </c>
      <c r="C13" t="s">
        <v>37</v>
      </c>
    </row>
    <row r="14" spans="1:9" x14ac:dyDescent="0.25">
      <c r="A14" t="s">
        <v>38</v>
      </c>
      <c r="C14" t="s">
        <v>39</v>
      </c>
    </row>
    <row r="15" spans="1:9" x14ac:dyDescent="0.25">
      <c r="A15" t="s">
        <v>40</v>
      </c>
      <c r="C15" t="s">
        <v>41</v>
      </c>
    </row>
    <row r="16" spans="1:9" x14ac:dyDescent="0.25">
      <c r="A16" s="636" t="s">
        <v>42</v>
      </c>
      <c r="C16" t="s">
        <v>43</v>
      </c>
    </row>
    <row r="17" spans="1:3" x14ac:dyDescent="0.25">
      <c r="A17" t="s">
        <v>44</v>
      </c>
      <c r="C17" t="s">
        <v>45</v>
      </c>
    </row>
    <row r="18" spans="1:3" x14ac:dyDescent="0.25">
      <c r="A18" t="s">
        <v>46</v>
      </c>
      <c r="C18" t="s">
        <v>47</v>
      </c>
    </row>
    <row r="19" spans="1:3" x14ac:dyDescent="0.25">
      <c r="A19" t="s">
        <v>48</v>
      </c>
      <c r="C19" t="s">
        <v>49</v>
      </c>
    </row>
    <row r="20" spans="1:3" x14ac:dyDescent="0.25">
      <c r="A20" t="s">
        <v>50</v>
      </c>
      <c r="C20" t="s">
        <v>51</v>
      </c>
    </row>
    <row r="21" spans="1:3" x14ac:dyDescent="0.25">
      <c r="A21" t="s">
        <v>52</v>
      </c>
      <c r="C21" t="s">
        <v>53</v>
      </c>
    </row>
    <row r="22" spans="1:3" x14ac:dyDescent="0.25">
      <c r="A22" t="s">
        <v>54</v>
      </c>
      <c r="C22" t="s">
        <v>55</v>
      </c>
    </row>
    <row r="23" spans="1:3" x14ac:dyDescent="0.25">
      <c r="A23" t="s">
        <v>56</v>
      </c>
      <c r="C23" t="s">
        <v>57</v>
      </c>
    </row>
    <row r="24" spans="1:3" x14ac:dyDescent="0.25">
      <c r="A24" t="s">
        <v>58</v>
      </c>
      <c r="C24" t="s">
        <v>59</v>
      </c>
    </row>
    <row r="25" spans="1:3" x14ac:dyDescent="0.25">
      <c r="A25" t="s">
        <v>60</v>
      </c>
      <c r="C25" t="s">
        <v>61</v>
      </c>
    </row>
    <row r="26" spans="1:3" x14ac:dyDescent="0.25">
      <c r="A26" t="s">
        <v>62</v>
      </c>
      <c r="C26" t="s">
        <v>63</v>
      </c>
    </row>
    <row r="27" spans="1:3" x14ac:dyDescent="0.25">
      <c r="A27" t="s">
        <v>64</v>
      </c>
      <c r="C27" t="s">
        <v>65</v>
      </c>
    </row>
    <row r="28" spans="1:3" x14ac:dyDescent="0.25">
      <c r="A28" t="s">
        <v>66</v>
      </c>
      <c r="C28" t="s">
        <v>67</v>
      </c>
    </row>
    <row r="29" spans="1:3" x14ac:dyDescent="0.25">
      <c r="A29" t="s">
        <v>68</v>
      </c>
      <c r="C29" t="s">
        <v>69</v>
      </c>
    </row>
    <row r="30" spans="1:3" x14ac:dyDescent="0.25">
      <c r="A30" t="s">
        <v>54</v>
      </c>
      <c r="C30" t="s">
        <v>70</v>
      </c>
    </row>
    <row r="31" spans="1:3" x14ac:dyDescent="0.25">
      <c r="A31" t="s">
        <v>71</v>
      </c>
      <c r="C31" t="s">
        <v>72</v>
      </c>
    </row>
    <row r="32" spans="1:3" x14ac:dyDescent="0.25">
      <c r="A32" t="s">
        <v>73</v>
      </c>
      <c r="C32" t="s">
        <v>74</v>
      </c>
    </row>
    <row r="33" spans="1:3" x14ac:dyDescent="0.25">
      <c r="A33" t="s">
        <v>75</v>
      </c>
      <c r="C33" t="s">
        <v>76</v>
      </c>
    </row>
    <row r="34" spans="1:3" x14ac:dyDescent="0.25">
      <c r="A34" t="s">
        <v>77</v>
      </c>
      <c r="C34" t="s">
        <v>78</v>
      </c>
    </row>
    <row r="35" spans="1:3" x14ac:dyDescent="0.25">
      <c r="A35" t="s">
        <v>79</v>
      </c>
      <c r="C35" t="s">
        <v>80</v>
      </c>
    </row>
    <row r="36" spans="1:3" x14ac:dyDescent="0.25">
      <c r="A36" t="s">
        <v>81</v>
      </c>
      <c r="C36" t="s">
        <v>82</v>
      </c>
    </row>
    <row r="37" spans="1:3" x14ac:dyDescent="0.25">
      <c r="A37" t="s">
        <v>83</v>
      </c>
      <c r="C37" t="s">
        <v>84</v>
      </c>
    </row>
    <row r="38" spans="1:3" x14ac:dyDescent="0.25">
      <c r="C38" t="s">
        <v>85</v>
      </c>
    </row>
    <row r="39" spans="1:3" x14ac:dyDescent="0.25">
      <c r="C39" t="s">
        <v>86</v>
      </c>
    </row>
    <row r="40" spans="1:3" x14ac:dyDescent="0.25">
      <c r="C40" t="s">
        <v>87</v>
      </c>
    </row>
  </sheetData>
  <pageMargins left="0.7" right="0.7" top="0.75" bottom="0.75" header="0.3" footer="0.3"/>
  <tableParts count="2">
    <tablePart r:id="rId1"/>
    <tablePart r:id="rId2"/>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6">
    <tabColor rgb="FFFFFF00"/>
    <pageSetUpPr fitToPage="1"/>
  </sheetPr>
  <dimension ref="A1:DF100"/>
  <sheetViews>
    <sheetView showGridLines="0" zoomScaleNormal="100" workbookViewId="0">
      <pane xSplit="3" ySplit="3" topLeftCell="D46" activePane="bottomRight" state="frozen"/>
      <selection pane="topRight" activeCell="D1" sqref="D1"/>
      <selection pane="bottomLeft" activeCell="A4" sqref="A4"/>
      <selection pane="bottomRight" activeCell="D62" sqref="D62"/>
    </sheetView>
  </sheetViews>
  <sheetFormatPr baseColWidth="10" defaultColWidth="11.44140625" defaultRowHeight="13.2" x14ac:dyDescent="0.25"/>
  <cols>
    <col min="1" max="1" width="14" style="20" customWidth="1"/>
    <col min="2" max="2" width="21" style="20" customWidth="1"/>
    <col min="3" max="3" width="29.44140625" style="20" customWidth="1"/>
    <col min="4" max="4" width="23.33203125" style="7" customWidth="1"/>
    <col min="5" max="8" width="13.44140625" style="7" customWidth="1"/>
    <col min="9" max="12" width="13.44140625" style="7" hidden="1" customWidth="1"/>
    <col min="13" max="29" width="2.44140625" style="7" hidden="1" customWidth="1"/>
    <col min="30" max="30" width="11.44140625" style="7"/>
    <col min="31" max="31" width="23.109375" style="7" bestFit="1" customWidth="1"/>
    <col min="32" max="83" width="11.44140625" style="7" hidden="1" customWidth="1"/>
    <col min="84" max="88" width="11.44140625" style="7"/>
    <col min="89" max="91" width="0" style="7" hidden="1" customWidth="1"/>
    <col min="92" max="108" width="2.44140625" style="7" hidden="1" customWidth="1"/>
    <col min="109" max="16384" width="11.44140625" style="7"/>
  </cols>
  <sheetData>
    <row r="1" spans="1:110" ht="21" x14ac:dyDescent="0.4">
      <c r="A1" s="19" t="s">
        <v>1091</v>
      </c>
    </row>
    <row r="2" spans="1:110" x14ac:dyDescent="0.25">
      <c r="A2" s="7"/>
      <c r="B2" s="7"/>
      <c r="C2" s="7"/>
      <c r="E2" s="731" t="s">
        <v>1092</v>
      </c>
      <c r="F2" s="731"/>
      <c r="G2" s="731"/>
      <c r="H2" s="731"/>
      <c r="I2" s="731"/>
      <c r="J2" s="731"/>
      <c r="K2" s="731"/>
      <c r="L2" s="731"/>
      <c r="M2" s="731"/>
      <c r="N2" s="731"/>
      <c r="O2" s="731"/>
      <c r="P2" s="731"/>
      <c r="Q2" s="731"/>
      <c r="R2" s="731"/>
      <c r="S2" s="731"/>
      <c r="T2" s="731"/>
      <c r="U2" s="731"/>
      <c r="V2" s="731"/>
      <c r="W2" s="731"/>
      <c r="X2" s="731"/>
      <c r="Y2" s="731"/>
      <c r="Z2" s="731"/>
      <c r="AA2" s="731"/>
      <c r="AB2" s="731"/>
      <c r="AC2" s="731"/>
      <c r="AD2" s="44"/>
      <c r="AF2" s="732" t="s">
        <v>1008</v>
      </c>
      <c r="AG2" s="732"/>
      <c r="AH2" s="732"/>
      <c r="AI2" s="732"/>
      <c r="AJ2" s="732"/>
      <c r="AK2" s="732"/>
      <c r="AL2" s="732"/>
      <c r="AM2" s="732"/>
      <c r="AN2" s="732"/>
      <c r="AO2" s="732"/>
      <c r="AP2" s="732"/>
      <c r="AQ2" s="732"/>
      <c r="AR2" s="732"/>
      <c r="AS2" s="732"/>
      <c r="AT2" s="732"/>
      <c r="AU2" s="732"/>
      <c r="AV2" s="732"/>
      <c r="AW2" s="732"/>
      <c r="AX2" s="732"/>
      <c r="AY2" s="732"/>
      <c r="AZ2" s="732"/>
      <c r="BA2" s="732"/>
      <c r="BB2" s="732"/>
      <c r="BC2" s="732"/>
      <c r="BD2" s="732"/>
      <c r="BE2" s="735" t="s">
        <v>172</v>
      </c>
      <c r="BF2" s="732" t="s">
        <v>171</v>
      </c>
      <c r="BG2" s="732"/>
      <c r="BH2" s="732"/>
      <c r="BI2" s="732"/>
      <c r="BJ2" s="732"/>
      <c r="BK2" s="732"/>
      <c r="BL2" s="732"/>
      <c r="BM2" s="732"/>
      <c r="BN2" s="732"/>
      <c r="BO2" s="732"/>
      <c r="BP2" s="732"/>
      <c r="BQ2" s="732"/>
      <c r="BR2" s="732"/>
      <c r="BS2" s="732"/>
      <c r="BT2" s="732"/>
      <c r="BU2" s="732"/>
      <c r="BV2" s="732"/>
      <c r="BW2" s="732"/>
      <c r="BX2" s="732"/>
      <c r="BY2" s="732"/>
      <c r="BZ2" s="732"/>
      <c r="CA2" s="732"/>
      <c r="CB2" s="732"/>
      <c r="CC2" s="732"/>
      <c r="CD2" s="732"/>
      <c r="CE2" s="733" t="s">
        <v>172</v>
      </c>
      <c r="CF2" s="729" t="s">
        <v>1093</v>
      </c>
      <c r="CG2" s="729"/>
      <c r="CH2" s="729"/>
      <c r="CI2" s="729"/>
      <c r="CJ2" s="729"/>
      <c r="CK2" s="729"/>
      <c r="CL2" s="729"/>
      <c r="CM2" s="729"/>
      <c r="CN2" s="729"/>
      <c r="CO2" s="729"/>
      <c r="CP2" s="729"/>
      <c r="CQ2" s="729"/>
      <c r="CR2" s="729"/>
      <c r="CS2" s="729"/>
      <c r="CT2" s="729"/>
      <c r="CU2" s="729"/>
      <c r="CV2" s="729"/>
      <c r="CW2" s="729"/>
      <c r="CX2" s="729"/>
      <c r="CY2" s="729"/>
      <c r="CZ2" s="729"/>
      <c r="DA2" s="729"/>
      <c r="DB2" s="729"/>
      <c r="DC2" s="729"/>
      <c r="DD2" s="729"/>
      <c r="DE2" s="730" t="s">
        <v>172</v>
      </c>
    </row>
    <row r="3" spans="1:110" ht="45" customHeight="1" x14ac:dyDescent="0.25">
      <c r="A3" s="195" t="s">
        <v>1077</v>
      </c>
      <c r="B3" s="195" t="s">
        <v>1094</v>
      </c>
      <c r="C3" s="195" t="s">
        <v>1095</v>
      </c>
      <c r="D3" s="195" t="s">
        <v>1096</v>
      </c>
      <c r="E3" s="147" t="str">
        <f>'2 - Matrice finale'!B4</f>
        <v>OMR</v>
      </c>
      <c r="F3" s="147" t="str">
        <f>'2 - Matrice finale'!C4</f>
        <v>Verre</v>
      </c>
      <c r="G3" s="147" t="str">
        <f>'2 - Matrice finale'!D4</f>
        <v>RSOM hors verre</v>
      </c>
      <c r="H3" s="147" t="str">
        <f>'2 - Matrice finale'!E4</f>
        <v>Déchets des déchèteries</v>
      </c>
      <c r="I3" s="147" t="str">
        <f>'2 - Matrice finale'!F4</f>
        <v>Flux 5</v>
      </c>
      <c r="J3" s="147" t="str">
        <f>'2 - Matrice finale'!G4</f>
        <v>Flux 6</v>
      </c>
      <c r="K3" s="147" t="str">
        <f>'2 - Matrice finale'!H4</f>
        <v>Flux 7</v>
      </c>
      <c r="L3" s="147" t="str">
        <f>'2 - Matrice finale'!I4</f>
        <v>Flux 8</v>
      </c>
      <c r="M3" s="147" t="str">
        <f>'2 - Matrice finale'!J4</f>
        <v>Flux 9</v>
      </c>
      <c r="N3" s="147" t="str">
        <f>'2 - Matrice finale'!K4</f>
        <v>Flux 10</v>
      </c>
      <c r="O3" s="147" t="str">
        <f>'2 - Matrice finale'!L4</f>
        <v>Flux 11</v>
      </c>
      <c r="P3" s="147" t="str">
        <f>'2 - Matrice finale'!M4</f>
        <v>Flux 12</v>
      </c>
      <c r="Q3" s="147" t="str">
        <f>'2 - Matrice finale'!N4</f>
        <v>Flux 13</v>
      </c>
      <c r="R3" s="147" t="str">
        <f>'2 - Matrice finale'!O4</f>
        <v>Flux 14</v>
      </c>
      <c r="S3" s="147" t="str">
        <f>'2 - Matrice finale'!P4</f>
        <v>Flux 15</v>
      </c>
      <c r="T3" s="147" t="str">
        <f>'2 - Matrice finale'!Q4</f>
        <v>Flux 16</v>
      </c>
      <c r="U3" s="147" t="str">
        <f>'2 - Matrice finale'!R4</f>
        <v>Flux 17</v>
      </c>
      <c r="V3" s="147" t="str">
        <f>'2 - Matrice finale'!S4</f>
        <v>Flux 18</v>
      </c>
      <c r="W3" s="147" t="str">
        <f>'2 - Matrice finale'!T4</f>
        <v>Flux 19</v>
      </c>
      <c r="X3" s="147" t="str">
        <f>'2 - Matrice finale'!U4</f>
        <v>Flux 20</v>
      </c>
      <c r="Y3" s="147" t="str">
        <f>'2 - Matrice finale'!V4</f>
        <v>Flux 21</v>
      </c>
      <c r="Z3" s="147" t="str">
        <f>'2 - Matrice finale'!W4</f>
        <v>Flux 22</v>
      </c>
      <c r="AA3" s="147" t="str">
        <f>'2 - Matrice finale'!X4</f>
        <v>Flux 23</v>
      </c>
      <c r="AB3" s="147" t="str">
        <f>'2 - Matrice finale'!Y4</f>
        <v>Flux 24</v>
      </c>
      <c r="AC3" s="147" t="str">
        <f>'2 - Matrice finale'!Z4</f>
        <v>Flux 25</v>
      </c>
      <c r="AD3" s="147" t="s">
        <v>172</v>
      </c>
      <c r="AF3" s="55" t="str">
        <f>'2 - Matrice finale'!B4</f>
        <v>OMR</v>
      </c>
      <c r="AG3" s="55" t="str">
        <f>'2 - Matrice finale'!C4</f>
        <v>Verre</v>
      </c>
      <c r="AH3" s="55" t="str">
        <f>'2 - Matrice finale'!D4</f>
        <v>RSOM hors verre</v>
      </c>
      <c r="AI3" s="55" t="str">
        <f>'2 - Matrice finale'!E4</f>
        <v>Déchets des déchèteries</v>
      </c>
      <c r="AJ3" s="55" t="str">
        <f>'2 - Matrice finale'!F4</f>
        <v>Flux 5</v>
      </c>
      <c r="AK3" s="55" t="str">
        <f>'2 - Matrice finale'!G4</f>
        <v>Flux 6</v>
      </c>
      <c r="AL3" s="55" t="str">
        <f>'2 - Matrice finale'!H4</f>
        <v>Flux 7</v>
      </c>
      <c r="AM3" s="55" t="str">
        <f>'2 - Matrice finale'!I4</f>
        <v>Flux 8</v>
      </c>
      <c r="AN3" s="55" t="str">
        <f>'2 - Matrice finale'!J4</f>
        <v>Flux 9</v>
      </c>
      <c r="AO3" s="55" t="str">
        <f>'2 - Matrice finale'!K4</f>
        <v>Flux 10</v>
      </c>
      <c r="AP3" s="55" t="str">
        <f>'2 - Matrice finale'!L4</f>
        <v>Flux 11</v>
      </c>
      <c r="AQ3" s="55" t="str">
        <f>'2 - Matrice finale'!M4</f>
        <v>Flux 12</v>
      </c>
      <c r="AR3" s="55" t="str">
        <f>'2 - Matrice finale'!N4</f>
        <v>Flux 13</v>
      </c>
      <c r="AS3" s="55" t="str">
        <f>'2 - Matrice finale'!O4</f>
        <v>Flux 14</v>
      </c>
      <c r="AT3" s="55" t="str">
        <f>'2 - Matrice finale'!P4</f>
        <v>Flux 15</v>
      </c>
      <c r="AU3" s="55" t="str">
        <f>'2 - Matrice finale'!Q4</f>
        <v>Flux 16</v>
      </c>
      <c r="AV3" s="55" t="str">
        <f>'2 - Matrice finale'!R4</f>
        <v>Flux 17</v>
      </c>
      <c r="AW3" s="55" t="str">
        <f>'2 - Matrice finale'!S4</f>
        <v>Flux 18</v>
      </c>
      <c r="AX3" s="55" t="str">
        <f>'2 - Matrice finale'!T4</f>
        <v>Flux 19</v>
      </c>
      <c r="AY3" s="55" t="str">
        <f>'2 - Matrice finale'!U4</f>
        <v>Flux 20</v>
      </c>
      <c r="AZ3" s="55" t="str">
        <f>'2 - Matrice finale'!V4</f>
        <v>Flux 21</v>
      </c>
      <c r="BA3" s="55" t="str">
        <f>'2 - Matrice finale'!W4</f>
        <v>Flux 22</v>
      </c>
      <c r="BB3" s="55" t="str">
        <f>'2 - Matrice finale'!X4</f>
        <v>Flux 23</v>
      </c>
      <c r="BC3" s="55" t="str">
        <f>'2 - Matrice finale'!Y4</f>
        <v>Flux 24</v>
      </c>
      <c r="BD3" s="55" t="str">
        <f>'2 - Matrice finale'!Z4</f>
        <v>Flux 25</v>
      </c>
      <c r="BE3" s="736"/>
      <c r="BF3" s="55" t="str">
        <f>'2 - Matrice finale'!B4</f>
        <v>OMR</v>
      </c>
      <c r="BG3" s="55" t="str">
        <f>'2 - Matrice finale'!C4</f>
        <v>Verre</v>
      </c>
      <c r="BH3" s="55" t="str">
        <f>'2 - Matrice finale'!D4</f>
        <v>RSOM hors verre</v>
      </c>
      <c r="BI3" s="55" t="str">
        <f>'2 - Matrice finale'!E4</f>
        <v>Déchets des déchèteries</v>
      </c>
      <c r="BJ3" s="55" t="str">
        <f>'2 - Matrice finale'!F4</f>
        <v>Flux 5</v>
      </c>
      <c r="BK3" s="55" t="str">
        <f>'2 - Matrice finale'!G4</f>
        <v>Flux 6</v>
      </c>
      <c r="BL3" s="55" t="str">
        <f>'2 - Matrice finale'!H4</f>
        <v>Flux 7</v>
      </c>
      <c r="BM3" s="55" t="str">
        <f>'2 - Matrice finale'!I4</f>
        <v>Flux 8</v>
      </c>
      <c r="BN3" s="55" t="str">
        <f>'2 - Matrice finale'!J4</f>
        <v>Flux 9</v>
      </c>
      <c r="BO3" s="55" t="str">
        <f>'2 - Matrice finale'!K4</f>
        <v>Flux 10</v>
      </c>
      <c r="BP3" s="55" t="str">
        <f>'2 - Matrice finale'!L4</f>
        <v>Flux 11</v>
      </c>
      <c r="BQ3" s="55" t="str">
        <f>'2 - Matrice finale'!M4</f>
        <v>Flux 12</v>
      </c>
      <c r="BR3" s="55" t="str">
        <f>'2 - Matrice finale'!N4</f>
        <v>Flux 13</v>
      </c>
      <c r="BS3" s="55" t="str">
        <f>'2 - Matrice finale'!O4</f>
        <v>Flux 14</v>
      </c>
      <c r="BT3" s="55" t="str">
        <f>'2 - Matrice finale'!P4</f>
        <v>Flux 15</v>
      </c>
      <c r="BU3" s="55" t="str">
        <f>'2 - Matrice finale'!Q4</f>
        <v>Flux 16</v>
      </c>
      <c r="BV3" s="55" t="str">
        <f>'2 - Matrice finale'!R4</f>
        <v>Flux 17</v>
      </c>
      <c r="BW3" s="55" t="str">
        <f>'2 - Matrice finale'!S4</f>
        <v>Flux 18</v>
      </c>
      <c r="BX3" s="55" t="str">
        <f>'2 - Matrice finale'!T4</f>
        <v>Flux 19</v>
      </c>
      <c r="BY3" s="55" t="str">
        <f>'2 - Matrice finale'!U4</f>
        <v>Flux 20</v>
      </c>
      <c r="BZ3" s="55" t="str">
        <f>'2 - Matrice finale'!V4</f>
        <v>Flux 21</v>
      </c>
      <c r="CA3" s="55" t="str">
        <f>'2 - Matrice finale'!W4</f>
        <v>Flux 22</v>
      </c>
      <c r="CB3" s="55" t="str">
        <f>'2 - Matrice finale'!X4</f>
        <v>Flux 23</v>
      </c>
      <c r="CC3" s="55" t="str">
        <f>'2 - Matrice finale'!Y4</f>
        <v>Flux 24</v>
      </c>
      <c r="CD3" s="55" t="str">
        <f>'2 - Matrice finale'!Z4</f>
        <v>Flux 25</v>
      </c>
      <c r="CE3" s="734"/>
      <c r="CF3" s="643" t="str">
        <f>'2 - Matrice finale'!B4</f>
        <v>OMR</v>
      </c>
      <c r="CG3" s="643" t="str">
        <f>'2 - Matrice finale'!C4</f>
        <v>Verre</v>
      </c>
      <c r="CH3" s="643" t="str">
        <f>'2 - Matrice finale'!D4</f>
        <v>RSOM hors verre</v>
      </c>
      <c r="CI3" s="643" t="str">
        <f>'2 - Matrice finale'!E4</f>
        <v>Déchets des déchèteries</v>
      </c>
      <c r="CJ3" s="643" t="str">
        <f>'2 - Matrice finale'!F4</f>
        <v>Flux 5</v>
      </c>
      <c r="CK3" s="643" t="str">
        <f>'2 - Matrice finale'!G4</f>
        <v>Flux 6</v>
      </c>
      <c r="CL3" s="643" t="str">
        <f>'2 - Matrice finale'!H4</f>
        <v>Flux 7</v>
      </c>
      <c r="CM3" s="643" t="str">
        <f>'2 - Matrice finale'!I4</f>
        <v>Flux 8</v>
      </c>
      <c r="CN3" s="643" t="str">
        <f>'2 - Matrice finale'!J4</f>
        <v>Flux 9</v>
      </c>
      <c r="CO3" s="643" t="str">
        <f>'2 - Matrice finale'!K4</f>
        <v>Flux 10</v>
      </c>
      <c r="CP3" s="643" t="str">
        <f>'2 - Matrice finale'!L4</f>
        <v>Flux 11</v>
      </c>
      <c r="CQ3" s="643" t="str">
        <f>'2 - Matrice finale'!M4</f>
        <v>Flux 12</v>
      </c>
      <c r="CR3" s="643" t="str">
        <f>'2 - Matrice finale'!N4</f>
        <v>Flux 13</v>
      </c>
      <c r="CS3" s="643" t="str">
        <f>'2 - Matrice finale'!O4</f>
        <v>Flux 14</v>
      </c>
      <c r="CT3" s="643" t="str">
        <f>'2 - Matrice finale'!P4</f>
        <v>Flux 15</v>
      </c>
      <c r="CU3" s="643" t="str">
        <f>'2 - Matrice finale'!Q4</f>
        <v>Flux 16</v>
      </c>
      <c r="CV3" s="643" t="str">
        <f>'2 - Matrice finale'!R4</f>
        <v>Flux 17</v>
      </c>
      <c r="CW3" s="643" t="str">
        <f>'2 - Matrice finale'!S4</f>
        <v>Flux 18</v>
      </c>
      <c r="CX3" s="643" t="str">
        <f>'2 - Matrice finale'!T4</f>
        <v>Flux 19</v>
      </c>
      <c r="CY3" s="643" t="str">
        <f>'2 - Matrice finale'!U4</f>
        <v>Flux 20</v>
      </c>
      <c r="CZ3" s="643" t="str">
        <f>'2 - Matrice finale'!V4</f>
        <v>Flux 21</v>
      </c>
      <c r="DA3" s="643" t="str">
        <f>'2 - Matrice finale'!W4</f>
        <v>Flux 22</v>
      </c>
      <c r="DB3" s="643" t="str">
        <f>'2 - Matrice finale'!X4</f>
        <v>Flux 23</v>
      </c>
      <c r="DC3" s="643" t="str">
        <f>'2 - Matrice finale'!Y4</f>
        <v>Flux 24</v>
      </c>
      <c r="DD3" s="643" t="str">
        <f>'2 - Matrice finale'!Z4</f>
        <v>Flux 25</v>
      </c>
      <c r="DE3" s="730"/>
    </row>
    <row r="4" spans="1:110" x14ac:dyDescent="0.25">
      <c r="A4" s="248"/>
      <c r="B4" s="248"/>
      <c r="C4" s="249"/>
      <c r="D4" s="250"/>
      <c r="E4" s="60"/>
      <c r="F4" s="60"/>
      <c r="G4" s="60"/>
      <c r="H4" s="60"/>
      <c r="I4" s="60"/>
      <c r="J4" s="60"/>
      <c r="K4" s="60"/>
      <c r="L4" s="60"/>
      <c r="M4" s="60"/>
      <c r="N4" s="60"/>
      <c r="O4" s="60"/>
      <c r="P4" s="60"/>
      <c r="Q4" s="60"/>
      <c r="R4" s="60"/>
      <c r="S4" s="60"/>
      <c r="T4" s="60"/>
      <c r="U4" s="60"/>
      <c r="V4" s="60"/>
      <c r="W4" s="60"/>
      <c r="X4" s="60"/>
      <c r="Y4" s="60"/>
      <c r="Z4" s="60"/>
      <c r="AA4" s="60"/>
      <c r="AB4" s="60"/>
      <c r="AC4" s="60"/>
      <c r="AD4" s="61">
        <f t="shared" ref="AD4:AD10" si="0">SUM(E4:AC4)</f>
        <v>0</v>
      </c>
      <c r="AE4" s="53" t="str">
        <f ca="1">IF(AND(CELL("format",AD4)="%0",AD4&lt;&gt;1,AD4&gt;0),"Le total ne fait pas 100%","")</f>
        <v/>
      </c>
      <c r="AF4" s="56">
        <f>IF($C4=Repart_lignes,0,
(SUMIF(Fonctionnement[Affectation matrice],$A4,Fonctionnement[TVA acquittée])+SUMIF(Invest[Affectation matrice],$A4,Invest[TVA acquittée]))*CF4)</f>
        <v>0</v>
      </c>
      <c r="AG4" s="56">
        <f>IF($C4=Repart_lignes,0,
(SUMIF(Fonctionnement[Affectation matrice],$A4,Fonctionnement[TVA acquittée])+SUMIF(Invest[Affectation matrice],$A4,Invest[TVA acquittée]))*CG4)</f>
        <v>0</v>
      </c>
      <c r="AH4" s="56">
        <f>IF($C4=Repart_lignes,0,
(SUMIF(Fonctionnement[Affectation matrice],$A4,Fonctionnement[TVA acquittée])+SUMIF(Invest[Affectation matrice],$A4,Invest[TVA acquittée]))*CH4)</f>
        <v>0</v>
      </c>
      <c r="AI4" s="56">
        <f>IF($C4=Repart_lignes,0,
(SUMIF(Fonctionnement[Affectation matrice],$A4,Fonctionnement[TVA acquittée])+SUMIF(Invest[Affectation matrice],$A4,Invest[TVA acquittée]))*CI4)</f>
        <v>0</v>
      </c>
      <c r="AJ4" s="56">
        <f>IF($C4=Repart_lignes,0,
(SUMIF(Fonctionnement[Affectation matrice],$A4,Fonctionnement[TVA acquittée])+SUMIF(Invest[Affectation matrice],$A4,Invest[TVA acquittée]))*CJ4)</f>
        <v>0</v>
      </c>
      <c r="AK4" s="56">
        <f>IF($C4=Repart_lignes,0,
(SUMIF(Fonctionnement[Affectation matrice],$A4,Fonctionnement[TVA acquittée])+SUMIF(Invest[Affectation matrice],$A4,Invest[TVA acquittée]))*CK4)</f>
        <v>0</v>
      </c>
      <c r="AL4" s="56">
        <f>IF($C4=Repart_lignes,0,
(SUMIF(Fonctionnement[Affectation matrice],$A4,Fonctionnement[TVA acquittée])+SUMIF(Invest[Affectation matrice],$A4,Invest[TVA acquittée]))*CL4)</f>
        <v>0</v>
      </c>
      <c r="AM4" s="56">
        <f>IF($C4=Repart_lignes,0,
(SUMIF(Fonctionnement[Affectation matrice],$A4,Fonctionnement[TVA acquittée])+SUMIF(Invest[Affectation matrice],$A4,Invest[TVA acquittée]))*CM4)</f>
        <v>0</v>
      </c>
      <c r="AN4" s="56">
        <f>IF($C4=Repart_lignes,0,
(SUMIF(Fonctionnement[Affectation matrice],$A4,Fonctionnement[TVA acquittée])+SUMIF(Invest[Affectation matrice],$A4,Invest[TVA acquittée]))*CN4)</f>
        <v>0</v>
      </c>
      <c r="AO4" s="56">
        <f>IF($C4=Repart_lignes,0,
(SUMIF(Fonctionnement[Affectation matrice],$A4,Fonctionnement[TVA acquittée])+SUMIF(Invest[Affectation matrice],$A4,Invest[TVA acquittée]))*CO4)</f>
        <v>0</v>
      </c>
      <c r="AP4" s="56">
        <f>IF($C4=Repart_lignes,0,
(SUMIF(Fonctionnement[Affectation matrice],$A4,Fonctionnement[TVA acquittée])+SUMIF(Invest[Affectation matrice],$A4,Invest[TVA acquittée]))*CP4)</f>
        <v>0</v>
      </c>
      <c r="AQ4" s="56">
        <f>IF($C4=Repart_lignes,0,
(SUMIF(Fonctionnement[Affectation matrice],$A4,Fonctionnement[TVA acquittée])+SUMIF(Invest[Affectation matrice],$A4,Invest[TVA acquittée]))*CQ4)</f>
        <v>0</v>
      </c>
      <c r="AR4" s="56">
        <f>IF($C4=Repart_lignes,0,
(SUMIF(Fonctionnement[Affectation matrice],$A4,Fonctionnement[TVA acquittée])+SUMIF(Invest[Affectation matrice],$A4,Invest[TVA acquittée]))*CR4)</f>
        <v>0</v>
      </c>
      <c r="AS4" s="56">
        <f>IF($C4=Repart_lignes,0,
(SUMIF(Fonctionnement[Affectation matrice],$A4,Fonctionnement[TVA acquittée])+SUMIF(Invest[Affectation matrice],$A4,Invest[TVA acquittée]))*CS4)</f>
        <v>0</v>
      </c>
      <c r="AT4" s="56">
        <f>IF($C4=Repart_lignes,0,
(SUMIF(Fonctionnement[Affectation matrice],$A4,Fonctionnement[TVA acquittée])+SUMIF(Invest[Affectation matrice],$A4,Invest[TVA acquittée]))*CT4)</f>
        <v>0</v>
      </c>
      <c r="AU4" s="56">
        <f>IF($C4=Repart_lignes,0,
(SUMIF(Fonctionnement[Affectation matrice],$A4,Fonctionnement[TVA acquittée])+SUMIF(Invest[Affectation matrice],$A4,Invest[TVA acquittée]))*CU4)</f>
        <v>0</v>
      </c>
      <c r="AV4" s="56">
        <f>IF($C4=Repart_lignes,0,
(SUMIF(Fonctionnement[Affectation matrice],$A4,Fonctionnement[TVA acquittée])+SUMIF(Invest[Affectation matrice],$A4,Invest[TVA acquittée]))*CV4)</f>
        <v>0</v>
      </c>
      <c r="AW4" s="56">
        <f>IF($C4=Repart_lignes,0,
(SUMIF(Fonctionnement[Affectation matrice],$A4,Fonctionnement[TVA acquittée])+SUMIF(Invest[Affectation matrice],$A4,Invest[TVA acquittée]))*CW4)</f>
        <v>0</v>
      </c>
      <c r="AX4" s="56">
        <f>IF($C4=Repart_lignes,0,
(SUMIF(Fonctionnement[Affectation matrice],$A4,Fonctionnement[TVA acquittée])+SUMIF(Invest[Affectation matrice],$A4,Invest[TVA acquittée]))*CX4)</f>
        <v>0</v>
      </c>
      <c r="AY4" s="56">
        <f>IF($C4=Repart_lignes,0,
(SUMIF(Fonctionnement[Affectation matrice],$A4,Fonctionnement[TVA acquittée])+SUMIF(Invest[Affectation matrice],$A4,Invest[TVA acquittée]))*CY4)</f>
        <v>0</v>
      </c>
      <c r="AZ4" s="56">
        <f>IF($C4=Repart_lignes,0,
(SUMIF(Fonctionnement[Affectation matrice],$A4,Fonctionnement[TVA acquittée])+SUMIF(Invest[Affectation matrice],$A4,Invest[TVA acquittée]))*CZ4)</f>
        <v>0</v>
      </c>
      <c r="BA4" s="56">
        <f>IF($C4=Repart_lignes,0,
(SUMIF(Fonctionnement[Affectation matrice],$A4,Fonctionnement[TVA acquittée])+SUMIF(Invest[Affectation matrice],$A4,Invest[TVA acquittée]))*DA4)</f>
        <v>0</v>
      </c>
      <c r="BB4" s="56">
        <f>IF($C4=Repart_lignes,0,
(SUMIF(Fonctionnement[Affectation matrice],$A4,Fonctionnement[TVA acquittée])+SUMIF(Invest[Affectation matrice],$A4,Invest[TVA acquittée]))*DB4)</f>
        <v>0</v>
      </c>
      <c r="BC4" s="56">
        <f>IF($C4=Repart_lignes,0,
(SUMIF(Fonctionnement[Affectation matrice],$A4,Fonctionnement[TVA acquittée])+SUMIF(Invest[Affectation matrice],$A4,Invest[TVA acquittée]))*DC4)</f>
        <v>0</v>
      </c>
      <c r="BD4" s="56">
        <f>IF($C4=Repart_lignes,0,
(SUMIF(Fonctionnement[Affectation matrice],$A4,Fonctionnement[TVA acquittée])+SUMIF(Invest[Affectation matrice],$A4,Invest[TVA acquittée]))*DD4)</f>
        <v>0</v>
      </c>
      <c r="BE4" s="56">
        <f t="shared" ref="BE4:BE35" si="1">SUM(AF4:BD4)</f>
        <v>0</v>
      </c>
      <c r="BF4" s="56">
        <f>IF($C4=Repart_lignes,0,
(SUMIF(Fonctionnement[Affectation matrice],$A4,Fonctionnement[Montant (€HT)])+SUMIF(Invest[Affectation matrice],$A4,Invest[Amortissement HT + intérêts]))*CF4)</f>
        <v>0</v>
      </c>
      <c r="BG4" s="56">
        <f>IF($C4=Repart_lignes,0,
(SUMIF(Fonctionnement[Affectation matrice],$A4,Fonctionnement[Montant (€HT)])+SUMIF(Invest[Affectation matrice],$A4,Invest[Amortissement HT + intérêts]))*CG4)</f>
        <v>0</v>
      </c>
      <c r="BH4" s="56">
        <f>IF($C4=Repart_lignes,0,
(SUMIF(Fonctionnement[Affectation matrice],$A4,Fonctionnement[Montant (€HT)])+SUMIF(Invest[Affectation matrice],$A4,Invest[Amortissement HT + intérêts]))*CH4)</f>
        <v>0</v>
      </c>
      <c r="BI4" s="56">
        <f>IF($C4=Repart_lignes,0,
(SUMIF(Fonctionnement[Affectation matrice],$A4,Fonctionnement[Montant (€HT)])+SUMIF(Invest[Affectation matrice],$A4,Invest[Amortissement HT + intérêts]))*CI4)</f>
        <v>0</v>
      </c>
      <c r="BJ4" s="56">
        <f>IF($C4=Repart_lignes,0,
(SUMIF(Fonctionnement[Affectation matrice],$A4,Fonctionnement[Montant (€HT)])+SUMIF(Invest[Affectation matrice],$A4,Invest[Amortissement HT + intérêts]))*CJ4)</f>
        <v>0</v>
      </c>
      <c r="BK4" s="56">
        <f>IF($C4=Repart_lignes,0,
(SUMIF(Fonctionnement[Affectation matrice],$A4,Fonctionnement[Montant (€HT)])+SUMIF(Invest[Affectation matrice],$A4,Invest[Amortissement HT + intérêts]))*CK4)</f>
        <v>0</v>
      </c>
      <c r="BL4" s="56">
        <f>IF($C4=Repart_lignes,0,
(SUMIF(Fonctionnement[Affectation matrice],$A4,Fonctionnement[Montant (€HT)])+SUMIF(Invest[Affectation matrice],$A4,Invest[Amortissement HT + intérêts]))*CL4)</f>
        <v>0</v>
      </c>
      <c r="BM4" s="56">
        <f>IF($C4=Repart_lignes,0,
(SUMIF(Fonctionnement[Affectation matrice],$A4,Fonctionnement[Montant (€HT)])+SUMIF(Invest[Affectation matrice],$A4,Invest[Amortissement HT + intérêts]))*CM4)</f>
        <v>0</v>
      </c>
      <c r="BN4" s="56">
        <f>IF($C4=Repart_lignes,0,
(SUMIF(Fonctionnement[Affectation matrice],$A4,Fonctionnement[Montant (€HT)])+SUMIF(Invest[Affectation matrice],$A4,Invest[Amortissement HT + intérêts]))*CN4)</f>
        <v>0</v>
      </c>
      <c r="BO4" s="56">
        <f>IF($C4=Repart_lignes,0,
(SUMIF(Fonctionnement[Affectation matrice],$A4,Fonctionnement[Montant (€HT)])+SUMIF(Invest[Affectation matrice],$A4,Invest[Amortissement HT + intérêts]))*CO4)</f>
        <v>0</v>
      </c>
      <c r="BP4" s="56">
        <f>IF($C4=Repart_lignes,0,
(SUMIF(Fonctionnement[Affectation matrice],$A4,Fonctionnement[Montant (€HT)])+SUMIF(Invest[Affectation matrice],$A4,Invest[Amortissement HT + intérêts]))*CP4)</f>
        <v>0</v>
      </c>
      <c r="BQ4" s="56">
        <f>IF($C4=Repart_lignes,0,
(SUMIF(Fonctionnement[Affectation matrice],$A4,Fonctionnement[Montant (€HT)])+SUMIF(Invest[Affectation matrice],$A4,Invest[Amortissement HT + intérêts]))*CQ4)</f>
        <v>0</v>
      </c>
      <c r="BR4" s="56">
        <f>IF($C4=Repart_lignes,0,
(SUMIF(Fonctionnement[Affectation matrice],$A4,Fonctionnement[Montant (€HT)])+SUMIF(Invest[Affectation matrice],$A4,Invest[Amortissement HT + intérêts]))*CR4)</f>
        <v>0</v>
      </c>
      <c r="BS4" s="56">
        <f>IF($C4=Repart_lignes,0,
(SUMIF(Fonctionnement[Affectation matrice],$A4,Fonctionnement[Montant (€HT)])+SUMIF(Invest[Affectation matrice],$A4,Invest[Amortissement HT + intérêts]))*CS4)</f>
        <v>0</v>
      </c>
      <c r="BT4" s="56">
        <f>IF($C4=Repart_lignes,0,
(SUMIF(Fonctionnement[Affectation matrice],$A4,Fonctionnement[Montant (€HT)])+SUMIF(Invest[Affectation matrice],$A4,Invest[Amortissement HT + intérêts]))*CT4)</f>
        <v>0</v>
      </c>
      <c r="BU4" s="56">
        <f>IF($C4=Repart_lignes,0,
(SUMIF(Fonctionnement[Affectation matrice],$A4,Fonctionnement[Montant (€HT)])+SUMIF(Invest[Affectation matrice],$A4,Invest[Amortissement HT + intérêts]))*CU4)</f>
        <v>0</v>
      </c>
      <c r="BV4" s="56">
        <f>IF($C4=Repart_lignes,0,
(SUMIF(Fonctionnement[Affectation matrice],$A4,Fonctionnement[Montant (€HT)])+SUMIF(Invest[Affectation matrice],$A4,Invest[Amortissement HT + intérêts]))*CV4)</f>
        <v>0</v>
      </c>
      <c r="BW4" s="56">
        <f>IF($C4=Repart_lignes,0,
(SUMIF(Fonctionnement[Affectation matrice],$A4,Fonctionnement[Montant (€HT)])+SUMIF(Invest[Affectation matrice],$A4,Invest[Amortissement HT + intérêts]))*CW4)</f>
        <v>0</v>
      </c>
      <c r="BX4" s="56">
        <f>IF($C4=Repart_lignes,0,
(SUMIF(Fonctionnement[Affectation matrice],$A4,Fonctionnement[Montant (€HT)])+SUMIF(Invest[Affectation matrice],$A4,Invest[Amortissement HT + intérêts]))*CX4)</f>
        <v>0</v>
      </c>
      <c r="BY4" s="56">
        <f>IF($C4=Repart_lignes,0,
(SUMIF(Fonctionnement[Affectation matrice],$A4,Fonctionnement[Montant (€HT)])+SUMIF(Invest[Affectation matrice],$A4,Invest[Amortissement HT + intérêts]))*CY4)</f>
        <v>0</v>
      </c>
      <c r="BZ4" s="56">
        <f>IF($C4=Repart_lignes,0,
(SUMIF(Fonctionnement[Affectation matrice],$A4,Fonctionnement[Montant (€HT)])+SUMIF(Invest[Affectation matrice],$A4,Invest[Amortissement HT + intérêts]))*CZ4)</f>
        <v>0</v>
      </c>
      <c r="CA4" s="56">
        <f>IF($C4=Repart_lignes,0,
(SUMIF(Fonctionnement[Affectation matrice],$A4,Fonctionnement[Montant (€HT)])+SUMIF(Invest[Affectation matrice],$A4,Invest[Amortissement HT + intérêts]))*DA4)</f>
        <v>0</v>
      </c>
      <c r="CB4" s="56">
        <f>IF($C4=Repart_lignes,0,
(SUMIF(Fonctionnement[Affectation matrice],$A4,Fonctionnement[Montant (€HT)])+SUMIF(Invest[Affectation matrice],$A4,Invest[Amortissement HT + intérêts]))*DB4)</f>
        <v>0</v>
      </c>
      <c r="CC4" s="56">
        <f>IF($C4=Repart_lignes,0,
(SUMIF(Fonctionnement[Affectation matrice],$A4,Fonctionnement[Montant (€HT)])+SUMIF(Invest[Affectation matrice],$A4,Invest[Amortissement HT + intérêts]))*DC4)</f>
        <v>0</v>
      </c>
      <c r="CD4" s="56">
        <f>IF($C4=Repart_lignes,0,
(SUMIF(Fonctionnement[Affectation matrice],$A4,Fonctionnement[Montant (€HT)])+SUMIF(Invest[Affectation matrice],$A4,Invest[Amortissement HT + intérêts]))*DD4)</f>
        <v>0</v>
      </c>
      <c r="CE4" s="57">
        <f t="shared" ref="CE4:CE35" si="2">SUM(BF4:CD4)</f>
        <v>0</v>
      </c>
      <c r="CF4" s="61">
        <f t="shared" ref="CF4:CF35" si="3">IF($AD4=0,0,E4/$AD4)</f>
        <v>0</v>
      </c>
      <c r="CG4" s="61">
        <f t="shared" ref="CG4:CG35" si="4">IF($AD4=0,0,F4/$AD4)</f>
        <v>0</v>
      </c>
      <c r="CH4" s="61">
        <f t="shared" ref="CH4:CH35" si="5">IF($AD4=0,0,G4/$AD4)</f>
        <v>0</v>
      </c>
      <c r="CI4" s="61">
        <f t="shared" ref="CI4:CI35" si="6">IF($AD4=0,0,H4/$AD4)</f>
        <v>0</v>
      </c>
      <c r="CJ4" s="61">
        <f t="shared" ref="CJ4:CJ35" si="7">IF($AD4=0,0,I4/$AD4)</f>
        <v>0</v>
      </c>
      <c r="CK4" s="61">
        <f t="shared" ref="CK4:CK35" si="8">IF($AD4=0,0,J4/$AD4)</f>
        <v>0</v>
      </c>
      <c r="CL4" s="61">
        <f t="shared" ref="CL4:CL35" si="9">IF($AD4=0,0,K4/$AD4)</f>
        <v>0</v>
      </c>
      <c r="CM4" s="61">
        <f t="shared" ref="CM4:CM35" si="10">IF($AD4=0,0,L4/$AD4)</f>
        <v>0</v>
      </c>
      <c r="CN4" s="61">
        <f t="shared" ref="CN4:CN35" si="11">IF($AD4=0,0,M4/$AD4)</f>
        <v>0</v>
      </c>
      <c r="CO4" s="61">
        <f t="shared" ref="CO4:CO35" si="12">IF($AD4=0,0,N4/$AD4)</f>
        <v>0</v>
      </c>
      <c r="CP4" s="61">
        <f t="shared" ref="CP4:CP35" si="13">IF($AD4=0,0,O4/$AD4)</f>
        <v>0</v>
      </c>
      <c r="CQ4" s="61">
        <f t="shared" ref="CQ4:CQ35" si="14">IF($AD4=0,0,P4/$AD4)</f>
        <v>0</v>
      </c>
      <c r="CR4" s="61">
        <f t="shared" ref="CR4:CR35" si="15">IF($AD4=0,0,Q4/$AD4)</f>
        <v>0</v>
      </c>
      <c r="CS4" s="61">
        <f t="shared" ref="CS4:CS35" si="16">IF($AD4=0,0,R4/$AD4)</f>
        <v>0</v>
      </c>
      <c r="CT4" s="61">
        <f t="shared" ref="CT4:CT35" si="17">IF($AD4=0,0,S4/$AD4)</f>
        <v>0</v>
      </c>
      <c r="CU4" s="61">
        <f t="shared" ref="CU4:CU35" si="18">IF($AD4=0,0,T4/$AD4)</f>
        <v>0</v>
      </c>
      <c r="CV4" s="61">
        <f t="shared" ref="CV4:CV35" si="19">IF($AD4=0,0,U4/$AD4)</f>
        <v>0</v>
      </c>
      <c r="CW4" s="61">
        <f t="shared" ref="CW4:CW35" si="20">IF($AD4=0,0,V4/$AD4)</f>
        <v>0</v>
      </c>
      <c r="CX4" s="61">
        <f t="shared" ref="CX4:CX35" si="21">IF($AD4=0,0,W4/$AD4)</f>
        <v>0</v>
      </c>
      <c r="CY4" s="61">
        <f t="shared" ref="CY4:CY35" si="22">IF($AD4=0,0,X4/$AD4)</f>
        <v>0</v>
      </c>
      <c r="CZ4" s="61">
        <f t="shared" ref="CZ4:CZ35" si="23">IF($AD4=0,0,Y4/$AD4)</f>
        <v>0</v>
      </c>
      <c r="DA4" s="61">
        <f t="shared" ref="DA4:DA35" si="24">IF($AD4=0,0,Z4/$AD4)</f>
        <v>0</v>
      </c>
      <c r="DB4" s="61">
        <f t="shared" ref="DB4:DB35" si="25">IF($AD4=0,0,AA4/$AD4)</f>
        <v>0</v>
      </c>
      <c r="DC4" s="61">
        <f t="shared" ref="DC4:DC35" si="26">IF($AD4=0,0,AB4/$AD4)</f>
        <v>0</v>
      </c>
      <c r="DD4" s="61">
        <f t="shared" ref="DD4:DD35" si="27">IF($AD4=0,0,AC4/$AD4)</f>
        <v>0</v>
      </c>
      <c r="DE4" s="61">
        <f t="shared" ref="DE4:DE35" si="28">SUM(CF4:DD4)</f>
        <v>0</v>
      </c>
    </row>
    <row r="5" spans="1:110" x14ac:dyDescent="0.25">
      <c r="A5" s="248"/>
      <c r="B5" s="248"/>
      <c r="C5" s="251"/>
      <c r="D5" s="250"/>
      <c r="E5" s="60"/>
      <c r="F5" s="60"/>
      <c r="G5" s="60"/>
      <c r="H5" s="60"/>
      <c r="I5" s="60"/>
      <c r="J5" s="60"/>
      <c r="K5" s="60"/>
      <c r="L5" s="60"/>
      <c r="M5" s="60"/>
      <c r="N5" s="60"/>
      <c r="O5" s="60"/>
      <c r="P5" s="60"/>
      <c r="Q5" s="60"/>
      <c r="R5" s="60"/>
      <c r="S5" s="60"/>
      <c r="T5" s="60"/>
      <c r="U5" s="60"/>
      <c r="V5" s="60"/>
      <c r="W5" s="60"/>
      <c r="X5" s="60"/>
      <c r="Y5" s="60"/>
      <c r="Z5" s="60"/>
      <c r="AA5" s="60"/>
      <c r="AB5" s="60"/>
      <c r="AC5" s="60"/>
      <c r="AD5" s="61">
        <f t="shared" si="0"/>
        <v>0</v>
      </c>
      <c r="AE5" s="53" t="str">
        <f t="shared" ref="AE5:AE68" ca="1" si="29">IF(AND(CELL("format",AD5)="%0",AD5&lt;&gt;1,AD5&gt;0),"Le total ne fait pas 100%","")</f>
        <v/>
      </c>
      <c r="AF5" s="56">
        <f>IF($C5=Repart_lignes,0,
(SUMIF(Fonctionnement[Affectation matrice],$A5,Fonctionnement[TVA acquittée])+SUMIF(Invest[Affectation matrice],$A5,Invest[TVA acquittée]))*CF5)</f>
        <v>0</v>
      </c>
      <c r="AG5" s="56">
        <f>IF($C5=Repart_lignes,0,
(SUMIF(Fonctionnement[Affectation matrice],$A5,Fonctionnement[TVA acquittée])+SUMIF(Invest[Affectation matrice],$A5,Invest[TVA acquittée]))*CG5)</f>
        <v>0</v>
      </c>
      <c r="AH5" s="56">
        <f>IF($C5=Repart_lignes,0,
(SUMIF(Fonctionnement[Affectation matrice],$A5,Fonctionnement[TVA acquittée])+SUMIF(Invest[Affectation matrice],$A5,Invest[TVA acquittée]))*CH5)</f>
        <v>0</v>
      </c>
      <c r="AI5" s="56">
        <f>IF($C5=Repart_lignes,0,
(SUMIF(Fonctionnement[Affectation matrice],$A5,Fonctionnement[TVA acquittée])+SUMIF(Invest[Affectation matrice],$A5,Invest[TVA acquittée]))*CI5)</f>
        <v>0</v>
      </c>
      <c r="AJ5" s="56">
        <f>IF($C5=Repart_lignes,0,
(SUMIF(Fonctionnement[Affectation matrice],$A5,Fonctionnement[TVA acquittée])+SUMIF(Invest[Affectation matrice],$A5,Invest[TVA acquittée]))*CJ5)</f>
        <v>0</v>
      </c>
      <c r="AK5" s="56">
        <f>IF($C5=Repart_lignes,0,
(SUMIF(Fonctionnement[Affectation matrice],$A5,Fonctionnement[TVA acquittée])+SUMIF(Invest[Affectation matrice],$A5,Invest[TVA acquittée]))*CK5)</f>
        <v>0</v>
      </c>
      <c r="AL5" s="56">
        <f>IF($C5=Repart_lignes,0,
(SUMIF(Fonctionnement[Affectation matrice],$A5,Fonctionnement[TVA acquittée])+SUMIF(Invest[Affectation matrice],$A5,Invest[TVA acquittée]))*CL5)</f>
        <v>0</v>
      </c>
      <c r="AM5" s="56">
        <f>IF($C5=Repart_lignes,0,
(SUMIF(Fonctionnement[Affectation matrice],$A5,Fonctionnement[TVA acquittée])+SUMIF(Invest[Affectation matrice],$A5,Invest[TVA acquittée]))*CM5)</f>
        <v>0</v>
      </c>
      <c r="AN5" s="56">
        <f>IF($C5=Repart_lignes,0,
(SUMIF(Fonctionnement[Affectation matrice],$A5,Fonctionnement[TVA acquittée])+SUMIF(Invest[Affectation matrice],$A5,Invest[TVA acquittée]))*CN5)</f>
        <v>0</v>
      </c>
      <c r="AO5" s="56">
        <f>IF($C5=Repart_lignes,0,
(SUMIF(Fonctionnement[Affectation matrice],$A5,Fonctionnement[TVA acquittée])+SUMIF(Invest[Affectation matrice],$A5,Invest[TVA acquittée]))*CO5)</f>
        <v>0</v>
      </c>
      <c r="AP5" s="56">
        <f>IF($C5=Repart_lignes,0,
(SUMIF(Fonctionnement[Affectation matrice],$A5,Fonctionnement[TVA acquittée])+SUMIF(Invest[Affectation matrice],$A5,Invest[TVA acquittée]))*CP5)</f>
        <v>0</v>
      </c>
      <c r="AQ5" s="56">
        <f>IF($C5=Repart_lignes,0,
(SUMIF(Fonctionnement[Affectation matrice],$A5,Fonctionnement[TVA acquittée])+SUMIF(Invest[Affectation matrice],$A5,Invest[TVA acquittée]))*CQ5)</f>
        <v>0</v>
      </c>
      <c r="AR5" s="56">
        <f>IF($C5=Repart_lignes,0,
(SUMIF(Fonctionnement[Affectation matrice],$A5,Fonctionnement[TVA acquittée])+SUMIF(Invest[Affectation matrice],$A5,Invest[TVA acquittée]))*CR5)</f>
        <v>0</v>
      </c>
      <c r="AS5" s="56">
        <f>IF($C5=Repart_lignes,0,
(SUMIF(Fonctionnement[Affectation matrice],$A5,Fonctionnement[TVA acquittée])+SUMIF(Invest[Affectation matrice],$A5,Invest[TVA acquittée]))*CS5)</f>
        <v>0</v>
      </c>
      <c r="AT5" s="56">
        <f>IF($C5=Repart_lignes,0,
(SUMIF(Fonctionnement[Affectation matrice],$A5,Fonctionnement[TVA acquittée])+SUMIF(Invest[Affectation matrice],$A5,Invest[TVA acquittée]))*CT5)</f>
        <v>0</v>
      </c>
      <c r="AU5" s="56">
        <f>IF($C5=Repart_lignes,0,
(SUMIF(Fonctionnement[Affectation matrice],$A5,Fonctionnement[TVA acquittée])+SUMIF(Invest[Affectation matrice],$A5,Invest[TVA acquittée]))*CU5)</f>
        <v>0</v>
      </c>
      <c r="AV5" s="56">
        <f>IF($C5=Repart_lignes,0,
(SUMIF(Fonctionnement[Affectation matrice],$A5,Fonctionnement[TVA acquittée])+SUMIF(Invest[Affectation matrice],$A5,Invest[TVA acquittée]))*CV5)</f>
        <v>0</v>
      </c>
      <c r="AW5" s="56">
        <f>IF($C5=Repart_lignes,0,
(SUMIF(Fonctionnement[Affectation matrice],$A5,Fonctionnement[TVA acquittée])+SUMIF(Invest[Affectation matrice],$A5,Invest[TVA acquittée]))*CW5)</f>
        <v>0</v>
      </c>
      <c r="AX5" s="56">
        <f>IF($C5=Repart_lignes,0,
(SUMIF(Fonctionnement[Affectation matrice],$A5,Fonctionnement[TVA acquittée])+SUMIF(Invest[Affectation matrice],$A5,Invest[TVA acquittée]))*CX5)</f>
        <v>0</v>
      </c>
      <c r="AY5" s="56">
        <f>IF($C5=Repart_lignes,0,
(SUMIF(Fonctionnement[Affectation matrice],$A5,Fonctionnement[TVA acquittée])+SUMIF(Invest[Affectation matrice],$A5,Invest[TVA acquittée]))*CY5)</f>
        <v>0</v>
      </c>
      <c r="AZ5" s="56">
        <f>IF($C5=Repart_lignes,0,
(SUMIF(Fonctionnement[Affectation matrice],$A5,Fonctionnement[TVA acquittée])+SUMIF(Invest[Affectation matrice],$A5,Invest[TVA acquittée]))*CZ5)</f>
        <v>0</v>
      </c>
      <c r="BA5" s="56">
        <f>IF($C5=Repart_lignes,0,
(SUMIF(Fonctionnement[Affectation matrice],$A5,Fonctionnement[TVA acquittée])+SUMIF(Invest[Affectation matrice],$A5,Invest[TVA acquittée]))*DA5)</f>
        <v>0</v>
      </c>
      <c r="BB5" s="56">
        <f>IF($C5=Repart_lignes,0,
(SUMIF(Fonctionnement[Affectation matrice],$A5,Fonctionnement[TVA acquittée])+SUMIF(Invest[Affectation matrice],$A5,Invest[TVA acquittée]))*DB5)</f>
        <v>0</v>
      </c>
      <c r="BC5" s="56">
        <f>IF($C5=Repart_lignes,0,
(SUMIF(Fonctionnement[Affectation matrice],$A5,Fonctionnement[TVA acquittée])+SUMIF(Invest[Affectation matrice],$A5,Invest[TVA acquittée]))*DC5)</f>
        <v>0</v>
      </c>
      <c r="BD5" s="56">
        <f>IF($C5=Repart_lignes,0,
(SUMIF(Fonctionnement[Affectation matrice],$A5,Fonctionnement[TVA acquittée])+SUMIF(Invest[Affectation matrice],$A5,Invest[TVA acquittée]))*DD5)</f>
        <v>0</v>
      </c>
      <c r="BE5" s="58">
        <f t="shared" si="1"/>
        <v>0</v>
      </c>
      <c r="BF5" s="56">
        <f>IF($C5=Repart_lignes,0,
(SUMIF(Fonctionnement[Affectation matrice],$A5,Fonctionnement[Montant (€HT)])+SUMIF(Invest[Affectation matrice],$A5,Invest[Amortissement HT + intérêts]))*CF5)</f>
        <v>0</v>
      </c>
      <c r="BG5" s="56">
        <f>IF($C5=Repart_lignes,0,
(SUMIF(Fonctionnement[Affectation matrice],$A5,Fonctionnement[Montant (€HT)])+SUMIF(Invest[Affectation matrice],$A5,Invest[Amortissement HT + intérêts]))*CG5)</f>
        <v>0</v>
      </c>
      <c r="BH5" s="56">
        <f>IF($C5=Repart_lignes,0,
(SUMIF(Fonctionnement[Affectation matrice],$A5,Fonctionnement[Montant (€HT)])+SUMIF(Invest[Affectation matrice],$A5,Invest[Amortissement HT + intérêts]))*CH5)</f>
        <v>0</v>
      </c>
      <c r="BI5" s="56">
        <f>IF($C5=Repart_lignes,0,
(SUMIF(Fonctionnement[Affectation matrice],$A5,Fonctionnement[Montant (€HT)])+SUMIF(Invest[Affectation matrice],$A5,Invest[Amortissement HT + intérêts]))*CI5)</f>
        <v>0</v>
      </c>
      <c r="BJ5" s="56">
        <f>IF($C5=Repart_lignes,0,
(SUMIF(Fonctionnement[Affectation matrice],$A5,Fonctionnement[Montant (€HT)])+SUMIF(Invest[Affectation matrice],$A5,Invest[Amortissement HT + intérêts]))*CJ5)</f>
        <v>0</v>
      </c>
      <c r="BK5" s="56">
        <f>IF($C5=Repart_lignes,0,
(SUMIF(Fonctionnement[Affectation matrice],$A5,Fonctionnement[Montant (€HT)])+SUMIF(Invest[Affectation matrice],$A5,Invest[Amortissement HT + intérêts]))*CK5)</f>
        <v>0</v>
      </c>
      <c r="BL5" s="56">
        <f>IF($C5=Repart_lignes,0,
(SUMIF(Fonctionnement[Affectation matrice],$A5,Fonctionnement[Montant (€HT)])+SUMIF(Invest[Affectation matrice],$A5,Invest[Amortissement HT + intérêts]))*CL5)</f>
        <v>0</v>
      </c>
      <c r="BM5" s="56">
        <f>IF($C5=Repart_lignes,0,
(SUMIF(Fonctionnement[Affectation matrice],$A5,Fonctionnement[Montant (€HT)])+SUMIF(Invest[Affectation matrice],$A5,Invest[Amortissement HT + intérêts]))*CM5)</f>
        <v>0</v>
      </c>
      <c r="BN5" s="56">
        <f>IF($C5=Repart_lignes,0,
(SUMIF(Fonctionnement[Affectation matrice],$A5,Fonctionnement[Montant (€HT)])+SUMIF(Invest[Affectation matrice],$A5,Invest[Amortissement HT + intérêts]))*CN5)</f>
        <v>0</v>
      </c>
      <c r="BO5" s="56">
        <f>IF($C5=Repart_lignes,0,
(SUMIF(Fonctionnement[Affectation matrice],$A5,Fonctionnement[Montant (€HT)])+SUMIF(Invest[Affectation matrice],$A5,Invest[Amortissement HT + intérêts]))*CO5)</f>
        <v>0</v>
      </c>
      <c r="BP5" s="56">
        <f>IF($C5=Repart_lignes,0,
(SUMIF(Fonctionnement[Affectation matrice],$A5,Fonctionnement[Montant (€HT)])+SUMIF(Invest[Affectation matrice],$A5,Invest[Amortissement HT + intérêts]))*CP5)</f>
        <v>0</v>
      </c>
      <c r="BQ5" s="56">
        <f>IF($C5=Repart_lignes,0,
(SUMIF(Fonctionnement[Affectation matrice],$A5,Fonctionnement[Montant (€HT)])+SUMIF(Invest[Affectation matrice],$A5,Invest[Amortissement HT + intérêts]))*CQ5)</f>
        <v>0</v>
      </c>
      <c r="BR5" s="56">
        <f>IF($C5=Repart_lignes,0,
(SUMIF(Fonctionnement[Affectation matrice],$A5,Fonctionnement[Montant (€HT)])+SUMIF(Invest[Affectation matrice],$A5,Invest[Amortissement HT + intérêts]))*CR5)</f>
        <v>0</v>
      </c>
      <c r="BS5" s="56">
        <f>IF($C5=Repart_lignes,0,
(SUMIF(Fonctionnement[Affectation matrice],$A5,Fonctionnement[Montant (€HT)])+SUMIF(Invest[Affectation matrice],$A5,Invest[Amortissement HT + intérêts]))*CS5)</f>
        <v>0</v>
      </c>
      <c r="BT5" s="56">
        <f>IF($C5=Repart_lignes,0,
(SUMIF(Fonctionnement[Affectation matrice],$A5,Fonctionnement[Montant (€HT)])+SUMIF(Invest[Affectation matrice],$A5,Invest[Amortissement HT + intérêts]))*CT5)</f>
        <v>0</v>
      </c>
      <c r="BU5" s="56">
        <f>IF($C5=Repart_lignes,0,
(SUMIF(Fonctionnement[Affectation matrice],$A5,Fonctionnement[Montant (€HT)])+SUMIF(Invest[Affectation matrice],$A5,Invest[Amortissement HT + intérêts]))*CU5)</f>
        <v>0</v>
      </c>
      <c r="BV5" s="56">
        <f>IF($C5=Repart_lignes,0,
(SUMIF(Fonctionnement[Affectation matrice],$A5,Fonctionnement[Montant (€HT)])+SUMIF(Invest[Affectation matrice],$A5,Invest[Amortissement HT + intérêts]))*CV5)</f>
        <v>0</v>
      </c>
      <c r="BW5" s="56">
        <f>IF($C5=Repart_lignes,0,
(SUMIF(Fonctionnement[Affectation matrice],$A5,Fonctionnement[Montant (€HT)])+SUMIF(Invest[Affectation matrice],$A5,Invest[Amortissement HT + intérêts]))*CW5)</f>
        <v>0</v>
      </c>
      <c r="BX5" s="56">
        <f>IF($C5=Repart_lignes,0,
(SUMIF(Fonctionnement[Affectation matrice],$A5,Fonctionnement[Montant (€HT)])+SUMIF(Invest[Affectation matrice],$A5,Invest[Amortissement HT + intérêts]))*CX5)</f>
        <v>0</v>
      </c>
      <c r="BY5" s="56">
        <f>IF($C5=Repart_lignes,0,
(SUMIF(Fonctionnement[Affectation matrice],$A5,Fonctionnement[Montant (€HT)])+SUMIF(Invest[Affectation matrice],$A5,Invest[Amortissement HT + intérêts]))*CY5)</f>
        <v>0</v>
      </c>
      <c r="BZ5" s="56">
        <f>IF($C5=Repart_lignes,0,
(SUMIF(Fonctionnement[Affectation matrice],$A5,Fonctionnement[Montant (€HT)])+SUMIF(Invest[Affectation matrice],$A5,Invest[Amortissement HT + intérêts]))*CZ5)</f>
        <v>0</v>
      </c>
      <c r="CA5" s="56">
        <f>IF($C5=Repart_lignes,0,
(SUMIF(Fonctionnement[Affectation matrice],$A5,Fonctionnement[Montant (€HT)])+SUMIF(Invest[Affectation matrice],$A5,Invest[Amortissement HT + intérêts]))*DA5)</f>
        <v>0</v>
      </c>
      <c r="CB5" s="56">
        <f>IF($C5=Repart_lignes,0,
(SUMIF(Fonctionnement[Affectation matrice],$A5,Fonctionnement[Montant (€HT)])+SUMIF(Invest[Affectation matrice],$A5,Invest[Amortissement HT + intérêts]))*DB5)</f>
        <v>0</v>
      </c>
      <c r="CC5" s="56">
        <f>IF($C5=Repart_lignes,0,
(SUMIF(Fonctionnement[Affectation matrice],$A5,Fonctionnement[Montant (€HT)])+SUMIF(Invest[Affectation matrice],$A5,Invest[Amortissement HT + intérêts]))*DC5)</f>
        <v>0</v>
      </c>
      <c r="CD5" s="56">
        <f>IF($C5=Repart_lignes,0,
(SUMIF(Fonctionnement[Affectation matrice],$A5,Fonctionnement[Montant (€HT)])+SUMIF(Invest[Affectation matrice],$A5,Invest[Amortissement HT + intérêts]))*DD5)</f>
        <v>0</v>
      </c>
      <c r="CE5" s="59">
        <f t="shared" si="2"/>
        <v>0</v>
      </c>
      <c r="CF5" s="61">
        <f t="shared" si="3"/>
        <v>0</v>
      </c>
      <c r="CG5" s="61">
        <f t="shared" si="4"/>
        <v>0</v>
      </c>
      <c r="CH5" s="61">
        <f t="shared" si="5"/>
        <v>0</v>
      </c>
      <c r="CI5" s="61">
        <f t="shared" si="6"/>
        <v>0</v>
      </c>
      <c r="CJ5" s="61">
        <f t="shared" si="7"/>
        <v>0</v>
      </c>
      <c r="CK5" s="61">
        <f t="shared" si="8"/>
        <v>0</v>
      </c>
      <c r="CL5" s="61">
        <f t="shared" si="9"/>
        <v>0</v>
      </c>
      <c r="CM5" s="61">
        <f t="shared" si="10"/>
        <v>0</v>
      </c>
      <c r="CN5" s="61">
        <f t="shared" si="11"/>
        <v>0</v>
      </c>
      <c r="CO5" s="61">
        <f t="shared" si="12"/>
        <v>0</v>
      </c>
      <c r="CP5" s="61">
        <f t="shared" si="13"/>
        <v>0</v>
      </c>
      <c r="CQ5" s="61">
        <f t="shared" si="14"/>
        <v>0</v>
      </c>
      <c r="CR5" s="61">
        <f t="shared" si="15"/>
        <v>0</v>
      </c>
      <c r="CS5" s="61">
        <f t="shared" si="16"/>
        <v>0</v>
      </c>
      <c r="CT5" s="61">
        <f t="shared" si="17"/>
        <v>0</v>
      </c>
      <c r="CU5" s="61">
        <f t="shared" si="18"/>
        <v>0</v>
      </c>
      <c r="CV5" s="61">
        <f t="shared" si="19"/>
        <v>0</v>
      </c>
      <c r="CW5" s="61">
        <f t="shared" si="20"/>
        <v>0</v>
      </c>
      <c r="CX5" s="61">
        <f t="shared" si="21"/>
        <v>0</v>
      </c>
      <c r="CY5" s="61">
        <f t="shared" si="22"/>
        <v>0</v>
      </c>
      <c r="CZ5" s="61">
        <f t="shared" si="23"/>
        <v>0</v>
      </c>
      <c r="DA5" s="61">
        <f t="shared" si="24"/>
        <v>0</v>
      </c>
      <c r="DB5" s="61">
        <f t="shared" si="25"/>
        <v>0</v>
      </c>
      <c r="DC5" s="61">
        <f t="shared" si="26"/>
        <v>0</v>
      </c>
      <c r="DD5" s="61">
        <f t="shared" si="27"/>
        <v>0</v>
      </c>
      <c r="DE5" s="61">
        <f t="shared" si="28"/>
        <v>0</v>
      </c>
    </row>
    <row r="6" spans="1:110" x14ac:dyDescent="0.25">
      <c r="A6" s="248"/>
      <c r="B6" s="248"/>
      <c r="C6" s="251"/>
      <c r="D6" s="250"/>
      <c r="E6" s="60"/>
      <c r="F6" s="60"/>
      <c r="G6" s="60"/>
      <c r="H6" s="60"/>
      <c r="I6" s="60"/>
      <c r="J6" s="60"/>
      <c r="K6" s="60"/>
      <c r="L6" s="60"/>
      <c r="M6" s="60"/>
      <c r="N6" s="60"/>
      <c r="O6" s="60"/>
      <c r="P6" s="60"/>
      <c r="Q6" s="60"/>
      <c r="R6" s="60"/>
      <c r="S6" s="60"/>
      <c r="T6" s="60"/>
      <c r="U6" s="60"/>
      <c r="V6" s="60"/>
      <c r="W6" s="60"/>
      <c r="X6" s="60"/>
      <c r="Y6" s="60"/>
      <c r="Z6" s="60"/>
      <c r="AA6" s="60"/>
      <c r="AB6" s="60"/>
      <c r="AC6" s="60"/>
      <c r="AD6" s="61">
        <f t="shared" si="0"/>
        <v>0</v>
      </c>
      <c r="AE6" s="53" t="str">
        <f t="shared" ca="1" si="29"/>
        <v/>
      </c>
      <c r="AF6" s="56">
        <f>IF($C6=Repart_lignes,0,
(SUMIF(Fonctionnement[Affectation matrice],$A6,Fonctionnement[TVA acquittée])+SUMIF(Invest[Affectation matrice],$A6,Invest[TVA acquittée]))*CF6)</f>
        <v>0</v>
      </c>
      <c r="AG6" s="56">
        <f>IF($C6=Repart_lignes,0,
(SUMIF(Fonctionnement[Affectation matrice],$A6,Fonctionnement[TVA acquittée])+SUMIF(Invest[Affectation matrice],$A6,Invest[TVA acquittée]))*CG6)</f>
        <v>0</v>
      </c>
      <c r="AH6" s="56">
        <f>IF($C6=Repart_lignes,0,
(SUMIF(Fonctionnement[Affectation matrice],$A6,Fonctionnement[TVA acquittée])+SUMIF(Invest[Affectation matrice],$A6,Invest[TVA acquittée]))*CH6)</f>
        <v>0</v>
      </c>
      <c r="AI6" s="56">
        <f>IF($C6=Repart_lignes,0,
(SUMIF(Fonctionnement[Affectation matrice],$A6,Fonctionnement[TVA acquittée])+SUMIF(Invest[Affectation matrice],$A6,Invest[TVA acquittée]))*CI6)</f>
        <v>0</v>
      </c>
      <c r="AJ6" s="56">
        <f>IF($C6=Repart_lignes,0,
(SUMIF(Fonctionnement[Affectation matrice],$A6,Fonctionnement[TVA acquittée])+SUMIF(Invest[Affectation matrice],$A6,Invest[TVA acquittée]))*CJ6)</f>
        <v>0</v>
      </c>
      <c r="AK6" s="56">
        <f>IF($C6=Repart_lignes,0,
(SUMIF(Fonctionnement[Affectation matrice],$A6,Fonctionnement[TVA acquittée])+SUMIF(Invest[Affectation matrice],$A6,Invest[TVA acquittée]))*CK6)</f>
        <v>0</v>
      </c>
      <c r="AL6" s="56">
        <f>IF($C6=Repart_lignes,0,
(SUMIF(Fonctionnement[Affectation matrice],$A6,Fonctionnement[TVA acquittée])+SUMIF(Invest[Affectation matrice],$A6,Invest[TVA acquittée]))*CL6)</f>
        <v>0</v>
      </c>
      <c r="AM6" s="56">
        <f>IF($C6=Repart_lignes,0,
(SUMIF(Fonctionnement[Affectation matrice],$A6,Fonctionnement[TVA acquittée])+SUMIF(Invest[Affectation matrice],$A6,Invest[TVA acquittée]))*CM6)</f>
        <v>0</v>
      </c>
      <c r="AN6" s="56">
        <f>IF($C6=Repart_lignes,0,
(SUMIF(Fonctionnement[Affectation matrice],$A6,Fonctionnement[TVA acquittée])+SUMIF(Invest[Affectation matrice],$A6,Invest[TVA acquittée]))*CN6)</f>
        <v>0</v>
      </c>
      <c r="AO6" s="56">
        <f>IF($C6=Repart_lignes,0,
(SUMIF(Fonctionnement[Affectation matrice],$A6,Fonctionnement[TVA acquittée])+SUMIF(Invest[Affectation matrice],$A6,Invest[TVA acquittée]))*CO6)</f>
        <v>0</v>
      </c>
      <c r="AP6" s="56">
        <f>IF($C6=Repart_lignes,0,
(SUMIF(Fonctionnement[Affectation matrice],$A6,Fonctionnement[TVA acquittée])+SUMIF(Invest[Affectation matrice],$A6,Invest[TVA acquittée]))*CP6)</f>
        <v>0</v>
      </c>
      <c r="AQ6" s="56">
        <f>IF($C6=Repart_lignes,0,
(SUMIF(Fonctionnement[Affectation matrice],$A6,Fonctionnement[TVA acquittée])+SUMIF(Invest[Affectation matrice],$A6,Invest[TVA acquittée]))*CQ6)</f>
        <v>0</v>
      </c>
      <c r="AR6" s="56">
        <f>IF($C6=Repart_lignes,0,
(SUMIF(Fonctionnement[Affectation matrice],$A6,Fonctionnement[TVA acquittée])+SUMIF(Invest[Affectation matrice],$A6,Invest[TVA acquittée]))*CR6)</f>
        <v>0</v>
      </c>
      <c r="AS6" s="56">
        <f>IF($C6=Repart_lignes,0,
(SUMIF(Fonctionnement[Affectation matrice],$A6,Fonctionnement[TVA acquittée])+SUMIF(Invest[Affectation matrice],$A6,Invest[TVA acquittée]))*CS6)</f>
        <v>0</v>
      </c>
      <c r="AT6" s="56">
        <f>IF($C6=Repart_lignes,0,
(SUMIF(Fonctionnement[Affectation matrice],$A6,Fonctionnement[TVA acquittée])+SUMIF(Invest[Affectation matrice],$A6,Invest[TVA acquittée]))*CT6)</f>
        <v>0</v>
      </c>
      <c r="AU6" s="56">
        <f>IF($C6=Repart_lignes,0,
(SUMIF(Fonctionnement[Affectation matrice],$A6,Fonctionnement[TVA acquittée])+SUMIF(Invest[Affectation matrice],$A6,Invest[TVA acquittée]))*CU6)</f>
        <v>0</v>
      </c>
      <c r="AV6" s="56">
        <f>IF($C6=Repart_lignes,0,
(SUMIF(Fonctionnement[Affectation matrice],$A6,Fonctionnement[TVA acquittée])+SUMIF(Invest[Affectation matrice],$A6,Invest[TVA acquittée]))*CV6)</f>
        <v>0</v>
      </c>
      <c r="AW6" s="56">
        <f>IF($C6=Repart_lignes,0,
(SUMIF(Fonctionnement[Affectation matrice],$A6,Fonctionnement[TVA acquittée])+SUMIF(Invest[Affectation matrice],$A6,Invest[TVA acquittée]))*CW6)</f>
        <v>0</v>
      </c>
      <c r="AX6" s="56">
        <f>IF($C6=Repart_lignes,0,
(SUMIF(Fonctionnement[Affectation matrice],$A6,Fonctionnement[TVA acquittée])+SUMIF(Invest[Affectation matrice],$A6,Invest[TVA acquittée]))*CX6)</f>
        <v>0</v>
      </c>
      <c r="AY6" s="56">
        <f>IF($C6=Repart_lignes,0,
(SUMIF(Fonctionnement[Affectation matrice],$A6,Fonctionnement[TVA acquittée])+SUMIF(Invest[Affectation matrice],$A6,Invest[TVA acquittée]))*CY6)</f>
        <v>0</v>
      </c>
      <c r="AZ6" s="56">
        <f>IF($C6=Repart_lignes,0,
(SUMIF(Fonctionnement[Affectation matrice],$A6,Fonctionnement[TVA acquittée])+SUMIF(Invest[Affectation matrice],$A6,Invest[TVA acquittée]))*CZ6)</f>
        <v>0</v>
      </c>
      <c r="BA6" s="56">
        <f>IF($C6=Repart_lignes,0,
(SUMIF(Fonctionnement[Affectation matrice],$A6,Fonctionnement[TVA acquittée])+SUMIF(Invest[Affectation matrice],$A6,Invest[TVA acquittée]))*DA6)</f>
        <v>0</v>
      </c>
      <c r="BB6" s="56">
        <f>IF($C6=Repart_lignes,0,
(SUMIF(Fonctionnement[Affectation matrice],$A6,Fonctionnement[TVA acquittée])+SUMIF(Invest[Affectation matrice],$A6,Invest[TVA acquittée]))*DB6)</f>
        <v>0</v>
      </c>
      <c r="BC6" s="56">
        <f>IF($C6=Repart_lignes,0,
(SUMIF(Fonctionnement[Affectation matrice],$A6,Fonctionnement[TVA acquittée])+SUMIF(Invest[Affectation matrice],$A6,Invest[TVA acquittée]))*DC6)</f>
        <v>0</v>
      </c>
      <c r="BD6" s="56">
        <f>IF($C6=Repart_lignes,0,
(SUMIF(Fonctionnement[Affectation matrice],$A6,Fonctionnement[TVA acquittée])+SUMIF(Invest[Affectation matrice],$A6,Invest[TVA acquittée]))*DD6)</f>
        <v>0</v>
      </c>
      <c r="BE6" s="56">
        <f t="shared" si="1"/>
        <v>0</v>
      </c>
      <c r="BF6" s="56">
        <f>IF($C6=Repart_lignes,0,
(SUMIF(Fonctionnement[Affectation matrice],$A6,Fonctionnement[Montant (€HT)])+SUMIF(Invest[Affectation matrice],$A6,Invest[Amortissement HT + intérêts]))*CF6)</f>
        <v>0</v>
      </c>
      <c r="BG6" s="56">
        <f>IF($C6=Repart_lignes,0,
(SUMIF(Fonctionnement[Affectation matrice],$A6,Fonctionnement[Montant (€HT)])+SUMIF(Invest[Affectation matrice],$A6,Invest[Amortissement HT + intérêts]))*CG6)</f>
        <v>0</v>
      </c>
      <c r="BH6" s="56">
        <f>IF($C6=Repart_lignes,0,
(SUMIF(Fonctionnement[Affectation matrice],$A6,Fonctionnement[Montant (€HT)])+SUMIF(Invest[Affectation matrice],$A6,Invest[Amortissement HT + intérêts]))*CH6)</f>
        <v>0</v>
      </c>
      <c r="BI6" s="56">
        <f>IF($C6=Repart_lignes,0,
(SUMIF(Fonctionnement[Affectation matrice],$A6,Fonctionnement[Montant (€HT)])+SUMIF(Invest[Affectation matrice],$A6,Invest[Amortissement HT + intérêts]))*CI6)</f>
        <v>0</v>
      </c>
      <c r="BJ6" s="56">
        <f>IF($C6=Repart_lignes,0,
(SUMIF(Fonctionnement[Affectation matrice],$A6,Fonctionnement[Montant (€HT)])+SUMIF(Invest[Affectation matrice],$A6,Invest[Amortissement HT + intérêts]))*CJ6)</f>
        <v>0</v>
      </c>
      <c r="BK6" s="56">
        <f>IF($C6=Repart_lignes,0,
(SUMIF(Fonctionnement[Affectation matrice],$A6,Fonctionnement[Montant (€HT)])+SUMIF(Invest[Affectation matrice],$A6,Invest[Amortissement HT + intérêts]))*CK6)</f>
        <v>0</v>
      </c>
      <c r="BL6" s="56">
        <f>IF($C6=Repart_lignes,0,
(SUMIF(Fonctionnement[Affectation matrice],$A6,Fonctionnement[Montant (€HT)])+SUMIF(Invest[Affectation matrice],$A6,Invest[Amortissement HT + intérêts]))*CL6)</f>
        <v>0</v>
      </c>
      <c r="BM6" s="56">
        <f>IF($C6=Repart_lignes,0,
(SUMIF(Fonctionnement[Affectation matrice],$A6,Fonctionnement[Montant (€HT)])+SUMIF(Invest[Affectation matrice],$A6,Invest[Amortissement HT + intérêts]))*CM6)</f>
        <v>0</v>
      </c>
      <c r="BN6" s="56">
        <f>IF($C6=Repart_lignes,0,
(SUMIF(Fonctionnement[Affectation matrice],$A6,Fonctionnement[Montant (€HT)])+SUMIF(Invest[Affectation matrice],$A6,Invest[Amortissement HT + intérêts]))*CN6)</f>
        <v>0</v>
      </c>
      <c r="BO6" s="56">
        <f>IF($C6=Repart_lignes,0,
(SUMIF(Fonctionnement[Affectation matrice],$A6,Fonctionnement[Montant (€HT)])+SUMIF(Invest[Affectation matrice],$A6,Invest[Amortissement HT + intérêts]))*CO6)</f>
        <v>0</v>
      </c>
      <c r="BP6" s="56">
        <f>IF($C6=Repart_lignes,0,
(SUMIF(Fonctionnement[Affectation matrice],$A6,Fonctionnement[Montant (€HT)])+SUMIF(Invest[Affectation matrice],$A6,Invest[Amortissement HT + intérêts]))*CP6)</f>
        <v>0</v>
      </c>
      <c r="BQ6" s="56">
        <f>IF($C6=Repart_lignes,0,
(SUMIF(Fonctionnement[Affectation matrice],$A6,Fonctionnement[Montant (€HT)])+SUMIF(Invest[Affectation matrice],$A6,Invest[Amortissement HT + intérêts]))*CQ6)</f>
        <v>0</v>
      </c>
      <c r="BR6" s="56">
        <f>IF($C6=Repart_lignes,0,
(SUMIF(Fonctionnement[Affectation matrice],$A6,Fonctionnement[Montant (€HT)])+SUMIF(Invest[Affectation matrice],$A6,Invest[Amortissement HT + intérêts]))*CR6)</f>
        <v>0</v>
      </c>
      <c r="BS6" s="56">
        <f>IF($C6=Repart_lignes,0,
(SUMIF(Fonctionnement[Affectation matrice],$A6,Fonctionnement[Montant (€HT)])+SUMIF(Invest[Affectation matrice],$A6,Invest[Amortissement HT + intérêts]))*CS6)</f>
        <v>0</v>
      </c>
      <c r="BT6" s="56">
        <f>IF($C6=Repart_lignes,0,
(SUMIF(Fonctionnement[Affectation matrice],$A6,Fonctionnement[Montant (€HT)])+SUMIF(Invest[Affectation matrice],$A6,Invest[Amortissement HT + intérêts]))*CT6)</f>
        <v>0</v>
      </c>
      <c r="BU6" s="56">
        <f>IF($C6=Repart_lignes,0,
(SUMIF(Fonctionnement[Affectation matrice],$A6,Fonctionnement[Montant (€HT)])+SUMIF(Invest[Affectation matrice],$A6,Invest[Amortissement HT + intérêts]))*CU6)</f>
        <v>0</v>
      </c>
      <c r="BV6" s="56">
        <f>IF($C6=Repart_lignes,0,
(SUMIF(Fonctionnement[Affectation matrice],$A6,Fonctionnement[Montant (€HT)])+SUMIF(Invest[Affectation matrice],$A6,Invest[Amortissement HT + intérêts]))*CV6)</f>
        <v>0</v>
      </c>
      <c r="BW6" s="56">
        <f>IF($C6=Repart_lignes,0,
(SUMIF(Fonctionnement[Affectation matrice],$A6,Fonctionnement[Montant (€HT)])+SUMIF(Invest[Affectation matrice],$A6,Invest[Amortissement HT + intérêts]))*CW6)</f>
        <v>0</v>
      </c>
      <c r="BX6" s="56">
        <f>IF($C6=Repart_lignes,0,
(SUMIF(Fonctionnement[Affectation matrice],$A6,Fonctionnement[Montant (€HT)])+SUMIF(Invest[Affectation matrice],$A6,Invest[Amortissement HT + intérêts]))*CX6)</f>
        <v>0</v>
      </c>
      <c r="BY6" s="56">
        <f>IF($C6=Repart_lignes,0,
(SUMIF(Fonctionnement[Affectation matrice],$A6,Fonctionnement[Montant (€HT)])+SUMIF(Invest[Affectation matrice],$A6,Invest[Amortissement HT + intérêts]))*CY6)</f>
        <v>0</v>
      </c>
      <c r="BZ6" s="56">
        <f>IF($C6=Repart_lignes,0,
(SUMIF(Fonctionnement[Affectation matrice],$A6,Fonctionnement[Montant (€HT)])+SUMIF(Invest[Affectation matrice],$A6,Invest[Amortissement HT + intérêts]))*CZ6)</f>
        <v>0</v>
      </c>
      <c r="CA6" s="56">
        <f>IF($C6=Repart_lignes,0,
(SUMIF(Fonctionnement[Affectation matrice],$A6,Fonctionnement[Montant (€HT)])+SUMIF(Invest[Affectation matrice],$A6,Invest[Amortissement HT + intérêts]))*DA6)</f>
        <v>0</v>
      </c>
      <c r="CB6" s="56">
        <f>IF($C6=Repart_lignes,0,
(SUMIF(Fonctionnement[Affectation matrice],$A6,Fonctionnement[Montant (€HT)])+SUMIF(Invest[Affectation matrice],$A6,Invest[Amortissement HT + intérêts]))*DB6)</f>
        <v>0</v>
      </c>
      <c r="CC6" s="56">
        <f>IF($C6=Repart_lignes,0,
(SUMIF(Fonctionnement[Affectation matrice],$A6,Fonctionnement[Montant (€HT)])+SUMIF(Invest[Affectation matrice],$A6,Invest[Amortissement HT + intérêts]))*DC6)</f>
        <v>0</v>
      </c>
      <c r="CD6" s="56">
        <f>IF($C6=Repart_lignes,0,
(SUMIF(Fonctionnement[Affectation matrice],$A6,Fonctionnement[Montant (€HT)])+SUMIF(Invest[Affectation matrice],$A6,Invest[Amortissement HT + intérêts]))*DD6)</f>
        <v>0</v>
      </c>
      <c r="CE6" s="59">
        <f t="shared" si="2"/>
        <v>0</v>
      </c>
      <c r="CF6" s="61">
        <f t="shared" si="3"/>
        <v>0</v>
      </c>
      <c r="CG6" s="61">
        <f t="shared" si="4"/>
        <v>0</v>
      </c>
      <c r="CH6" s="61">
        <f t="shared" si="5"/>
        <v>0</v>
      </c>
      <c r="CI6" s="61">
        <f t="shared" si="6"/>
        <v>0</v>
      </c>
      <c r="CJ6" s="61">
        <f t="shared" si="7"/>
        <v>0</v>
      </c>
      <c r="CK6" s="61">
        <f t="shared" si="8"/>
        <v>0</v>
      </c>
      <c r="CL6" s="61">
        <f t="shared" si="9"/>
        <v>0</v>
      </c>
      <c r="CM6" s="61">
        <f t="shared" si="10"/>
        <v>0</v>
      </c>
      <c r="CN6" s="61">
        <f t="shared" si="11"/>
        <v>0</v>
      </c>
      <c r="CO6" s="61">
        <f t="shared" si="12"/>
        <v>0</v>
      </c>
      <c r="CP6" s="61">
        <f t="shared" si="13"/>
        <v>0</v>
      </c>
      <c r="CQ6" s="61">
        <f t="shared" si="14"/>
        <v>0</v>
      </c>
      <c r="CR6" s="61">
        <f t="shared" si="15"/>
        <v>0</v>
      </c>
      <c r="CS6" s="61">
        <f t="shared" si="16"/>
        <v>0</v>
      </c>
      <c r="CT6" s="61">
        <f t="shared" si="17"/>
        <v>0</v>
      </c>
      <c r="CU6" s="61">
        <f t="shared" si="18"/>
        <v>0</v>
      </c>
      <c r="CV6" s="61">
        <f t="shared" si="19"/>
        <v>0</v>
      </c>
      <c r="CW6" s="61">
        <f t="shared" si="20"/>
        <v>0</v>
      </c>
      <c r="CX6" s="61">
        <f t="shared" si="21"/>
        <v>0</v>
      </c>
      <c r="CY6" s="61">
        <f t="shared" si="22"/>
        <v>0</v>
      </c>
      <c r="CZ6" s="61">
        <f t="shared" si="23"/>
        <v>0</v>
      </c>
      <c r="DA6" s="61">
        <f t="shared" si="24"/>
        <v>0</v>
      </c>
      <c r="DB6" s="61">
        <f t="shared" si="25"/>
        <v>0</v>
      </c>
      <c r="DC6" s="61">
        <f t="shared" si="26"/>
        <v>0</v>
      </c>
      <c r="DD6" s="61">
        <f t="shared" si="27"/>
        <v>0</v>
      </c>
      <c r="DE6" s="61">
        <f t="shared" si="28"/>
        <v>0</v>
      </c>
    </row>
    <row r="7" spans="1:110" s="22" customFormat="1" x14ac:dyDescent="0.25">
      <c r="A7" s="248"/>
      <c r="B7" s="248"/>
      <c r="C7" s="251"/>
      <c r="D7" s="250"/>
      <c r="E7" s="60"/>
      <c r="F7" s="60"/>
      <c r="G7" s="60"/>
      <c r="H7" s="60"/>
      <c r="I7" s="60"/>
      <c r="J7" s="60"/>
      <c r="K7" s="60"/>
      <c r="L7" s="60"/>
      <c r="M7" s="60"/>
      <c r="N7" s="60"/>
      <c r="O7" s="60"/>
      <c r="P7" s="60"/>
      <c r="Q7" s="60"/>
      <c r="R7" s="60"/>
      <c r="S7" s="60"/>
      <c r="T7" s="60"/>
      <c r="U7" s="60"/>
      <c r="V7" s="60"/>
      <c r="W7" s="60"/>
      <c r="X7" s="60"/>
      <c r="Y7" s="60"/>
      <c r="Z7" s="60"/>
      <c r="AA7" s="60"/>
      <c r="AB7" s="60"/>
      <c r="AC7" s="60"/>
      <c r="AD7" s="61">
        <f t="shared" si="0"/>
        <v>0</v>
      </c>
      <c r="AE7" s="53" t="str">
        <f t="shared" ca="1" si="29"/>
        <v/>
      </c>
      <c r="AF7" s="56">
        <f>IF($C7=Repart_lignes,0,
(SUMIF(Fonctionnement[Affectation matrice],$A7,Fonctionnement[TVA acquittée])+SUMIF(Invest[Affectation matrice],$A7,Invest[TVA acquittée]))*CF7)</f>
        <v>0</v>
      </c>
      <c r="AG7" s="56">
        <f>IF($C7=Repart_lignes,0,
(SUMIF(Fonctionnement[Affectation matrice],$A7,Fonctionnement[TVA acquittée])+SUMIF(Invest[Affectation matrice],$A7,Invest[TVA acquittée]))*CG7)</f>
        <v>0</v>
      </c>
      <c r="AH7" s="56">
        <f>IF($C7=Repart_lignes,0,
(SUMIF(Fonctionnement[Affectation matrice],$A7,Fonctionnement[TVA acquittée])+SUMIF(Invest[Affectation matrice],$A7,Invest[TVA acquittée]))*CH7)</f>
        <v>0</v>
      </c>
      <c r="AI7" s="56">
        <f>IF($C7=Repart_lignes,0,
(SUMIF(Fonctionnement[Affectation matrice],$A7,Fonctionnement[TVA acquittée])+SUMIF(Invest[Affectation matrice],$A7,Invest[TVA acquittée]))*CI7)</f>
        <v>0</v>
      </c>
      <c r="AJ7" s="56">
        <f>IF($C7=Repart_lignes,0,
(SUMIF(Fonctionnement[Affectation matrice],$A7,Fonctionnement[TVA acquittée])+SUMIF(Invest[Affectation matrice],$A7,Invest[TVA acquittée]))*CJ7)</f>
        <v>0</v>
      </c>
      <c r="AK7" s="56">
        <f>IF($C7=Repart_lignes,0,
(SUMIF(Fonctionnement[Affectation matrice],$A7,Fonctionnement[TVA acquittée])+SUMIF(Invest[Affectation matrice],$A7,Invest[TVA acquittée]))*CK7)</f>
        <v>0</v>
      </c>
      <c r="AL7" s="56">
        <f>IF($C7=Repart_lignes,0,
(SUMIF(Fonctionnement[Affectation matrice],$A7,Fonctionnement[TVA acquittée])+SUMIF(Invest[Affectation matrice],$A7,Invest[TVA acquittée]))*CL7)</f>
        <v>0</v>
      </c>
      <c r="AM7" s="56">
        <f>IF($C7=Repart_lignes,0,
(SUMIF(Fonctionnement[Affectation matrice],$A7,Fonctionnement[TVA acquittée])+SUMIF(Invest[Affectation matrice],$A7,Invest[TVA acquittée]))*CM7)</f>
        <v>0</v>
      </c>
      <c r="AN7" s="56">
        <f>IF($C7=Repart_lignes,0,
(SUMIF(Fonctionnement[Affectation matrice],$A7,Fonctionnement[TVA acquittée])+SUMIF(Invest[Affectation matrice],$A7,Invest[TVA acquittée]))*CN7)</f>
        <v>0</v>
      </c>
      <c r="AO7" s="56">
        <f>IF($C7=Repart_lignes,0,
(SUMIF(Fonctionnement[Affectation matrice],$A7,Fonctionnement[TVA acquittée])+SUMIF(Invest[Affectation matrice],$A7,Invest[TVA acquittée]))*CO7)</f>
        <v>0</v>
      </c>
      <c r="AP7" s="56">
        <f>IF($C7=Repart_lignes,0,
(SUMIF(Fonctionnement[Affectation matrice],$A7,Fonctionnement[TVA acquittée])+SUMIF(Invest[Affectation matrice],$A7,Invest[TVA acquittée]))*CP7)</f>
        <v>0</v>
      </c>
      <c r="AQ7" s="56">
        <f>IF($C7=Repart_lignes,0,
(SUMIF(Fonctionnement[Affectation matrice],$A7,Fonctionnement[TVA acquittée])+SUMIF(Invest[Affectation matrice],$A7,Invest[TVA acquittée]))*CQ7)</f>
        <v>0</v>
      </c>
      <c r="AR7" s="56">
        <f>IF($C7=Repart_lignes,0,
(SUMIF(Fonctionnement[Affectation matrice],$A7,Fonctionnement[TVA acquittée])+SUMIF(Invest[Affectation matrice],$A7,Invest[TVA acquittée]))*CR7)</f>
        <v>0</v>
      </c>
      <c r="AS7" s="56">
        <f>IF($C7=Repart_lignes,0,
(SUMIF(Fonctionnement[Affectation matrice],$A7,Fonctionnement[TVA acquittée])+SUMIF(Invest[Affectation matrice],$A7,Invest[TVA acquittée]))*CS7)</f>
        <v>0</v>
      </c>
      <c r="AT7" s="56">
        <f>IF($C7=Repart_lignes,0,
(SUMIF(Fonctionnement[Affectation matrice],$A7,Fonctionnement[TVA acquittée])+SUMIF(Invest[Affectation matrice],$A7,Invest[TVA acquittée]))*CT7)</f>
        <v>0</v>
      </c>
      <c r="AU7" s="56">
        <f>IF($C7=Repart_lignes,0,
(SUMIF(Fonctionnement[Affectation matrice],$A7,Fonctionnement[TVA acquittée])+SUMIF(Invest[Affectation matrice],$A7,Invest[TVA acquittée]))*CU7)</f>
        <v>0</v>
      </c>
      <c r="AV7" s="56">
        <f>IF($C7=Repart_lignes,0,
(SUMIF(Fonctionnement[Affectation matrice],$A7,Fonctionnement[TVA acquittée])+SUMIF(Invest[Affectation matrice],$A7,Invest[TVA acquittée]))*CV7)</f>
        <v>0</v>
      </c>
      <c r="AW7" s="56">
        <f>IF($C7=Repart_lignes,0,
(SUMIF(Fonctionnement[Affectation matrice],$A7,Fonctionnement[TVA acquittée])+SUMIF(Invest[Affectation matrice],$A7,Invest[TVA acquittée]))*CW7)</f>
        <v>0</v>
      </c>
      <c r="AX7" s="56">
        <f>IF($C7=Repart_lignes,0,
(SUMIF(Fonctionnement[Affectation matrice],$A7,Fonctionnement[TVA acquittée])+SUMIF(Invest[Affectation matrice],$A7,Invest[TVA acquittée]))*CX7)</f>
        <v>0</v>
      </c>
      <c r="AY7" s="56">
        <f>IF($C7=Repart_lignes,0,
(SUMIF(Fonctionnement[Affectation matrice],$A7,Fonctionnement[TVA acquittée])+SUMIF(Invest[Affectation matrice],$A7,Invest[TVA acquittée]))*CY7)</f>
        <v>0</v>
      </c>
      <c r="AZ7" s="56">
        <f>IF($C7=Repart_lignes,0,
(SUMIF(Fonctionnement[Affectation matrice],$A7,Fonctionnement[TVA acquittée])+SUMIF(Invest[Affectation matrice],$A7,Invest[TVA acquittée]))*CZ7)</f>
        <v>0</v>
      </c>
      <c r="BA7" s="56">
        <f>IF($C7=Repart_lignes,0,
(SUMIF(Fonctionnement[Affectation matrice],$A7,Fonctionnement[TVA acquittée])+SUMIF(Invest[Affectation matrice],$A7,Invest[TVA acquittée]))*DA7)</f>
        <v>0</v>
      </c>
      <c r="BB7" s="56">
        <f>IF($C7=Repart_lignes,0,
(SUMIF(Fonctionnement[Affectation matrice],$A7,Fonctionnement[TVA acquittée])+SUMIF(Invest[Affectation matrice],$A7,Invest[TVA acquittée]))*DB7)</f>
        <v>0</v>
      </c>
      <c r="BC7" s="56">
        <f>IF($C7=Repart_lignes,0,
(SUMIF(Fonctionnement[Affectation matrice],$A7,Fonctionnement[TVA acquittée])+SUMIF(Invest[Affectation matrice],$A7,Invest[TVA acquittée]))*DC7)</f>
        <v>0</v>
      </c>
      <c r="BD7" s="56">
        <f>IF($C7=Repart_lignes,0,
(SUMIF(Fonctionnement[Affectation matrice],$A7,Fonctionnement[TVA acquittée])+SUMIF(Invest[Affectation matrice],$A7,Invest[TVA acquittée]))*DD7)</f>
        <v>0</v>
      </c>
      <c r="BE7" s="58">
        <f t="shared" si="1"/>
        <v>0</v>
      </c>
      <c r="BF7" s="56">
        <f>IF($C7=Repart_lignes,0,
(SUMIF(Fonctionnement[Affectation matrice],$A7,Fonctionnement[Montant (€HT)])+SUMIF(Invest[Affectation matrice],$A7,Invest[Amortissement HT + intérêts]))*CF7)</f>
        <v>0</v>
      </c>
      <c r="BG7" s="56">
        <f>IF($C7=Repart_lignes,0,
(SUMIF(Fonctionnement[Affectation matrice],$A7,Fonctionnement[Montant (€HT)])+SUMIF(Invest[Affectation matrice],$A7,Invest[Amortissement HT + intérêts]))*CG7)</f>
        <v>0</v>
      </c>
      <c r="BH7" s="56">
        <f>IF($C7=Repart_lignes,0,
(SUMIF(Fonctionnement[Affectation matrice],$A7,Fonctionnement[Montant (€HT)])+SUMIF(Invest[Affectation matrice],$A7,Invest[Amortissement HT + intérêts]))*CH7)</f>
        <v>0</v>
      </c>
      <c r="BI7" s="56">
        <f>IF($C7=Repart_lignes,0,
(SUMIF(Fonctionnement[Affectation matrice],$A7,Fonctionnement[Montant (€HT)])+SUMIF(Invest[Affectation matrice],$A7,Invest[Amortissement HT + intérêts]))*CI7)</f>
        <v>0</v>
      </c>
      <c r="BJ7" s="56">
        <f>IF($C7=Repart_lignes,0,
(SUMIF(Fonctionnement[Affectation matrice],$A7,Fonctionnement[Montant (€HT)])+SUMIF(Invest[Affectation matrice],$A7,Invest[Amortissement HT + intérêts]))*CJ7)</f>
        <v>0</v>
      </c>
      <c r="BK7" s="56">
        <f>IF($C7=Repart_lignes,0,
(SUMIF(Fonctionnement[Affectation matrice],$A7,Fonctionnement[Montant (€HT)])+SUMIF(Invest[Affectation matrice],$A7,Invest[Amortissement HT + intérêts]))*CK7)</f>
        <v>0</v>
      </c>
      <c r="BL7" s="56">
        <f>IF($C7=Repart_lignes,0,
(SUMIF(Fonctionnement[Affectation matrice],$A7,Fonctionnement[Montant (€HT)])+SUMIF(Invest[Affectation matrice],$A7,Invest[Amortissement HT + intérêts]))*CL7)</f>
        <v>0</v>
      </c>
      <c r="BM7" s="56">
        <f>IF($C7=Repart_lignes,0,
(SUMIF(Fonctionnement[Affectation matrice],$A7,Fonctionnement[Montant (€HT)])+SUMIF(Invest[Affectation matrice],$A7,Invest[Amortissement HT + intérêts]))*CM7)</f>
        <v>0</v>
      </c>
      <c r="BN7" s="56">
        <f>IF($C7=Repart_lignes,0,
(SUMIF(Fonctionnement[Affectation matrice],$A7,Fonctionnement[Montant (€HT)])+SUMIF(Invest[Affectation matrice],$A7,Invest[Amortissement HT + intérêts]))*CN7)</f>
        <v>0</v>
      </c>
      <c r="BO7" s="56">
        <f>IF($C7=Repart_lignes,0,
(SUMIF(Fonctionnement[Affectation matrice],$A7,Fonctionnement[Montant (€HT)])+SUMIF(Invest[Affectation matrice],$A7,Invest[Amortissement HT + intérêts]))*CO7)</f>
        <v>0</v>
      </c>
      <c r="BP7" s="56">
        <f>IF($C7=Repart_lignes,0,
(SUMIF(Fonctionnement[Affectation matrice],$A7,Fonctionnement[Montant (€HT)])+SUMIF(Invest[Affectation matrice],$A7,Invest[Amortissement HT + intérêts]))*CP7)</f>
        <v>0</v>
      </c>
      <c r="BQ7" s="56">
        <f>IF($C7=Repart_lignes,0,
(SUMIF(Fonctionnement[Affectation matrice],$A7,Fonctionnement[Montant (€HT)])+SUMIF(Invest[Affectation matrice],$A7,Invest[Amortissement HT + intérêts]))*CQ7)</f>
        <v>0</v>
      </c>
      <c r="BR7" s="56">
        <f>IF($C7=Repart_lignes,0,
(SUMIF(Fonctionnement[Affectation matrice],$A7,Fonctionnement[Montant (€HT)])+SUMIF(Invest[Affectation matrice],$A7,Invest[Amortissement HT + intérêts]))*CR7)</f>
        <v>0</v>
      </c>
      <c r="BS7" s="56">
        <f>IF($C7=Repart_lignes,0,
(SUMIF(Fonctionnement[Affectation matrice],$A7,Fonctionnement[Montant (€HT)])+SUMIF(Invest[Affectation matrice],$A7,Invest[Amortissement HT + intérêts]))*CS7)</f>
        <v>0</v>
      </c>
      <c r="BT7" s="56">
        <f>IF($C7=Repart_lignes,0,
(SUMIF(Fonctionnement[Affectation matrice],$A7,Fonctionnement[Montant (€HT)])+SUMIF(Invest[Affectation matrice],$A7,Invest[Amortissement HT + intérêts]))*CT7)</f>
        <v>0</v>
      </c>
      <c r="BU7" s="56">
        <f>IF($C7=Repart_lignes,0,
(SUMIF(Fonctionnement[Affectation matrice],$A7,Fonctionnement[Montant (€HT)])+SUMIF(Invest[Affectation matrice],$A7,Invest[Amortissement HT + intérêts]))*CU7)</f>
        <v>0</v>
      </c>
      <c r="BV7" s="56">
        <f>IF($C7=Repart_lignes,0,
(SUMIF(Fonctionnement[Affectation matrice],$A7,Fonctionnement[Montant (€HT)])+SUMIF(Invest[Affectation matrice],$A7,Invest[Amortissement HT + intérêts]))*CV7)</f>
        <v>0</v>
      </c>
      <c r="BW7" s="56">
        <f>IF($C7=Repart_lignes,0,
(SUMIF(Fonctionnement[Affectation matrice],$A7,Fonctionnement[Montant (€HT)])+SUMIF(Invest[Affectation matrice],$A7,Invest[Amortissement HT + intérêts]))*CW7)</f>
        <v>0</v>
      </c>
      <c r="BX7" s="56">
        <f>IF($C7=Repart_lignes,0,
(SUMIF(Fonctionnement[Affectation matrice],$A7,Fonctionnement[Montant (€HT)])+SUMIF(Invest[Affectation matrice],$A7,Invest[Amortissement HT + intérêts]))*CX7)</f>
        <v>0</v>
      </c>
      <c r="BY7" s="56">
        <f>IF($C7=Repart_lignes,0,
(SUMIF(Fonctionnement[Affectation matrice],$A7,Fonctionnement[Montant (€HT)])+SUMIF(Invest[Affectation matrice],$A7,Invest[Amortissement HT + intérêts]))*CY7)</f>
        <v>0</v>
      </c>
      <c r="BZ7" s="56">
        <f>IF($C7=Repart_lignes,0,
(SUMIF(Fonctionnement[Affectation matrice],$A7,Fonctionnement[Montant (€HT)])+SUMIF(Invest[Affectation matrice],$A7,Invest[Amortissement HT + intérêts]))*CZ7)</f>
        <v>0</v>
      </c>
      <c r="CA7" s="56">
        <f>IF($C7=Repart_lignes,0,
(SUMIF(Fonctionnement[Affectation matrice],$A7,Fonctionnement[Montant (€HT)])+SUMIF(Invest[Affectation matrice],$A7,Invest[Amortissement HT + intérêts]))*DA7)</f>
        <v>0</v>
      </c>
      <c r="CB7" s="56">
        <f>IF($C7=Repart_lignes,0,
(SUMIF(Fonctionnement[Affectation matrice],$A7,Fonctionnement[Montant (€HT)])+SUMIF(Invest[Affectation matrice],$A7,Invest[Amortissement HT + intérêts]))*DB7)</f>
        <v>0</v>
      </c>
      <c r="CC7" s="56">
        <f>IF($C7=Repart_lignes,0,
(SUMIF(Fonctionnement[Affectation matrice],$A7,Fonctionnement[Montant (€HT)])+SUMIF(Invest[Affectation matrice],$A7,Invest[Amortissement HT + intérêts]))*DC7)</f>
        <v>0</v>
      </c>
      <c r="CD7" s="56">
        <f>IF($C7=Repart_lignes,0,
(SUMIF(Fonctionnement[Affectation matrice],$A7,Fonctionnement[Montant (€HT)])+SUMIF(Invest[Affectation matrice],$A7,Invest[Amortissement HT + intérêts]))*DD7)</f>
        <v>0</v>
      </c>
      <c r="CE7" s="59">
        <f t="shared" si="2"/>
        <v>0</v>
      </c>
      <c r="CF7" s="61">
        <f t="shared" si="3"/>
        <v>0</v>
      </c>
      <c r="CG7" s="61">
        <f t="shared" si="4"/>
        <v>0</v>
      </c>
      <c r="CH7" s="61">
        <f t="shared" si="5"/>
        <v>0</v>
      </c>
      <c r="CI7" s="61">
        <f t="shared" si="6"/>
        <v>0</v>
      </c>
      <c r="CJ7" s="61">
        <f t="shared" si="7"/>
        <v>0</v>
      </c>
      <c r="CK7" s="61">
        <f t="shared" si="8"/>
        <v>0</v>
      </c>
      <c r="CL7" s="61">
        <f t="shared" si="9"/>
        <v>0</v>
      </c>
      <c r="CM7" s="61">
        <f t="shared" si="10"/>
        <v>0</v>
      </c>
      <c r="CN7" s="61">
        <f t="shared" si="11"/>
        <v>0</v>
      </c>
      <c r="CO7" s="61">
        <f t="shared" si="12"/>
        <v>0</v>
      </c>
      <c r="CP7" s="61">
        <f t="shared" si="13"/>
        <v>0</v>
      </c>
      <c r="CQ7" s="61">
        <f t="shared" si="14"/>
        <v>0</v>
      </c>
      <c r="CR7" s="61">
        <f t="shared" si="15"/>
        <v>0</v>
      </c>
      <c r="CS7" s="61">
        <f t="shared" si="16"/>
        <v>0</v>
      </c>
      <c r="CT7" s="61">
        <f t="shared" si="17"/>
        <v>0</v>
      </c>
      <c r="CU7" s="61">
        <f t="shared" si="18"/>
        <v>0</v>
      </c>
      <c r="CV7" s="61">
        <f t="shared" si="19"/>
        <v>0</v>
      </c>
      <c r="CW7" s="61">
        <f t="shared" si="20"/>
        <v>0</v>
      </c>
      <c r="CX7" s="61">
        <f t="shared" si="21"/>
        <v>0</v>
      </c>
      <c r="CY7" s="61">
        <f t="shared" si="22"/>
        <v>0</v>
      </c>
      <c r="CZ7" s="61">
        <f t="shared" si="23"/>
        <v>0</v>
      </c>
      <c r="DA7" s="61">
        <f t="shared" si="24"/>
        <v>0</v>
      </c>
      <c r="DB7" s="61">
        <f t="shared" si="25"/>
        <v>0</v>
      </c>
      <c r="DC7" s="61">
        <f t="shared" si="26"/>
        <v>0</v>
      </c>
      <c r="DD7" s="61">
        <f t="shared" si="27"/>
        <v>0</v>
      </c>
      <c r="DE7" s="61">
        <f t="shared" si="28"/>
        <v>0</v>
      </c>
      <c r="DF7" s="7"/>
    </row>
    <row r="8" spans="1:110" s="22" customFormat="1" x14ac:dyDescent="0.25">
      <c r="A8" s="248"/>
      <c r="B8" s="248"/>
      <c r="C8" s="251"/>
      <c r="D8" s="250"/>
      <c r="E8" s="60"/>
      <c r="F8" s="60"/>
      <c r="G8" s="60"/>
      <c r="H8" s="60"/>
      <c r="I8" s="60"/>
      <c r="J8" s="60"/>
      <c r="K8" s="60"/>
      <c r="L8" s="60"/>
      <c r="M8" s="60"/>
      <c r="N8" s="60"/>
      <c r="O8" s="60"/>
      <c r="P8" s="60"/>
      <c r="Q8" s="60"/>
      <c r="R8" s="60"/>
      <c r="S8" s="60"/>
      <c r="T8" s="60"/>
      <c r="U8" s="60"/>
      <c r="V8" s="60"/>
      <c r="W8" s="60"/>
      <c r="X8" s="60"/>
      <c r="Y8" s="60"/>
      <c r="Z8" s="60"/>
      <c r="AA8" s="60"/>
      <c r="AB8" s="60"/>
      <c r="AC8" s="60"/>
      <c r="AD8" s="61">
        <f t="shared" si="0"/>
        <v>0</v>
      </c>
      <c r="AE8" s="53" t="str">
        <f t="shared" ca="1" si="29"/>
        <v/>
      </c>
      <c r="AF8" s="56">
        <f>IF($C8=Repart_lignes,0,
(SUMIF(Fonctionnement[Affectation matrice],$A8,Fonctionnement[TVA acquittée])+SUMIF(Invest[Affectation matrice],$A8,Invest[TVA acquittée]))*CF8)</f>
        <v>0</v>
      </c>
      <c r="AG8" s="56">
        <f>IF($C8=Repart_lignes,0,
(SUMIF(Fonctionnement[Affectation matrice],$A8,Fonctionnement[TVA acquittée])+SUMIF(Invest[Affectation matrice],$A8,Invest[TVA acquittée]))*CG8)</f>
        <v>0</v>
      </c>
      <c r="AH8" s="56">
        <f>IF($C8=Repart_lignes,0,
(SUMIF(Fonctionnement[Affectation matrice],$A8,Fonctionnement[TVA acquittée])+SUMIF(Invest[Affectation matrice],$A8,Invest[TVA acquittée]))*CH8)</f>
        <v>0</v>
      </c>
      <c r="AI8" s="56">
        <f>IF($C8=Repart_lignes,0,
(SUMIF(Fonctionnement[Affectation matrice],$A8,Fonctionnement[TVA acquittée])+SUMIF(Invest[Affectation matrice],$A8,Invest[TVA acquittée]))*CI8)</f>
        <v>0</v>
      </c>
      <c r="AJ8" s="56">
        <f>IF($C8=Repart_lignes,0,
(SUMIF(Fonctionnement[Affectation matrice],$A8,Fonctionnement[TVA acquittée])+SUMIF(Invest[Affectation matrice],$A8,Invest[TVA acquittée]))*CJ8)</f>
        <v>0</v>
      </c>
      <c r="AK8" s="56">
        <f>IF($C8=Repart_lignes,0,
(SUMIF(Fonctionnement[Affectation matrice],$A8,Fonctionnement[TVA acquittée])+SUMIF(Invest[Affectation matrice],$A8,Invest[TVA acquittée]))*CK8)</f>
        <v>0</v>
      </c>
      <c r="AL8" s="56">
        <f>IF($C8=Repart_lignes,0,
(SUMIF(Fonctionnement[Affectation matrice],$A8,Fonctionnement[TVA acquittée])+SUMIF(Invest[Affectation matrice],$A8,Invest[TVA acquittée]))*CL8)</f>
        <v>0</v>
      </c>
      <c r="AM8" s="56">
        <f>IF($C8=Repart_lignes,0,
(SUMIF(Fonctionnement[Affectation matrice],$A8,Fonctionnement[TVA acquittée])+SUMIF(Invest[Affectation matrice],$A8,Invest[TVA acquittée]))*CM8)</f>
        <v>0</v>
      </c>
      <c r="AN8" s="56">
        <f>IF($C8=Repart_lignes,0,
(SUMIF(Fonctionnement[Affectation matrice],$A8,Fonctionnement[TVA acquittée])+SUMIF(Invest[Affectation matrice],$A8,Invest[TVA acquittée]))*CN8)</f>
        <v>0</v>
      </c>
      <c r="AO8" s="56">
        <f>IF($C8=Repart_lignes,0,
(SUMIF(Fonctionnement[Affectation matrice],$A8,Fonctionnement[TVA acquittée])+SUMIF(Invest[Affectation matrice],$A8,Invest[TVA acquittée]))*CO8)</f>
        <v>0</v>
      </c>
      <c r="AP8" s="56">
        <f>IF($C8=Repart_lignes,0,
(SUMIF(Fonctionnement[Affectation matrice],$A8,Fonctionnement[TVA acquittée])+SUMIF(Invest[Affectation matrice],$A8,Invest[TVA acquittée]))*CP8)</f>
        <v>0</v>
      </c>
      <c r="AQ8" s="56">
        <f>IF($C8=Repart_lignes,0,
(SUMIF(Fonctionnement[Affectation matrice],$A8,Fonctionnement[TVA acquittée])+SUMIF(Invest[Affectation matrice],$A8,Invest[TVA acquittée]))*CQ8)</f>
        <v>0</v>
      </c>
      <c r="AR8" s="56">
        <f>IF($C8=Repart_lignes,0,
(SUMIF(Fonctionnement[Affectation matrice],$A8,Fonctionnement[TVA acquittée])+SUMIF(Invest[Affectation matrice],$A8,Invest[TVA acquittée]))*CR8)</f>
        <v>0</v>
      </c>
      <c r="AS8" s="56">
        <f>IF($C8=Repart_lignes,0,
(SUMIF(Fonctionnement[Affectation matrice],$A8,Fonctionnement[TVA acquittée])+SUMIF(Invest[Affectation matrice],$A8,Invest[TVA acquittée]))*CS8)</f>
        <v>0</v>
      </c>
      <c r="AT8" s="56">
        <f>IF($C8=Repart_lignes,0,
(SUMIF(Fonctionnement[Affectation matrice],$A8,Fonctionnement[TVA acquittée])+SUMIF(Invest[Affectation matrice],$A8,Invest[TVA acquittée]))*CT8)</f>
        <v>0</v>
      </c>
      <c r="AU8" s="56">
        <f>IF($C8=Repart_lignes,0,
(SUMIF(Fonctionnement[Affectation matrice],$A8,Fonctionnement[TVA acquittée])+SUMIF(Invest[Affectation matrice],$A8,Invest[TVA acquittée]))*CU8)</f>
        <v>0</v>
      </c>
      <c r="AV8" s="56">
        <f>IF($C8=Repart_lignes,0,
(SUMIF(Fonctionnement[Affectation matrice],$A8,Fonctionnement[TVA acquittée])+SUMIF(Invest[Affectation matrice],$A8,Invest[TVA acquittée]))*CV8)</f>
        <v>0</v>
      </c>
      <c r="AW8" s="56">
        <f>IF($C8=Repart_lignes,0,
(SUMIF(Fonctionnement[Affectation matrice],$A8,Fonctionnement[TVA acquittée])+SUMIF(Invest[Affectation matrice],$A8,Invest[TVA acquittée]))*CW8)</f>
        <v>0</v>
      </c>
      <c r="AX8" s="56">
        <f>IF($C8=Repart_lignes,0,
(SUMIF(Fonctionnement[Affectation matrice],$A8,Fonctionnement[TVA acquittée])+SUMIF(Invest[Affectation matrice],$A8,Invest[TVA acquittée]))*CX8)</f>
        <v>0</v>
      </c>
      <c r="AY8" s="56">
        <f>IF($C8=Repart_lignes,0,
(SUMIF(Fonctionnement[Affectation matrice],$A8,Fonctionnement[TVA acquittée])+SUMIF(Invest[Affectation matrice],$A8,Invest[TVA acquittée]))*CY8)</f>
        <v>0</v>
      </c>
      <c r="AZ8" s="56">
        <f>IF($C8=Repart_lignes,0,
(SUMIF(Fonctionnement[Affectation matrice],$A8,Fonctionnement[TVA acquittée])+SUMIF(Invest[Affectation matrice],$A8,Invest[TVA acquittée]))*CZ8)</f>
        <v>0</v>
      </c>
      <c r="BA8" s="56">
        <f>IF($C8=Repart_lignes,0,
(SUMIF(Fonctionnement[Affectation matrice],$A8,Fonctionnement[TVA acquittée])+SUMIF(Invest[Affectation matrice],$A8,Invest[TVA acquittée]))*DA8)</f>
        <v>0</v>
      </c>
      <c r="BB8" s="56">
        <f>IF($C8=Repart_lignes,0,
(SUMIF(Fonctionnement[Affectation matrice],$A8,Fonctionnement[TVA acquittée])+SUMIF(Invest[Affectation matrice],$A8,Invest[TVA acquittée]))*DB8)</f>
        <v>0</v>
      </c>
      <c r="BC8" s="56">
        <f>IF($C8=Repart_lignes,0,
(SUMIF(Fonctionnement[Affectation matrice],$A8,Fonctionnement[TVA acquittée])+SUMIF(Invest[Affectation matrice],$A8,Invest[TVA acquittée]))*DC8)</f>
        <v>0</v>
      </c>
      <c r="BD8" s="56">
        <f>IF($C8=Repart_lignes,0,
(SUMIF(Fonctionnement[Affectation matrice],$A8,Fonctionnement[TVA acquittée])+SUMIF(Invest[Affectation matrice],$A8,Invest[TVA acquittée]))*DD8)</f>
        <v>0</v>
      </c>
      <c r="BE8" s="58">
        <f t="shared" si="1"/>
        <v>0</v>
      </c>
      <c r="BF8" s="56">
        <f>IF($C8=Repart_lignes,0,
(SUMIF(Fonctionnement[Affectation matrice],$A8,Fonctionnement[Montant (€HT)])+SUMIF(Invest[Affectation matrice],$A8,Invest[Amortissement HT + intérêts]))*CF8)</f>
        <v>0</v>
      </c>
      <c r="BG8" s="56">
        <f>IF($C8=Repart_lignes,0,
(SUMIF(Fonctionnement[Affectation matrice],$A8,Fonctionnement[Montant (€HT)])+SUMIF(Invest[Affectation matrice],$A8,Invest[Amortissement HT + intérêts]))*CG8)</f>
        <v>0</v>
      </c>
      <c r="BH8" s="56">
        <f>IF($C8=Repart_lignes,0,
(SUMIF(Fonctionnement[Affectation matrice],$A8,Fonctionnement[Montant (€HT)])+SUMIF(Invest[Affectation matrice],$A8,Invest[Amortissement HT + intérêts]))*CH8)</f>
        <v>0</v>
      </c>
      <c r="BI8" s="56">
        <f>IF($C8=Repart_lignes,0,
(SUMIF(Fonctionnement[Affectation matrice],$A8,Fonctionnement[Montant (€HT)])+SUMIF(Invest[Affectation matrice],$A8,Invest[Amortissement HT + intérêts]))*CI8)</f>
        <v>0</v>
      </c>
      <c r="BJ8" s="56">
        <f>IF($C8=Repart_lignes,0,
(SUMIF(Fonctionnement[Affectation matrice],$A8,Fonctionnement[Montant (€HT)])+SUMIF(Invest[Affectation matrice],$A8,Invest[Amortissement HT + intérêts]))*CJ8)</f>
        <v>0</v>
      </c>
      <c r="BK8" s="56">
        <f>IF($C8=Repart_lignes,0,
(SUMIF(Fonctionnement[Affectation matrice],$A8,Fonctionnement[Montant (€HT)])+SUMIF(Invest[Affectation matrice],$A8,Invest[Amortissement HT + intérêts]))*CK8)</f>
        <v>0</v>
      </c>
      <c r="BL8" s="56">
        <f>IF($C8=Repart_lignes,0,
(SUMIF(Fonctionnement[Affectation matrice],$A8,Fonctionnement[Montant (€HT)])+SUMIF(Invest[Affectation matrice],$A8,Invest[Amortissement HT + intérêts]))*CL8)</f>
        <v>0</v>
      </c>
      <c r="BM8" s="56">
        <f>IF($C8=Repart_lignes,0,
(SUMIF(Fonctionnement[Affectation matrice],$A8,Fonctionnement[Montant (€HT)])+SUMIF(Invest[Affectation matrice],$A8,Invest[Amortissement HT + intérêts]))*CM8)</f>
        <v>0</v>
      </c>
      <c r="BN8" s="56">
        <f>IF($C8=Repart_lignes,0,
(SUMIF(Fonctionnement[Affectation matrice],$A8,Fonctionnement[Montant (€HT)])+SUMIF(Invest[Affectation matrice],$A8,Invest[Amortissement HT + intérêts]))*CN8)</f>
        <v>0</v>
      </c>
      <c r="BO8" s="56">
        <f>IF($C8=Repart_lignes,0,
(SUMIF(Fonctionnement[Affectation matrice],$A8,Fonctionnement[Montant (€HT)])+SUMIF(Invest[Affectation matrice],$A8,Invest[Amortissement HT + intérêts]))*CO8)</f>
        <v>0</v>
      </c>
      <c r="BP8" s="56">
        <f>IF($C8=Repart_lignes,0,
(SUMIF(Fonctionnement[Affectation matrice],$A8,Fonctionnement[Montant (€HT)])+SUMIF(Invest[Affectation matrice],$A8,Invest[Amortissement HT + intérêts]))*CP8)</f>
        <v>0</v>
      </c>
      <c r="BQ8" s="56">
        <f>IF($C8=Repart_lignes,0,
(SUMIF(Fonctionnement[Affectation matrice],$A8,Fonctionnement[Montant (€HT)])+SUMIF(Invest[Affectation matrice],$A8,Invest[Amortissement HT + intérêts]))*CQ8)</f>
        <v>0</v>
      </c>
      <c r="BR8" s="56">
        <f>IF($C8=Repart_lignes,0,
(SUMIF(Fonctionnement[Affectation matrice],$A8,Fonctionnement[Montant (€HT)])+SUMIF(Invest[Affectation matrice],$A8,Invest[Amortissement HT + intérêts]))*CR8)</f>
        <v>0</v>
      </c>
      <c r="BS8" s="56">
        <f>IF($C8=Repart_lignes,0,
(SUMIF(Fonctionnement[Affectation matrice],$A8,Fonctionnement[Montant (€HT)])+SUMIF(Invest[Affectation matrice],$A8,Invest[Amortissement HT + intérêts]))*CS8)</f>
        <v>0</v>
      </c>
      <c r="BT8" s="56">
        <f>IF($C8=Repart_lignes,0,
(SUMIF(Fonctionnement[Affectation matrice],$A8,Fonctionnement[Montant (€HT)])+SUMIF(Invest[Affectation matrice],$A8,Invest[Amortissement HT + intérêts]))*CT8)</f>
        <v>0</v>
      </c>
      <c r="BU8" s="56">
        <f>IF($C8=Repart_lignes,0,
(SUMIF(Fonctionnement[Affectation matrice],$A8,Fonctionnement[Montant (€HT)])+SUMIF(Invest[Affectation matrice],$A8,Invest[Amortissement HT + intérêts]))*CU8)</f>
        <v>0</v>
      </c>
      <c r="BV8" s="56">
        <f>IF($C8=Repart_lignes,0,
(SUMIF(Fonctionnement[Affectation matrice],$A8,Fonctionnement[Montant (€HT)])+SUMIF(Invest[Affectation matrice],$A8,Invest[Amortissement HT + intérêts]))*CV8)</f>
        <v>0</v>
      </c>
      <c r="BW8" s="56">
        <f>IF($C8=Repart_lignes,0,
(SUMIF(Fonctionnement[Affectation matrice],$A8,Fonctionnement[Montant (€HT)])+SUMIF(Invest[Affectation matrice],$A8,Invest[Amortissement HT + intérêts]))*CW8)</f>
        <v>0</v>
      </c>
      <c r="BX8" s="56">
        <f>IF($C8=Repart_lignes,0,
(SUMIF(Fonctionnement[Affectation matrice],$A8,Fonctionnement[Montant (€HT)])+SUMIF(Invest[Affectation matrice],$A8,Invest[Amortissement HT + intérêts]))*CX8)</f>
        <v>0</v>
      </c>
      <c r="BY8" s="56">
        <f>IF($C8=Repart_lignes,0,
(SUMIF(Fonctionnement[Affectation matrice],$A8,Fonctionnement[Montant (€HT)])+SUMIF(Invest[Affectation matrice],$A8,Invest[Amortissement HT + intérêts]))*CY8)</f>
        <v>0</v>
      </c>
      <c r="BZ8" s="56">
        <f>IF($C8=Repart_lignes,0,
(SUMIF(Fonctionnement[Affectation matrice],$A8,Fonctionnement[Montant (€HT)])+SUMIF(Invest[Affectation matrice],$A8,Invest[Amortissement HT + intérêts]))*CZ8)</f>
        <v>0</v>
      </c>
      <c r="CA8" s="56">
        <f>IF($C8=Repart_lignes,0,
(SUMIF(Fonctionnement[Affectation matrice],$A8,Fonctionnement[Montant (€HT)])+SUMIF(Invest[Affectation matrice],$A8,Invest[Amortissement HT + intérêts]))*DA8)</f>
        <v>0</v>
      </c>
      <c r="CB8" s="56">
        <f>IF($C8=Repart_lignes,0,
(SUMIF(Fonctionnement[Affectation matrice],$A8,Fonctionnement[Montant (€HT)])+SUMIF(Invest[Affectation matrice],$A8,Invest[Amortissement HT + intérêts]))*DB8)</f>
        <v>0</v>
      </c>
      <c r="CC8" s="56">
        <f>IF($C8=Repart_lignes,0,
(SUMIF(Fonctionnement[Affectation matrice],$A8,Fonctionnement[Montant (€HT)])+SUMIF(Invest[Affectation matrice],$A8,Invest[Amortissement HT + intérêts]))*DC8)</f>
        <v>0</v>
      </c>
      <c r="CD8" s="56">
        <f>IF($C8=Repart_lignes,0,
(SUMIF(Fonctionnement[Affectation matrice],$A8,Fonctionnement[Montant (€HT)])+SUMIF(Invest[Affectation matrice],$A8,Invest[Amortissement HT + intérêts]))*DD8)</f>
        <v>0</v>
      </c>
      <c r="CE8" s="57">
        <f t="shared" si="2"/>
        <v>0</v>
      </c>
      <c r="CF8" s="61">
        <f t="shared" si="3"/>
        <v>0</v>
      </c>
      <c r="CG8" s="61">
        <f t="shared" si="4"/>
        <v>0</v>
      </c>
      <c r="CH8" s="61">
        <f t="shared" si="5"/>
        <v>0</v>
      </c>
      <c r="CI8" s="61">
        <f t="shared" si="6"/>
        <v>0</v>
      </c>
      <c r="CJ8" s="61">
        <f t="shared" si="7"/>
        <v>0</v>
      </c>
      <c r="CK8" s="61">
        <f t="shared" si="8"/>
        <v>0</v>
      </c>
      <c r="CL8" s="61">
        <f t="shared" si="9"/>
        <v>0</v>
      </c>
      <c r="CM8" s="61">
        <f t="shared" si="10"/>
        <v>0</v>
      </c>
      <c r="CN8" s="61">
        <f t="shared" si="11"/>
        <v>0</v>
      </c>
      <c r="CO8" s="61">
        <f t="shared" si="12"/>
        <v>0</v>
      </c>
      <c r="CP8" s="61">
        <f t="shared" si="13"/>
        <v>0</v>
      </c>
      <c r="CQ8" s="61">
        <f t="shared" si="14"/>
        <v>0</v>
      </c>
      <c r="CR8" s="61">
        <f t="shared" si="15"/>
        <v>0</v>
      </c>
      <c r="CS8" s="61">
        <f t="shared" si="16"/>
        <v>0</v>
      </c>
      <c r="CT8" s="61">
        <f t="shared" si="17"/>
        <v>0</v>
      </c>
      <c r="CU8" s="61">
        <f t="shared" si="18"/>
        <v>0</v>
      </c>
      <c r="CV8" s="61">
        <f t="shared" si="19"/>
        <v>0</v>
      </c>
      <c r="CW8" s="61">
        <f t="shared" si="20"/>
        <v>0</v>
      </c>
      <c r="CX8" s="61">
        <f t="shared" si="21"/>
        <v>0</v>
      </c>
      <c r="CY8" s="61">
        <f t="shared" si="22"/>
        <v>0</v>
      </c>
      <c r="CZ8" s="61">
        <f t="shared" si="23"/>
        <v>0</v>
      </c>
      <c r="DA8" s="61">
        <f t="shared" si="24"/>
        <v>0</v>
      </c>
      <c r="DB8" s="61">
        <f t="shared" si="25"/>
        <v>0</v>
      </c>
      <c r="DC8" s="61">
        <f t="shared" si="26"/>
        <v>0</v>
      </c>
      <c r="DD8" s="61">
        <f t="shared" si="27"/>
        <v>0</v>
      </c>
      <c r="DE8" s="61">
        <f t="shared" si="28"/>
        <v>0</v>
      </c>
      <c r="DF8" s="7"/>
    </row>
    <row r="9" spans="1:110" s="22" customFormat="1" x14ac:dyDescent="0.25">
      <c r="A9" s="248"/>
      <c r="B9" s="248"/>
      <c r="C9" s="251"/>
      <c r="D9" s="250"/>
      <c r="E9" s="60"/>
      <c r="F9" s="60"/>
      <c r="G9" s="60"/>
      <c r="H9" s="60"/>
      <c r="I9" s="60"/>
      <c r="J9" s="60"/>
      <c r="K9" s="60"/>
      <c r="L9" s="60"/>
      <c r="M9" s="60"/>
      <c r="N9" s="60"/>
      <c r="O9" s="60"/>
      <c r="P9" s="60"/>
      <c r="Q9" s="60"/>
      <c r="R9" s="60"/>
      <c r="S9" s="60"/>
      <c r="T9" s="60"/>
      <c r="U9" s="60"/>
      <c r="V9" s="60"/>
      <c r="W9" s="60"/>
      <c r="X9" s="60"/>
      <c r="Y9" s="60"/>
      <c r="Z9" s="60"/>
      <c r="AA9" s="60"/>
      <c r="AB9" s="60"/>
      <c r="AC9" s="60"/>
      <c r="AD9" s="61">
        <f t="shared" si="0"/>
        <v>0</v>
      </c>
      <c r="AE9" s="53" t="str">
        <f t="shared" ca="1" si="29"/>
        <v/>
      </c>
      <c r="AF9" s="56">
        <f>IF($C9=Repart_lignes,0,
(SUMIF(Fonctionnement[Affectation matrice],$A9,Fonctionnement[TVA acquittée])+SUMIF(Invest[Affectation matrice],$A9,Invest[TVA acquittée]))*CF9)</f>
        <v>0</v>
      </c>
      <c r="AG9" s="56">
        <f>IF($C9=Repart_lignes,0,
(SUMIF(Fonctionnement[Affectation matrice],$A9,Fonctionnement[TVA acquittée])+SUMIF(Invest[Affectation matrice],$A9,Invest[TVA acquittée]))*CG9)</f>
        <v>0</v>
      </c>
      <c r="AH9" s="56">
        <f>IF($C9=Repart_lignes,0,
(SUMIF(Fonctionnement[Affectation matrice],$A9,Fonctionnement[TVA acquittée])+SUMIF(Invest[Affectation matrice],$A9,Invest[TVA acquittée]))*CH9)</f>
        <v>0</v>
      </c>
      <c r="AI9" s="56">
        <f>IF($C9=Repart_lignes,0,
(SUMIF(Fonctionnement[Affectation matrice],$A9,Fonctionnement[TVA acquittée])+SUMIF(Invest[Affectation matrice],$A9,Invest[TVA acquittée]))*CI9)</f>
        <v>0</v>
      </c>
      <c r="AJ9" s="56">
        <f>IF($C9=Repart_lignes,0,
(SUMIF(Fonctionnement[Affectation matrice],$A9,Fonctionnement[TVA acquittée])+SUMIF(Invest[Affectation matrice],$A9,Invest[TVA acquittée]))*CJ9)</f>
        <v>0</v>
      </c>
      <c r="AK9" s="56">
        <f>IF($C9=Repart_lignes,0,
(SUMIF(Fonctionnement[Affectation matrice],$A9,Fonctionnement[TVA acquittée])+SUMIF(Invest[Affectation matrice],$A9,Invest[TVA acquittée]))*CK9)</f>
        <v>0</v>
      </c>
      <c r="AL9" s="56">
        <f>IF($C9=Repart_lignes,0,
(SUMIF(Fonctionnement[Affectation matrice],$A9,Fonctionnement[TVA acquittée])+SUMIF(Invest[Affectation matrice],$A9,Invest[TVA acquittée]))*CL9)</f>
        <v>0</v>
      </c>
      <c r="AM9" s="56">
        <f>IF($C9=Repart_lignes,0,
(SUMIF(Fonctionnement[Affectation matrice],$A9,Fonctionnement[TVA acquittée])+SUMIF(Invest[Affectation matrice],$A9,Invest[TVA acquittée]))*CM9)</f>
        <v>0</v>
      </c>
      <c r="AN9" s="56">
        <f>IF($C9=Repart_lignes,0,
(SUMIF(Fonctionnement[Affectation matrice],$A9,Fonctionnement[TVA acquittée])+SUMIF(Invest[Affectation matrice],$A9,Invest[TVA acquittée]))*CN9)</f>
        <v>0</v>
      </c>
      <c r="AO9" s="56">
        <f>IF($C9=Repart_lignes,0,
(SUMIF(Fonctionnement[Affectation matrice],$A9,Fonctionnement[TVA acquittée])+SUMIF(Invest[Affectation matrice],$A9,Invest[TVA acquittée]))*CO9)</f>
        <v>0</v>
      </c>
      <c r="AP9" s="56">
        <f>IF($C9=Repart_lignes,0,
(SUMIF(Fonctionnement[Affectation matrice],$A9,Fonctionnement[TVA acquittée])+SUMIF(Invest[Affectation matrice],$A9,Invest[TVA acquittée]))*CP9)</f>
        <v>0</v>
      </c>
      <c r="AQ9" s="56">
        <f>IF($C9=Repart_lignes,0,
(SUMIF(Fonctionnement[Affectation matrice],$A9,Fonctionnement[TVA acquittée])+SUMIF(Invest[Affectation matrice],$A9,Invest[TVA acquittée]))*CQ9)</f>
        <v>0</v>
      </c>
      <c r="AR9" s="56">
        <f>IF($C9=Repart_lignes,0,
(SUMIF(Fonctionnement[Affectation matrice],$A9,Fonctionnement[TVA acquittée])+SUMIF(Invest[Affectation matrice],$A9,Invest[TVA acquittée]))*CR9)</f>
        <v>0</v>
      </c>
      <c r="AS9" s="56">
        <f>IF($C9=Repart_lignes,0,
(SUMIF(Fonctionnement[Affectation matrice],$A9,Fonctionnement[TVA acquittée])+SUMIF(Invest[Affectation matrice],$A9,Invest[TVA acquittée]))*CS9)</f>
        <v>0</v>
      </c>
      <c r="AT9" s="56">
        <f>IF($C9=Repart_lignes,0,
(SUMIF(Fonctionnement[Affectation matrice],$A9,Fonctionnement[TVA acquittée])+SUMIF(Invest[Affectation matrice],$A9,Invest[TVA acquittée]))*CT9)</f>
        <v>0</v>
      </c>
      <c r="AU9" s="56">
        <f>IF($C9=Repart_lignes,0,
(SUMIF(Fonctionnement[Affectation matrice],$A9,Fonctionnement[TVA acquittée])+SUMIF(Invest[Affectation matrice],$A9,Invest[TVA acquittée]))*CU9)</f>
        <v>0</v>
      </c>
      <c r="AV9" s="56">
        <f>IF($C9=Repart_lignes,0,
(SUMIF(Fonctionnement[Affectation matrice],$A9,Fonctionnement[TVA acquittée])+SUMIF(Invest[Affectation matrice],$A9,Invest[TVA acquittée]))*CV9)</f>
        <v>0</v>
      </c>
      <c r="AW9" s="56">
        <f>IF($C9=Repart_lignes,0,
(SUMIF(Fonctionnement[Affectation matrice],$A9,Fonctionnement[TVA acquittée])+SUMIF(Invest[Affectation matrice],$A9,Invest[TVA acquittée]))*CW9)</f>
        <v>0</v>
      </c>
      <c r="AX9" s="56">
        <f>IF($C9=Repart_lignes,0,
(SUMIF(Fonctionnement[Affectation matrice],$A9,Fonctionnement[TVA acquittée])+SUMIF(Invest[Affectation matrice],$A9,Invest[TVA acquittée]))*CX9)</f>
        <v>0</v>
      </c>
      <c r="AY9" s="56">
        <f>IF($C9=Repart_lignes,0,
(SUMIF(Fonctionnement[Affectation matrice],$A9,Fonctionnement[TVA acquittée])+SUMIF(Invest[Affectation matrice],$A9,Invest[TVA acquittée]))*CY9)</f>
        <v>0</v>
      </c>
      <c r="AZ9" s="56">
        <f>IF($C9=Repart_lignes,0,
(SUMIF(Fonctionnement[Affectation matrice],$A9,Fonctionnement[TVA acquittée])+SUMIF(Invest[Affectation matrice],$A9,Invest[TVA acquittée]))*CZ9)</f>
        <v>0</v>
      </c>
      <c r="BA9" s="56">
        <f>IF($C9=Repart_lignes,0,
(SUMIF(Fonctionnement[Affectation matrice],$A9,Fonctionnement[TVA acquittée])+SUMIF(Invest[Affectation matrice],$A9,Invest[TVA acquittée]))*DA9)</f>
        <v>0</v>
      </c>
      <c r="BB9" s="56">
        <f>IF($C9=Repart_lignes,0,
(SUMIF(Fonctionnement[Affectation matrice],$A9,Fonctionnement[TVA acquittée])+SUMIF(Invest[Affectation matrice],$A9,Invest[TVA acquittée]))*DB9)</f>
        <v>0</v>
      </c>
      <c r="BC9" s="56">
        <f>IF($C9=Repart_lignes,0,
(SUMIF(Fonctionnement[Affectation matrice],$A9,Fonctionnement[TVA acquittée])+SUMIF(Invest[Affectation matrice],$A9,Invest[TVA acquittée]))*DC9)</f>
        <v>0</v>
      </c>
      <c r="BD9" s="56">
        <f>IF($C9=Repart_lignes,0,
(SUMIF(Fonctionnement[Affectation matrice],$A9,Fonctionnement[TVA acquittée])+SUMIF(Invest[Affectation matrice],$A9,Invest[TVA acquittée]))*DD9)</f>
        <v>0</v>
      </c>
      <c r="BE9" s="58">
        <f t="shared" si="1"/>
        <v>0</v>
      </c>
      <c r="BF9" s="56">
        <f>IF($C9=Repart_lignes,0,
(SUMIF(Fonctionnement[Affectation matrice],$A9,Fonctionnement[Montant (€HT)])+SUMIF(Invest[Affectation matrice],$A9,Invest[Amortissement HT + intérêts]))*CF9)</f>
        <v>0</v>
      </c>
      <c r="BG9" s="56">
        <f>IF($C9=Repart_lignes,0,
(SUMIF(Fonctionnement[Affectation matrice],$A9,Fonctionnement[Montant (€HT)])+SUMIF(Invest[Affectation matrice],$A9,Invest[Amortissement HT + intérêts]))*CG9)</f>
        <v>0</v>
      </c>
      <c r="BH9" s="56">
        <f>IF($C9=Repart_lignes,0,
(SUMIF(Fonctionnement[Affectation matrice],$A9,Fonctionnement[Montant (€HT)])+SUMIF(Invest[Affectation matrice],$A9,Invest[Amortissement HT + intérêts]))*CH9)</f>
        <v>0</v>
      </c>
      <c r="BI9" s="56">
        <f>IF($C9=Repart_lignes,0,
(SUMIF(Fonctionnement[Affectation matrice],$A9,Fonctionnement[Montant (€HT)])+SUMIF(Invest[Affectation matrice],$A9,Invest[Amortissement HT + intérêts]))*CI9)</f>
        <v>0</v>
      </c>
      <c r="BJ9" s="56">
        <f>IF($C9=Repart_lignes,0,
(SUMIF(Fonctionnement[Affectation matrice],$A9,Fonctionnement[Montant (€HT)])+SUMIF(Invest[Affectation matrice],$A9,Invest[Amortissement HT + intérêts]))*CJ9)</f>
        <v>0</v>
      </c>
      <c r="BK9" s="56">
        <f>IF($C9=Repart_lignes,0,
(SUMIF(Fonctionnement[Affectation matrice],$A9,Fonctionnement[Montant (€HT)])+SUMIF(Invest[Affectation matrice],$A9,Invest[Amortissement HT + intérêts]))*CK9)</f>
        <v>0</v>
      </c>
      <c r="BL9" s="56">
        <f>IF($C9=Repart_lignes,0,
(SUMIF(Fonctionnement[Affectation matrice],$A9,Fonctionnement[Montant (€HT)])+SUMIF(Invest[Affectation matrice],$A9,Invest[Amortissement HT + intérêts]))*CL9)</f>
        <v>0</v>
      </c>
      <c r="BM9" s="56">
        <f>IF($C9=Repart_lignes,0,
(SUMIF(Fonctionnement[Affectation matrice],$A9,Fonctionnement[Montant (€HT)])+SUMIF(Invest[Affectation matrice],$A9,Invest[Amortissement HT + intérêts]))*CM9)</f>
        <v>0</v>
      </c>
      <c r="BN9" s="56">
        <f>IF($C9=Repart_lignes,0,
(SUMIF(Fonctionnement[Affectation matrice],$A9,Fonctionnement[Montant (€HT)])+SUMIF(Invest[Affectation matrice],$A9,Invest[Amortissement HT + intérêts]))*CN9)</f>
        <v>0</v>
      </c>
      <c r="BO9" s="56">
        <f>IF($C9=Repart_lignes,0,
(SUMIF(Fonctionnement[Affectation matrice],$A9,Fonctionnement[Montant (€HT)])+SUMIF(Invest[Affectation matrice],$A9,Invest[Amortissement HT + intérêts]))*CO9)</f>
        <v>0</v>
      </c>
      <c r="BP9" s="56">
        <f>IF($C9=Repart_lignes,0,
(SUMIF(Fonctionnement[Affectation matrice],$A9,Fonctionnement[Montant (€HT)])+SUMIF(Invest[Affectation matrice],$A9,Invest[Amortissement HT + intérêts]))*CP9)</f>
        <v>0</v>
      </c>
      <c r="BQ9" s="56">
        <f>IF($C9=Repart_lignes,0,
(SUMIF(Fonctionnement[Affectation matrice],$A9,Fonctionnement[Montant (€HT)])+SUMIF(Invest[Affectation matrice],$A9,Invest[Amortissement HT + intérêts]))*CQ9)</f>
        <v>0</v>
      </c>
      <c r="BR9" s="56">
        <f>IF($C9=Repart_lignes,0,
(SUMIF(Fonctionnement[Affectation matrice],$A9,Fonctionnement[Montant (€HT)])+SUMIF(Invest[Affectation matrice],$A9,Invest[Amortissement HT + intérêts]))*CR9)</f>
        <v>0</v>
      </c>
      <c r="BS9" s="56">
        <f>IF($C9=Repart_lignes,0,
(SUMIF(Fonctionnement[Affectation matrice],$A9,Fonctionnement[Montant (€HT)])+SUMIF(Invest[Affectation matrice],$A9,Invest[Amortissement HT + intérêts]))*CS9)</f>
        <v>0</v>
      </c>
      <c r="BT9" s="56">
        <f>IF($C9=Repart_lignes,0,
(SUMIF(Fonctionnement[Affectation matrice],$A9,Fonctionnement[Montant (€HT)])+SUMIF(Invest[Affectation matrice],$A9,Invest[Amortissement HT + intérêts]))*CT9)</f>
        <v>0</v>
      </c>
      <c r="BU9" s="56">
        <f>IF($C9=Repart_lignes,0,
(SUMIF(Fonctionnement[Affectation matrice],$A9,Fonctionnement[Montant (€HT)])+SUMIF(Invest[Affectation matrice],$A9,Invest[Amortissement HT + intérêts]))*CU9)</f>
        <v>0</v>
      </c>
      <c r="BV9" s="56">
        <f>IF($C9=Repart_lignes,0,
(SUMIF(Fonctionnement[Affectation matrice],$A9,Fonctionnement[Montant (€HT)])+SUMIF(Invest[Affectation matrice],$A9,Invest[Amortissement HT + intérêts]))*CV9)</f>
        <v>0</v>
      </c>
      <c r="BW9" s="56">
        <f>IF($C9=Repart_lignes,0,
(SUMIF(Fonctionnement[Affectation matrice],$A9,Fonctionnement[Montant (€HT)])+SUMIF(Invest[Affectation matrice],$A9,Invest[Amortissement HT + intérêts]))*CW9)</f>
        <v>0</v>
      </c>
      <c r="BX9" s="56">
        <f>IF($C9=Repart_lignes,0,
(SUMIF(Fonctionnement[Affectation matrice],$A9,Fonctionnement[Montant (€HT)])+SUMIF(Invest[Affectation matrice],$A9,Invest[Amortissement HT + intérêts]))*CX9)</f>
        <v>0</v>
      </c>
      <c r="BY9" s="56">
        <f>IF($C9=Repart_lignes,0,
(SUMIF(Fonctionnement[Affectation matrice],$A9,Fonctionnement[Montant (€HT)])+SUMIF(Invest[Affectation matrice],$A9,Invest[Amortissement HT + intérêts]))*CY9)</f>
        <v>0</v>
      </c>
      <c r="BZ9" s="56">
        <f>IF($C9=Repart_lignes,0,
(SUMIF(Fonctionnement[Affectation matrice],$A9,Fonctionnement[Montant (€HT)])+SUMIF(Invest[Affectation matrice],$A9,Invest[Amortissement HT + intérêts]))*CZ9)</f>
        <v>0</v>
      </c>
      <c r="CA9" s="56">
        <f>IF($C9=Repart_lignes,0,
(SUMIF(Fonctionnement[Affectation matrice],$A9,Fonctionnement[Montant (€HT)])+SUMIF(Invest[Affectation matrice],$A9,Invest[Amortissement HT + intérêts]))*DA9)</f>
        <v>0</v>
      </c>
      <c r="CB9" s="56">
        <f>IF($C9=Repart_lignes,0,
(SUMIF(Fonctionnement[Affectation matrice],$A9,Fonctionnement[Montant (€HT)])+SUMIF(Invest[Affectation matrice],$A9,Invest[Amortissement HT + intérêts]))*DB9)</f>
        <v>0</v>
      </c>
      <c r="CC9" s="56">
        <f>IF($C9=Repart_lignes,0,
(SUMIF(Fonctionnement[Affectation matrice],$A9,Fonctionnement[Montant (€HT)])+SUMIF(Invest[Affectation matrice],$A9,Invest[Amortissement HT + intérêts]))*DC9)</f>
        <v>0</v>
      </c>
      <c r="CD9" s="56">
        <f>IF($C9=Repart_lignes,0,
(SUMIF(Fonctionnement[Affectation matrice],$A9,Fonctionnement[Montant (€HT)])+SUMIF(Invest[Affectation matrice],$A9,Invest[Amortissement HT + intérêts]))*DD9)</f>
        <v>0</v>
      </c>
      <c r="CE9" s="59">
        <f t="shared" si="2"/>
        <v>0</v>
      </c>
      <c r="CF9" s="61">
        <f t="shared" si="3"/>
        <v>0</v>
      </c>
      <c r="CG9" s="61">
        <f t="shared" si="4"/>
        <v>0</v>
      </c>
      <c r="CH9" s="61">
        <f t="shared" si="5"/>
        <v>0</v>
      </c>
      <c r="CI9" s="61">
        <f t="shared" si="6"/>
        <v>0</v>
      </c>
      <c r="CJ9" s="61">
        <f t="shared" si="7"/>
        <v>0</v>
      </c>
      <c r="CK9" s="61">
        <f t="shared" si="8"/>
        <v>0</v>
      </c>
      <c r="CL9" s="61">
        <f t="shared" si="9"/>
        <v>0</v>
      </c>
      <c r="CM9" s="61">
        <f t="shared" si="10"/>
        <v>0</v>
      </c>
      <c r="CN9" s="61">
        <f t="shared" si="11"/>
        <v>0</v>
      </c>
      <c r="CO9" s="61">
        <f t="shared" si="12"/>
        <v>0</v>
      </c>
      <c r="CP9" s="61">
        <f t="shared" si="13"/>
        <v>0</v>
      </c>
      <c r="CQ9" s="61">
        <f t="shared" si="14"/>
        <v>0</v>
      </c>
      <c r="CR9" s="61">
        <f t="shared" si="15"/>
        <v>0</v>
      </c>
      <c r="CS9" s="61">
        <f t="shared" si="16"/>
        <v>0</v>
      </c>
      <c r="CT9" s="61">
        <f t="shared" si="17"/>
        <v>0</v>
      </c>
      <c r="CU9" s="61">
        <f t="shared" si="18"/>
        <v>0</v>
      </c>
      <c r="CV9" s="61">
        <f t="shared" si="19"/>
        <v>0</v>
      </c>
      <c r="CW9" s="61">
        <f t="shared" si="20"/>
        <v>0</v>
      </c>
      <c r="CX9" s="61">
        <f t="shared" si="21"/>
        <v>0</v>
      </c>
      <c r="CY9" s="61">
        <f t="shared" si="22"/>
        <v>0</v>
      </c>
      <c r="CZ9" s="61">
        <f t="shared" si="23"/>
        <v>0</v>
      </c>
      <c r="DA9" s="61">
        <f t="shared" si="24"/>
        <v>0</v>
      </c>
      <c r="DB9" s="61">
        <f t="shared" si="25"/>
        <v>0</v>
      </c>
      <c r="DC9" s="61">
        <f t="shared" si="26"/>
        <v>0</v>
      </c>
      <c r="DD9" s="61">
        <f t="shared" si="27"/>
        <v>0</v>
      </c>
      <c r="DE9" s="61">
        <f t="shared" si="28"/>
        <v>0</v>
      </c>
      <c r="DF9" s="7"/>
    </row>
    <row r="10" spans="1:110" s="22" customFormat="1" x14ac:dyDescent="0.25">
      <c r="A10" s="248"/>
      <c r="B10" s="248"/>
      <c r="C10" s="251"/>
      <c r="D10" s="25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1">
        <f t="shared" si="0"/>
        <v>0</v>
      </c>
      <c r="AE10" s="53" t="str">
        <f t="shared" ca="1" si="29"/>
        <v/>
      </c>
      <c r="AF10" s="56">
        <f>IF($C10=Repart_lignes,0,
(SUMIF(Fonctionnement[Affectation matrice],$A10,Fonctionnement[TVA acquittée])+SUMIF(Invest[Affectation matrice],$A10,Invest[TVA acquittée]))*CF10)</f>
        <v>0</v>
      </c>
      <c r="AG10" s="56">
        <f>IF($C10=Repart_lignes,0,
(SUMIF(Fonctionnement[Affectation matrice],$A10,Fonctionnement[TVA acquittée])+SUMIF(Invest[Affectation matrice],$A10,Invest[TVA acquittée]))*CG10)</f>
        <v>0</v>
      </c>
      <c r="AH10" s="56">
        <f>IF($C10=Repart_lignes,0,
(SUMIF(Fonctionnement[Affectation matrice],$A10,Fonctionnement[TVA acquittée])+SUMIF(Invest[Affectation matrice],$A10,Invest[TVA acquittée]))*CH10)</f>
        <v>0</v>
      </c>
      <c r="AI10" s="56">
        <f>IF($C10=Repart_lignes,0,
(SUMIF(Fonctionnement[Affectation matrice],$A10,Fonctionnement[TVA acquittée])+SUMIF(Invest[Affectation matrice],$A10,Invest[TVA acquittée]))*CI10)</f>
        <v>0</v>
      </c>
      <c r="AJ10" s="56">
        <f>IF($C10=Repart_lignes,0,
(SUMIF(Fonctionnement[Affectation matrice],$A10,Fonctionnement[TVA acquittée])+SUMIF(Invest[Affectation matrice],$A10,Invest[TVA acquittée]))*CJ10)</f>
        <v>0</v>
      </c>
      <c r="AK10" s="56">
        <f>IF($C10=Repart_lignes,0,
(SUMIF(Fonctionnement[Affectation matrice],$A10,Fonctionnement[TVA acquittée])+SUMIF(Invest[Affectation matrice],$A10,Invest[TVA acquittée]))*CK10)</f>
        <v>0</v>
      </c>
      <c r="AL10" s="56">
        <f>IF($C10=Repart_lignes,0,
(SUMIF(Fonctionnement[Affectation matrice],$A10,Fonctionnement[TVA acquittée])+SUMIF(Invest[Affectation matrice],$A10,Invest[TVA acquittée]))*CL10)</f>
        <v>0</v>
      </c>
      <c r="AM10" s="56">
        <f>IF($C10=Repart_lignes,0,
(SUMIF(Fonctionnement[Affectation matrice],$A10,Fonctionnement[TVA acquittée])+SUMIF(Invest[Affectation matrice],$A10,Invest[TVA acquittée]))*CM10)</f>
        <v>0</v>
      </c>
      <c r="AN10" s="56">
        <f>IF($C10=Repart_lignes,0,
(SUMIF(Fonctionnement[Affectation matrice],$A10,Fonctionnement[TVA acquittée])+SUMIF(Invest[Affectation matrice],$A10,Invest[TVA acquittée]))*CN10)</f>
        <v>0</v>
      </c>
      <c r="AO10" s="56">
        <f>IF($C10=Repart_lignes,0,
(SUMIF(Fonctionnement[Affectation matrice],$A10,Fonctionnement[TVA acquittée])+SUMIF(Invest[Affectation matrice],$A10,Invest[TVA acquittée]))*CO10)</f>
        <v>0</v>
      </c>
      <c r="AP10" s="56">
        <f>IF($C10=Repart_lignes,0,
(SUMIF(Fonctionnement[Affectation matrice],$A10,Fonctionnement[TVA acquittée])+SUMIF(Invest[Affectation matrice],$A10,Invest[TVA acquittée]))*CP10)</f>
        <v>0</v>
      </c>
      <c r="AQ10" s="56">
        <f>IF($C10=Repart_lignes,0,
(SUMIF(Fonctionnement[Affectation matrice],$A10,Fonctionnement[TVA acquittée])+SUMIF(Invest[Affectation matrice],$A10,Invest[TVA acquittée]))*CQ10)</f>
        <v>0</v>
      </c>
      <c r="AR10" s="56">
        <f>IF($C10=Repart_lignes,0,
(SUMIF(Fonctionnement[Affectation matrice],$A10,Fonctionnement[TVA acquittée])+SUMIF(Invest[Affectation matrice],$A10,Invest[TVA acquittée]))*CR10)</f>
        <v>0</v>
      </c>
      <c r="AS10" s="56">
        <f>IF($C10=Repart_lignes,0,
(SUMIF(Fonctionnement[Affectation matrice],$A10,Fonctionnement[TVA acquittée])+SUMIF(Invest[Affectation matrice],$A10,Invest[TVA acquittée]))*CS10)</f>
        <v>0</v>
      </c>
      <c r="AT10" s="56">
        <f>IF($C10=Repart_lignes,0,
(SUMIF(Fonctionnement[Affectation matrice],$A10,Fonctionnement[TVA acquittée])+SUMIF(Invest[Affectation matrice],$A10,Invest[TVA acquittée]))*CT10)</f>
        <v>0</v>
      </c>
      <c r="AU10" s="56">
        <f>IF($C10=Repart_lignes,0,
(SUMIF(Fonctionnement[Affectation matrice],$A10,Fonctionnement[TVA acquittée])+SUMIF(Invest[Affectation matrice],$A10,Invest[TVA acquittée]))*CU10)</f>
        <v>0</v>
      </c>
      <c r="AV10" s="56">
        <f>IF($C10=Repart_lignes,0,
(SUMIF(Fonctionnement[Affectation matrice],$A10,Fonctionnement[TVA acquittée])+SUMIF(Invest[Affectation matrice],$A10,Invest[TVA acquittée]))*CV10)</f>
        <v>0</v>
      </c>
      <c r="AW10" s="56">
        <f>IF($C10=Repart_lignes,0,
(SUMIF(Fonctionnement[Affectation matrice],$A10,Fonctionnement[TVA acquittée])+SUMIF(Invest[Affectation matrice],$A10,Invest[TVA acquittée]))*CW10)</f>
        <v>0</v>
      </c>
      <c r="AX10" s="56">
        <f>IF($C10=Repart_lignes,0,
(SUMIF(Fonctionnement[Affectation matrice],$A10,Fonctionnement[TVA acquittée])+SUMIF(Invest[Affectation matrice],$A10,Invest[TVA acquittée]))*CX10)</f>
        <v>0</v>
      </c>
      <c r="AY10" s="56">
        <f>IF($C10=Repart_lignes,0,
(SUMIF(Fonctionnement[Affectation matrice],$A10,Fonctionnement[TVA acquittée])+SUMIF(Invest[Affectation matrice],$A10,Invest[TVA acquittée]))*CY10)</f>
        <v>0</v>
      </c>
      <c r="AZ10" s="56">
        <f>IF($C10=Repart_lignes,0,
(SUMIF(Fonctionnement[Affectation matrice],$A10,Fonctionnement[TVA acquittée])+SUMIF(Invest[Affectation matrice],$A10,Invest[TVA acquittée]))*CZ10)</f>
        <v>0</v>
      </c>
      <c r="BA10" s="56">
        <f>IF($C10=Repart_lignes,0,
(SUMIF(Fonctionnement[Affectation matrice],$A10,Fonctionnement[TVA acquittée])+SUMIF(Invest[Affectation matrice],$A10,Invest[TVA acquittée]))*DA10)</f>
        <v>0</v>
      </c>
      <c r="BB10" s="56">
        <f>IF($C10=Repart_lignes,0,
(SUMIF(Fonctionnement[Affectation matrice],$A10,Fonctionnement[TVA acquittée])+SUMIF(Invest[Affectation matrice],$A10,Invest[TVA acquittée]))*DB10)</f>
        <v>0</v>
      </c>
      <c r="BC10" s="56">
        <f>IF($C10=Repart_lignes,0,
(SUMIF(Fonctionnement[Affectation matrice],$A10,Fonctionnement[TVA acquittée])+SUMIF(Invest[Affectation matrice],$A10,Invest[TVA acquittée]))*DC10)</f>
        <v>0</v>
      </c>
      <c r="BD10" s="56">
        <f>IF($C10=Repart_lignes,0,
(SUMIF(Fonctionnement[Affectation matrice],$A10,Fonctionnement[TVA acquittée])+SUMIF(Invest[Affectation matrice],$A10,Invest[TVA acquittée]))*DD10)</f>
        <v>0</v>
      </c>
      <c r="BE10" s="58">
        <f t="shared" si="1"/>
        <v>0</v>
      </c>
      <c r="BF10" s="56">
        <f>IF($C10=Repart_lignes,0,
(SUMIF(Fonctionnement[Affectation matrice],$A10,Fonctionnement[Montant (€HT)])+SUMIF(Invest[Affectation matrice],$A10,Invest[Amortissement HT + intérêts]))*CF10)</f>
        <v>0</v>
      </c>
      <c r="BG10" s="56">
        <f>IF($C10=Repart_lignes,0,
(SUMIF(Fonctionnement[Affectation matrice],$A10,Fonctionnement[Montant (€HT)])+SUMIF(Invest[Affectation matrice],$A10,Invest[Amortissement HT + intérêts]))*CG10)</f>
        <v>0</v>
      </c>
      <c r="BH10" s="56">
        <f>IF($C10=Repart_lignes,0,
(SUMIF(Fonctionnement[Affectation matrice],$A10,Fonctionnement[Montant (€HT)])+SUMIF(Invest[Affectation matrice],$A10,Invest[Amortissement HT + intérêts]))*CH10)</f>
        <v>0</v>
      </c>
      <c r="BI10" s="56">
        <f>IF($C10=Repart_lignes,0,
(SUMIF(Fonctionnement[Affectation matrice],$A10,Fonctionnement[Montant (€HT)])+SUMIF(Invest[Affectation matrice],$A10,Invest[Amortissement HT + intérêts]))*CI10)</f>
        <v>0</v>
      </c>
      <c r="BJ10" s="56">
        <f>IF($C10=Repart_lignes,0,
(SUMIF(Fonctionnement[Affectation matrice],$A10,Fonctionnement[Montant (€HT)])+SUMIF(Invest[Affectation matrice],$A10,Invest[Amortissement HT + intérêts]))*CJ10)</f>
        <v>0</v>
      </c>
      <c r="BK10" s="56">
        <f>IF($C10=Repart_lignes,0,
(SUMIF(Fonctionnement[Affectation matrice],$A10,Fonctionnement[Montant (€HT)])+SUMIF(Invest[Affectation matrice],$A10,Invest[Amortissement HT + intérêts]))*CK10)</f>
        <v>0</v>
      </c>
      <c r="BL10" s="56">
        <f>IF($C10=Repart_lignes,0,
(SUMIF(Fonctionnement[Affectation matrice],$A10,Fonctionnement[Montant (€HT)])+SUMIF(Invest[Affectation matrice],$A10,Invest[Amortissement HT + intérêts]))*CL10)</f>
        <v>0</v>
      </c>
      <c r="BM10" s="56">
        <f>IF($C10=Repart_lignes,0,
(SUMIF(Fonctionnement[Affectation matrice],$A10,Fonctionnement[Montant (€HT)])+SUMIF(Invest[Affectation matrice],$A10,Invest[Amortissement HT + intérêts]))*CM10)</f>
        <v>0</v>
      </c>
      <c r="BN10" s="56">
        <f>IF($C10=Repart_lignes,0,
(SUMIF(Fonctionnement[Affectation matrice],$A10,Fonctionnement[Montant (€HT)])+SUMIF(Invest[Affectation matrice],$A10,Invest[Amortissement HT + intérêts]))*CN10)</f>
        <v>0</v>
      </c>
      <c r="BO10" s="56">
        <f>IF($C10=Repart_lignes,0,
(SUMIF(Fonctionnement[Affectation matrice],$A10,Fonctionnement[Montant (€HT)])+SUMIF(Invest[Affectation matrice],$A10,Invest[Amortissement HT + intérêts]))*CO10)</f>
        <v>0</v>
      </c>
      <c r="BP10" s="56">
        <f>IF($C10=Repart_lignes,0,
(SUMIF(Fonctionnement[Affectation matrice],$A10,Fonctionnement[Montant (€HT)])+SUMIF(Invest[Affectation matrice],$A10,Invest[Amortissement HT + intérêts]))*CP10)</f>
        <v>0</v>
      </c>
      <c r="BQ10" s="56">
        <f>IF($C10=Repart_lignes,0,
(SUMIF(Fonctionnement[Affectation matrice],$A10,Fonctionnement[Montant (€HT)])+SUMIF(Invest[Affectation matrice],$A10,Invest[Amortissement HT + intérêts]))*CQ10)</f>
        <v>0</v>
      </c>
      <c r="BR10" s="56">
        <f>IF($C10=Repart_lignes,0,
(SUMIF(Fonctionnement[Affectation matrice],$A10,Fonctionnement[Montant (€HT)])+SUMIF(Invest[Affectation matrice],$A10,Invest[Amortissement HT + intérêts]))*CR10)</f>
        <v>0</v>
      </c>
      <c r="BS10" s="56">
        <f>IF($C10=Repart_lignes,0,
(SUMIF(Fonctionnement[Affectation matrice],$A10,Fonctionnement[Montant (€HT)])+SUMIF(Invest[Affectation matrice],$A10,Invest[Amortissement HT + intérêts]))*CS10)</f>
        <v>0</v>
      </c>
      <c r="BT10" s="56">
        <f>IF($C10=Repart_lignes,0,
(SUMIF(Fonctionnement[Affectation matrice],$A10,Fonctionnement[Montant (€HT)])+SUMIF(Invest[Affectation matrice],$A10,Invest[Amortissement HT + intérêts]))*CT10)</f>
        <v>0</v>
      </c>
      <c r="BU10" s="56">
        <f>IF($C10=Repart_lignes,0,
(SUMIF(Fonctionnement[Affectation matrice],$A10,Fonctionnement[Montant (€HT)])+SUMIF(Invest[Affectation matrice],$A10,Invest[Amortissement HT + intérêts]))*CU10)</f>
        <v>0</v>
      </c>
      <c r="BV10" s="56">
        <f>IF($C10=Repart_lignes,0,
(SUMIF(Fonctionnement[Affectation matrice],$A10,Fonctionnement[Montant (€HT)])+SUMIF(Invest[Affectation matrice],$A10,Invest[Amortissement HT + intérêts]))*CV10)</f>
        <v>0</v>
      </c>
      <c r="BW10" s="56">
        <f>IF($C10=Repart_lignes,0,
(SUMIF(Fonctionnement[Affectation matrice],$A10,Fonctionnement[Montant (€HT)])+SUMIF(Invest[Affectation matrice],$A10,Invest[Amortissement HT + intérêts]))*CW10)</f>
        <v>0</v>
      </c>
      <c r="BX10" s="56">
        <f>IF($C10=Repart_lignes,0,
(SUMIF(Fonctionnement[Affectation matrice],$A10,Fonctionnement[Montant (€HT)])+SUMIF(Invest[Affectation matrice],$A10,Invest[Amortissement HT + intérêts]))*CX10)</f>
        <v>0</v>
      </c>
      <c r="BY10" s="56">
        <f>IF($C10=Repart_lignes,0,
(SUMIF(Fonctionnement[Affectation matrice],$A10,Fonctionnement[Montant (€HT)])+SUMIF(Invest[Affectation matrice],$A10,Invest[Amortissement HT + intérêts]))*CY10)</f>
        <v>0</v>
      </c>
      <c r="BZ10" s="56">
        <f>IF($C10=Repart_lignes,0,
(SUMIF(Fonctionnement[Affectation matrice],$A10,Fonctionnement[Montant (€HT)])+SUMIF(Invest[Affectation matrice],$A10,Invest[Amortissement HT + intérêts]))*CZ10)</f>
        <v>0</v>
      </c>
      <c r="CA10" s="56">
        <f>IF($C10=Repart_lignes,0,
(SUMIF(Fonctionnement[Affectation matrice],$A10,Fonctionnement[Montant (€HT)])+SUMIF(Invest[Affectation matrice],$A10,Invest[Amortissement HT + intérêts]))*DA10)</f>
        <v>0</v>
      </c>
      <c r="CB10" s="56">
        <f>IF($C10=Repart_lignes,0,
(SUMIF(Fonctionnement[Affectation matrice],$A10,Fonctionnement[Montant (€HT)])+SUMIF(Invest[Affectation matrice],$A10,Invest[Amortissement HT + intérêts]))*DB10)</f>
        <v>0</v>
      </c>
      <c r="CC10" s="56">
        <f>IF($C10=Repart_lignes,0,
(SUMIF(Fonctionnement[Affectation matrice],$A10,Fonctionnement[Montant (€HT)])+SUMIF(Invest[Affectation matrice],$A10,Invest[Amortissement HT + intérêts]))*DC10)</f>
        <v>0</v>
      </c>
      <c r="CD10" s="56">
        <f>IF($C10=Repart_lignes,0,
(SUMIF(Fonctionnement[Affectation matrice],$A10,Fonctionnement[Montant (€HT)])+SUMIF(Invest[Affectation matrice],$A10,Invest[Amortissement HT + intérêts]))*DD10)</f>
        <v>0</v>
      </c>
      <c r="CE10" s="59">
        <f t="shared" si="2"/>
        <v>0</v>
      </c>
      <c r="CF10" s="61">
        <f t="shared" si="3"/>
        <v>0</v>
      </c>
      <c r="CG10" s="61">
        <f t="shared" si="4"/>
        <v>0</v>
      </c>
      <c r="CH10" s="61">
        <f t="shared" si="5"/>
        <v>0</v>
      </c>
      <c r="CI10" s="61">
        <f t="shared" si="6"/>
        <v>0</v>
      </c>
      <c r="CJ10" s="61">
        <f t="shared" si="7"/>
        <v>0</v>
      </c>
      <c r="CK10" s="61">
        <f t="shared" si="8"/>
        <v>0</v>
      </c>
      <c r="CL10" s="61">
        <f t="shared" si="9"/>
        <v>0</v>
      </c>
      <c r="CM10" s="61">
        <f t="shared" si="10"/>
        <v>0</v>
      </c>
      <c r="CN10" s="61">
        <f t="shared" si="11"/>
        <v>0</v>
      </c>
      <c r="CO10" s="61">
        <f t="shared" si="12"/>
        <v>0</v>
      </c>
      <c r="CP10" s="61">
        <f t="shared" si="13"/>
        <v>0</v>
      </c>
      <c r="CQ10" s="61">
        <f t="shared" si="14"/>
        <v>0</v>
      </c>
      <c r="CR10" s="61">
        <f t="shared" si="15"/>
        <v>0</v>
      </c>
      <c r="CS10" s="61">
        <f t="shared" si="16"/>
        <v>0</v>
      </c>
      <c r="CT10" s="61">
        <f t="shared" si="17"/>
        <v>0</v>
      </c>
      <c r="CU10" s="61">
        <f t="shared" si="18"/>
        <v>0</v>
      </c>
      <c r="CV10" s="61">
        <f t="shared" si="19"/>
        <v>0</v>
      </c>
      <c r="CW10" s="61">
        <f t="shared" si="20"/>
        <v>0</v>
      </c>
      <c r="CX10" s="61">
        <f t="shared" si="21"/>
        <v>0</v>
      </c>
      <c r="CY10" s="61">
        <f t="shared" si="22"/>
        <v>0</v>
      </c>
      <c r="CZ10" s="61">
        <f t="shared" si="23"/>
        <v>0</v>
      </c>
      <c r="DA10" s="61">
        <f t="shared" si="24"/>
        <v>0</v>
      </c>
      <c r="DB10" s="61">
        <f t="shared" si="25"/>
        <v>0</v>
      </c>
      <c r="DC10" s="61">
        <f t="shared" si="26"/>
        <v>0</v>
      </c>
      <c r="DD10" s="61">
        <f t="shared" si="27"/>
        <v>0</v>
      </c>
      <c r="DE10" s="61">
        <f t="shared" si="28"/>
        <v>0</v>
      </c>
      <c r="DF10" s="7"/>
    </row>
    <row r="11" spans="1:110" s="22" customFormat="1" x14ac:dyDescent="0.25">
      <c r="A11" s="248"/>
      <c r="B11" s="248"/>
      <c r="C11" s="251"/>
      <c r="D11" s="25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1">
        <f t="shared" ref="AD11:AD35" si="30">SUM(E11:AC11)</f>
        <v>0</v>
      </c>
      <c r="AE11" s="53" t="str">
        <f t="shared" ca="1" si="29"/>
        <v/>
      </c>
      <c r="AF11" s="56">
        <f>IF($C11=Repart_lignes,0,
(SUMIF(Fonctionnement[Affectation matrice],$A11,Fonctionnement[TVA acquittée])+SUMIF(Invest[Affectation matrice],$A11,Invest[TVA acquittée]))*CF11)</f>
        <v>0</v>
      </c>
      <c r="AG11" s="56">
        <f>IF($C11=Repart_lignes,0,
(SUMIF(Fonctionnement[Affectation matrice],$A11,Fonctionnement[TVA acquittée])+SUMIF(Invest[Affectation matrice],$A11,Invest[TVA acquittée]))*CG11)</f>
        <v>0</v>
      </c>
      <c r="AH11" s="56">
        <f>IF($C11=Repart_lignes,0,
(SUMIF(Fonctionnement[Affectation matrice],$A11,Fonctionnement[TVA acquittée])+SUMIF(Invest[Affectation matrice],$A11,Invest[TVA acquittée]))*CH11)</f>
        <v>0</v>
      </c>
      <c r="AI11" s="56">
        <f>IF($C11=Repart_lignes,0,
(SUMIF(Fonctionnement[Affectation matrice],$A11,Fonctionnement[TVA acquittée])+SUMIF(Invest[Affectation matrice],$A11,Invest[TVA acquittée]))*CI11)</f>
        <v>0</v>
      </c>
      <c r="AJ11" s="56">
        <f>IF($C11=Repart_lignes,0,
(SUMIF(Fonctionnement[Affectation matrice],$A11,Fonctionnement[TVA acquittée])+SUMIF(Invest[Affectation matrice],$A11,Invest[TVA acquittée]))*CJ11)</f>
        <v>0</v>
      </c>
      <c r="AK11" s="56">
        <f>IF($C11=Repart_lignes,0,
(SUMIF(Fonctionnement[Affectation matrice],$A11,Fonctionnement[TVA acquittée])+SUMIF(Invest[Affectation matrice],$A11,Invest[TVA acquittée]))*CK11)</f>
        <v>0</v>
      </c>
      <c r="AL11" s="56">
        <f>IF($C11=Repart_lignes,0,
(SUMIF(Fonctionnement[Affectation matrice],$A11,Fonctionnement[TVA acquittée])+SUMIF(Invest[Affectation matrice],$A11,Invest[TVA acquittée]))*CL11)</f>
        <v>0</v>
      </c>
      <c r="AM11" s="56">
        <f>IF($C11=Repart_lignes,0,
(SUMIF(Fonctionnement[Affectation matrice],$A11,Fonctionnement[TVA acquittée])+SUMIF(Invest[Affectation matrice],$A11,Invest[TVA acquittée]))*CM11)</f>
        <v>0</v>
      </c>
      <c r="AN11" s="56">
        <f>IF($C11=Repart_lignes,0,
(SUMIF(Fonctionnement[Affectation matrice],$A11,Fonctionnement[TVA acquittée])+SUMIF(Invest[Affectation matrice],$A11,Invest[TVA acquittée]))*CN11)</f>
        <v>0</v>
      </c>
      <c r="AO11" s="56">
        <f>IF($C11=Repart_lignes,0,
(SUMIF(Fonctionnement[Affectation matrice],$A11,Fonctionnement[TVA acquittée])+SUMIF(Invest[Affectation matrice],$A11,Invest[TVA acquittée]))*CO11)</f>
        <v>0</v>
      </c>
      <c r="AP11" s="56">
        <f>IF($C11=Repart_lignes,0,
(SUMIF(Fonctionnement[Affectation matrice],$A11,Fonctionnement[TVA acquittée])+SUMIF(Invest[Affectation matrice],$A11,Invest[TVA acquittée]))*CP11)</f>
        <v>0</v>
      </c>
      <c r="AQ11" s="56">
        <f>IF($C11=Repart_lignes,0,
(SUMIF(Fonctionnement[Affectation matrice],$A11,Fonctionnement[TVA acquittée])+SUMIF(Invest[Affectation matrice],$A11,Invest[TVA acquittée]))*CQ11)</f>
        <v>0</v>
      </c>
      <c r="AR11" s="56">
        <f>IF($C11=Repart_lignes,0,
(SUMIF(Fonctionnement[Affectation matrice],$A11,Fonctionnement[TVA acquittée])+SUMIF(Invest[Affectation matrice],$A11,Invest[TVA acquittée]))*CR11)</f>
        <v>0</v>
      </c>
      <c r="AS11" s="56">
        <f>IF($C11=Repart_lignes,0,
(SUMIF(Fonctionnement[Affectation matrice],$A11,Fonctionnement[TVA acquittée])+SUMIF(Invest[Affectation matrice],$A11,Invest[TVA acquittée]))*CS11)</f>
        <v>0</v>
      </c>
      <c r="AT11" s="56">
        <f>IF($C11=Repart_lignes,0,
(SUMIF(Fonctionnement[Affectation matrice],$A11,Fonctionnement[TVA acquittée])+SUMIF(Invest[Affectation matrice],$A11,Invest[TVA acquittée]))*CT11)</f>
        <v>0</v>
      </c>
      <c r="AU11" s="56">
        <f>IF($C11=Repart_lignes,0,
(SUMIF(Fonctionnement[Affectation matrice],$A11,Fonctionnement[TVA acquittée])+SUMIF(Invest[Affectation matrice],$A11,Invest[TVA acquittée]))*CU11)</f>
        <v>0</v>
      </c>
      <c r="AV11" s="56">
        <f>IF($C11=Repart_lignes,0,
(SUMIF(Fonctionnement[Affectation matrice],$A11,Fonctionnement[TVA acquittée])+SUMIF(Invest[Affectation matrice],$A11,Invest[TVA acquittée]))*CV11)</f>
        <v>0</v>
      </c>
      <c r="AW11" s="56">
        <f>IF($C11=Repart_lignes,0,
(SUMIF(Fonctionnement[Affectation matrice],$A11,Fonctionnement[TVA acquittée])+SUMIF(Invest[Affectation matrice],$A11,Invest[TVA acquittée]))*CW11)</f>
        <v>0</v>
      </c>
      <c r="AX11" s="56">
        <f>IF($C11=Repart_lignes,0,
(SUMIF(Fonctionnement[Affectation matrice],$A11,Fonctionnement[TVA acquittée])+SUMIF(Invest[Affectation matrice],$A11,Invest[TVA acquittée]))*CX11)</f>
        <v>0</v>
      </c>
      <c r="AY11" s="56">
        <f>IF($C11=Repart_lignes,0,
(SUMIF(Fonctionnement[Affectation matrice],$A11,Fonctionnement[TVA acquittée])+SUMIF(Invest[Affectation matrice],$A11,Invest[TVA acquittée]))*CY11)</f>
        <v>0</v>
      </c>
      <c r="AZ11" s="56">
        <f>IF($C11=Repart_lignes,0,
(SUMIF(Fonctionnement[Affectation matrice],$A11,Fonctionnement[TVA acquittée])+SUMIF(Invest[Affectation matrice],$A11,Invest[TVA acquittée]))*CZ11)</f>
        <v>0</v>
      </c>
      <c r="BA11" s="56">
        <f>IF($C11=Repart_lignes,0,
(SUMIF(Fonctionnement[Affectation matrice],$A11,Fonctionnement[TVA acquittée])+SUMIF(Invest[Affectation matrice],$A11,Invest[TVA acquittée]))*DA11)</f>
        <v>0</v>
      </c>
      <c r="BB11" s="56">
        <f>IF($C11=Repart_lignes,0,
(SUMIF(Fonctionnement[Affectation matrice],$A11,Fonctionnement[TVA acquittée])+SUMIF(Invest[Affectation matrice],$A11,Invest[TVA acquittée]))*DB11)</f>
        <v>0</v>
      </c>
      <c r="BC11" s="56">
        <f>IF($C11=Repart_lignes,0,
(SUMIF(Fonctionnement[Affectation matrice],$A11,Fonctionnement[TVA acquittée])+SUMIF(Invest[Affectation matrice],$A11,Invest[TVA acquittée]))*DC11)</f>
        <v>0</v>
      </c>
      <c r="BD11" s="56">
        <f>IF($C11=Repart_lignes,0,
(SUMIF(Fonctionnement[Affectation matrice],$A11,Fonctionnement[TVA acquittée])+SUMIF(Invest[Affectation matrice],$A11,Invest[TVA acquittée]))*DD11)</f>
        <v>0</v>
      </c>
      <c r="BE11" s="58">
        <f t="shared" si="1"/>
        <v>0</v>
      </c>
      <c r="BF11" s="56">
        <f>IF($C11=Repart_lignes,0,
(SUMIF(Fonctionnement[Affectation matrice],$A11,Fonctionnement[Montant (€HT)])+SUMIF(Invest[Affectation matrice],$A11,Invest[Amortissement HT + intérêts]))*CF11)</f>
        <v>0</v>
      </c>
      <c r="BG11" s="56">
        <f>IF($C11=Repart_lignes,0,
(SUMIF(Fonctionnement[Affectation matrice],$A11,Fonctionnement[Montant (€HT)])+SUMIF(Invest[Affectation matrice],$A11,Invest[Amortissement HT + intérêts]))*CG11)</f>
        <v>0</v>
      </c>
      <c r="BH11" s="56">
        <f>IF($C11=Repart_lignes,0,
(SUMIF(Fonctionnement[Affectation matrice],$A11,Fonctionnement[Montant (€HT)])+SUMIF(Invest[Affectation matrice],$A11,Invest[Amortissement HT + intérêts]))*CH11)</f>
        <v>0</v>
      </c>
      <c r="BI11" s="56">
        <f>IF($C11=Repart_lignes,0,
(SUMIF(Fonctionnement[Affectation matrice],$A11,Fonctionnement[Montant (€HT)])+SUMIF(Invest[Affectation matrice],$A11,Invest[Amortissement HT + intérêts]))*CI11)</f>
        <v>0</v>
      </c>
      <c r="BJ11" s="56">
        <f>IF($C11=Repart_lignes,0,
(SUMIF(Fonctionnement[Affectation matrice],$A11,Fonctionnement[Montant (€HT)])+SUMIF(Invest[Affectation matrice],$A11,Invest[Amortissement HT + intérêts]))*CJ11)</f>
        <v>0</v>
      </c>
      <c r="BK11" s="56">
        <f>IF($C11=Repart_lignes,0,
(SUMIF(Fonctionnement[Affectation matrice],$A11,Fonctionnement[Montant (€HT)])+SUMIF(Invest[Affectation matrice],$A11,Invest[Amortissement HT + intérêts]))*CK11)</f>
        <v>0</v>
      </c>
      <c r="BL11" s="56">
        <f>IF($C11=Repart_lignes,0,
(SUMIF(Fonctionnement[Affectation matrice],$A11,Fonctionnement[Montant (€HT)])+SUMIF(Invest[Affectation matrice],$A11,Invest[Amortissement HT + intérêts]))*CL11)</f>
        <v>0</v>
      </c>
      <c r="BM11" s="56">
        <f>IF($C11=Repart_lignes,0,
(SUMIF(Fonctionnement[Affectation matrice],$A11,Fonctionnement[Montant (€HT)])+SUMIF(Invest[Affectation matrice],$A11,Invest[Amortissement HT + intérêts]))*CM11)</f>
        <v>0</v>
      </c>
      <c r="BN11" s="56">
        <f>IF($C11=Repart_lignes,0,
(SUMIF(Fonctionnement[Affectation matrice],$A11,Fonctionnement[Montant (€HT)])+SUMIF(Invest[Affectation matrice],$A11,Invest[Amortissement HT + intérêts]))*CN11)</f>
        <v>0</v>
      </c>
      <c r="BO11" s="56">
        <f>IF($C11=Repart_lignes,0,
(SUMIF(Fonctionnement[Affectation matrice],$A11,Fonctionnement[Montant (€HT)])+SUMIF(Invest[Affectation matrice],$A11,Invest[Amortissement HT + intérêts]))*CO11)</f>
        <v>0</v>
      </c>
      <c r="BP11" s="56">
        <f>IF($C11=Repart_lignes,0,
(SUMIF(Fonctionnement[Affectation matrice],$A11,Fonctionnement[Montant (€HT)])+SUMIF(Invest[Affectation matrice],$A11,Invest[Amortissement HT + intérêts]))*CP11)</f>
        <v>0</v>
      </c>
      <c r="BQ11" s="56">
        <f>IF($C11=Repart_lignes,0,
(SUMIF(Fonctionnement[Affectation matrice],$A11,Fonctionnement[Montant (€HT)])+SUMIF(Invest[Affectation matrice],$A11,Invest[Amortissement HT + intérêts]))*CQ11)</f>
        <v>0</v>
      </c>
      <c r="BR11" s="56">
        <f>IF($C11=Repart_lignes,0,
(SUMIF(Fonctionnement[Affectation matrice],$A11,Fonctionnement[Montant (€HT)])+SUMIF(Invest[Affectation matrice],$A11,Invest[Amortissement HT + intérêts]))*CR11)</f>
        <v>0</v>
      </c>
      <c r="BS11" s="56">
        <f>IF($C11=Repart_lignes,0,
(SUMIF(Fonctionnement[Affectation matrice],$A11,Fonctionnement[Montant (€HT)])+SUMIF(Invest[Affectation matrice],$A11,Invest[Amortissement HT + intérêts]))*CS11)</f>
        <v>0</v>
      </c>
      <c r="BT11" s="56">
        <f>IF($C11=Repart_lignes,0,
(SUMIF(Fonctionnement[Affectation matrice],$A11,Fonctionnement[Montant (€HT)])+SUMIF(Invest[Affectation matrice],$A11,Invest[Amortissement HT + intérêts]))*CT11)</f>
        <v>0</v>
      </c>
      <c r="BU11" s="56">
        <f>IF($C11=Repart_lignes,0,
(SUMIF(Fonctionnement[Affectation matrice],$A11,Fonctionnement[Montant (€HT)])+SUMIF(Invest[Affectation matrice],$A11,Invest[Amortissement HT + intérêts]))*CU11)</f>
        <v>0</v>
      </c>
      <c r="BV11" s="56">
        <f>IF($C11=Repart_lignes,0,
(SUMIF(Fonctionnement[Affectation matrice],$A11,Fonctionnement[Montant (€HT)])+SUMIF(Invest[Affectation matrice],$A11,Invest[Amortissement HT + intérêts]))*CV11)</f>
        <v>0</v>
      </c>
      <c r="BW11" s="56">
        <f>IF($C11=Repart_lignes,0,
(SUMIF(Fonctionnement[Affectation matrice],$A11,Fonctionnement[Montant (€HT)])+SUMIF(Invest[Affectation matrice],$A11,Invest[Amortissement HT + intérêts]))*CW11)</f>
        <v>0</v>
      </c>
      <c r="BX11" s="56">
        <f>IF($C11=Repart_lignes,0,
(SUMIF(Fonctionnement[Affectation matrice],$A11,Fonctionnement[Montant (€HT)])+SUMIF(Invest[Affectation matrice],$A11,Invest[Amortissement HT + intérêts]))*CX11)</f>
        <v>0</v>
      </c>
      <c r="BY11" s="56">
        <f>IF($C11=Repart_lignes,0,
(SUMIF(Fonctionnement[Affectation matrice],$A11,Fonctionnement[Montant (€HT)])+SUMIF(Invest[Affectation matrice],$A11,Invest[Amortissement HT + intérêts]))*CY11)</f>
        <v>0</v>
      </c>
      <c r="BZ11" s="56">
        <f>IF($C11=Repart_lignes,0,
(SUMIF(Fonctionnement[Affectation matrice],$A11,Fonctionnement[Montant (€HT)])+SUMIF(Invest[Affectation matrice],$A11,Invest[Amortissement HT + intérêts]))*CZ11)</f>
        <v>0</v>
      </c>
      <c r="CA11" s="56">
        <f>IF($C11=Repart_lignes,0,
(SUMIF(Fonctionnement[Affectation matrice],$A11,Fonctionnement[Montant (€HT)])+SUMIF(Invest[Affectation matrice],$A11,Invest[Amortissement HT + intérêts]))*DA11)</f>
        <v>0</v>
      </c>
      <c r="CB11" s="56">
        <f>IF($C11=Repart_lignes,0,
(SUMIF(Fonctionnement[Affectation matrice],$A11,Fonctionnement[Montant (€HT)])+SUMIF(Invest[Affectation matrice],$A11,Invest[Amortissement HT + intérêts]))*DB11)</f>
        <v>0</v>
      </c>
      <c r="CC11" s="56">
        <f>IF($C11=Repart_lignes,0,
(SUMIF(Fonctionnement[Affectation matrice],$A11,Fonctionnement[Montant (€HT)])+SUMIF(Invest[Affectation matrice],$A11,Invest[Amortissement HT + intérêts]))*DC11)</f>
        <v>0</v>
      </c>
      <c r="CD11" s="56">
        <f>IF($C11=Repart_lignes,0,
(SUMIF(Fonctionnement[Affectation matrice],$A11,Fonctionnement[Montant (€HT)])+SUMIF(Invest[Affectation matrice],$A11,Invest[Amortissement HT + intérêts]))*DD11)</f>
        <v>0</v>
      </c>
      <c r="CE11" s="59">
        <f t="shared" si="2"/>
        <v>0</v>
      </c>
      <c r="CF11" s="61">
        <f t="shared" si="3"/>
        <v>0</v>
      </c>
      <c r="CG11" s="61">
        <f t="shared" si="4"/>
        <v>0</v>
      </c>
      <c r="CH11" s="61">
        <f t="shared" si="5"/>
        <v>0</v>
      </c>
      <c r="CI11" s="61">
        <f t="shared" si="6"/>
        <v>0</v>
      </c>
      <c r="CJ11" s="61">
        <f t="shared" si="7"/>
        <v>0</v>
      </c>
      <c r="CK11" s="61">
        <f t="shared" si="8"/>
        <v>0</v>
      </c>
      <c r="CL11" s="61">
        <f t="shared" si="9"/>
        <v>0</v>
      </c>
      <c r="CM11" s="61">
        <f t="shared" si="10"/>
        <v>0</v>
      </c>
      <c r="CN11" s="61">
        <f t="shared" si="11"/>
        <v>0</v>
      </c>
      <c r="CO11" s="61">
        <f t="shared" si="12"/>
        <v>0</v>
      </c>
      <c r="CP11" s="61">
        <f t="shared" si="13"/>
        <v>0</v>
      </c>
      <c r="CQ11" s="61">
        <f t="shared" si="14"/>
        <v>0</v>
      </c>
      <c r="CR11" s="61">
        <f t="shared" si="15"/>
        <v>0</v>
      </c>
      <c r="CS11" s="61">
        <f t="shared" si="16"/>
        <v>0</v>
      </c>
      <c r="CT11" s="61">
        <f t="shared" si="17"/>
        <v>0</v>
      </c>
      <c r="CU11" s="61">
        <f t="shared" si="18"/>
        <v>0</v>
      </c>
      <c r="CV11" s="61">
        <f t="shared" si="19"/>
        <v>0</v>
      </c>
      <c r="CW11" s="61">
        <f t="shared" si="20"/>
        <v>0</v>
      </c>
      <c r="CX11" s="61">
        <f t="shared" si="21"/>
        <v>0</v>
      </c>
      <c r="CY11" s="61">
        <f t="shared" si="22"/>
        <v>0</v>
      </c>
      <c r="CZ11" s="61">
        <f t="shared" si="23"/>
        <v>0</v>
      </c>
      <c r="DA11" s="61">
        <f t="shared" si="24"/>
        <v>0</v>
      </c>
      <c r="DB11" s="61">
        <f t="shared" si="25"/>
        <v>0</v>
      </c>
      <c r="DC11" s="61">
        <f t="shared" si="26"/>
        <v>0</v>
      </c>
      <c r="DD11" s="61">
        <f t="shared" si="27"/>
        <v>0</v>
      </c>
      <c r="DE11" s="61">
        <f t="shared" si="28"/>
        <v>0</v>
      </c>
      <c r="DF11" s="7"/>
    </row>
    <row r="12" spans="1:110" s="22" customFormat="1" x14ac:dyDescent="0.25">
      <c r="A12" s="248"/>
      <c r="B12" s="248"/>
      <c r="C12" s="251"/>
      <c r="D12" s="25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1">
        <f t="shared" si="30"/>
        <v>0</v>
      </c>
      <c r="AE12" s="53" t="str">
        <f t="shared" ca="1" si="29"/>
        <v/>
      </c>
      <c r="AF12" s="56">
        <f>IF($C12=Repart_lignes,0,
(SUMIF(Fonctionnement[Affectation matrice],$A12,Fonctionnement[TVA acquittée])+SUMIF(Invest[Affectation matrice],$A12,Invest[TVA acquittée]))*CF12)</f>
        <v>0</v>
      </c>
      <c r="AG12" s="56">
        <f>IF($C12=Repart_lignes,0,
(SUMIF(Fonctionnement[Affectation matrice],$A12,Fonctionnement[TVA acquittée])+SUMIF(Invest[Affectation matrice],$A12,Invest[TVA acquittée]))*CG12)</f>
        <v>0</v>
      </c>
      <c r="AH12" s="56">
        <f>IF($C12=Repart_lignes,0,
(SUMIF(Fonctionnement[Affectation matrice],$A12,Fonctionnement[TVA acquittée])+SUMIF(Invest[Affectation matrice],$A12,Invest[TVA acquittée]))*CH12)</f>
        <v>0</v>
      </c>
      <c r="AI12" s="56">
        <f>IF($C12=Repart_lignes,0,
(SUMIF(Fonctionnement[Affectation matrice],$A12,Fonctionnement[TVA acquittée])+SUMIF(Invest[Affectation matrice],$A12,Invest[TVA acquittée]))*CI12)</f>
        <v>0</v>
      </c>
      <c r="AJ12" s="56">
        <f>IF($C12=Repart_lignes,0,
(SUMIF(Fonctionnement[Affectation matrice],$A12,Fonctionnement[TVA acquittée])+SUMIF(Invest[Affectation matrice],$A12,Invest[TVA acquittée]))*CJ12)</f>
        <v>0</v>
      </c>
      <c r="AK12" s="56">
        <f>IF($C12=Repart_lignes,0,
(SUMIF(Fonctionnement[Affectation matrice],$A12,Fonctionnement[TVA acquittée])+SUMIF(Invest[Affectation matrice],$A12,Invest[TVA acquittée]))*CK12)</f>
        <v>0</v>
      </c>
      <c r="AL12" s="56">
        <f>IF($C12=Repart_lignes,0,
(SUMIF(Fonctionnement[Affectation matrice],$A12,Fonctionnement[TVA acquittée])+SUMIF(Invest[Affectation matrice],$A12,Invest[TVA acquittée]))*CL12)</f>
        <v>0</v>
      </c>
      <c r="AM12" s="56">
        <f>IF($C12=Repart_lignes,0,
(SUMIF(Fonctionnement[Affectation matrice],$A12,Fonctionnement[TVA acquittée])+SUMIF(Invest[Affectation matrice],$A12,Invest[TVA acquittée]))*CM12)</f>
        <v>0</v>
      </c>
      <c r="AN12" s="56">
        <f>IF($C12=Repart_lignes,0,
(SUMIF(Fonctionnement[Affectation matrice],$A12,Fonctionnement[TVA acquittée])+SUMIF(Invest[Affectation matrice],$A12,Invest[TVA acquittée]))*CN12)</f>
        <v>0</v>
      </c>
      <c r="AO12" s="56">
        <f>IF($C12=Repart_lignes,0,
(SUMIF(Fonctionnement[Affectation matrice],$A12,Fonctionnement[TVA acquittée])+SUMIF(Invest[Affectation matrice],$A12,Invest[TVA acquittée]))*CO12)</f>
        <v>0</v>
      </c>
      <c r="AP12" s="56">
        <f>IF($C12=Repart_lignes,0,
(SUMIF(Fonctionnement[Affectation matrice],$A12,Fonctionnement[TVA acquittée])+SUMIF(Invest[Affectation matrice],$A12,Invest[TVA acquittée]))*CP12)</f>
        <v>0</v>
      </c>
      <c r="AQ12" s="56">
        <f>IF($C12=Repart_lignes,0,
(SUMIF(Fonctionnement[Affectation matrice],$A12,Fonctionnement[TVA acquittée])+SUMIF(Invest[Affectation matrice],$A12,Invest[TVA acquittée]))*CQ12)</f>
        <v>0</v>
      </c>
      <c r="AR12" s="56">
        <f>IF($C12=Repart_lignes,0,
(SUMIF(Fonctionnement[Affectation matrice],$A12,Fonctionnement[TVA acquittée])+SUMIF(Invest[Affectation matrice],$A12,Invest[TVA acquittée]))*CR12)</f>
        <v>0</v>
      </c>
      <c r="AS12" s="56">
        <f>IF($C12=Repart_lignes,0,
(SUMIF(Fonctionnement[Affectation matrice],$A12,Fonctionnement[TVA acquittée])+SUMIF(Invest[Affectation matrice],$A12,Invest[TVA acquittée]))*CS12)</f>
        <v>0</v>
      </c>
      <c r="AT12" s="56">
        <f>IF($C12=Repart_lignes,0,
(SUMIF(Fonctionnement[Affectation matrice],$A12,Fonctionnement[TVA acquittée])+SUMIF(Invest[Affectation matrice],$A12,Invest[TVA acquittée]))*CT12)</f>
        <v>0</v>
      </c>
      <c r="AU12" s="56">
        <f>IF($C12=Repart_lignes,0,
(SUMIF(Fonctionnement[Affectation matrice],$A12,Fonctionnement[TVA acquittée])+SUMIF(Invest[Affectation matrice],$A12,Invest[TVA acquittée]))*CU12)</f>
        <v>0</v>
      </c>
      <c r="AV12" s="56">
        <f>IF($C12=Repart_lignes,0,
(SUMIF(Fonctionnement[Affectation matrice],$A12,Fonctionnement[TVA acquittée])+SUMIF(Invest[Affectation matrice],$A12,Invest[TVA acquittée]))*CV12)</f>
        <v>0</v>
      </c>
      <c r="AW12" s="56">
        <f>IF($C12=Repart_lignes,0,
(SUMIF(Fonctionnement[Affectation matrice],$A12,Fonctionnement[TVA acquittée])+SUMIF(Invest[Affectation matrice],$A12,Invest[TVA acquittée]))*CW12)</f>
        <v>0</v>
      </c>
      <c r="AX12" s="56">
        <f>IF($C12=Repart_lignes,0,
(SUMIF(Fonctionnement[Affectation matrice],$A12,Fonctionnement[TVA acquittée])+SUMIF(Invest[Affectation matrice],$A12,Invest[TVA acquittée]))*CX12)</f>
        <v>0</v>
      </c>
      <c r="AY12" s="56">
        <f>IF($C12=Repart_lignes,0,
(SUMIF(Fonctionnement[Affectation matrice],$A12,Fonctionnement[TVA acquittée])+SUMIF(Invest[Affectation matrice],$A12,Invest[TVA acquittée]))*CY12)</f>
        <v>0</v>
      </c>
      <c r="AZ12" s="56">
        <f>IF($C12=Repart_lignes,0,
(SUMIF(Fonctionnement[Affectation matrice],$A12,Fonctionnement[TVA acquittée])+SUMIF(Invest[Affectation matrice],$A12,Invest[TVA acquittée]))*CZ12)</f>
        <v>0</v>
      </c>
      <c r="BA12" s="56">
        <f>IF($C12=Repart_lignes,0,
(SUMIF(Fonctionnement[Affectation matrice],$A12,Fonctionnement[TVA acquittée])+SUMIF(Invest[Affectation matrice],$A12,Invest[TVA acquittée]))*DA12)</f>
        <v>0</v>
      </c>
      <c r="BB12" s="56">
        <f>IF($C12=Repart_lignes,0,
(SUMIF(Fonctionnement[Affectation matrice],$A12,Fonctionnement[TVA acquittée])+SUMIF(Invest[Affectation matrice],$A12,Invest[TVA acquittée]))*DB12)</f>
        <v>0</v>
      </c>
      <c r="BC12" s="56">
        <f>IF($C12=Repart_lignes,0,
(SUMIF(Fonctionnement[Affectation matrice],$A12,Fonctionnement[TVA acquittée])+SUMIF(Invest[Affectation matrice],$A12,Invest[TVA acquittée]))*DC12)</f>
        <v>0</v>
      </c>
      <c r="BD12" s="56">
        <f>IF($C12=Repart_lignes,0,
(SUMIF(Fonctionnement[Affectation matrice],$A12,Fonctionnement[TVA acquittée])+SUMIF(Invest[Affectation matrice],$A12,Invest[TVA acquittée]))*DD12)</f>
        <v>0</v>
      </c>
      <c r="BE12" s="58">
        <f t="shared" si="1"/>
        <v>0</v>
      </c>
      <c r="BF12" s="56">
        <f>IF($C12=Repart_lignes,0,
(SUMIF(Fonctionnement[Affectation matrice],$A12,Fonctionnement[Montant (€HT)])+SUMIF(Invest[Affectation matrice],$A12,Invest[Amortissement HT + intérêts]))*CF12)</f>
        <v>0</v>
      </c>
      <c r="BG12" s="56">
        <f>IF($C12=Repart_lignes,0,
(SUMIF(Fonctionnement[Affectation matrice],$A12,Fonctionnement[Montant (€HT)])+SUMIF(Invest[Affectation matrice],$A12,Invest[Amortissement HT + intérêts]))*CG12)</f>
        <v>0</v>
      </c>
      <c r="BH12" s="56">
        <f>IF($C12=Repart_lignes,0,
(SUMIF(Fonctionnement[Affectation matrice],$A12,Fonctionnement[Montant (€HT)])+SUMIF(Invest[Affectation matrice],$A12,Invest[Amortissement HT + intérêts]))*CH12)</f>
        <v>0</v>
      </c>
      <c r="BI12" s="56">
        <f>IF($C12=Repart_lignes,0,
(SUMIF(Fonctionnement[Affectation matrice],$A12,Fonctionnement[Montant (€HT)])+SUMIF(Invest[Affectation matrice],$A12,Invest[Amortissement HT + intérêts]))*CI12)</f>
        <v>0</v>
      </c>
      <c r="BJ12" s="56">
        <f>IF($C12=Repart_lignes,0,
(SUMIF(Fonctionnement[Affectation matrice],$A12,Fonctionnement[Montant (€HT)])+SUMIF(Invest[Affectation matrice],$A12,Invest[Amortissement HT + intérêts]))*CJ12)</f>
        <v>0</v>
      </c>
      <c r="BK12" s="56">
        <f>IF($C12=Repart_lignes,0,
(SUMIF(Fonctionnement[Affectation matrice],$A12,Fonctionnement[Montant (€HT)])+SUMIF(Invest[Affectation matrice],$A12,Invest[Amortissement HT + intérêts]))*CK12)</f>
        <v>0</v>
      </c>
      <c r="BL12" s="56">
        <f>IF($C12=Repart_lignes,0,
(SUMIF(Fonctionnement[Affectation matrice],$A12,Fonctionnement[Montant (€HT)])+SUMIF(Invest[Affectation matrice],$A12,Invest[Amortissement HT + intérêts]))*CL12)</f>
        <v>0</v>
      </c>
      <c r="BM12" s="56">
        <f>IF($C12=Repart_lignes,0,
(SUMIF(Fonctionnement[Affectation matrice],$A12,Fonctionnement[Montant (€HT)])+SUMIF(Invest[Affectation matrice],$A12,Invest[Amortissement HT + intérêts]))*CM12)</f>
        <v>0</v>
      </c>
      <c r="BN12" s="56">
        <f>IF($C12=Repart_lignes,0,
(SUMIF(Fonctionnement[Affectation matrice],$A12,Fonctionnement[Montant (€HT)])+SUMIF(Invest[Affectation matrice],$A12,Invest[Amortissement HT + intérêts]))*CN12)</f>
        <v>0</v>
      </c>
      <c r="BO12" s="56">
        <f>IF($C12=Repart_lignes,0,
(SUMIF(Fonctionnement[Affectation matrice],$A12,Fonctionnement[Montant (€HT)])+SUMIF(Invest[Affectation matrice],$A12,Invest[Amortissement HT + intérêts]))*CO12)</f>
        <v>0</v>
      </c>
      <c r="BP12" s="56">
        <f>IF($C12=Repart_lignes,0,
(SUMIF(Fonctionnement[Affectation matrice],$A12,Fonctionnement[Montant (€HT)])+SUMIF(Invest[Affectation matrice],$A12,Invest[Amortissement HT + intérêts]))*CP12)</f>
        <v>0</v>
      </c>
      <c r="BQ12" s="56">
        <f>IF($C12=Repart_lignes,0,
(SUMIF(Fonctionnement[Affectation matrice],$A12,Fonctionnement[Montant (€HT)])+SUMIF(Invest[Affectation matrice],$A12,Invest[Amortissement HT + intérêts]))*CQ12)</f>
        <v>0</v>
      </c>
      <c r="BR12" s="56">
        <f>IF($C12=Repart_lignes,0,
(SUMIF(Fonctionnement[Affectation matrice],$A12,Fonctionnement[Montant (€HT)])+SUMIF(Invest[Affectation matrice],$A12,Invest[Amortissement HT + intérêts]))*CR12)</f>
        <v>0</v>
      </c>
      <c r="BS12" s="56">
        <f>IF($C12=Repart_lignes,0,
(SUMIF(Fonctionnement[Affectation matrice],$A12,Fonctionnement[Montant (€HT)])+SUMIF(Invest[Affectation matrice],$A12,Invest[Amortissement HT + intérêts]))*CS12)</f>
        <v>0</v>
      </c>
      <c r="BT12" s="56">
        <f>IF($C12=Repart_lignes,0,
(SUMIF(Fonctionnement[Affectation matrice],$A12,Fonctionnement[Montant (€HT)])+SUMIF(Invest[Affectation matrice],$A12,Invest[Amortissement HT + intérêts]))*CT12)</f>
        <v>0</v>
      </c>
      <c r="BU12" s="56">
        <f>IF($C12=Repart_lignes,0,
(SUMIF(Fonctionnement[Affectation matrice],$A12,Fonctionnement[Montant (€HT)])+SUMIF(Invest[Affectation matrice],$A12,Invest[Amortissement HT + intérêts]))*CU12)</f>
        <v>0</v>
      </c>
      <c r="BV12" s="56">
        <f>IF($C12=Repart_lignes,0,
(SUMIF(Fonctionnement[Affectation matrice],$A12,Fonctionnement[Montant (€HT)])+SUMIF(Invest[Affectation matrice],$A12,Invest[Amortissement HT + intérêts]))*CV12)</f>
        <v>0</v>
      </c>
      <c r="BW12" s="56">
        <f>IF($C12=Repart_lignes,0,
(SUMIF(Fonctionnement[Affectation matrice],$A12,Fonctionnement[Montant (€HT)])+SUMIF(Invest[Affectation matrice],$A12,Invest[Amortissement HT + intérêts]))*CW12)</f>
        <v>0</v>
      </c>
      <c r="BX12" s="56">
        <f>IF($C12=Repart_lignes,0,
(SUMIF(Fonctionnement[Affectation matrice],$A12,Fonctionnement[Montant (€HT)])+SUMIF(Invest[Affectation matrice],$A12,Invest[Amortissement HT + intérêts]))*CX12)</f>
        <v>0</v>
      </c>
      <c r="BY12" s="56">
        <f>IF($C12=Repart_lignes,0,
(SUMIF(Fonctionnement[Affectation matrice],$A12,Fonctionnement[Montant (€HT)])+SUMIF(Invest[Affectation matrice],$A12,Invest[Amortissement HT + intérêts]))*CY12)</f>
        <v>0</v>
      </c>
      <c r="BZ12" s="56">
        <f>IF($C12=Repart_lignes,0,
(SUMIF(Fonctionnement[Affectation matrice],$A12,Fonctionnement[Montant (€HT)])+SUMIF(Invest[Affectation matrice],$A12,Invest[Amortissement HT + intérêts]))*CZ12)</f>
        <v>0</v>
      </c>
      <c r="CA12" s="56">
        <f>IF($C12=Repart_lignes,0,
(SUMIF(Fonctionnement[Affectation matrice],$A12,Fonctionnement[Montant (€HT)])+SUMIF(Invest[Affectation matrice],$A12,Invest[Amortissement HT + intérêts]))*DA12)</f>
        <v>0</v>
      </c>
      <c r="CB12" s="56">
        <f>IF($C12=Repart_lignes,0,
(SUMIF(Fonctionnement[Affectation matrice],$A12,Fonctionnement[Montant (€HT)])+SUMIF(Invest[Affectation matrice],$A12,Invest[Amortissement HT + intérêts]))*DB12)</f>
        <v>0</v>
      </c>
      <c r="CC12" s="56">
        <f>IF($C12=Repart_lignes,0,
(SUMIF(Fonctionnement[Affectation matrice],$A12,Fonctionnement[Montant (€HT)])+SUMIF(Invest[Affectation matrice],$A12,Invest[Amortissement HT + intérêts]))*DC12)</f>
        <v>0</v>
      </c>
      <c r="CD12" s="56">
        <f>IF($C12=Repart_lignes,0,
(SUMIF(Fonctionnement[Affectation matrice],$A12,Fonctionnement[Montant (€HT)])+SUMIF(Invest[Affectation matrice],$A12,Invest[Amortissement HT + intérêts]))*DD12)</f>
        <v>0</v>
      </c>
      <c r="CE12" s="59">
        <f t="shared" si="2"/>
        <v>0</v>
      </c>
      <c r="CF12" s="61">
        <f t="shared" si="3"/>
        <v>0</v>
      </c>
      <c r="CG12" s="61">
        <f t="shared" si="4"/>
        <v>0</v>
      </c>
      <c r="CH12" s="61">
        <f t="shared" si="5"/>
        <v>0</v>
      </c>
      <c r="CI12" s="61">
        <f t="shared" si="6"/>
        <v>0</v>
      </c>
      <c r="CJ12" s="61">
        <f t="shared" si="7"/>
        <v>0</v>
      </c>
      <c r="CK12" s="61">
        <f t="shared" si="8"/>
        <v>0</v>
      </c>
      <c r="CL12" s="61">
        <f t="shared" si="9"/>
        <v>0</v>
      </c>
      <c r="CM12" s="61">
        <f t="shared" si="10"/>
        <v>0</v>
      </c>
      <c r="CN12" s="61">
        <f t="shared" si="11"/>
        <v>0</v>
      </c>
      <c r="CO12" s="61">
        <f t="shared" si="12"/>
        <v>0</v>
      </c>
      <c r="CP12" s="61">
        <f t="shared" si="13"/>
        <v>0</v>
      </c>
      <c r="CQ12" s="61">
        <f t="shared" si="14"/>
        <v>0</v>
      </c>
      <c r="CR12" s="61">
        <f t="shared" si="15"/>
        <v>0</v>
      </c>
      <c r="CS12" s="61">
        <f t="shared" si="16"/>
        <v>0</v>
      </c>
      <c r="CT12" s="61">
        <f t="shared" si="17"/>
        <v>0</v>
      </c>
      <c r="CU12" s="61">
        <f t="shared" si="18"/>
        <v>0</v>
      </c>
      <c r="CV12" s="61">
        <f t="shared" si="19"/>
        <v>0</v>
      </c>
      <c r="CW12" s="61">
        <f t="shared" si="20"/>
        <v>0</v>
      </c>
      <c r="CX12" s="61">
        <f t="shared" si="21"/>
        <v>0</v>
      </c>
      <c r="CY12" s="61">
        <f t="shared" si="22"/>
        <v>0</v>
      </c>
      <c r="CZ12" s="61">
        <f t="shared" si="23"/>
        <v>0</v>
      </c>
      <c r="DA12" s="61">
        <f t="shared" si="24"/>
        <v>0</v>
      </c>
      <c r="DB12" s="61">
        <f t="shared" si="25"/>
        <v>0</v>
      </c>
      <c r="DC12" s="61">
        <f t="shared" si="26"/>
        <v>0</v>
      </c>
      <c r="DD12" s="61">
        <f t="shared" si="27"/>
        <v>0</v>
      </c>
      <c r="DE12" s="61">
        <f t="shared" si="28"/>
        <v>0</v>
      </c>
      <c r="DF12" s="7"/>
    </row>
    <row r="13" spans="1:110" s="22" customFormat="1" x14ac:dyDescent="0.25">
      <c r="A13" s="248"/>
      <c r="B13" s="248"/>
      <c r="C13" s="251"/>
      <c r="D13" s="25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1">
        <f t="shared" si="30"/>
        <v>0</v>
      </c>
      <c r="AE13" s="53" t="str">
        <f t="shared" ca="1" si="29"/>
        <v/>
      </c>
      <c r="AF13" s="56">
        <f>IF($C13=Repart_lignes,0,
(SUMIF(Fonctionnement[Affectation matrice],$A13,Fonctionnement[TVA acquittée])+SUMIF(Invest[Affectation matrice],$A13,Invest[TVA acquittée]))*CF13)</f>
        <v>0</v>
      </c>
      <c r="AG13" s="56">
        <f>IF($C13=Repart_lignes,0,
(SUMIF(Fonctionnement[Affectation matrice],$A13,Fonctionnement[TVA acquittée])+SUMIF(Invest[Affectation matrice],$A13,Invest[TVA acquittée]))*CG13)</f>
        <v>0</v>
      </c>
      <c r="AH13" s="56">
        <f>IF($C13=Repart_lignes,0,
(SUMIF(Fonctionnement[Affectation matrice],$A13,Fonctionnement[TVA acquittée])+SUMIF(Invest[Affectation matrice],$A13,Invest[TVA acquittée]))*CH13)</f>
        <v>0</v>
      </c>
      <c r="AI13" s="56">
        <f>IF($C13=Repart_lignes,0,
(SUMIF(Fonctionnement[Affectation matrice],$A13,Fonctionnement[TVA acquittée])+SUMIF(Invest[Affectation matrice],$A13,Invest[TVA acquittée]))*CI13)</f>
        <v>0</v>
      </c>
      <c r="AJ13" s="56">
        <f>IF($C13=Repart_lignes,0,
(SUMIF(Fonctionnement[Affectation matrice],$A13,Fonctionnement[TVA acquittée])+SUMIF(Invest[Affectation matrice],$A13,Invest[TVA acquittée]))*CJ13)</f>
        <v>0</v>
      </c>
      <c r="AK13" s="56">
        <f>IF($C13=Repart_lignes,0,
(SUMIF(Fonctionnement[Affectation matrice],$A13,Fonctionnement[TVA acquittée])+SUMIF(Invest[Affectation matrice],$A13,Invest[TVA acquittée]))*CK13)</f>
        <v>0</v>
      </c>
      <c r="AL13" s="56">
        <f>IF($C13=Repart_lignes,0,
(SUMIF(Fonctionnement[Affectation matrice],$A13,Fonctionnement[TVA acquittée])+SUMIF(Invest[Affectation matrice],$A13,Invest[TVA acquittée]))*CL13)</f>
        <v>0</v>
      </c>
      <c r="AM13" s="56">
        <f>IF($C13=Repart_lignes,0,
(SUMIF(Fonctionnement[Affectation matrice],$A13,Fonctionnement[TVA acquittée])+SUMIF(Invest[Affectation matrice],$A13,Invest[TVA acquittée]))*CM13)</f>
        <v>0</v>
      </c>
      <c r="AN13" s="56">
        <f>IF($C13=Repart_lignes,0,
(SUMIF(Fonctionnement[Affectation matrice],$A13,Fonctionnement[TVA acquittée])+SUMIF(Invest[Affectation matrice],$A13,Invest[TVA acquittée]))*CN13)</f>
        <v>0</v>
      </c>
      <c r="AO13" s="56">
        <f>IF($C13=Repart_lignes,0,
(SUMIF(Fonctionnement[Affectation matrice],$A13,Fonctionnement[TVA acquittée])+SUMIF(Invest[Affectation matrice],$A13,Invest[TVA acquittée]))*CO13)</f>
        <v>0</v>
      </c>
      <c r="AP13" s="56">
        <f>IF($C13=Repart_lignes,0,
(SUMIF(Fonctionnement[Affectation matrice],$A13,Fonctionnement[TVA acquittée])+SUMIF(Invest[Affectation matrice],$A13,Invest[TVA acquittée]))*CP13)</f>
        <v>0</v>
      </c>
      <c r="AQ13" s="56">
        <f>IF($C13=Repart_lignes,0,
(SUMIF(Fonctionnement[Affectation matrice],$A13,Fonctionnement[TVA acquittée])+SUMIF(Invest[Affectation matrice],$A13,Invest[TVA acquittée]))*CQ13)</f>
        <v>0</v>
      </c>
      <c r="AR13" s="56">
        <f>IF($C13=Repart_lignes,0,
(SUMIF(Fonctionnement[Affectation matrice],$A13,Fonctionnement[TVA acquittée])+SUMIF(Invest[Affectation matrice],$A13,Invest[TVA acquittée]))*CR13)</f>
        <v>0</v>
      </c>
      <c r="AS13" s="56">
        <f>IF($C13=Repart_lignes,0,
(SUMIF(Fonctionnement[Affectation matrice],$A13,Fonctionnement[TVA acquittée])+SUMIF(Invest[Affectation matrice],$A13,Invest[TVA acquittée]))*CS13)</f>
        <v>0</v>
      </c>
      <c r="AT13" s="56">
        <f>IF($C13=Repart_lignes,0,
(SUMIF(Fonctionnement[Affectation matrice],$A13,Fonctionnement[TVA acquittée])+SUMIF(Invest[Affectation matrice],$A13,Invest[TVA acquittée]))*CT13)</f>
        <v>0</v>
      </c>
      <c r="AU13" s="56">
        <f>IF($C13=Repart_lignes,0,
(SUMIF(Fonctionnement[Affectation matrice],$A13,Fonctionnement[TVA acquittée])+SUMIF(Invest[Affectation matrice],$A13,Invest[TVA acquittée]))*CU13)</f>
        <v>0</v>
      </c>
      <c r="AV13" s="56">
        <f>IF($C13=Repart_lignes,0,
(SUMIF(Fonctionnement[Affectation matrice],$A13,Fonctionnement[TVA acquittée])+SUMIF(Invest[Affectation matrice],$A13,Invest[TVA acquittée]))*CV13)</f>
        <v>0</v>
      </c>
      <c r="AW13" s="56">
        <f>IF($C13=Repart_lignes,0,
(SUMIF(Fonctionnement[Affectation matrice],$A13,Fonctionnement[TVA acquittée])+SUMIF(Invest[Affectation matrice],$A13,Invest[TVA acquittée]))*CW13)</f>
        <v>0</v>
      </c>
      <c r="AX13" s="56">
        <f>IF($C13=Repart_lignes,0,
(SUMIF(Fonctionnement[Affectation matrice],$A13,Fonctionnement[TVA acquittée])+SUMIF(Invest[Affectation matrice],$A13,Invest[TVA acquittée]))*CX13)</f>
        <v>0</v>
      </c>
      <c r="AY13" s="56">
        <f>IF($C13=Repart_lignes,0,
(SUMIF(Fonctionnement[Affectation matrice],$A13,Fonctionnement[TVA acquittée])+SUMIF(Invest[Affectation matrice],$A13,Invest[TVA acquittée]))*CY13)</f>
        <v>0</v>
      </c>
      <c r="AZ13" s="56">
        <f>IF($C13=Repart_lignes,0,
(SUMIF(Fonctionnement[Affectation matrice],$A13,Fonctionnement[TVA acquittée])+SUMIF(Invest[Affectation matrice],$A13,Invest[TVA acquittée]))*CZ13)</f>
        <v>0</v>
      </c>
      <c r="BA13" s="56">
        <f>IF($C13=Repart_lignes,0,
(SUMIF(Fonctionnement[Affectation matrice],$A13,Fonctionnement[TVA acquittée])+SUMIF(Invest[Affectation matrice],$A13,Invest[TVA acquittée]))*DA13)</f>
        <v>0</v>
      </c>
      <c r="BB13" s="56">
        <f>IF($C13=Repart_lignes,0,
(SUMIF(Fonctionnement[Affectation matrice],$A13,Fonctionnement[TVA acquittée])+SUMIF(Invest[Affectation matrice],$A13,Invest[TVA acquittée]))*DB13)</f>
        <v>0</v>
      </c>
      <c r="BC13" s="56">
        <f>IF($C13=Repart_lignes,0,
(SUMIF(Fonctionnement[Affectation matrice],$A13,Fonctionnement[TVA acquittée])+SUMIF(Invest[Affectation matrice],$A13,Invest[TVA acquittée]))*DC13)</f>
        <v>0</v>
      </c>
      <c r="BD13" s="56">
        <f>IF($C13=Repart_lignes,0,
(SUMIF(Fonctionnement[Affectation matrice],$A13,Fonctionnement[TVA acquittée])+SUMIF(Invest[Affectation matrice],$A13,Invest[TVA acquittée]))*DD13)</f>
        <v>0</v>
      </c>
      <c r="BE13" s="58">
        <f t="shared" si="1"/>
        <v>0</v>
      </c>
      <c r="BF13" s="56">
        <f>IF($C13=Repart_lignes,0,
(SUMIF(Fonctionnement[Affectation matrice],$A13,Fonctionnement[Montant (€HT)])+SUMIF(Invest[Affectation matrice],$A13,Invest[Amortissement HT + intérêts]))*CF13)</f>
        <v>0</v>
      </c>
      <c r="BG13" s="56">
        <f>IF($C13=Repart_lignes,0,
(SUMIF(Fonctionnement[Affectation matrice],$A13,Fonctionnement[Montant (€HT)])+SUMIF(Invest[Affectation matrice],$A13,Invest[Amortissement HT + intérêts]))*CG13)</f>
        <v>0</v>
      </c>
      <c r="BH13" s="56">
        <f>IF($C13=Repart_lignes,0,
(SUMIF(Fonctionnement[Affectation matrice],$A13,Fonctionnement[Montant (€HT)])+SUMIF(Invest[Affectation matrice],$A13,Invest[Amortissement HT + intérêts]))*CH13)</f>
        <v>0</v>
      </c>
      <c r="BI13" s="56">
        <f>IF($C13=Repart_lignes,0,
(SUMIF(Fonctionnement[Affectation matrice],$A13,Fonctionnement[Montant (€HT)])+SUMIF(Invest[Affectation matrice],$A13,Invest[Amortissement HT + intérêts]))*CI13)</f>
        <v>0</v>
      </c>
      <c r="BJ13" s="56">
        <f>IF($C13=Repart_lignes,0,
(SUMIF(Fonctionnement[Affectation matrice],$A13,Fonctionnement[Montant (€HT)])+SUMIF(Invest[Affectation matrice],$A13,Invest[Amortissement HT + intérêts]))*CJ13)</f>
        <v>0</v>
      </c>
      <c r="BK13" s="56">
        <f>IF($C13=Repart_lignes,0,
(SUMIF(Fonctionnement[Affectation matrice],$A13,Fonctionnement[Montant (€HT)])+SUMIF(Invest[Affectation matrice],$A13,Invest[Amortissement HT + intérêts]))*CK13)</f>
        <v>0</v>
      </c>
      <c r="BL13" s="56">
        <f>IF($C13=Repart_lignes,0,
(SUMIF(Fonctionnement[Affectation matrice],$A13,Fonctionnement[Montant (€HT)])+SUMIF(Invest[Affectation matrice],$A13,Invest[Amortissement HT + intérêts]))*CL13)</f>
        <v>0</v>
      </c>
      <c r="BM13" s="56">
        <f>IF($C13=Repart_lignes,0,
(SUMIF(Fonctionnement[Affectation matrice],$A13,Fonctionnement[Montant (€HT)])+SUMIF(Invest[Affectation matrice],$A13,Invest[Amortissement HT + intérêts]))*CM13)</f>
        <v>0</v>
      </c>
      <c r="BN13" s="56">
        <f>IF($C13=Repart_lignes,0,
(SUMIF(Fonctionnement[Affectation matrice],$A13,Fonctionnement[Montant (€HT)])+SUMIF(Invest[Affectation matrice],$A13,Invest[Amortissement HT + intérêts]))*CN13)</f>
        <v>0</v>
      </c>
      <c r="BO13" s="56">
        <f>IF($C13=Repart_lignes,0,
(SUMIF(Fonctionnement[Affectation matrice],$A13,Fonctionnement[Montant (€HT)])+SUMIF(Invest[Affectation matrice],$A13,Invest[Amortissement HT + intérêts]))*CO13)</f>
        <v>0</v>
      </c>
      <c r="BP13" s="56">
        <f>IF($C13=Repart_lignes,0,
(SUMIF(Fonctionnement[Affectation matrice],$A13,Fonctionnement[Montant (€HT)])+SUMIF(Invest[Affectation matrice],$A13,Invest[Amortissement HT + intérêts]))*CP13)</f>
        <v>0</v>
      </c>
      <c r="BQ13" s="56">
        <f>IF($C13=Repart_lignes,0,
(SUMIF(Fonctionnement[Affectation matrice],$A13,Fonctionnement[Montant (€HT)])+SUMIF(Invest[Affectation matrice],$A13,Invest[Amortissement HT + intérêts]))*CQ13)</f>
        <v>0</v>
      </c>
      <c r="BR13" s="56">
        <f>IF($C13=Repart_lignes,0,
(SUMIF(Fonctionnement[Affectation matrice],$A13,Fonctionnement[Montant (€HT)])+SUMIF(Invest[Affectation matrice],$A13,Invest[Amortissement HT + intérêts]))*CR13)</f>
        <v>0</v>
      </c>
      <c r="BS13" s="56">
        <f>IF($C13=Repart_lignes,0,
(SUMIF(Fonctionnement[Affectation matrice],$A13,Fonctionnement[Montant (€HT)])+SUMIF(Invest[Affectation matrice],$A13,Invest[Amortissement HT + intérêts]))*CS13)</f>
        <v>0</v>
      </c>
      <c r="BT13" s="56">
        <f>IF($C13=Repart_lignes,0,
(SUMIF(Fonctionnement[Affectation matrice],$A13,Fonctionnement[Montant (€HT)])+SUMIF(Invest[Affectation matrice],$A13,Invest[Amortissement HT + intérêts]))*CT13)</f>
        <v>0</v>
      </c>
      <c r="BU13" s="56">
        <f>IF($C13=Repart_lignes,0,
(SUMIF(Fonctionnement[Affectation matrice],$A13,Fonctionnement[Montant (€HT)])+SUMIF(Invest[Affectation matrice],$A13,Invest[Amortissement HT + intérêts]))*CU13)</f>
        <v>0</v>
      </c>
      <c r="BV13" s="56">
        <f>IF($C13=Repart_lignes,0,
(SUMIF(Fonctionnement[Affectation matrice],$A13,Fonctionnement[Montant (€HT)])+SUMIF(Invest[Affectation matrice],$A13,Invest[Amortissement HT + intérêts]))*CV13)</f>
        <v>0</v>
      </c>
      <c r="BW13" s="56">
        <f>IF($C13=Repart_lignes,0,
(SUMIF(Fonctionnement[Affectation matrice],$A13,Fonctionnement[Montant (€HT)])+SUMIF(Invest[Affectation matrice],$A13,Invest[Amortissement HT + intérêts]))*CW13)</f>
        <v>0</v>
      </c>
      <c r="BX13" s="56">
        <f>IF($C13=Repart_lignes,0,
(SUMIF(Fonctionnement[Affectation matrice],$A13,Fonctionnement[Montant (€HT)])+SUMIF(Invest[Affectation matrice],$A13,Invest[Amortissement HT + intérêts]))*CX13)</f>
        <v>0</v>
      </c>
      <c r="BY13" s="56">
        <f>IF($C13=Repart_lignes,0,
(SUMIF(Fonctionnement[Affectation matrice],$A13,Fonctionnement[Montant (€HT)])+SUMIF(Invest[Affectation matrice],$A13,Invest[Amortissement HT + intérêts]))*CY13)</f>
        <v>0</v>
      </c>
      <c r="BZ13" s="56">
        <f>IF($C13=Repart_lignes,0,
(SUMIF(Fonctionnement[Affectation matrice],$A13,Fonctionnement[Montant (€HT)])+SUMIF(Invest[Affectation matrice],$A13,Invest[Amortissement HT + intérêts]))*CZ13)</f>
        <v>0</v>
      </c>
      <c r="CA13" s="56">
        <f>IF($C13=Repart_lignes,0,
(SUMIF(Fonctionnement[Affectation matrice],$A13,Fonctionnement[Montant (€HT)])+SUMIF(Invest[Affectation matrice],$A13,Invest[Amortissement HT + intérêts]))*DA13)</f>
        <v>0</v>
      </c>
      <c r="CB13" s="56">
        <f>IF($C13=Repart_lignes,0,
(SUMIF(Fonctionnement[Affectation matrice],$A13,Fonctionnement[Montant (€HT)])+SUMIF(Invest[Affectation matrice],$A13,Invest[Amortissement HT + intérêts]))*DB13)</f>
        <v>0</v>
      </c>
      <c r="CC13" s="56">
        <f>IF($C13=Repart_lignes,0,
(SUMIF(Fonctionnement[Affectation matrice],$A13,Fonctionnement[Montant (€HT)])+SUMIF(Invest[Affectation matrice],$A13,Invest[Amortissement HT + intérêts]))*DC13)</f>
        <v>0</v>
      </c>
      <c r="CD13" s="56">
        <f>IF($C13=Repart_lignes,0,
(SUMIF(Fonctionnement[Affectation matrice],$A13,Fonctionnement[Montant (€HT)])+SUMIF(Invest[Affectation matrice],$A13,Invest[Amortissement HT + intérêts]))*DD13)</f>
        <v>0</v>
      </c>
      <c r="CE13" s="59">
        <f t="shared" si="2"/>
        <v>0</v>
      </c>
      <c r="CF13" s="61">
        <f t="shared" si="3"/>
        <v>0</v>
      </c>
      <c r="CG13" s="61">
        <f t="shared" si="4"/>
        <v>0</v>
      </c>
      <c r="CH13" s="61">
        <f t="shared" si="5"/>
        <v>0</v>
      </c>
      <c r="CI13" s="61">
        <f t="shared" si="6"/>
        <v>0</v>
      </c>
      <c r="CJ13" s="61">
        <f t="shared" si="7"/>
        <v>0</v>
      </c>
      <c r="CK13" s="61">
        <f t="shared" si="8"/>
        <v>0</v>
      </c>
      <c r="CL13" s="61">
        <f t="shared" si="9"/>
        <v>0</v>
      </c>
      <c r="CM13" s="61">
        <f t="shared" si="10"/>
        <v>0</v>
      </c>
      <c r="CN13" s="61">
        <f t="shared" si="11"/>
        <v>0</v>
      </c>
      <c r="CO13" s="61">
        <f t="shared" si="12"/>
        <v>0</v>
      </c>
      <c r="CP13" s="61">
        <f t="shared" si="13"/>
        <v>0</v>
      </c>
      <c r="CQ13" s="61">
        <f t="shared" si="14"/>
        <v>0</v>
      </c>
      <c r="CR13" s="61">
        <f t="shared" si="15"/>
        <v>0</v>
      </c>
      <c r="CS13" s="61">
        <f t="shared" si="16"/>
        <v>0</v>
      </c>
      <c r="CT13" s="61">
        <f t="shared" si="17"/>
        <v>0</v>
      </c>
      <c r="CU13" s="61">
        <f t="shared" si="18"/>
        <v>0</v>
      </c>
      <c r="CV13" s="61">
        <f t="shared" si="19"/>
        <v>0</v>
      </c>
      <c r="CW13" s="61">
        <f t="shared" si="20"/>
        <v>0</v>
      </c>
      <c r="CX13" s="61">
        <f t="shared" si="21"/>
        <v>0</v>
      </c>
      <c r="CY13" s="61">
        <f t="shared" si="22"/>
        <v>0</v>
      </c>
      <c r="CZ13" s="61">
        <f t="shared" si="23"/>
        <v>0</v>
      </c>
      <c r="DA13" s="61">
        <f t="shared" si="24"/>
        <v>0</v>
      </c>
      <c r="DB13" s="61">
        <f t="shared" si="25"/>
        <v>0</v>
      </c>
      <c r="DC13" s="61">
        <f t="shared" si="26"/>
        <v>0</v>
      </c>
      <c r="DD13" s="61">
        <f t="shared" si="27"/>
        <v>0</v>
      </c>
      <c r="DE13" s="61">
        <f t="shared" si="28"/>
        <v>0</v>
      </c>
      <c r="DF13" s="7"/>
    </row>
    <row r="14" spans="1:110" s="22" customFormat="1" x14ac:dyDescent="0.25">
      <c r="A14" s="248"/>
      <c r="B14" s="248"/>
      <c r="C14" s="251"/>
      <c r="D14" s="25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1">
        <f t="shared" si="30"/>
        <v>0</v>
      </c>
      <c r="AE14" s="53" t="str">
        <f t="shared" ca="1" si="29"/>
        <v/>
      </c>
      <c r="AF14" s="56">
        <f>IF($C14=Repart_lignes,0,
(SUMIF(Fonctionnement[Affectation matrice],$A14,Fonctionnement[TVA acquittée])+SUMIF(Invest[Affectation matrice],$A14,Invest[TVA acquittée]))*CF14)</f>
        <v>0</v>
      </c>
      <c r="AG14" s="56">
        <f>IF($C14=Repart_lignes,0,
(SUMIF(Fonctionnement[Affectation matrice],$A14,Fonctionnement[TVA acquittée])+SUMIF(Invest[Affectation matrice],$A14,Invest[TVA acquittée]))*CG14)</f>
        <v>0</v>
      </c>
      <c r="AH14" s="56">
        <f>IF($C14=Repart_lignes,0,
(SUMIF(Fonctionnement[Affectation matrice],$A14,Fonctionnement[TVA acquittée])+SUMIF(Invest[Affectation matrice],$A14,Invest[TVA acquittée]))*CH14)</f>
        <v>0</v>
      </c>
      <c r="AI14" s="56">
        <f>IF($C14=Repart_lignes,0,
(SUMIF(Fonctionnement[Affectation matrice],$A14,Fonctionnement[TVA acquittée])+SUMIF(Invest[Affectation matrice],$A14,Invest[TVA acquittée]))*CI14)</f>
        <v>0</v>
      </c>
      <c r="AJ14" s="56">
        <f>IF($C14=Repart_lignes,0,
(SUMIF(Fonctionnement[Affectation matrice],$A14,Fonctionnement[TVA acquittée])+SUMIF(Invest[Affectation matrice],$A14,Invest[TVA acquittée]))*CJ14)</f>
        <v>0</v>
      </c>
      <c r="AK14" s="56">
        <f>IF($C14=Repart_lignes,0,
(SUMIF(Fonctionnement[Affectation matrice],$A14,Fonctionnement[TVA acquittée])+SUMIF(Invest[Affectation matrice],$A14,Invest[TVA acquittée]))*CK14)</f>
        <v>0</v>
      </c>
      <c r="AL14" s="56">
        <f>IF($C14=Repart_lignes,0,
(SUMIF(Fonctionnement[Affectation matrice],$A14,Fonctionnement[TVA acquittée])+SUMIF(Invest[Affectation matrice],$A14,Invest[TVA acquittée]))*CL14)</f>
        <v>0</v>
      </c>
      <c r="AM14" s="56">
        <f>IF($C14=Repart_lignes,0,
(SUMIF(Fonctionnement[Affectation matrice],$A14,Fonctionnement[TVA acquittée])+SUMIF(Invest[Affectation matrice],$A14,Invest[TVA acquittée]))*CM14)</f>
        <v>0</v>
      </c>
      <c r="AN14" s="56">
        <f>IF($C14=Repart_lignes,0,
(SUMIF(Fonctionnement[Affectation matrice],$A14,Fonctionnement[TVA acquittée])+SUMIF(Invest[Affectation matrice],$A14,Invest[TVA acquittée]))*CN14)</f>
        <v>0</v>
      </c>
      <c r="AO14" s="56">
        <f>IF($C14=Repart_lignes,0,
(SUMIF(Fonctionnement[Affectation matrice],$A14,Fonctionnement[TVA acquittée])+SUMIF(Invest[Affectation matrice],$A14,Invest[TVA acquittée]))*CO14)</f>
        <v>0</v>
      </c>
      <c r="AP14" s="56">
        <f>IF($C14=Repart_lignes,0,
(SUMIF(Fonctionnement[Affectation matrice],$A14,Fonctionnement[TVA acquittée])+SUMIF(Invest[Affectation matrice],$A14,Invest[TVA acquittée]))*CP14)</f>
        <v>0</v>
      </c>
      <c r="AQ14" s="56">
        <f>IF($C14=Repart_lignes,0,
(SUMIF(Fonctionnement[Affectation matrice],$A14,Fonctionnement[TVA acquittée])+SUMIF(Invest[Affectation matrice],$A14,Invest[TVA acquittée]))*CQ14)</f>
        <v>0</v>
      </c>
      <c r="AR14" s="56">
        <f>IF($C14=Repart_lignes,0,
(SUMIF(Fonctionnement[Affectation matrice],$A14,Fonctionnement[TVA acquittée])+SUMIF(Invest[Affectation matrice],$A14,Invest[TVA acquittée]))*CR14)</f>
        <v>0</v>
      </c>
      <c r="AS14" s="56">
        <f>IF($C14=Repart_lignes,0,
(SUMIF(Fonctionnement[Affectation matrice],$A14,Fonctionnement[TVA acquittée])+SUMIF(Invest[Affectation matrice],$A14,Invest[TVA acquittée]))*CS14)</f>
        <v>0</v>
      </c>
      <c r="AT14" s="56">
        <f>IF($C14=Repart_lignes,0,
(SUMIF(Fonctionnement[Affectation matrice],$A14,Fonctionnement[TVA acquittée])+SUMIF(Invest[Affectation matrice],$A14,Invest[TVA acquittée]))*CT14)</f>
        <v>0</v>
      </c>
      <c r="AU14" s="56">
        <f>IF($C14=Repart_lignes,0,
(SUMIF(Fonctionnement[Affectation matrice],$A14,Fonctionnement[TVA acquittée])+SUMIF(Invest[Affectation matrice],$A14,Invest[TVA acquittée]))*CU14)</f>
        <v>0</v>
      </c>
      <c r="AV14" s="56">
        <f>IF($C14=Repart_lignes,0,
(SUMIF(Fonctionnement[Affectation matrice],$A14,Fonctionnement[TVA acquittée])+SUMIF(Invest[Affectation matrice],$A14,Invest[TVA acquittée]))*CV14)</f>
        <v>0</v>
      </c>
      <c r="AW14" s="56">
        <f>IF($C14=Repart_lignes,0,
(SUMIF(Fonctionnement[Affectation matrice],$A14,Fonctionnement[TVA acquittée])+SUMIF(Invest[Affectation matrice],$A14,Invest[TVA acquittée]))*CW14)</f>
        <v>0</v>
      </c>
      <c r="AX14" s="56">
        <f>IF($C14=Repart_lignes,0,
(SUMIF(Fonctionnement[Affectation matrice],$A14,Fonctionnement[TVA acquittée])+SUMIF(Invest[Affectation matrice],$A14,Invest[TVA acquittée]))*CX14)</f>
        <v>0</v>
      </c>
      <c r="AY14" s="56">
        <f>IF($C14=Repart_lignes,0,
(SUMIF(Fonctionnement[Affectation matrice],$A14,Fonctionnement[TVA acquittée])+SUMIF(Invest[Affectation matrice],$A14,Invest[TVA acquittée]))*CY14)</f>
        <v>0</v>
      </c>
      <c r="AZ14" s="56">
        <f>IF($C14=Repart_lignes,0,
(SUMIF(Fonctionnement[Affectation matrice],$A14,Fonctionnement[TVA acquittée])+SUMIF(Invest[Affectation matrice],$A14,Invest[TVA acquittée]))*CZ14)</f>
        <v>0</v>
      </c>
      <c r="BA14" s="56">
        <f>IF($C14=Repart_lignes,0,
(SUMIF(Fonctionnement[Affectation matrice],$A14,Fonctionnement[TVA acquittée])+SUMIF(Invest[Affectation matrice],$A14,Invest[TVA acquittée]))*DA14)</f>
        <v>0</v>
      </c>
      <c r="BB14" s="56">
        <f>IF($C14=Repart_lignes,0,
(SUMIF(Fonctionnement[Affectation matrice],$A14,Fonctionnement[TVA acquittée])+SUMIF(Invest[Affectation matrice],$A14,Invest[TVA acquittée]))*DB14)</f>
        <v>0</v>
      </c>
      <c r="BC14" s="56">
        <f>IF($C14=Repart_lignes,0,
(SUMIF(Fonctionnement[Affectation matrice],$A14,Fonctionnement[TVA acquittée])+SUMIF(Invest[Affectation matrice],$A14,Invest[TVA acquittée]))*DC14)</f>
        <v>0</v>
      </c>
      <c r="BD14" s="56">
        <f>IF($C14=Repart_lignes,0,
(SUMIF(Fonctionnement[Affectation matrice],$A14,Fonctionnement[TVA acquittée])+SUMIF(Invest[Affectation matrice],$A14,Invest[TVA acquittée]))*DD14)</f>
        <v>0</v>
      </c>
      <c r="BE14" s="58">
        <f t="shared" si="1"/>
        <v>0</v>
      </c>
      <c r="BF14" s="56">
        <f>IF($C14=Repart_lignes,0,
(SUMIF(Fonctionnement[Affectation matrice],$A14,Fonctionnement[Montant (€HT)])+SUMIF(Invest[Affectation matrice],$A14,Invest[Amortissement HT + intérêts]))*CF14)</f>
        <v>0</v>
      </c>
      <c r="BG14" s="56">
        <f>IF($C14=Repart_lignes,0,
(SUMIF(Fonctionnement[Affectation matrice],$A14,Fonctionnement[Montant (€HT)])+SUMIF(Invest[Affectation matrice],$A14,Invest[Amortissement HT + intérêts]))*CG14)</f>
        <v>0</v>
      </c>
      <c r="BH14" s="56">
        <f>IF($C14=Repart_lignes,0,
(SUMIF(Fonctionnement[Affectation matrice],$A14,Fonctionnement[Montant (€HT)])+SUMIF(Invest[Affectation matrice],$A14,Invest[Amortissement HT + intérêts]))*CH14)</f>
        <v>0</v>
      </c>
      <c r="BI14" s="56">
        <f>IF($C14=Repart_lignes,0,
(SUMIF(Fonctionnement[Affectation matrice],$A14,Fonctionnement[Montant (€HT)])+SUMIF(Invest[Affectation matrice],$A14,Invest[Amortissement HT + intérêts]))*CI14)</f>
        <v>0</v>
      </c>
      <c r="BJ14" s="56">
        <f>IF($C14=Repart_lignes,0,
(SUMIF(Fonctionnement[Affectation matrice],$A14,Fonctionnement[Montant (€HT)])+SUMIF(Invest[Affectation matrice],$A14,Invest[Amortissement HT + intérêts]))*CJ14)</f>
        <v>0</v>
      </c>
      <c r="BK14" s="56">
        <f>IF($C14=Repart_lignes,0,
(SUMIF(Fonctionnement[Affectation matrice],$A14,Fonctionnement[Montant (€HT)])+SUMIF(Invest[Affectation matrice],$A14,Invest[Amortissement HT + intérêts]))*CK14)</f>
        <v>0</v>
      </c>
      <c r="BL14" s="56">
        <f>IF($C14=Repart_lignes,0,
(SUMIF(Fonctionnement[Affectation matrice],$A14,Fonctionnement[Montant (€HT)])+SUMIF(Invest[Affectation matrice],$A14,Invest[Amortissement HT + intérêts]))*CL14)</f>
        <v>0</v>
      </c>
      <c r="BM14" s="56">
        <f>IF($C14=Repart_lignes,0,
(SUMIF(Fonctionnement[Affectation matrice],$A14,Fonctionnement[Montant (€HT)])+SUMIF(Invest[Affectation matrice],$A14,Invest[Amortissement HT + intérêts]))*CM14)</f>
        <v>0</v>
      </c>
      <c r="BN14" s="56">
        <f>IF($C14=Repart_lignes,0,
(SUMIF(Fonctionnement[Affectation matrice],$A14,Fonctionnement[Montant (€HT)])+SUMIF(Invest[Affectation matrice],$A14,Invest[Amortissement HT + intérêts]))*CN14)</f>
        <v>0</v>
      </c>
      <c r="BO14" s="56">
        <f>IF($C14=Repart_lignes,0,
(SUMIF(Fonctionnement[Affectation matrice],$A14,Fonctionnement[Montant (€HT)])+SUMIF(Invest[Affectation matrice],$A14,Invest[Amortissement HT + intérêts]))*CO14)</f>
        <v>0</v>
      </c>
      <c r="BP14" s="56">
        <f>IF($C14=Repart_lignes,0,
(SUMIF(Fonctionnement[Affectation matrice],$A14,Fonctionnement[Montant (€HT)])+SUMIF(Invest[Affectation matrice],$A14,Invest[Amortissement HT + intérêts]))*CP14)</f>
        <v>0</v>
      </c>
      <c r="BQ14" s="56">
        <f>IF($C14=Repart_lignes,0,
(SUMIF(Fonctionnement[Affectation matrice],$A14,Fonctionnement[Montant (€HT)])+SUMIF(Invest[Affectation matrice],$A14,Invest[Amortissement HT + intérêts]))*CQ14)</f>
        <v>0</v>
      </c>
      <c r="BR14" s="56">
        <f>IF($C14=Repart_lignes,0,
(SUMIF(Fonctionnement[Affectation matrice],$A14,Fonctionnement[Montant (€HT)])+SUMIF(Invest[Affectation matrice],$A14,Invest[Amortissement HT + intérêts]))*CR14)</f>
        <v>0</v>
      </c>
      <c r="BS14" s="56">
        <f>IF($C14=Repart_lignes,0,
(SUMIF(Fonctionnement[Affectation matrice],$A14,Fonctionnement[Montant (€HT)])+SUMIF(Invest[Affectation matrice],$A14,Invest[Amortissement HT + intérêts]))*CS14)</f>
        <v>0</v>
      </c>
      <c r="BT14" s="56">
        <f>IF($C14=Repart_lignes,0,
(SUMIF(Fonctionnement[Affectation matrice],$A14,Fonctionnement[Montant (€HT)])+SUMIF(Invest[Affectation matrice],$A14,Invest[Amortissement HT + intérêts]))*CT14)</f>
        <v>0</v>
      </c>
      <c r="BU14" s="56">
        <f>IF($C14=Repart_lignes,0,
(SUMIF(Fonctionnement[Affectation matrice],$A14,Fonctionnement[Montant (€HT)])+SUMIF(Invest[Affectation matrice],$A14,Invest[Amortissement HT + intérêts]))*CU14)</f>
        <v>0</v>
      </c>
      <c r="BV14" s="56">
        <f>IF($C14=Repart_lignes,0,
(SUMIF(Fonctionnement[Affectation matrice],$A14,Fonctionnement[Montant (€HT)])+SUMIF(Invest[Affectation matrice],$A14,Invest[Amortissement HT + intérêts]))*CV14)</f>
        <v>0</v>
      </c>
      <c r="BW14" s="56">
        <f>IF($C14=Repart_lignes,0,
(SUMIF(Fonctionnement[Affectation matrice],$A14,Fonctionnement[Montant (€HT)])+SUMIF(Invest[Affectation matrice],$A14,Invest[Amortissement HT + intérêts]))*CW14)</f>
        <v>0</v>
      </c>
      <c r="BX14" s="56">
        <f>IF($C14=Repart_lignes,0,
(SUMIF(Fonctionnement[Affectation matrice],$A14,Fonctionnement[Montant (€HT)])+SUMIF(Invest[Affectation matrice],$A14,Invest[Amortissement HT + intérêts]))*CX14)</f>
        <v>0</v>
      </c>
      <c r="BY14" s="56">
        <f>IF($C14=Repart_lignes,0,
(SUMIF(Fonctionnement[Affectation matrice],$A14,Fonctionnement[Montant (€HT)])+SUMIF(Invest[Affectation matrice],$A14,Invest[Amortissement HT + intérêts]))*CY14)</f>
        <v>0</v>
      </c>
      <c r="BZ14" s="56">
        <f>IF($C14=Repart_lignes,0,
(SUMIF(Fonctionnement[Affectation matrice],$A14,Fonctionnement[Montant (€HT)])+SUMIF(Invest[Affectation matrice],$A14,Invest[Amortissement HT + intérêts]))*CZ14)</f>
        <v>0</v>
      </c>
      <c r="CA14" s="56">
        <f>IF($C14=Repart_lignes,0,
(SUMIF(Fonctionnement[Affectation matrice],$A14,Fonctionnement[Montant (€HT)])+SUMIF(Invest[Affectation matrice],$A14,Invest[Amortissement HT + intérêts]))*DA14)</f>
        <v>0</v>
      </c>
      <c r="CB14" s="56">
        <f>IF($C14=Repart_lignes,0,
(SUMIF(Fonctionnement[Affectation matrice],$A14,Fonctionnement[Montant (€HT)])+SUMIF(Invest[Affectation matrice],$A14,Invest[Amortissement HT + intérêts]))*DB14)</f>
        <v>0</v>
      </c>
      <c r="CC14" s="56">
        <f>IF($C14=Repart_lignes,0,
(SUMIF(Fonctionnement[Affectation matrice],$A14,Fonctionnement[Montant (€HT)])+SUMIF(Invest[Affectation matrice],$A14,Invest[Amortissement HT + intérêts]))*DC14)</f>
        <v>0</v>
      </c>
      <c r="CD14" s="56">
        <f>IF($C14=Repart_lignes,0,
(SUMIF(Fonctionnement[Affectation matrice],$A14,Fonctionnement[Montant (€HT)])+SUMIF(Invest[Affectation matrice],$A14,Invest[Amortissement HT + intérêts]))*DD14)</f>
        <v>0</v>
      </c>
      <c r="CE14" s="59">
        <f t="shared" si="2"/>
        <v>0</v>
      </c>
      <c r="CF14" s="61">
        <f t="shared" si="3"/>
        <v>0</v>
      </c>
      <c r="CG14" s="61">
        <f t="shared" si="4"/>
        <v>0</v>
      </c>
      <c r="CH14" s="61">
        <f t="shared" si="5"/>
        <v>0</v>
      </c>
      <c r="CI14" s="61">
        <f t="shared" si="6"/>
        <v>0</v>
      </c>
      <c r="CJ14" s="61">
        <f t="shared" si="7"/>
        <v>0</v>
      </c>
      <c r="CK14" s="61">
        <f t="shared" si="8"/>
        <v>0</v>
      </c>
      <c r="CL14" s="61">
        <f t="shared" si="9"/>
        <v>0</v>
      </c>
      <c r="CM14" s="61">
        <f t="shared" si="10"/>
        <v>0</v>
      </c>
      <c r="CN14" s="61">
        <f t="shared" si="11"/>
        <v>0</v>
      </c>
      <c r="CO14" s="61">
        <f t="shared" si="12"/>
        <v>0</v>
      </c>
      <c r="CP14" s="61">
        <f t="shared" si="13"/>
        <v>0</v>
      </c>
      <c r="CQ14" s="61">
        <f t="shared" si="14"/>
        <v>0</v>
      </c>
      <c r="CR14" s="61">
        <f t="shared" si="15"/>
        <v>0</v>
      </c>
      <c r="CS14" s="61">
        <f t="shared" si="16"/>
        <v>0</v>
      </c>
      <c r="CT14" s="61">
        <f t="shared" si="17"/>
        <v>0</v>
      </c>
      <c r="CU14" s="61">
        <f t="shared" si="18"/>
        <v>0</v>
      </c>
      <c r="CV14" s="61">
        <f t="shared" si="19"/>
        <v>0</v>
      </c>
      <c r="CW14" s="61">
        <f t="shared" si="20"/>
        <v>0</v>
      </c>
      <c r="CX14" s="61">
        <f t="shared" si="21"/>
        <v>0</v>
      </c>
      <c r="CY14" s="61">
        <f t="shared" si="22"/>
        <v>0</v>
      </c>
      <c r="CZ14" s="61">
        <f t="shared" si="23"/>
        <v>0</v>
      </c>
      <c r="DA14" s="61">
        <f t="shared" si="24"/>
        <v>0</v>
      </c>
      <c r="DB14" s="61">
        <f t="shared" si="25"/>
        <v>0</v>
      </c>
      <c r="DC14" s="61">
        <f t="shared" si="26"/>
        <v>0</v>
      </c>
      <c r="DD14" s="61">
        <f t="shared" si="27"/>
        <v>0</v>
      </c>
      <c r="DE14" s="61">
        <f t="shared" si="28"/>
        <v>0</v>
      </c>
      <c r="DF14" s="7"/>
    </row>
    <row r="15" spans="1:110" x14ac:dyDescent="0.25">
      <c r="A15" s="248"/>
      <c r="B15" s="248"/>
      <c r="C15" s="251"/>
      <c r="D15" s="25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1">
        <f t="shared" si="30"/>
        <v>0</v>
      </c>
      <c r="AE15" s="53" t="str">
        <f t="shared" ca="1" si="29"/>
        <v/>
      </c>
      <c r="AF15" s="56">
        <f>IF($C15=Repart_lignes,0,
(SUMIF(Fonctionnement[Affectation matrice],$A15,Fonctionnement[TVA acquittée])+SUMIF(Invest[Affectation matrice],$A15,Invest[TVA acquittée]))*CF15)</f>
        <v>0</v>
      </c>
      <c r="AG15" s="56">
        <f>IF($C15=Repart_lignes,0,
(SUMIF(Fonctionnement[Affectation matrice],$A15,Fonctionnement[TVA acquittée])+SUMIF(Invest[Affectation matrice],$A15,Invest[TVA acquittée]))*CG15)</f>
        <v>0</v>
      </c>
      <c r="AH15" s="56">
        <f>IF($C15=Repart_lignes,0,
(SUMIF(Fonctionnement[Affectation matrice],$A15,Fonctionnement[TVA acquittée])+SUMIF(Invest[Affectation matrice],$A15,Invest[TVA acquittée]))*CH15)</f>
        <v>0</v>
      </c>
      <c r="AI15" s="56">
        <f>IF($C15=Repart_lignes,0,
(SUMIF(Fonctionnement[Affectation matrice],$A15,Fonctionnement[TVA acquittée])+SUMIF(Invest[Affectation matrice],$A15,Invest[TVA acquittée]))*CI15)</f>
        <v>0</v>
      </c>
      <c r="AJ15" s="56">
        <f>IF($C15=Repart_lignes,0,
(SUMIF(Fonctionnement[Affectation matrice],$A15,Fonctionnement[TVA acquittée])+SUMIF(Invest[Affectation matrice],$A15,Invest[TVA acquittée]))*CJ15)</f>
        <v>0</v>
      </c>
      <c r="AK15" s="56">
        <f>IF($C15=Repart_lignes,0,
(SUMIF(Fonctionnement[Affectation matrice],$A15,Fonctionnement[TVA acquittée])+SUMIF(Invest[Affectation matrice],$A15,Invest[TVA acquittée]))*CK15)</f>
        <v>0</v>
      </c>
      <c r="AL15" s="56">
        <f>IF($C15=Repart_lignes,0,
(SUMIF(Fonctionnement[Affectation matrice],$A15,Fonctionnement[TVA acquittée])+SUMIF(Invest[Affectation matrice],$A15,Invest[TVA acquittée]))*CL15)</f>
        <v>0</v>
      </c>
      <c r="AM15" s="56">
        <f>IF($C15=Repart_lignes,0,
(SUMIF(Fonctionnement[Affectation matrice],$A15,Fonctionnement[TVA acquittée])+SUMIF(Invest[Affectation matrice],$A15,Invest[TVA acquittée]))*CM15)</f>
        <v>0</v>
      </c>
      <c r="AN15" s="56">
        <f>IF($C15=Repart_lignes,0,
(SUMIF(Fonctionnement[Affectation matrice],$A15,Fonctionnement[TVA acquittée])+SUMIF(Invest[Affectation matrice],$A15,Invest[TVA acquittée]))*CN15)</f>
        <v>0</v>
      </c>
      <c r="AO15" s="56">
        <f>IF($C15=Repart_lignes,0,
(SUMIF(Fonctionnement[Affectation matrice],$A15,Fonctionnement[TVA acquittée])+SUMIF(Invest[Affectation matrice],$A15,Invest[TVA acquittée]))*CO15)</f>
        <v>0</v>
      </c>
      <c r="AP15" s="56">
        <f>IF($C15=Repart_lignes,0,
(SUMIF(Fonctionnement[Affectation matrice],$A15,Fonctionnement[TVA acquittée])+SUMIF(Invest[Affectation matrice],$A15,Invest[TVA acquittée]))*CP15)</f>
        <v>0</v>
      </c>
      <c r="AQ15" s="56">
        <f>IF($C15=Repart_lignes,0,
(SUMIF(Fonctionnement[Affectation matrice],$A15,Fonctionnement[TVA acquittée])+SUMIF(Invest[Affectation matrice],$A15,Invest[TVA acquittée]))*CQ15)</f>
        <v>0</v>
      </c>
      <c r="AR15" s="56">
        <f>IF($C15=Repart_lignes,0,
(SUMIF(Fonctionnement[Affectation matrice],$A15,Fonctionnement[TVA acquittée])+SUMIF(Invest[Affectation matrice],$A15,Invest[TVA acquittée]))*CR15)</f>
        <v>0</v>
      </c>
      <c r="AS15" s="56">
        <f>IF($C15=Repart_lignes,0,
(SUMIF(Fonctionnement[Affectation matrice],$A15,Fonctionnement[TVA acquittée])+SUMIF(Invest[Affectation matrice],$A15,Invest[TVA acquittée]))*CS15)</f>
        <v>0</v>
      </c>
      <c r="AT15" s="56">
        <f>IF($C15=Repart_lignes,0,
(SUMIF(Fonctionnement[Affectation matrice],$A15,Fonctionnement[TVA acquittée])+SUMIF(Invest[Affectation matrice],$A15,Invest[TVA acquittée]))*CT15)</f>
        <v>0</v>
      </c>
      <c r="AU15" s="56">
        <f>IF($C15=Repart_lignes,0,
(SUMIF(Fonctionnement[Affectation matrice],$A15,Fonctionnement[TVA acquittée])+SUMIF(Invest[Affectation matrice],$A15,Invest[TVA acquittée]))*CU15)</f>
        <v>0</v>
      </c>
      <c r="AV15" s="56">
        <f>IF($C15=Repart_lignes,0,
(SUMIF(Fonctionnement[Affectation matrice],$A15,Fonctionnement[TVA acquittée])+SUMIF(Invest[Affectation matrice],$A15,Invest[TVA acquittée]))*CV15)</f>
        <v>0</v>
      </c>
      <c r="AW15" s="56">
        <f>IF($C15=Repart_lignes,0,
(SUMIF(Fonctionnement[Affectation matrice],$A15,Fonctionnement[TVA acquittée])+SUMIF(Invest[Affectation matrice],$A15,Invest[TVA acquittée]))*CW15)</f>
        <v>0</v>
      </c>
      <c r="AX15" s="56">
        <f>IF($C15=Repart_lignes,0,
(SUMIF(Fonctionnement[Affectation matrice],$A15,Fonctionnement[TVA acquittée])+SUMIF(Invest[Affectation matrice],$A15,Invest[TVA acquittée]))*CX15)</f>
        <v>0</v>
      </c>
      <c r="AY15" s="56">
        <f>IF($C15=Repart_lignes,0,
(SUMIF(Fonctionnement[Affectation matrice],$A15,Fonctionnement[TVA acquittée])+SUMIF(Invest[Affectation matrice],$A15,Invest[TVA acquittée]))*CY15)</f>
        <v>0</v>
      </c>
      <c r="AZ15" s="56">
        <f>IF($C15=Repart_lignes,0,
(SUMIF(Fonctionnement[Affectation matrice],$A15,Fonctionnement[TVA acquittée])+SUMIF(Invest[Affectation matrice],$A15,Invest[TVA acquittée]))*CZ15)</f>
        <v>0</v>
      </c>
      <c r="BA15" s="56">
        <f>IF($C15=Repart_lignes,0,
(SUMIF(Fonctionnement[Affectation matrice],$A15,Fonctionnement[TVA acquittée])+SUMIF(Invest[Affectation matrice],$A15,Invest[TVA acquittée]))*DA15)</f>
        <v>0</v>
      </c>
      <c r="BB15" s="56">
        <f>IF($C15=Repart_lignes,0,
(SUMIF(Fonctionnement[Affectation matrice],$A15,Fonctionnement[TVA acquittée])+SUMIF(Invest[Affectation matrice],$A15,Invest[TVA acquittée]))*DB15)</f>
        <v>0</v>
      </c>
      <c r="BC15" s="56">
        <f>IF($C15=Repart_lignes,0,
(SUMIF(Fonctionnement[Affectation matrice],$A15,Fonctionnement[TVA acquittée])+SUMIF(Invest[Affectation matrice],$A15,Invest[TVA acquittée]))*DC15)</f>
        <v>0</v>
      </c>
      <c r="BD15" s="56">
        <f>IF($C15=Repart_lignes,0,
(SUMIF(Fonctionnement[Affectation matrice],$A15,Fonctionnement[TVA acquittée])+SUMIF(Invest[Affectation matrice],$A15,Invest[TVA acquittée]))*DD15)</f>
        <v>0</v>
      </c>
      <c r="BE15" s="56">
        <f t="shared" si="1"/>
        <v>0</v>
      </c>
      <c r="BF15" s="56">
        <f>IF($C15=Repart_lignes,0,
(SUMIF(Fonctionnement[Affectation matrice],$A15,Fonctionnement[Montant (€HT)])+SUMIF(Invest[Affectation matrice],$A15,Invest[Amortissement HT + intérêts]))*CF15)</f>
        <v>0</v>
      </c>
      <c r="BG15" s="56">
        <f>IF($C15=Repart_lignes,0,
(SUMIF(Fonctionnement[Affectation matrice],$A15,Fonctionnement[Montant (€HT)])+SUMIF(Invest[Affectation matrice],$A15,Invest[Amortissement HT + intérêts]))*CG15)</f>
        <v>0</v>
      </c>
      <c r="BH15" s="56">
        <f>IF($C15=Repart_lignes,0,
(SUMIF(Fonctionnement[Affectation matrice],$A15,Fonctionnement[Montant (€HT)])+SUMIF(Invest[Affectation matrice],$A15,Invest[Amortissement HT + intérêts]))*CH15)</f>
        <v>0</v>
      </c>
      <c r="BI15" s="56">
        <f>IF($C15=Repart_lignes,0,
(SUMIF(Fonctionnement[Affectation matrice],$A15,Fonctionnement[Montant (€HT)])+SUMIF(Invest[Affectation matrice],$A15,Invest[Amortissement HT + intérêts]))*CI15)</f>
        <v>0</v>
      </c>
      <c r="BJ15" s="56">
        <f>IF($C15=Repart_lignes,0,
(SUMIF(Fonctionnement[Affectation matrice],$A15,Fonctionnement[Montant (€HT)])+SUMIF(Invest[Affectation matrice],$A15,Invest[Amortissement HT + intérêts]))*CJ15)</f>
        <v>0</v>
      </c>
      <c r="BK15" s="56">
        <f>IF($C15=Repart_lignes,0,
(SUMIF(Fonctionnement[Affectation matrice],$A15,Fonctionnement[Montant (€HT)])+SUMIF(Invest[Affectation matrice],$A15,Invest[Amortissement HT + intérêts]))*CK15)</f>
        <v>0</v>
      </c>
      <c r="BL15" s="56">
        <f>IF($C15=Repart_lignes,0,
(SUMIF(Fonctionnement[Affectation matrice],$A15,Fonctionnement[Montant (€HT)])+SUMIF(Invest[Affectation matrice],$A15,Invest[Amortissement HT + intérêts]))*CL15)</f>
        <v>0</v>
      </c>
      <c r="BM15" s="56">
        <f>IF($C15=Repart_lignes,0,
(SUMIF(Fonctionnement[Affectation matrice],$A15,Fonctionnement[Montant (€HT)])+SUMIF(Invest[Affectation matrice],$A15,Invest[Amortissement HT + intérêts]))*CM15)</f>
        <v>0</v>
      </c>
      <c r="BN15" s="56">
        <f>IF($C15=Repart_lignes,0,
(SUMIF(Fonctionnement[Affectation matrice],$A15,Fonctionnement[Montant (€HT)])+SUMIF(Invest[Affectation matrice],$A15,Invest[Amortissement HT + intérêts]))*CN15)</f>
        <v>0</v>
      </c>
      <c r="BO15" s="56">
        <f>IF($C15=Repart_lignes,0,
(SUMIF(Fonctionnement[Affectation matrice],$A15,Fonctionnement[Montant (€HT)])+SUMIF(Invest[Affectation matrice],$A15,Invest[Amortissement HT + intérêts]))*CO15)</f>
        <v>0</v>
      </c>
      <c r="BP15" s="56">
        <f>IF($C15=Repart_lignes,0,
(SUMIF(Fonctionnement[Affectation matrice],$A15,Fonctionnement[Montant (€HT)])+SUMIF(Invest[Affectation matrice],$A15,Invest[Amortissement HT + intérêts]))*CP15)</f>
        <v>0</v>
      </c>
      <c r="BQ15" s="56">
        <f>IF($C15=Repart_lignes,0,
(SUMIF(Fonctionnement[Affectation matrice],$A15,Fonctionnement[Montant (€HT)])+SUMIF(Invest[Affectation matrice],$A15,Invest[Amortissement HT + intérêts]))*CQ15)</f>
        <v>0</v>
      </c>
      <c r="BR15" s="56">
        <f>IF($C15=Repart_lignes,0,
(SUMIF(Fonctionnement[Affectation matrice],$A15,Fonctionnement[Montant (€HT)])+SUMIF(Invest[Affectation matrice],$A15,Invest[Amortissement HT + intérêts]))*CR15)</f>
        <v>0</v>
      </c>
      <c r="BS15" s="56">
        <f>IF($C15=Repart_lignes,0,
(SUMIF(Fonctionnement[Affectation matrice],$A15,Fonctionnement[Montant (€HT)])+SUMIF(Invest[Affectation matrice],$A15,Invest[Amortissement HT + intérêts]))*CS15)</f>
        <v>0</v>
      </c>
      <c r="BT15" s="56">
        <f>IF($C15=Repart_lignes,0,
(SUMIF(Fonctionnement[Affectation matrice],$A15,Fonctionnement[Montant (€HT)])+SUMIF(Invest[Affectation matrice],$A15,Invest[Amortissement HT + intérêts]))*CT15)</f>
        <v>0</v>
      </c>
      <c r="BU15" s="56">
        <f>IF($C15=Repart_lignes,0,
(SUMIF(Fonctionnement[Affectation matrice],$A15,Fonctionnement[Montant (€HT)])+SUMIF(Invest[Affectation matrice],$A15,Invest[Amortissement HT + intérêts]))*CU15)</f>
        <v>0</v>
      </c>
      <c r="BV15" s="56">
        <f>IF($C15=Repart_lignes,0,
(SUMIF(Fonctionnement[Affectation matrice],$A15,Fonctionnement[Montant (€HT)])+SUMIF(Invest[Affectation matrice],$A15,Invest[Amortissement HT + intérêts]))*CV15)</f>
        <v>0</v>
      </c>
      <c r="BW15" s="56">
        <f>IF($C15=Repart_lignes,0,
(SUMIF(Fonctionnement[Affectation matrice],$A15,Fonctionnement[Montant (€HT)])+SUMIF(Invest[Affectation matrice],$A15,Invest[Amortissement HT + intérêts]))*CW15)</f>
        <v>0</v>
      </c>
      <c r="BX15" s="56">
        <f>IF($C15=Repart_lignes,0,
(SUMIF(Fonctionnement[Affectation matrice],$A15,Fonctionnement[Montant (€HT)])+SUMIF(Invest[Affectation matrice],$A15,Invest[Amortissement HT + intérêts]))*CX15)</f>
        <v>0</v>
      </c>
      <c r="BY15" s="56">
        <f>IF($C15=Repart_lignes,0,
(SUMIF(Fonctionnement[Affectation matrice],$A15,Fonctionnement[Montant (€HT)])+SUMIF(Invest[Affectation matrice],$A15,Invest[Amortissement HT + intérêts]))*CY15)</f>
        <v>0</v>
      </c>
      <c r="BZ15" s="56">
        <f>IF($C15=Repart_lignes,0,
(SUMIF(Fonctionnement[Affectation matrice],$A15,Fonctionnement[Montant (€HT)])+SUMIF(Invest[Affectation matrice],$A15,Invest[Amortissement HT + intérêts]))*CZ15)</f>
        <v>0</v>
      </c>
      <c r="CA15" s="56">
        <f>IF($C15=Repart_lignes,0,
(SUMIF(Fonctionnement[Affectation matrice],$A15,Fonctionnement[Montant (€HT)])+SUMIF(Invest[Affectation matrice],$A15,Invest[Amortissement HT + intérêts]))*DA15)</f>
        <v>0</v>
      </c>
      <c r="CB15" s="56">
        <f>IF($C15=Repart_lignes,0,
(SUMIF(Fonctionnement[Affectation matrice],$A15,Fonctionnement[Montant (€HT)])+SUMIF(Invest[Affectation matrice],$A15,Invest[Amortissement HT + intérêts]))*DB15)</f>
        <v>0</v>
      </c>
      <c r="CC15" s="56">
        <f>IF($C15=Repart_lignes,0,
(SUMIF(Fonctionnement[Affectation matrice],$A15,Fonctionnement[Montant (€HT)])+SUMIF(Invest[Affectation matrice],$A15,Invest[Amortissement HT + intérêts]))*DC15)</f>
        <v>0</v>
      </c>
      <c r="CD15" s="56">
        <f>IF($C15=Repart_lignes,0,
(SUMIF(Fonctionnement[Affectation matrice],$A15,Fonctionnement[Montant (€HT)])+SUMIF(Invest[Affectation matrice],$A15,Invest[Amortissement HT + intérêts]))*DD15)</f>
        <v>0</v>
      </c>
      <c r="CE15" s="57">
        <f t="shared" si="2"/>
        <v>0</v>
      </c>
      <c r="CF15" s="61">
        <f t="shared" si="3"/>
        <v>0</v>
      </c>
      <c r="CG15" s="61">
        <f t="shared" si="4"/>
        <v>0</v>
      </c>
      <c r="CH15" s="61">
        <f t="shared" si="5"/>
        <v>0</v>
      </c>
      <c r="CI15" s="61">
        <f t="shared" si="6"/>
        <v>0</v>
      </c>
      <c r="CJ15" s="61">
        <f t="shared" si="7"/>
        <v>0</v>
      </c>
      <c r="CK15" s="61">
        <f t="shared" si="8"/>
        <v>0</v>
      </c>
      <c r="CL15" s="61">
        <f t="shared" si="9"/>
        <v>0</v>
      </c>
      <c r="CM15" s="61">
        <f t="shared" si="10"/>
        <v>0</v>
      </c>
      <c r="CN15" s="61">
        <f t="shared" si="11"/>
        <v>0</v>
      </c>
      <c r="CO15" s="61">
        <f t="shared" si="12"/>
        <v>0</v>
      </c>
      <c r="CP15" s="61">
        <f t="shared" si="13"/>
        <v>0</v>
      </c>
      <c r="CQ15" s="61">
        <f t="shared" si="14"/>
        <v>0</v>
      </c>
      <c r="CR15" s="61">
        <f t="shared" si="15"/>
        <v>0</v>
      </c>
      <c r="CS15" s="61">
        <f t="shared" si="16"/>
        <v>0</v>
      </c>
      <c r="CT15" s="61">
        <f t="shared" si="17"/>
        <v>0</v>
      </c>
      <c r="CU15" s="61">
        <f t="shared" si="18"/>
        <v>0</v>
      </c>
      <c r="CV15" s="61">
        <f t="shared" si="19"/>
        <v>0</v>
      </c>
      <c r="CW15" s="61">
        <f t="shared" si="20"/>
        <v>0</v>
      </c>
      <c r="CX15" s="61">
        <f t="shared" si="21"/>
        <v>0</v>
      </c>
      <c r="CY15" s="61">
        <f t="shared" si="22"/>
        <v>0</v>
      </c>
      <c r="CZ15" s="61">
        <f t="shared" si="23"/>
        <v>0</v>
      </c>
      <c r="DA15" s="61">
        <f t="shared" si="24"/>
        <v>0</v>
      </c>
      <c r="DB15" s="61">
        <f t="shared" si="25"/>
        <v>0</v>
      </c>
      <c r="DC15" s="61">
        <f t="shared" si="26"/>
        <v>0</v>
      </c>
      <c r="DD15" s="61">
        <f t="shared" si="27"/>
        <v>0</v>
      </c>
      <c r="DE15" s="61">
        <f t="shared" si="28"/>
        <v>0</v>
      </c>
    </row>
    <row r="16" spans="1:110" x14ac:dyDescent="0.25">
      <c r="A16" s="248"/>
      <c r="B16" s="248"/>
      <c r="C16" s="251"/>
      <c r="D16" s="25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1">
        <f t="shared" si="30"/>
        <v>0</v>
      </c>
      <c r="AE16" s="53" t="str">
        <f t="shared" ca="1" si="29"/>
        <v/>
      </c>
      <c r="AF16" s="56">
        <f>IF($C16=Repart_lignes,0,
(SUMIF(Fonctionnement[Affectation matrice],$A16,Fonctionnement[TVA acquittée])+SUMIF(Invest[Affectation matrice],$A16,Invest[TVA acquittée]))*CF16)</f>
        <v>0</v>
      </c>
      <c r="AG16" s="56">
        <f>IF($C16=Repart_lignes,0,
(SUMIF(Fonctionnement[Affectation matrice],$A16,Fonctionnement[TVA acquittée])+SUMIF(Invest[Affectation matrice],$A16,Invest[TVA acquittée]))*CG16)</f>
        <v>0</v>
      </c>
      <c r="AH16" s="56">
        <f>IF($C16=Repart_lignes,0,
(SUMIF(Fonctionnement[Affectation matrice],$A16,Fonctionnement[TVA acquittée])+SUMIF(Invest[Affectation matrice],$A16,Invest[TVA acquittée]))*CH16)</f>
        <v>0</v>
      </c>
      <c r="AI16" s="56">
        <f>IF($C16=Repart_lignes,0,
(SUMIF(Fonctionnement[Affectation matrice],$A16,Fonctionnement[TVA acquittée])+SUMIF(Invest[Affectation matrice],$A16,Invest[TVA acquittée]))*CI16)</f>
        <v>0</v>
      </c>
      <c r="AJ16" s="56">
        <f>IF($C16=Repart_lignes,0,
(SUMIF(Fonctionnement[Affectation matrice],$A16,Fonctionnement[TVA acquittée])+SUMIF(Invest[Affectation matrice],$A16,Invest[TVA acquittée]))*CJ16)</f>
        <v>0</v>
      </c>
      <c r="AK16" s="56">
        <f>IF($C16=Repart_lignes,0,
(SUMIF(Fonctionnement[Affectation matrice],$A16,Fonctionnement[TVA acquittée])+SUMIF(Invest[Affectation matrice],$A16,Invest[TVA acquittée]))*CK16)</f>
        <v>0</v>
      </c>
      <c r="AL16" s="56">
        <f>IF($C16=Repart_lignes,0,
(SUMIF(Fonctionnement[Affectation matrice],$A16,Fonctionnement[TVA acquittée])+SUMIF(Invest[Affectation matrice],$A16,Invest[TVA acquittée]))*CL16)</f>
        <v>0</v>
      </c>
      <c r="AM16" s="56">
        <f>IF($C16=Repart_lignes,0,
(SUMIF(Fonctionnement[Affectation matrice],$A16,Fonctionnement[TVA acquittée])+SUMIF(Invest[Affectation matrice],$A16,Invest[TVA acquittée]))*CM16)</f>
        <v>0</v>
      </c>
      <c r="AN16" s="56">
        <f>IF($C16=Repart_lignes,0,
(SUMIF(Fonctionnement[Affectation matrice],$A16,Fonctionnement[TVA acquittée])+SUMIF(Invest[Affectation matrice],$A16,Invest[TVA acquittée]))*CN16)</f>
        <v>0</v>
      </c>
      <c r="AO16" s="56">
        <f>IF($C16=Repart_lignes,0,
(SUMIF(Fonctionnement[Affectation matrice],$A16,Fonctionnement[TVA acquittée])+SUMIF(Invest[Affectation matrice],$A16,Invest[TVA acquittée]))*CO16)</f>
        <v>0</v>
      </c>
      <c r="AP16" s="56">
        <f>IF($C16=Repart_lignes,0,
(SUMIF(Fonctionnement[Affectation matrice],$A16,Fonctionnement[TVA acquittée])+SUMIF(Invest[Affectation matrice],$A16,Invest[TVA acquittée]))*CP16)</f>
        <v>0</v>
      </c>
      <c r="AQ16" s="56">
        <f>IF($C16=Repart_lignes,0,
(SUMIF(Fonctionnement[Affectation matrice],$A16,Fonctionnement[TVA acquittée])+SUMIF(Invest[Affectation matrice],$A16,Invest[TVA acquittée]))*CQ16)</f>
        <v>0</v>
      </c>
      <c r="AR16" s="56">
        <f>IF($C16=Repart_lignes,0,
(SUMIF(Fonctionnement[Affectation matrice],$A16,Fonctionnement[TVA acquittée])+SUMIF(Invest[Affectation matrice],$A16,Invest[TVA acquittée]))*CR16)</f>
        <v>0</v>
      </c>
      <c r="AS16" s="56">
        <f>IF($C16=Repart_lignes,0,
(SUMIF(Fonctionnement[Affectation matrice],$A16,Fonctionnement[TVA acquittée])+SUMIF(Invest[Affectation matrice],$A16,Invest[TVA acquittée]))*CS16)</f>
        <v>0</v>
      </c>
      <c r="AT16" s="56">
        <f>IF($C16=Repart_lignes,0,
(SUMIF(Fonctionnement[Affectation matrice],$A16,Fonctionnement[TVA acquittée])+SUMIF(Invest[Affectation matrice],$A16,Invest[TVA acquittée]))*CT16)</f>
        <v>0</v>
      </c>
      <c r="AU16" s="56">
        <f>IF($C16=Repart_lignes,0,
(SUMIF(Fonctionnement[Affectation matrice],$A16,Fonctionnement[TVA acquittée])+SUMIF(Invest[Affectation matrice],$A16,Invest[TVA acquittée]))*CU16)</f>
        <v>0</v>
      </c>
      <c r="AV16" s="56">
        <f>IF($C16=Repart_lignes,0,
(SUMIF(Fonctionnement[Affectation matrice],$A16,Fonctionnement[TVA acquittée])+SUMIF(Invest[Affectation matrice],$A16,Invest[TVA acquittée]))*CV16)</f>
        <v>0</v>
      </c>
      <c r="AW16" s="56">
        <f>IF($C16=Repart_lignes,0,
(SUMIF(Fonctionnement[Affectation matrice],$A16,Fonctionnement[TVA acquittée])+SUMIF(Invest[Affectation matrice],$A16,Invest[TVA acquittée]))*CW16)</f>
        <v>0</v>
      </c>
      <c r="AX16" s="56">
        <f>IF($C16=Repart_lignes,0,
(SUMIF(Fonctionnement[Affectation matrice],$A16,Fonctionnement[TVA acquittée])+SUMIF(Invest[Affectation matrice],$A16,Invest[TVA acquittée]))*CX16)</f>
        <v>0</v>
      </c>
      <c r="AY16" s="56">
        <f>IF($C16=Repart_lignes,0,
(SUMIF(Fonctionnement[Affectation matrice],$A16,Fonctionnement[TVA acquittée])+SUMIF(Invest[Affectation matrice],$A16,Invest[TVA acquittée]))*CY16)</f>
        <v>0</v>
      </c>
      <c r="AZ16" s="56">
        <f>IF($C16=Repart_lignes,0,
(SUMIF(Fonctionnement[Affectation matrice],$A16,Fonctionnement[TVA acquittée])+SUMIF(Invest[Affectation matrice],$A16,Invest[TVA acquittée]))*CZ16)</f>
        <v>0</v>
      </c>
      <c r="BA16" s="56">
        <f>IF($C16=Repart_lignes,0,
(SUMIF(Fonctionnement[Affectation matrice],$A16,Fonctionnement[TVA acquittée])+SUMIF(Invest[Affectation matrice],$A16,Invest[TVA acquittée]))*DA16)</f>
        <v>0</v>
      </c>
      <c r="BB16" s="56">
        <f>IF($C16=Repart_lignes,0,
(SUMIF(Fonctionnement[Affectation matrice],$A16,Fonctionnement[TVA acquittée])+SUMIF(Invest[Affectation matrice],$A16,Invest[TVA acquittée]))*DB16)</f>
        <v>0</v>
      </c>
      <c r="BC16" s="56">
        <f>IF($C16=Repart_lignes,0,
(SUMIF(Fonctionnement[Affectation matrice],$A16,Fonctionnement[TVA acquittée])+SUMIF(Invest[Affectation matrice],$A16,Invest[TVA acquittée]))*DC16)</f>
        <v>0</v>
      </c>
      <c r="BD16" s="56">
        <f>IF($C16=Repart_lignes,0,
(SUMIF(Fonctionnement[Affectation matrice],$A16,Fonctionnement[TVA acquittée])+SUMIF(Invest[Affectation matrice],$A16,Invest[TVA acquittée]))*DD16)</f>
        <v>0</v>
      </c>
      <c r="BE16" s="56">
        <f t="shared" si="1"/>
        <v>0</v>
      </c>
      <c r="BF16" s="56">
        <f>IF($C16=Repart_lignes,0,
(SUMIF(Fonctionnement[Affectation matrice],$A16,Fonctionnement[Montant (€HT)])+SUMIF(Invest[Affectation matrice],$A16,Invest[Amortissement HT + intérêts]))*CF16)</f>
        <v>0</v>
      </c>
      <c r="BG16" s="56">
        <f>IF($C16=Repart_lignes,0,
(SUMIF(Fonctionnement[Affectation matrice],$A16,Fonctionnement[Montant (€HT)])+SUMIF(Invest[Affectation matrice],$A16,Invest[Amortissement HT + intérêts]))*CG16)</f>
        <v>0</v>
      </c>
      <c r="BH16" s="56">
        <f>IF($C16=Repart_lignes,0,
(SUMIF(Fonctionnement[Affectation matrice],$A16,Fonctionnement[Montant (€HT)])+SUMIF(Invest[Affectation matrice],$A16,Invest[Amortissement HT + intérêts]))*CH16)</f>
        <v>0</v>
      </c>
      <c r="BI16" s="56">
        <f>IF($C16=Repart_lignes,0,
(SUMIF(Fonctionnement[Affectation matrice],$A16,Fonctionnement[Montant (€HT)])+SUMIF(Invest[Affectation matrice],$A16,Invest[Amortissement HT + intérêts]))*CI16)</f>
        <v>0</v>
      </c>
      <c r="BJ16" s="56">
        <f>IF($C16=Repart_lignes,0,
(SUMIF(Fonctionnement[Affectation matrice],$A16,Fonctionnement[Montant (€HT)])+SUMIF(Invest[Affectation matrice],$A16,Invest[Amortissement HT + intérêts]))*CJ16)</f>
        <v>0</v>
      </c>
      <c r="BK16" s="56">
        <f>IF($C16=Repart_lignes,0,
(SUMIF(Fonctionnement[Affectation matrice],$A16,Fonctionnement[Montant (€HT)])+SUMIF(Invest[Affectation matrice],$A16,Invest[Amortissement HT + intérêts]))*CK16)</f>
        <v>0</v>
      </c>
      <c r="BL16" s="56">
        <f>IF($C16=Repart_lignes,0,
(SUMIF(Fonctionnement[Affectation matrice],$A16,Fonctionnement[Montant (€HT)])+SUMIF(Invest[Affectation matrice],$A16,Invest[Amortissement HT + intérêts]))*CL16)</f>
        <v>0</v>
      </c>
      <c r="BM16" s="56">
        <f>IF($C16=Repart_lignes,0,
(SUMIF(Fonctionnement[Affectation matrice],$A16,Fonctionnement[Montant (€HT)])+SUMIF(Invest[Affectation matrice],$A16,Invest[Amortissement HT + intérêts]))*CM16)</f>
        <v>0</v>
      </c>
      <c r="BN16" s="56">
        <f>IF($C16=Repart_lignes,0,
(SUMIF(Fonctionnement[Affectation matrice],$A16,Fonctionnement[Montant (€HT)])+SUMIF(Invest[Affectation matrice],$A16,Invest[Amortissement HT + intérêts]))*CN16)</f>
        <v>0</v>
      </c>
      <c r="BO16" s="56">
        <f>IF($C16=Repart_lignes,0,
(SUMIF(Fonctionnement[Affectation matrice],$A16,Fonctionnement[Montant (€HT)])+SUMIF(Invest[Affectation matrice],$A16,Invest[Amortissement HT + intérêts]))*CO16)</f>
        <v>0</v>
      </c>
      <c r="BP16" s="56">
        <f>IF($C16=Repart_lignes,0,
(SUMIF(Fonctionnement[Affectation matrice],$A16,Fonctionnement[Montant (€HT)])+SUMIF(Invest[Affectation matrice],$A16,Invest[Amortissement HT + intérêts]))*CP16)</f>
        <v>0</v>
      </c>
      <c r="BQ16" s="56">
        <f>IF($C16=Repart_lignes,0,
(SUMIF(Fonctionnement[Affectation matrice],$A16,Fonctionnement[Montant (€HT)])+SUMIF(Invest[Affectation matrice],$A16,Invest[Amortissement HT + intérêts]))*CQ16)</f>
        <v>0</v>
      </c>
      <c r="BR16" s="56">
        <f>IF($C16=Repart_lignes,0,
(SUMIF(Fonctionnement[Affectation matrice],$A16,Fonctionnement[Montant (€HT)])+SUMIF(Invest[Affectation matrice],$A16,Invest[Amortissement HT + intérêts]))*CR16)</f>
        <v>0</v>
      </c>
      <c r="BS16" s="56">
        <f>IF($C16=Repart_lignes,0,
(SUMIF(Fonctionnement[Affectation matrice],$A16,Fonctionnement[Montant (€HT)])+SUMIF(Invest[Affectation matrice],$A16,Invest[Amortissement HT + intérêts]))*CS16)</f>
        <v>0</v>
      </c>
      <c r="BT16" s="56">
        <f>IF($C16=Repart_lignes,0,
(SUMIF(Fonctionnement[Affectation matrice],$A16,Fonctionnement[Montant (€HT)])+SUMIF(Invest[Affectation matrice],$A16,Invest[Amortissement HT + intérêts]))*CT16)</f>
        <v>0</v>
      </c>
      <c r="BU16" s="56">
        <f>IF($C16=Repart_lignes,0,
(SUMIF(Fonctionnement[Affectation matrice],$A16,Fonctionnement[Montant (€HT)])+SUMIF(Invest[Affectation matrice],$A16,Invest[Amortissement HT + intérêts]))*CU16)</f>
        <v>0</v>
      </c>
      <c r="BV16" s="56">
        <f>IF($C16=Repart_lignes,0,
(SUMIF(Fonctionnement[Affectation matrice],$A16,Fonctionnement[Montant (€HT)])+SUMIF(Invest[Affectation matrice],$A16,Invest[Amortissement HT + intérêts]))*CV16)</f>
        <v>0</v>
      </c>
      <c r="BW16" s="56">
        <f>IF($C16=Repart_lignes,0,
(SUMIF(Fonctionnement[Affectation matrice],$A16,Fonctionnement[Montant (€HT)])+SUMIF(Invest[Affectation matrice],$A16,Invest[Amortissement HT + intérêts]))*CW16)</f>
        <v>0</v>
      </c>
      <c r="BX16" s="56">
        <f>IF($C16=Repart_lignes,0,
(SUMIF(Fonctionnement[Affectation matrice],$A16,Fonctionnement[Montant (€HT)])+SUMIF(Invest[Affectation matrice],$A16,Invest[Amortissement HT + intérêts]))*CX16)</f>
        <v>0</v>
      </c>
      <c r="BY16" s="56">
        <f>IF($C16=Repart_lignes,0,
(SUMIF(Fonctionnement[Affectation matrice],$A16,Fonctionnement[Montant (€HT)])+SUMIF(Invest[Affectation matrice],$A16,Invest[Amortissement HT + intérêts]))*CY16)</f>
        <v>0</v>
      </c>
      <c r="BZ16" s="56">
        <f>IF($C16=Repart_lignes,0,
(SUMIF(Fonctionnement[Affectation matrice],$A16,Fonctionnement[Montant (€HT)])+SUMIF(Invest[Affectation matrice],$A16,Invest[Amortissement HT + intérêts]))*CZ16)</f>
        <v>0</v>
      </c>
      <c r="CA16" s="56">
        <f>IF($C16=Repart_lignes,0,
(SUMIF(Fonctionnement[Affectation matrice],$A16,Fonctionnement[Montant (€HT)])+SUMIF(Invest[Affectation matrice],$A16,Invest[Amortissement HT + intérêts]))*DA16)</f>
        <v>0</v>
      </c>
      <c r="CB16" s="56">
        <f>IF($C16=Repart_lignes,0,
(SUMIF(Fonctionnement[Affectation matrice],$A16,Fonctionnement[Montant (€HT)])+SUMIF(Invest[Affectation matrice],$A16,Invest[Amortissement HT + intérêts]))*DB16)</f>
        <v>0</v>
      </c>
      <c r="CC16" s="56">
        <f>IF($C16=Repart_lignes,0,
(SUMIF(Fonctionnement[Affectation matrice],$A16,Fonctionnement[Montant (€HT)])+SUMIF(Invest[Affectation matrice],$A16,Invest[Amortissement HT + intérêts]))*DC16)</f>
        <v>0</v>
      </c>
      <c r="CD16" s="56">
        <f>IF($C16=Repart_lignes,0,
(SUMIF(Fonctionnement[Affectation matrice],$A16,Fonctionnement[Montant (€HT)])+SUMIF(Invest[Affectation matrice],$A16,Invest[Amortissement HT + intérêts]))*DD16)</f>
        <v>0</v>
      </c>
      <c r="CE16" s="57">
        <f t="shared" si="2"/>
        <v>0</v>
      </c>
      <c r="CF16" s="61">
        <f t="shared" si="3"/>
        <v>0</v>
      </c>
      <c r="CG16" s="61">
        <f t="shared" si="4"/>
        <v>0</v>
      </c>
      <c r="CH16" s="61">
        <f t="shared" si="5"/>
        <v>0</v>
      </c>
      <c r="CI16" s="61">
        <f t="shared" si="6"/>
        <v>0</v>
      </c>
      <c r="CJ16" s="61">
        <f t="shared" si="7"/>
        <v>0</v>
      </c>
      <c r="CK16" s="61">
        <f t="shared" si="8"/>
        <v>0</v>
      </c>
      <c r="CL16" s="61">
        <f t="shared" si="9"/>
        <v>0</v>
      </c>
      <c r="CM16" s="61">
        <f t="shared" si="10"/>
        <v>0</v>
      </c>
      <c r="CN16" s="61">
        <f t="shared" si="11"/>
        <v>0</v>
      </c>
      <c r="CO16" s="61">
        <f t="shared" si="12"/>
        <v>0</v>
      </c>
      <c r="CP16" s="61">
        <f t="shared" si="13"/>
        <v>0</v>
      </c>
      <c r="CQ16" s="61">
        <f t="shared" si="14"/>
        <v>0</v>
      </c>
      <c r="CR16" s="61">
        <f t="shared" si="15"/>
        <v>0</v>
      </c>
      <c r="CS16" s="61">
        <f t="shared" si="16"/>
        <v>0</v>
      </c>
      <c r="CT16" s="61">
        <f t="shared" si="17"/>
        <v>0</v>
      </c>
      <c r="CU16" s="61">
        <f t="shared" si="18"/>
        <v>0</v>
      </c>
      <c r="CV16" s="61">
        <f t="shared" si="19"/>
        <v>0</v>
      </c>
      <c r="CW16" s="61">
        <f t="shared" si="20"/>
        <v>0</v>
      </c>
      <c r="CX16" s="61">
        <f t="shared" si="21"/>
        <v>0</v>
      </c>
      <c r="CY16" s="61">
        <f t="shared" si="22"/>
        <v>0</v>
      </c>
      <c r="CZ16" s="61">
        <f t="shared" si="23"/>
        <v>0</v>
      </c>
      <c r="DA16" s="61">
        <f t="shared" si="24"/>
        <v>0</v>
      </c>
      <c r="DB16" s="61">
        <f t="shared" si="25"/>
        <v>0</v>
      </c>
      <c r="DC16" s="61">
        <f t="shared" si="26"/>
        <v>0</v>
      </c>
      <c r="DD16" s="61">
        <f t="shared" si="27"/>
        <v>0</v>
      </c>
      <c r="DE16" s="61">
        <f t="shared" si="28"/>
        <v>0</v>
      </c>
    </row>
    <row r="17" spans="1:110" x14ac:dyDescent="0.25">
      <c r="A17" s="248"/>
      <c r="B17" s="248"/>
      <c r="C17" s="251"/>
      <c r="D17" s="25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1">
        <f t="shared" si="30"/>
        <v>0</v>
      </c>
      <c r="AE17" s="53" t="str">
        <f t="shared" ca="1" si="29"/>
        <v/>
      </c>
      <c r="AF17" s="56">
        <f>IF($C17=Repart_lignes,0,
(SUMIF(Fonctionnement[Affectation matrice],$A17,Fonctionnement[TVA acquittée])+SUMIF(Invest[Affectation matrice],$A17,Invest[TVA acquittée]))*CF17)</f>
        <v>0</v>
      </c>
      <c r="AG17" s="56">
        <f>IF($C17=Repart_lignes,0,
(SUMIF(Fonctionnement[Affectation matrice],$A17,Fonctionnement[TVA acquittée])+SUMIF(Invest[Affectation matrice],$A17,Invest[TVA acquittée]))*CG17)</f>
        <v>0</v>
      </c>
      <c r="AH17" s="56">
        <f>IF($C17=Repart_lignes,0,
(SUMIF(Fonctionnement[Affectation matrice],$A17,Fonctionnement[TVA acquittée])+SUMIF(Invest[Affectation matrice],$A17,Invest[TVA acquittée]))*CH17)</f>
        <v>0</v>
      </c>
      <c r="AI17" s="56">
        <f>IF($C17=Repart_lignes,0,
(SUMIF(Fonctionnement[Affectation matrice],$A17,Fonctionnement[TVA acquittée])+SUMIF(Invest[Affectation matrice],$A17,Invest[TVA acquittée]))*CI17)</f>
        <v>0</v>
      </c>
      <c r="AJ17" s="56">
        <f>IF($C17=Repart_lignes,0,
(SUMIF(Fonctionnement[Affectation matrice],$A17,Fonctionnement[TVA acquittée])+SUMIF(Invest[Affectation matrice],$A17,Invest[TVA acquittée]))*CJ17)</f>
        <v>0</v>
      </c>
      <c r="AK17" s="56">
        <f>IF($C17=Repart_lignes,0,
(SUMIF(Fonctionnement[Affectation matrice],$A17,Fonctionnement[TVA acquittée])+SUMIF(Invest[Affectation matrice],$A17,Invest[TVA acquittée]))*CK17)</f>
        <v>0</v>
      </c>
      <c r="AL17" s="56">
        <f>IF($C17=Repart_lignes,0,
(SUMIF(Fonctionnement[Affectation matrice],$A17,Fonctionnement[TVA acquittée])+SUMIF(Invest[Affectation matrice],$A17,Invest[TVA acquittée]))*CL17)</f>
        <v>0</v>
      </c>
      <c r="AM17" s="56">
        <f>IF($C17=Repart_lignes,0,
(SUMIF(Fonctionnement[Affectation matrice],$A17,Fonctionnement[TVA acquittée])+SUMIF(Invest[Affectation matrice],$A17,Invest[TVA acquittée]))*CM17)</f>
        <v>0</v>
      </c>
      <c r="AN17" s="56">
        <f>IF($C17=Repart_lignes,0,
(SUMIF(Fonctionnement[Affectation matrice],$A17,Fonctionnement[TVA acquittée])+SUMIF(Invest[Affectation matrice],$A17,Invest[TVA acquittée]))*CN17)</f>
        <v>0</v>
      </c>
      <c r="AO17" s="56">
        <f>IF($C17=Repart_lignes,0,
(SUMIF(Fonctionnement[Affectation matrice],$A17,Fonctionnement[TVA acquittée])+SUMIF(Invest[Affectation matrice],$A17,Invest[TVA acquittée]))*CO17)</f>
        <v>0</v>
      </c>
      <c r="AP17" s="56">
        <f>IF($C17=Repart_lignes,0,
(SUMIF(Fonctionnement[Affectation matrice],$A17,Fonctionnement[TVA acquittée])+SUMIF(Invest[Affectation matrice],$A17,Invest[TVA acquittée]))*CP17)</f>
        <v>0</v>
      </c>
      <c r="AQ17" s="56">
        <f>IF($C17=Repart_lignes,0,
(SUMIF(Fonctionnement[Affectation matrice],$A17,Fonctionnement[TVA acquittée])+SUMIF(Invest[Affectation matrice],$A17,Invest[TVA acquittée]))*CQ17)</f>
        <v>0</v>
      </c>
      <c r="AR17" s="56">
        <f>IF($C17=Repart_lignes,0,
(SUMIF(Fonctionnement[Affectation matrice],$A17,Fonctionnement[TVA acquittée])+SUMIF(Invest[Affectation matrice],$A17,Invest[TVA acquittée]))*CR17)</f>
        <v>0</v>
      </c>
      <c r="AS17" s="56">
        <f>IF($C17=Repart_lignes,0,
(SUMIF(Fonctionnement[Affectation matrice],$A17,Fonctionnement[TVA acquittée])+SUMIF(Invest[Affectation matrice],$A17,Invest[TVA acquittée]))*CS17)</f>
        <v>0</v>
      </c>
      <c r="AT17" s="56">
        <f>IF($C17=Repart_lignes,0,
(SUMIF(Fonctionnement[Affectation matrice],$A17,Fonctionnement[TVA acquittée])+SUMIF(Invest[Affectation matrice],$A17,Invest[TVA acquittée]))*CT17)</f>
        <v>0</v>
      </c>
      <c r="AU17" s="56">
        <f>IF($C17=Repart_lignes,0,
(SUMIF(Fonctionnement[Affectation matrice],$A17,Fonctionnement[TVA acquittée])+SUMIF(Invest[Affectation matrice],$A17,Invest[TVA acquittée]))*CU17)</f>
        <v>0</v>
      </c>
      <c r="AV17" s="56">
        <f>IF($C17=Repart_lignes,0,
(SUMIF(Fonctionnement[Affectation matrice],$A17,Fonctionnement[TVA acquittée])+SUMIF(Invest[Affectation matrice],$A17,Invest[TVA acquittée]))*CV17)</f>
        <v>0</v>
      </c>
      <c r="AW17" s="56">
        <f>IF($C17=Repart_lignes,0,
(SUMIF(Fonctionnement[Affectation matrice],$A17,Fonctionnement[TVA acquittée])+SUMIF(Invest[Affectation matrice],$A17,Invest[TVA acquittée]))*CW17)</f>
        <v>0</v>
      </c>
      <c r="AX17" s="56">
        <f>IF($C17=Repart_lignes,0,
(SUMIF(Fonctionnement[Affectation matrice],$A17,Fonctionnement[TVA acquittée])+SUMIF(Invest[Affectation matrice],$A17,Invest[TVA acquittée]))*CX17)</f>
        <v>0</v>
      </c>
      <c r="AY17" s="56">
        <f>IF($C17=Repart_lignes,0,
(SUMIF(Fonctionnement[Affectation matrice],$A17,Fonctionnement[TVA acquittée])+SUMIF(Invest[Affectation matrice],$A17,Invest[TVA acquittée]))*CY17)</f>
        <v>0</v>
      </c>
      <c r="AZ17" s="56">
        <f>IF($C17=Repart_lignes,0,
(SUMIF(Fonctionnement[Affectation matrice],$A17,Fonctionnement[TVA acquittée])+SUMIF(Invest[Affectation matrice],$A17,Invest[TVA acquittée]))*CZ17)</f>
        <v>0</v>
      </c>
      <c r="BA17" s="56">
        <f>IF($C17=Repart_lignes,0,
(SUMIF(Fonctionnement[Affectation matrice],$A17,Fonctionnement[TVA acquittée])+SUMIF(Invest[Affectation matrice],$A17,Invest[TVA acquittée]))*DA17)</f>
        <v>0</v>
      </c>
      <c r="BB17" s="56">
        <f>IF($C17=Repart_lignes,0,
(SUMIF(Fonctionnement[Affectation matrice],$A17,Fonctionnement[TVA acquittée])+SUMIF(Invest[Affectation matrice],$A17,Invest[TVA acquittée]))*DB17)</f>
        <v>0</v>
      </c>
      <c r="BC17" s="56">
        <f>IF($C17=Repart_lignes,0,
(SUMIF(Fonctionnement[Affectation matrice],$A17,Fonctionnement[TVA acquittée])+SUMIF(Invest[Affectation matrice],$A17,Invest[TVA acquittée]))*DC17)</f>
        <v>0</v>
      </c>
      <c r="BD17" s="56">
        <f>IF($C17=Repart_lignes,0,
(SUMIF(Fonctionnement[Affectation matrice],$A17,Fonctionnement[TVA acquittée])+SUMIF(Invest[Affectation matrice],$A17,Invest[TVA acquittée]))*DD17)</f>
        <v>0</v>
      </c>
      <c r="BE17" s="58">
        <f t="shared" si="1"/>
        <v>0</v>
      </c>
      <c r="BF17" s="56">
        <f>IF($C17=Repart_lignes,0,
(SUMIF(Fonctionnement[Affectation matrice],$A17,Fonctionnement[Montant (€HT)])+SUMIF(Invest[Affectation matrice],$A17,Invest[Amortissement HT + intérêts]))*CF17)</f>
        <v>0</v>
      </c>
      <c r="BG17" s="56">
        <f>IF($C17=Repart_lignes,0,
(SUMIF(Fonctionnement[Affectation matrice],$A17,Fonctionnement[Montant (€HT)])+SUMIF(Invest[Affectation matrice],$A17,Invest[Amortissement HT + intérêts]))*CG17)</f>
        <v>0</v>
      </c>
      <c r="BH17" s="56">
        <f>IF($C17=Repart_lignes,0,
(SUMIF(Fonctionnement[Affectation matrice],$A17,Fonctionnement[Montant (€HT)])+SUMIF(Invest[Affectation matrice],$A17,Invest[Amortissement HT + intérêts]))*CH17)</f>
        <v>0</v>
      </c>
      <c r="BI17" s="56">
        <f>IF($C17=Repart_lignes,0,
(SUMIF(Fonctionnement[Affectation matrice],$A17,Fonctionnement[Montant (€HT)])+SUMIF(Invest[Affectation matrice],$A17,Invest[Amortissement HT + intérêts]))*CI17)</f>
        <v>0</v>
      </c>
      <c r="BJ17" s="56">
        <f>IF($C17=Repart_lignes,0,
(SUMIF(Fonctionnement[Affectation matrice],$A17,Fonctionnement[Montant (€HT)])+SUMIF(Invest[Affectation matrice],$A17,Invest[Amortissement HT + intérêts]))*CJ17)</f>
        <v>0</v>
      </c>
      <c r="BK17" s="56">
        <f>IF($C17=Repart_lignes,0,
(SUMIF(Fonctionnement[Affectation matrice],$A17,Fonctionnement[Montant (€HT)])+SUMIF(Invest[Affectation matrice],$A17,Invest[Amortissement HT + intérêts]))*CK17)</f>
        <v>0</v>
      </c>
      <c r="BL17" s="56">
        <f>IF($C17=Repart_lignes,0,
(SUMIF(Fonctionnement[Affectation matrice],$A17,Fonctionnement[Montant (€HT)])+SUMIF(Invest[Affectation matrice],$A17,Invest[Amortissement HT + intérêts]))*CL17)</f>
        <v>0</v>
      </c>
      <c r="BM17" s="56">
        <f>IF($C17=Repart_lignes,0,
(SUMIF(Fonctionnement[Affectation matrice],$A17,Fonctionnement[Montant (€HT)])+SUMIF(Invest[Affectation matrice],$A17,Invest[Amortissement HT + intérêts]))*CM17)</f>
        <v>0</v>
      </c>
      <c r="BN17" s="56">
        <f>IF($C17=Repart_lignes,0,
(SUMIF(Fonctionnement[Affectation matrice],$A17,Fonctionnement[Montant (€HT)])+SUMIF(Invest[Affectation matrice],$A17,Invest[Amortissement HT + intérêts]))*CN17)</f>
        <v>0</v>
      </c>
      <c r="BO17" s="56">
        <f>IF($C17=Repart_lignes,0,
(SUMIF(Fonctionnement[Affectation matrice],$A17,Fonctionnement[Montant (€HT)])+SUMIF(Invest[Affectation matrice],$A17,Invest[Amortissement HT + intérêts]))*CO17)</f>
        <v>0</v>
      </c>
      <c r="BP17" s="56">
        <f>IF($C17=Repart_lignes,0,
(SUMIF(Fonctionnement[Affectation matrice],$A17,Fonctionnement[Montant (€HT)])+SUMIF(Invest[Affectation matrice],$A17,Invest[Amortissement HT + intérêts]))*CP17)</f>
        <v>0</v>
      </c>
      <c r="BQ17" s="56">
        <f>IF($C17=Repart_lignes,0,
(SUMIF(Fonctionnement[Affectation matrice],$A17,Fonctionnement[Montant (€HT)])+SUMIF(Invest[Affectation matrice],$A17,Invest[Amortissement HT + intérêts]))*CQ17)</f>
        <v>0</v>
      </c>
      <c r="BR17" s="56">
        <f>IF($C17=Repart_lignes,0,
(SUMIF(Fonctionnement[Affectation matrice],$A17,Fonctionnement[Montant (€HT)])+SUMIF(Invest[Affectation matrice],$A17,Invest[Amortissement HT + intérêts]))*CR17)</f>
        <v>0</v>
      </c>
      <c r="BS17" s="56">
        <f>IF($C17=Repart_lignes,0,
(SUMIF(Fonctionnement[Affectation matrice],$A17,Fonctionnement[Montant (€HT)])+SUMIF(Invest[Affectation matrice],$A17,Invest[Amortissement HT + intérêts]))*CS17)</f>
        <v>0</v>
      </c>
      <c r="BT17" s="56">
        <f>IF($C17=Repart_lignes,0,
(SUMIF(Fonctionnement[Affectation matrice],$A17,Fonctionnement[Montant (€HT)])+SUMIF(Invest[Affectation matrice],$A17,Invest[Amortissement HT + intérêts]))*CT17)</f>
        <v>0</v>
      </c>
      <c r="BU17" s="56">
        <f>IF($C17=Repart_lignes,0,
(SUMIF(Fonctionnement[Affectation matrice],$A17,Fonctionnement[Montant (€HT)])+SUMIF(Invest[Affectation matrice],$A17,Invest[Amortissement HT + intérêts]))*CU17)</f>
        <v>0</v>
      </c>
      <c r="BV17" s="56">
        <f>IF($C17=Repart_lignes,0,
(SUMIF(Fonctionnement[Affectation matrice],$A17,Fonctionnement[Montant (€HT)])+SUMIF(Invest[Affectation matrice],$A17,Invest[Amortissement HT + intérêts]))*CV17)</f>
        <v>0</v>
      </c>
      <c r="BW17" s="56">
        <f>IF($C17=Repart_lignes,0,
(SUMIF(Fonctionnement[Affectation matrice],$A17,Fonctionnement[Montant (€HT)])+SUMIF(Invest[Affectation matrice],$A17,Invest[Amortissement HT + intérêts]))*CW17)</f>
        <v>0</v>
      </c>
      <c r="BX17" s="56">
        <f>IF($C17=Repart_lignes,0,
(SUMIF(Fonctionnement[Affectation matrice],$A17,Fonctionnement[Montant (€HT)])+SUMIF(Invest[Affectation matrice],$A17,Invest[Amortissement HT + intérêts]))*CX17)</f>
        <v>0</v>
      </c>
      <c r="BY17" s="56">
        <f>IF($C17=Repart_lignes,0,
(SUMIF(Fonctionnement[Affectation matrice],$A17,Fonctionnement[Montant (€HT)])+SUMIF(Invest[Affectation matrice],$A17,Invest[Amortissement HT + intérêts]))*CY17)</f>
        <v>0</v>
      </c>
      <c r="BZ17" s="56">
        <f>IF($C17=Repart_lignes,0,
(SUMIF(Fonctionnement[Affectation matrice],$A17,Fonctionnement[Montant (€HT)])+SUMIF(Invest[Affectation matrice],$A17,Invest[Amortissement HT + intérêts]))*CZ17)</f>
        <v>0</v>
      </c>
      <c r="CA17" s="56">
        <f>IF($C17=Repart_lignes,0,
(SUMIF(Fonctionnement[Affectation matrice],$A17,Fonctionnement[Montant (€HT)])+SUMIF(Invest[Affectation matrice],$A17,Invest[Amortissement HT + intérêts]))*DA17)</f>
        <v>0</v>
      </c>
      <c r="CB17" s="56">
        <f>IF($C17=Repart_lignes,0,
(SUMIF(Fonctionnement[Affectation matrice],$A17,Fonctionnement[Montant (€HT)])+SUMIF(Invest[Affectation matrice],$A17,Invest[Amortissement HT + intérêts]))*DB17)</f>
        <v>0</v>
      </c>
      <c r="CC17" s="56">
        <f>IF($C17=Repart_lignes,0,
(SUMIF(Fonctionnement[Affectation matrice],$A17,Fonctionnement[Montant (€HT)])+SUMIF(Invest[Affectation matrice],$A17,Invest[Amortissement HT + intérêts]))*DC17)</f>
        <v>0</v>
      </c>
      <c r="CD17" s="56">
        <f>IF($C17=Repart_lignes,0,
(SUMIF(Fonctionnement[Affectation matrice],$A17,Fonctionnement[Montant (€HT)])+SUMIF(Invest[Affectation matrice],$A17,Invest[Amortissement HT + intérêts]))*DD17)</f>
        <v>0</v>
      </c>
      <c r="CE17" s="59">
        <f t="shared" si="2"/>
        <v>0</v>
      </c>
      <c r="CF17" s="61">
        <f t="shared" si="3"/>
        <v>0</v>
      </c>
      <c r="CG17" s="61">
        <f t="shared" si="4"/>
        <v>0</v>
      </c>
      <c r="CH17" s="61">
        <f t="shared" si="5"/>
        <v>0</v>
      </c>
      <c r="CI17" s="61">
        <f t="shared" si="6"/>
        <v>0</v>
      </c>
      <c r="CJ17" s="61">
        <f t="shared" si="7"/>
        <v>0</v>
      </c>
      <c r="CK17" s="61">
        <f t="shared" si="8"/>
        <v>0</v>
      </c>
      <c r="CL17" s="61">
        <f t="shared" si="9"/>
        <v>0</v>
      </c>
      <c r="CM17" s="61">
        <f t="shared" si="10"/>
        <v>0</v>
      </c>
      <c r="CN17" s="61">
        <f t="shared" si="11"/>
        <v>0</v>
      </c>
      <c r="CO17" s="61">
        <f t="shared" si="12"/>
        <v>0</v>
      </c>
      <c r="CP17" s="61">
        <f t="shared" si="13"/>
        <v>0</v>
      </c>
      <c r="CQ17" s="61">
        <f t="shared" si="14"/>
        <v>0</v>
      </c>
      <c r="CR17" s="61">
        <f t="shared" si="15"/>
        <v>0</v>
      </c>
      <c r="CS17" s="61">
        <f t="shared" si="16"/>
        <v>0</v>
      </c>
      <c r="CT17" s="61">
        <f t="shared" si="17"/>
        <v>0</v>
      </c>
      <c r="CU17" s="61">
        <f t="shared" si="18"/>
        <v>0</v>
      </c>
      <c r="CV17" s="61">
        <f t="shared" si="19"/>
        <v>0</v>
      </c>
      <c r="CW17" s="61">
        <f t="shared" si="20"/>
        <v>0</v>
      </c>
      <c r="CX17" s="61">
        <f t="shared" si="21"/>
        <v>0</v>
      </c>
      <c r="CY17" s="61">
        <f t="shared" si="22"/>
        <v>0</v>
      </c>
      <c r="CZ17" s="61">
        <f t="shared" si="23"/>
        <v>0</v>
      </c>
      <c r="DA17" s="61">
        <f t="shared" si="24"/>
        <v>0</v>
      </c>
      <c r="DB17" s="61">
        <f t="shared" si="25"/>
        <v>0</v>
      </c>
      <c r="DC17" s="61">
        <f t="shared" si="26"/>
        <v>0</v>
      </c>
      <c r="DD17" s="61">
        <f t="shared" si="27"/>
        <v>0</v>
      </c>
      <c r="DE17" s="61">
        <f t="shared" si="28"/>
        <v>0</v>
      </c>
    </row>
    <row r="18" spans="1:110" x14ac:dyDescent="0.25">
      <c r="A18" s="248"/>
      <c r="B18" s="248"/>
      <c r="C18" s="251"/>
      <c r="D18" s="25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1">
        <f t="shared" si="30"/>
        <v>0</v>
      </c>
      <c r="AE18" s="53" t="str">
        <f t="shared" ca="1" si="29"/>
        <v/>
      </c>
      <c r="AF18" s="56">
        <f>IF($C18=Repart_lignes,0,
(SUMIF(Fonctionnement[Affectation matrice],$A18,Fonctionnement[TVA acquittée])+SUMIF(Invest[Affectation matrice],$A18,Invest[TVA acquittée]))*CF18)</f>
        <v>0</v>
      </c>
      <c r="AG18" s="56">
        <f>IF($C18=Repart_lignes,0,
(SUMIF(Fonctionnement[Affectation matrice],$A18,Fonctionnement[TVA acquittée])+SUMIF(Invest[Affectation matrice],$A18,Invest[TVA acquittée]))*CG18)</f>
        <v>0</v>
      </c>
      <c r="AH18" s="56">
        <f>IF($C18=Repart_lignes,0,
(SUMIF(Fonctionnement[Affectation matrice],$A18,Fonctionnement[TVA acquittée])+SUMIF(Invest[Affectation matrice],$A18,Invest[TVA acquittée]))*CH18)</f>
        <v>0</v>
      </c>
      <c r="AI18" s="56">
        <f>IF($C18=Repart_lignes,0,
(SUMIF(Fonctionnement[Affectation matrice],$A18,Fonctionnement[TVA acquittée])+SUMIF(Invest[Affectation matrice],$A18,Invest[TVA acquittée]))*CI18)</f>
        <v>0</v>
      </c>
      <c r="AJ18" s="56">
        <f>IF($C18=Repart_lignes,0,
(SUMIF(Fonctionnement[Affectation matrice],$A18,Fonctionnement[TVA acquittée])+SUMIF(Invest[Affectation matrice],$A18,Invest[TVA acquittée]))*CJ18)</f>
        <v>0</v>
      </c>
      <c r="AK18" s="56">
        <f>IF($C18=Repart_lignes,0,
(SUMIF(Fonctionnement[Affectation matrice],$A18,Fonctionnement[TVA acquittée])+SUMIF(Invest[Affectation matrice],$A18,Invest[TVA acquittée]))*CK18)</f>
        <v>0</v>
      </c>
      <c r="AL18" s="56">
        <f>IF($C18=Repart_lignes,0,
(SUMIF(Fonctionnement[Affectation matrice],$A18,Fonctionnement[TVA acquittée])+SUMIF(Invest[Affectation matrice],$A18,Invest[TVA acquittée]))*CL18)</f>
        <v>0</v>
      </c>
      <c r="AM18" s="56">
        <f>IF($C18=Repart_lignes,0,
(SUMIF(Fonctionnement[Affectation matrice],$A18,Fonctionnement[TVA acquittée])+SUMIF(Invest[Affectation matrice],$A18,Invest[TVA acquittée]))*CM18)</f>
        <v>0</v>
      </c>
      <c r="AN18" s="56">
        <f>IF($C18=Repart_lignes,0,
(SUMIF(Fonctionnement[Affectation matrice],$A18,Fonctionnement[TVA acquittée])+SUMIF(Invest[Affectation matrice],$A18,Invest[TVA acquittée]))*CN18)</f>
        <v>0</v>
      </c>
      <c r="AO18" s="56">
        <f>IF($C18=Repart_lignes,0,
(SUMIF(Fonctionnement[Affectation matrice],$A18,Fonctionnement[TVA acquittée])+SUMIF(Invest[Affectation matrice],$A18,Invest[TVA acquittée]))*CO18)</f>
        <v>0</v>
      </c>
      <c r="AP18" s="56">
        <f>IF($C18=Repart_lignes,0,
(SUMIF(Fonctionnement[Affectation matrice],$A18,Fonctionnement[TVA acquittée])+SUMIF(Invest[Affectation matrice],$A18,Invest[TVA acquittée]))*CP18)</f>
        <v>0</v>
      </c>
      <c r="AQ18" s="56">
        <f>IF($C18=Repart_lignes,0,
(SUMIF(Fonctionnement[Affectation matrice],$A18,Fonctionnement[TVA acquittée])+SUMIF(Invest[Affectation matrice],$A18,Invest[TVA acquittée]))*CQ18)</f>
        <v>0</v>
      </c>
      <c r="AR18" s="56">
        <f>IF($C18=Repart_lignes,0,
(SUMIF(Fonctionnement[Affectation matrice],$A18,Fonctionnement[TVA acquittée])+SUMIF(Invest[Affectation matrice],$A18,Invest[TVA acquittée]))*CR18)</f>
        <v>0</v>
      </c>
      <c r="AS18" s="56">
        <f>IF($C18=Repart_lignes,0,
(SUMIF(Fonctionnement[Affectation matrice],$A18,Fonctionnement[TVA acquittée])+SUMIF(Invest[Affectation matrice],$A18,Invest[TVA acquittée]))*CS18)</f>
        <v>0</v>
      </c>
      <c r="AT18" s="56">
        <f>IF($C18=Repart_lignes,0,
(SUMIF(Fonctionnement[Affectation matrice],$A18,Fonctionnement[TVA acquittée])+SUMIF(Invest[Affectation matrice],$A18,Invest[TVA acquittée]))*CT18)</f>
        <v>0</v>
      </c>
      <c r="AU18" s="56">
        <f>IF($C18=Repart_lignes,0,
(SUMIF(Fonctionnement[Affectation matrice],$A18,Fonctionnement[TVA acquittée])+SUMIF(Invest[Affectation matrice],$A18,Invest[TVA acquittée]))*CU18)</f>
        <v>0</v>
      </c>
      <c r="AV18" s="56">
        <f>IF($C18=Repart_lignes,0,
(SUMIF(Fonctionnement[Affectation matrice],$A18,Fonctionnement[TVA acquittée])+SUMIF(Invest[Affectation matrice],$A18,Invest[TVA acquittée]))*CV18)</f>
        <v>0</v>
      </c>
      <c r="AW18" s="56">
        <f>IF($C18=Repart_lignes,0,
(SUMIF(Fonctionnement[Affectation matrice],$A18,Fonctionnement[TVA acquittée])+SUMIF(Invest[Affectation matrice],$A18,Invest[TVA acquittée]))*CW18)</f>
        <v>0</v>
      </c>
      <c r="AX18" s="56">
        <f>IF($C18=Repart_lignes,0,
(SUMIF(Fonctionnement[Affectation matrice],$A18,Fonctionnement[TVA acquittée])+SUMIF(Invest[Affectation matrice],$A18,Invest[TVA acquittée]))*CX18)</f>
        <v>0</v>
      </c>
      <c r="AY18" s="56">
        <f>IF($C18=Repart_lignes,0,
(SUMIF(Fonctionnement[Affectation matrice],$A18,Fonctionnement[TVA acquittée])+SUMIF(Invest[Affectation matrice],$A18,Invest[TVA acquittée]))*CY18)</f>
        <v>0</v>
      </c>
      <c r="AZ18" s="56">
        <f>IF($C18=Repart_lignes,0,
(SUMIF(Fonctionnement[Affectation matrice],$A18,Fonctionnement[TVA acquittée])+SUMIF(Invest[Affectation matrice],$A18,Invest[TVA acquittée]))*CZ18)</f>
        <v>0</v>
      </c>
      <c r="BA18" s="56">
        <f>IF($C18=Repart_lignes,0,
(SUMIF(Fonctionnement[Affectation matrice],$A18,Fonctionnement[TVA acquittée])+SUMIF(Invest[Affectation matrice],$A18,Invest[TVA acquittée]))*DA18)</f>
        <v>0</v>
      </c>
      <c r="BB18" s="56">
        <f>IF($C18=Repart_lignes,0,
(SUMIF(Fonctionnement[Affectation matrice],$A18,Fonctionnement[TVA acquittée])+SUMIF(Invest[Affectation matrice],$A18,Invest[TVA acquittée]))*DB18)</f>
        <v>0</v>
      </c>
      <c r="BC18" s="56">
        <f>IF($C18=Repart_lignes,0,
(SUMIF(Fonctionnement[Affectation matrice],$A18,Fonctionnement[TVA acquittée])+SUMIF(Invest[Affectation matrice],$A18,Invest[TVA acquittée]))*DC18)</f>
        <v>0</v>
      </c>
      <c r="BD18" s="56">
        <f>IF($C18=Repart_lignes,0,
(SUMIF(Fonctionnement[Affectation matrice],$A18,Fonctionnement[TVA acquittée])+SUMIF(Invest[Affectation matrice],$A18,Invest[TVA acquittée]))*DD18)</f>
        <v>0</v>
      </c>
      <c r="BE18" s="58">
        <f t="shared" si="1"/>
        <v>0</v>
      </c>
      <c r="BF18" s="56">
        <f>IF($C18=Repart_lignes,0,
(SUMIF(Fonctionnement[Affectation matrice],$A18,Fonctionnement[Montant (€HT)])+SUMIF(Invest[Affectation matrice],$A18,Invest[Amortissement HT + intérêts]))*CF18)</f>
        <v>0</v>
      </c>
      <c r="BG18" s="56">
        <f>IF($C18=Repart_lignes,0,
(SUMIF(Fonctionnement[Affectation matrice],$A18,Fonctionnement[Montant (€HT)])+SUMIF(Invest[Affectation matrice],$A18,Invest[Amortissement HT + intérêts]))*CG18)</f>
        <v>0</v>
      </c>
      <c r="BH18" s="56">
        <f>IF($C18=Repart_lignes,0,
(SUMIF(Fonctionnement[Affectation matrice],$A18,Fonctionnement[Montant (€HT)])+SUMIF(Invest[Affectation matrice],$A18,Invest[Amortissement HT + intérêts]))*CH18)</f>
        <v>0</v>
      </c>
      <c r="BI18" s="56">
        <f>IF($C18=Repart_lignes,0,
(SUMIF(Fonctionnement[Affectation matrice],$A18,Fonctionnement[Montant (€HT)])+SUMIF(Invest[Affectation matrice],$A18,Invest[Amortissement HT + intérêts]))*CI18)</f>
        <v>0</v>
      </c>
      <c r="BJ18" s="56">
        <f>IF($C18=Repart_lignes,0,
(SUMIF(Fonctionnement[Affectation matrice],$A18,Fonctionnement[Montant (€HT)])+SUMIF(Invest[Affectation matrice],$A18,Invest[Amortissement HT + intérêts]))*CJ18)</f>
        <v>0</v>
      </c>
      <c r="BK18" s="56">
        <f>IF($C18=Repart_lignes,0,
(SUMIF(Fonctionnement[Affectation matrice],$A18,Fonctionnement[Montant (€HT)])+SUMIF(Invest[Affectation matrice],$A18,Invest[Amortissement HT + intérêts]))*CK18)</f>
        <v>0</v>
      </c>
      <c r="BL18" s="56">
        <f>IF($C18=Repart_lignes,0,
(SUMIF(Fonctionnement[Affectation matrice],$A18,Fonctionnement[Montant (€HT)])+SUMIF(Invest[Affectation matrice],$A18,Invest[Amortissement HT + intérêts]))*CL18)</f>
        <v>0</v>
      </c>
      <c r="BM18" s="56">
        <f>IF($C18=Repart_lignes,0,
(SUMIF(Fonctionnement[Affectation matrice],$A18,Fonctionnement[Montant (€HT)])+SUMIF(Invest[Affectation matrice],$A18,Invest[Amortissement HT + intérêts]))*CM18)</f>
        <v>0</v>
      </c>
      <c r="BN18" s="56">
        <f>IF($C18=Repart_lignes,0,
(SUMIF(Fonctionnement[Affectation matrice],$A18,Fonctionnement[Montant (€HT)])+SUMIF(Invest[Affectation matrice],$A18,Invest[Amortissement HT + intérêts]))*CN18)</f>
        <v>0</v>
      </c>
      <c r="BO18" s="56">
        <f>IF($C18=Repart_lignes,0,
(SUMIF(Fonctionnement[Affectation matrice],$A18,Fonctionnement[Montant (€HT)])+SUMIF(Invest[Affectation matrice],$A18,Invest[Amortissement HT + intérêts]))*CO18)</f>
        <v>0</v>
      </c>
      <c r="BP18" s="56">
        <f>IF($C18=Repart_lignes,0,
(SUMIF(Fonctionnement[Affectation matrice],$A18,Fonctionnement[Montant (€HT)])+SUMIF(Invest[Affectation matrice],$A18,Invest[Amortissement HT + intérêts]))*CP18)</f>
        <v>0</v>
      </c>
      <c r="BQ18" s="56">
        <f>IF($C18=Repart_lignes,0,
(SUMIF(Fonctionnement[Affectation matrice],$A18,Fonctionnement[Montant (€HT)])+SUMIF(Invest[Affectation matrice],$A18,Invest[Amortissement HT + intérêts]))*CQ18)</f>
        <v>0</v>
      </c>
      <c r="BR18" s="56">
        <f>IF($C18=Repart_lignes,0,
(SUMIF(Fonctionnement[Affectation matrice],$A18,Fonctionnement[Montant (€HT)])+SUMIF(Invest[Affectation matrice],$A18,Invest[Amortissement HT + intérêts]))*CR18)</f>
        <v>0</v>
      </c>
      <c r="BS18" s="56">
        <f>IF($C18=Repart_lignes,0,
(SUMIF(Fonctionnement[Affectation matrice],$A18,Fonctionnement[Montant (€HT)])+SUMIF(Invest[Affectation matrice],$A18,Invest[Amortissement HT + intérêts]))*CS18)</f>
        <v>0</v>
      </c>
      <c r="BT18" s="56">
        <f>IF($C18=Repart_lignes,0,
(SUMIF(Fonctionnement[Affectation matrice],$A18,Fonctionnement[Montant (€HT)])+SUMIF(Invest[Affectation matrice],$A18,Invest[Amortissement HT + intérêts]))*CT18)</f>
        <v>0</v>
      </c>
      <c r="BU18" s="56">
        <f>IF($C18=Repart_lignes,0,
(SUMIF(Fonctionnement[Affectation matrice],$A18,Fonctionnement[Montant (€HT)])+SUMIF(Invest[Affectation matrice],$A18,Invest[Amortissement HT + intérêts]))*CU18)</f>
        <v>0</v>
      </c>
      <c r="BV18" s="56">
        <f>IF($C18=Repart_lignes,0,
(SUMIF(Fonctionnement[Affectation matrice],$A18,Fonctionnement[Montant (€HT)])+SUMIF(Invest[Affectation matrice],$A18,Invest[Amortissement HT + intérêts]))*CV18)</f>
        <v>0</v>
      </c>
      <c r="BW18" s="56">
        <f>IF($C18=Repart_lignes,0,
(SUMIF(Fonctionnement[Affectation matrice],$A18,Fonctionnement[Montant (€HT)])+SUMIF(Invest[Affectation matrice],$A18,Invest[Amortissement HT + intérêts]))*CW18)</f>
        <v>0</v>
      </c>
      <c r="BX18" s="56">
        <f>IF($C18=Repart_lignes,0,
(SUMIF(Fonctionnement[Affectation matrice],$A18,Fonctionnement[Montant (€HT)])+SUMIF(Invest[Affectation matrice],$A18,Invest[Amortissement HT + intérêts]))*CX18)</f>
        <v>0</v>
      </c>
      <c r="BY18" s="56">
        <f>IF($C18=Repart_lignes,0,
(SUMIF(Fonctionnement[Affectation matrice],$A18,Fonctionnement[Montant (€HT)])+SUMIF(Invest[Affectation matrice],$A18,Invest[Amortissement HT + intérêts]))*CY18)</f>
        <v>0</v>
      </c>
      <c r="BZ18" s="56">
        <f>IF($C18=Repart_lignes,0,
(SUMIF(Fonctionnement[Affectation matrice],$A18,Fonctionnement[Montant (€HT)])+SUMIF(Invest[Affectation matrice],$A18,Invest[Amortissement HT + intérêts]))*CZ18)</f>
        <v>0</v>
      </c>
      <c r="CA18" s="56">
        <f>IF($C18=Repart_lignes,0,
(SUMIF(Fonctionnement[Affectation matrice],$A18,Fonctionnement[Montant (€HT)])+SUMIF(Invest[Affectation matrice],$A18,Invest[Amortissement HT + intérêts]))*DA18)</f>
        <v>0</v>
      </c>
      <c r="CB18" s="56">
        <f>IF($C18=Repart_lignes,0,
(SUMIF(Fonctionnement[Affectation matrice],$A18,Fonctionnement[Montant (€HT)])+SUMIF(Invest[Affectation matrice],$A18,Invest[Amortissement HT + intérêts]))*DB18)</f>
        <v>0</v>
      </c>
      <c r="CC18" s="56">
        <f>IF($C18=Repart_lignes,0,
(SUMIF(Fonctionnement[Affectation matrice],$A18,Fonctionnement[Montant (€HT)])+SUMIF(Invest[Affectation matrice],$A18,Invest[Amortissement HT + intérêts]))*DC18)</f>
        <v>0</v>
      </c>
      <c r="CD18" s="56">
        <f>IF($C18=Repart_lignes,0,
(SUMIF(Fonctionnement[Affectation matrice],$A18,Fonctionnement[Montant (€HT)])+SUMIF(Invest[Affectation matrice],$A18,Invest[Amortissement HT + intérêts]))*DD18)</f>
        <v>0</v>
      </c>
      <c r="CE18" s="59">
        <f t="shared" si="2"/>
        <v>0</v>
      </c>
      <c r="CF18" s="61">
        <f t="shared" si="3"/>
        <v>0</v>
      </c>
      <c r="CG18" s="61">
        <f t="shared" si="4"/>
        <v>0</v>
      </c>
      <c r="CH18" s="61">
        <f t="shared" si="5"/>
        <v>0</v>
      </c>
      <c r="CI18" s="61">
        <f t="shared" si="6"/>
        <v>0</v>
      </c>
      <c r="CJ18" s="61">
        <f t="shared" si="7"/>
        <v>0</v>
      </c>
      <c r="CK18" s="61">
        <f t="shared" si="8"/>
        <v>0</v>
      </c>
      <c r="CL18" s="61">
        <f t="shared" si="9"/>
        <v>0</v>
      </c>
      <c r="CM18" s="61">
        <f t="shared" si="10"/>
        <v>0</v>
      </c>
      <c r="CN18" s="61">
        <f t="shared" si="11"/>
        <v>0</v>
      </c>
      <c r="CO18" s="61">
        <f t="shared" si="12"/>
        <v>0</v>
      </c>
      <c r="CP18" s="61">
        <f t="shared" si="13"/>
        <v>0</v>
      </c>
      <c r="CQ18" s="61">
        <f t="shared" si="14"/>
        <v>0</v>
      </c>
      <c r="CR18" s="61">
        <f t="shared" si="15"/>
        <v>0</v>
      </c>
      <c r="CS18" s="61">
        <f t="shared" si="16"/>
        <v>0</v>
      </c>
      <c r="CT18" s="61">
        <f t="shared" si="17"/>
        <v>0</v>
      </c>
      <c r="CU18" s="61">
        <f t="shared" si="18"/>
        <v>0</v>
      </c>
      <c r="CV18" s="61">
        <f t="shared" si="19"/>
        <v>0</v>
      </c>
      <c r="CW18" s="61">
        <f t="shared" si="20"/>
        <v>0</v>
      </c>
      <c r="CX18" s="61">
        <f t="shared" si="21"/>
        <v>0</v>
      </c>
      <c r="CY18" s="61">
        <f t="shared" si="22"/>
        <v>0</v>
      </c>
      <c r="CZ18" s="61">
        <f t="shared" si="23"/>
        <v>0</v>
      </c>
      <c r="DA18" s="61">
        <f t="shared" si="24"/>
        <v>0</v>
      </c>
      <c r="DB18" s="61">
        <f t="shared" si="25"/>
        <v>0</v>
      </c>
      <c r="DC18" s="61">
        <f t="shared" si="26"/>
        <v>0</v>
      </c>
      <c r="DD18" s="61">
        <f t="shared" si="27"/>
        <v>0</v>
      </c>
      <c r="DE18" s="61">
        <f t="shared" si="28"/>
        <v>0</v>
      </c>
    </row>
    <row r="19" spans="1:110" s="22" customFormat="1" x14ac:dyDescent="0.25">
      <c r="A19" s="248"/>
      <c r="B19" s="248"/>
      <c r="C19" s="251"/>
      <c r="D19" s="25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1">
        <f t="shared" si="30"/>
        <v>0</v>
      </c>
      <c r="AE19" s="53" t="str">
        <f t="shared" ca="1" si="29"/>
        <v/>
      </c>
      <c r="AF19" s="56">
        <f>IF($C19=Repart_lignes,0,
(SUMIF(Fonctionnement[Affectation matrice],$A19,Fonctionnement[TVA acquittée])+SUMIF(Invest[Affectation matrice],$A19,Invest[TVA acquittée]))*CF19)</f>
        <v>0</v>
      </c>
      <c r="AG19" s="56">
        <f>IF($C19=Repart_lignes,0,
(SUMIF(Fonctionnement[Affectation matrice],$A19,Fonctionnement[TVA acquittée])+SUMIF(Invest[Affectation matrice],$A19,Invest[TVA acquittée]))*CG19)</f>
        <v>0</v>
      </c>
      <c r="AH19" s="56">
        <f>IF($C19=Repart_lignes,0,
(SUMIF(Fonctionnement[Affectation matrice],$A19,Fonctionnement[TVA acquittée])+SUMIF(Invest[Affectation matrice],$A19,Invest[TVA acquittée]))*CH19)</f>
        <v>0</v>
      </c>
      <c r="AI19" s="56">
        <f>IF($C19=Repart_lignes,0,
(SUMIF(Fonctionnement[Affectation matrice],$A19,Fonctionnement[TVA acquittée])+SUMIF(Invest[Affectation matrice],$A19,Invest[TVA acquittée]))*CI19)</f>
        <v>0</v>
      </c>
      <c r="AJ19" s="56">
        <f>IF($C19=Repart_lignes,0,
(SUMIF(Fonctionnement[Affectation matrice],$A19,Fonctionnement[TVA acquittée])+SUMIF(Invest[Affectation matrice],$A19,Invest[TVA acquittée]))*CJ19)</f>
        <v>0</v>
      </c>
      <c r="AK19" s="56">
        <f>IF($C19=Repart_lignes,0,
(SUMIF(Fonctionnement[Affectation matrice],$A19,Fonctionnement[TVA acquittée])+SUMIF(Invest[Affectation matrice],$A19,Invest[TVA acquittée]))*CK19)</f>
        <v>0</v>
      </c>
      <c r="AL19" s="56">
        <f>IF($C19=Repart_lignes,0,
(SUMIF(Fonctionnement[Affectation matrice],$A19,Fonctionnement[TVA acquittée])+SUMIF(Invest[Affectation matrice],$A19,Invest[TVA acquittée]))*CL19)</f>
        <v>0</v>
      </c>
      <c r="AM19" s="56">
        <f>IF($C19=Repart_lignes,0,
(SUMIF(Fonctionnement[Affectation matrice],$A19,Fonctionnement[TVA acquittée])+SUMIF(Invest[Affectation matrice],$A19,Invest[TVA acquittée]))*CM19)</f>
        <v>0</v>
      </c>
      <c r="AN19" s="56">
        <f>IF($C19=Repart_lignes,0,
(SUMIF(Fonctionnement[Affectation matrice],$A19,Fonctionnement[TVA acquittée])+SUMIF(Invest[Affectation matrice],$A19,Invest[TVA acquittée]))*CN19)</f>
        <v>0</v>
      </c>
      <c r="AO19" s="56">
        <f>IF($C19=Repart_lignes,0,
(SUMIF(Fonctionnement[Affectation matrice],$A19,Fonctionnement[TVA acquittée])+SUMIF(Invest[Affectation matrice],$A19,Invest[TVA acquittée]))*CO19)</f>
        <v>0</v>
      </c>
      <c r="AP19" s="56">
        <f>IF($C19=Repart_lignes,0,
(SUMIF(Fonctionnement[Affectation matrice],$A19,Fonctionnement[TVA acquittée])+SUMIF(Invest[Affectation matrice],$A19,Invest[TVA acquittée]))*CP19)</f>
        <v>0</v>
      </c>
      <c r="AQ19" s="56">
        <f>IF($C19=Repart_lignes,0,
(SUMIF(Fonctionnement[Affectation matrice],$A19,Fonctionnement[TVA acquittée])+SUMIF(Invest[Affectation matrice],$A19,Invest[TVA acquittée]))*CQ19)</f>
        <v>0</v>
      </c>
      <c r="AR19" s="56">
        <f>IF($C19=Repart_lignes,0,
(SUMIF(Fonctionnement[Affectation matrice],$A19,Fonctionnement[TVA acquittée])+SUMIF(Invest[Affectation matrice],$A19,Invest[TVA acquittée]))*CR19)</f>
        <v>0</v>
      </c>
      <c r="AS19" s="56">
        <f>IF($C19=Repart_lignes,0,
(SUMIF(Fonctionnement[Affectation matrice],$A19,Fonctionnement[TVA acquittée])+SUMIF(Invest[Affectation matrice],$A19,Invest[TVA acquittée]))*CS19)</f>
        <v>0</v>
      </c>
      <c r="AT19" s="56">
        <f>IF($C19=Repart_lignes,0,
(SUMIF(Fonctionnement[Affectation matrice],$A19,Fonctionnement[TVA acquittée])+SUMIF(Invest[Affectation matrice],$A19,Invest[TVA acquittée]))*CT19)</f>
        <v>0</v>
      </c>
      <c r="AU19" s="56">
        <f>IF($C19=Repart_lignes,0,
(SUMIF(Fonctionnement[Affectation matrice],$A19,Fonctionnement[TVA acquittée])+SUMIF(Invest[Affectation matrice],$A19,Invest[TVA acquittée]))*CU19)</f>
        <v>0</v>
      </c>
      <c r="AV19" s="56">
        <f>IF($C19=Repart_lignes,0,
(SUMIF(Fonctionnement[Affectation matrice],$A19,Fonctionnement[TVA acquittée])+SUMIF(Invest[Affectation matrice],$A19,Invest[TVA acquittée]))*CV19)</f>
        <v>0</v>
      </c>
      <c r="AW19" s="56">
        <f>IF($C19=Repart_lignes,0,
(SUMIF(Fonctionnement[Affectation matrice],$A19,Fonctionnement[TVA acquittée])+SUMIF(Invest[Affectation matrice],$A19,Invest[TVA acquittée]))*CW19)</f>
        <v>0</v>
      </c>
      <c r="AX19" s="56">
        <f>IF($C19=Repart_lignes,0,
(SUMIF(Fonctionnement[Affectation matrice],$A19,Fonctionnement[TVA acquittée])+SUMIF(Invest[Affectation matrice],$A19,Invest[TVA acquittée]))*CX19)</f>
        <v>0</v>
      </c>
      <c r="AY19" s="56">
        <f>IF($C19=Repart_lignes,0,
(SUMIF(Fonctionnement[Affectation matrice],$A19,Fonctionnement[TVA acquittée])+SUMIF(Invest[Affectation matrice],$A19,Invest[TVA acquittée]))*CY19)</f>
        <v>0</v>
      </c>
      <c r="AZ19" s="56">
        <f>IF($C19=Repart_lignes,0,
(SUMIF(Fonctionnement[Affectation matrice],$A19,Fonctionnement[TVA acquittée])+SUMIF(Invest[Affectation matrice],$A19,Invest[TVA acquittée]))*CZ19)</f>
        <v>0</v>
      </c>
      <c r="BA19" s="56">
        <f>IF($C19=Repart_lignes,0,
(SUMIF(Fonctionnement[Affectation matrice],$A19,Fonctionnement[TVA acquittée])+SUMIF(Invest[Affectation matrice],$A19,Invest[TVA acquittée]))*DA19)</f>
        <v>0</v>
      </c>
      <c r="BB19" s="56">
        <f>IF($C19=Repart_lignes,0,
(SUMIF(Fonctionnement[Affectation matrice],$A19,Fonctionnement[TVA acquittée])+SUMIF(Invest[Affectation matrice],$A19,Invest[TVA acquittée]))*DB19)</f>
        <v>0</v>
      </c>
      <c r="BC19" s="56">
        <f>IF($C19=Repart_lignes,0,
(SUMIF(Fonctionnement[Affectation matrice],$A19,Fonctionnement[TVA acquittée])+SUMIF(Invest[Affectation matrice],$A19,Invest[TVA acquittée]))*DC19)</f>
        <v>0</v>
      </c>
      <c r="BD19" s="56">
        <f>IF($C19=Repart_lignes,0,
(SUMIF(Fonctionnement[Affectation matrice],$A19,Fonctionnement[TVA acquittée])+SUMIF(Invest[Affectation matrice],$A19,Invest[TVA acquittée]))*DD19)</f>
        <v>0</v>
      </c>
      <c r="BE19" s="58">
        <f t="shared" si="1"/>
        <v>0</v>
      </c>
      <c r="BF19" s="56">
        <f>IF($C19=Repart_lignes,0,
(SUMIF(Fonctionnement[Affectation matrice],$A19,Fonctionnement[Montant (€HT)])+SUMIF(Invest[Affectation matrice],$A19,Invest[Amortissement HT + intérêts]))*CF19)</f>
        <v>0</v>
      </c>
      <c r="BG19" s="56">
        <f>IF($C19=Repart_lignes,0,
(SUMIF(Fonctionnement[Affectation matrice],$A19,Fonctionnement[Montant (€HT)])+SUMIF(Invest[Affectation matrice],$A19,Invest[Amortissement HT + intérêts]))*CG19)</f>
        <v>0</v>
      </c>
      <c r="BH19" s="56">
        <f>IF($C19=Repart_lignes,0,
(SUMIF(Fonctionnement[Affectation matrice],$A19,Fonctionnement[Montant (€HT)])+SUMIF(Invest[Affectation matrice],$A19,Invest[Amortissement HT + intérêts]))*CH19)</f>
        <v>0</v>
      </c>
      <c r="BI19" s="56">
        <f>IF($C19=Repart_lignes,0,
(SUMIF(Fonctionnement[Affectation matrice],$A19,Fonctionnement[Montant (€HT)])+SUMIF(Invest[Affectation matrice],$A19,Invest[Amortissement HT + intérêts]))*CI19)</f>
        <v>0</v>
      </c>
      <c r="BJ19" s="56">
        <f>IF($C19=Repart_lignes,0,
(SUMIF(Fonctionnement[Affectation matrice],$A19,Fonctionnement[Montant (€HT)])+SUMIF(Invest[Affectation matrice],$A19,Invest[Amortissement HT + intérêts]))*CJ19)</f>
        <v>0</v>
      </c>
      <c r="BK19" s="56">
        <f>IF($C19=Repart_lignes,0,
(SUMIF(Fonctionnement[Affectation matrice],$A19,Fonctionnement[Montant (€HT)])+SUMIF(Invest[Affectation matrice],$A19,Invest[Amortissement HT + intérêts]))*CK19)</f>
        <v>0</v>
      </c>
      <c r="BL19" s="56">
        <f>IF($C19=Repart_lignes,0,
(SUMIF(Fonctionnement[Affectation matrice],$A19,Fonctionnement[Montant (€HT)])+SUMIF(Invest[Affectation matrice],$A19,Invest[Amortissement HT + intérêts]))*CL19)</f>
        <v>0</v>
      </c>
      <c r="BM19" s="56">
        <f>IF($C19=Repart_lignes,0,
(SUMIF(Fonctionnement[Affectation matrice],$A19,Fonctionnement[Montant (€HT)])+SUMIF(Invest[Affectation matrice],$A19,Invest[Amortissement HT + intérêts]))*CM19)</f>
        <v>0</v>
      </c>
      <c r="BN19" s="56">
        <f>IF($C19=Repart_lignes,0,
(SUMIF(Fonctionnement[Affectation matrice],$A19,Fonctionnement[Montant (€HT)])+SUMIF(Invest[Affectation matrice],$A19,Invest[Amortissement HT + intérêts]))*CN19)</f>
        <v>0</v>
      </c>
      <c r="BO19" s="56">
        <f>IF($C19=Repart_lignes,0,
(SUMIF(Fonctionnement[Affectation matrice],$A19,Fonctionnement[Montant (€HT)])+SUMIF(Invest[Affectation matrice],$A19,Invest[Amortissement HT + intérêts]))*CO19)</f>
        <v>0</v>
      </c>
      <c r="BP19" s="56">
        <f>IF($C19=Repart_lignes,0,
(SUMIF(Fonctionnement[Affectation matrice],$A19,Fonctionnement[Montant (€HT)])+SUMIF(Invest[Affectation matrice],$A19,Invest[Amortissement HT + intérêts]))*CP19)</f>
        <v>0</v>
      </c>
      <c r="BQ19" s="56">
        <f>IF($C19=Repart_lignes,0,
(SUMIF(Fonctionnement[Affectation matrice],$A19,Fonctionnement[Montant (€HT)])+SUMIF(Invest[Affectation matrice],$A19,Invest[Amortissement HT + intérêts]))*CQ19)</f>
        <v>0</v>
      </c>
      <c r="BR19" s="56">
        <f>IF($C19=Repart_lignes,0,
(SUMIF(Fonctionnement[Affectation matrice],$A19,Fonctionnement[Montant (€HT)])+SUMIF(Invest[Affectation matrice],$A19,Invest[Amortissement HT + intérêts]))*CR19)</f>
        <v>0</v>
      </c>
      <c r="BS19" s="56">
        <f>IF($C19=Repart_lignes,0,
(SUMIF(Fonctionnement[Affectation matrice],$A19,Fonctionnement[Montant (€HT)])+SUMIF(Invest[Affectation matrice],$A19,Invest[Amortissement HT + intérêts]))*CS19)</f>
        <v>0</v>
      </c>
      <c r="BT19" s="56">
        <f>IF($C19=Repart_lignes,0,
(SUMIF(Fonctionnement[Affectation matrice],$A19,Fonctionnement[Montant (€HT)])+SUMIF(Invest[Affectation matrice],$A19,Invest[Amortissement HT + intérêts]))*CT19)</f>
        <v>0</v>
      </c>
      <c r="BU19" s="56">
        <f>IF($C19=Repart_lignes,0,
(SUMIF(Fonctionnement[Affectation matrice],$A19,Fonctionnement[Montant (€HT)])+SUMIF(Invest[Affectation matrice],$A19,Invest[Amortissement HT + intérêts]))*CU19)</f>
        <v>0</v>
      </c>
      <c r="BV19" s="56">
        <f>IF($C19=Repart_lignes,0,
(SUMIF(Fonctionnement[Affectation matrice],$A19,Fonctionnement[Montant (€HT)])+SUMIF(Invest[Affectation matrice],$A19,Invest[Amortissement HT + intérêts]))*CV19)</f>
        <v>0</v>
      </c>
      <c r="BW19" s="56">
        <f>IF($C19=Repart_lignes,0,
(SUMIF(Fonctionnement[Affectation matrice],$A19,Fonctionnement[Montant (€HT)])+SUMIF(Invest[Affectation matrice],$A19,Invest[Amortissement HT + intérêts]))*CW19)</f>
        <v>0</v>
      </c>
      <c r="BX19" s="56">
        <f>IF($C19=Repart_lignes,0,
(SUMIF(Fonctionnement[Affectation matrice],$A19,Fonctionnement[Montant (€HT)])+SUMIF(Invest[Affectation matrice],$A19,Invest[Amortissement HT + intérêts]))*CX19)</f>
        <v>0</v>
      </c>
      <c r="BY19" s="56">
        <f>IF($C19=Repart_lignes,0,
(SUMIF(Fonctionnement[Affectation matrice],$A19,Fonctionnement[Montant (€HT)])+SUMIF(Invest[Affectation matrice],$A19,Invest[Amortissement HT + intérêts]))*CY19)</f>
        <v>0</v>
      </c>
      <c r="BZ19" s="56">
        <f>IF($C19=Repart_lignes,0,
(SUMIF(Fonctionnement[Affectation matrice],$A19,Fonctionnement[Montant (€HT)])+SUMIF(Invest[Affectation matrice],$A19,Invest[Amortissement HT + intérêts]))*CZ19)</f>
        <v>0</v>
      </c>
      <c r="CA19" s="56">
        <f>IF($C19=Repart_lignes,0,
(SUMIF(Fonctionnement[Affectation matrice],$A19,Fonctionnement[Montant (€HT)])+SUMIF(Invest[Affectation matrice],$A19,Invest[Amortissement HT + intérêts]))*DA19)</f>
        <v>0</v>
      </c>
      <c r="CB19" s="56">
        <f>IF($C19=Repart_lignes,0,
(SUMIF(Fonctionnement[Affectation matrice],$A19,Fonctionnement[Montant (€HT)])+SUMIF(Invest[Affectation matrice],$A19,Invest[Amortissement HT + intérêts]))*DB19)</f>
        <v>0</v>
      </c>
      <c r="CC19" s="56">
        <f>IF($C19=Repart_lignes,0,
(SUMIF(Fonctionnement[Affectation matrice],$A19,Fonctionnement[Montant (€HT)])+SUMIF(Invest[Affectation matrice],$A19,Invest[Amortissement HT + intérêts]))*DC19)</f>
        <v>0</v>
      </c>
      <c r="CD19" s="56">
        <f>IF($C19=Repart_lignes,0,
(SUMIF(Fonctionnement[Affectation matrice],$A19,Fonctionnement[Montant (€HT)])+SUMIF(Invest[Affectation matrice],$A19,Invest[Amortissement HT + intérêts]))*DD19)</f>
        <v>0</v>
      </c>
      <c r="CE19" s="59">
        <f t="shared" si="2"/>
        <v>0</v>
      </c>
      <c r="CF19" s="61">
        <f t="shared" si="3"/>
        <v>0</v>
      </c>
      <c r="CG19" s="61">
        <f t="shared" si="4"/>
        <v>0</v>
      </c>
      <c r="CH19" s="61">
        <f t="shared" si="5"/>
        <v>0</v>
      </c>
      <c r="CI19" s="61">
        <f t="shared" si="6"/>
        <v>0</v>
      </c>
      <c r="CJ19" s="61">
        <f t="shared" si="7"/>
        <v>0</v>
      </c>
      <c r="CK19" s="61">
        <f t="shared" si="8"/>
        <v>0</v>
      </c>
      <c r="CL19" s="61">
        <f t="shared" si="9"/>
        <v>0</v>
      </c>
      <c r="CM19" s="61">
        <f t="shared" si="10"/>
        <v>0</v>
      </c>
      <c r="CN19" s="61">
        <f t="shared" si="11"/>
        <v>0</v>
      </c>
      <c r="CO19" s="61">
        <f t="shared" si="12"/>
        <v>0</v>
      </c>
      <c r="CP19" s="61">
        <f t="shared" si="13"/>
        <v>0</v>
      </c>
      <c r="CQ19" s="61">
        <f t="shared" si="14"/>
        <v>0</v>
      </c>
      <c r="CR19" s="61">
        <f t="shared" si="15"/>
        <v>0</v>
      </c>
      <c r="CS19" s="61">
        <f t="shared" si="16"/>
        <v>0</v>
      </c>
      <c r="CT19" s="61">
        <f t="shared" si="17"/>
        <v>0</v>
      </c>
      <c r="CU19" s="61">
        <f t="shared" si="18"/>
        <v>0</v>
      </c>
      <c r="CV19" s="61">
        <f t="shared" si="19"/>
        <v>0</v>
      </c>
      <c r="CW19" s="61">
        <f t="shared" si="20"/>
        <v>0</v>
      </c>
      <c r="CX19" s="61">
        <f t="shared" si="21"/>
        <v>0</v>
      </c>
      <c r="CY19" s="61">
        <f t="shared" si="22"/>
        <v>0</v>
      </c>
      <c r="CZ19" s="61">
        <f t="shared" si="23"/>
        <v>0</v>
      </c>
      <c r="DA19" s="61">
        <f t="shared" si="24"/>
        <v>0</v>
      </c>
      <c r="DB19" s="61">
        <f t="shared" si="25"/>
        <v>0</v>
      </c>
      <c r="DC19" s="61">
        <f t="shared" si="26"/>
        <v>0</v>
      </c>
      <c r="DD19" s="61">
        <f t="shared" si="27"/>
        <v>0</v>
      </c>
      <c r="DE19" s="61">
        <f t="shared" si="28"/>
        <v>0</v>
      </c>
      <c r="DF19" s="7"/>
    </row>
    <row r="20" spans="1:110" s="22" customFormat="1" x14ac:dyDescent="0.25">
      <c r="A20" s="248"/>
      <c r="B20" s="248"/>
      <c r="C20" s="251"/>
      <c r="D20" s="25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1">
        <f t="shared" si="30"/>
        <v>0</v>
      </c>
      <c r="AE20" s="53" t="str">
        <f t="shared" ca="1" si="29"/>
        <v/>
      </c>
      <c r="AF20" s="56">
        <f>IF($C20=Repart_lignes,0,
(SUMIF(Fonctionnement[Affectation matrice],$A20,Fonctionnement[TVA acquittée])+SUMIF(Invest[Affectation matrice],$A20,Invest[TVA acquittée]))*CF20)</f>
        <v>0</v>
      </c>
      <c r="AG20" s="56">
        <f>IF($C20=Repart_lignes,0,
(SUMIF(Fonctionnement[Affectation matrice],$A20,Fonctionnement[TVA acquittée])+SUMIF(Invest[Affectation matrice],$A20,Invest[TVA acquittée]))*CG20)</f>
        <v>0</v>
      </c>
      <c r="AH20" s="56">
        <f>IF($C20=Repart_lignes,0,
(SUMIF(Fonctionnement[Affectation matrice],$A20,Fonctionnement[TVA acquittée])+SUMIF(Invest[Affectation matrice],$A20,Invest[TVA acquittée]))*CH20)</f>
        <v>0</v>
      </c>
      <c r="AI20" s="56">
        <f>IF($C20=Repart_lignes,0,
(SUMIF(Fonctionnement[Affectation matrice],$A20,Fonctionnement[TVA acquittée])+SUMIF(Invest[Affectation matrice],$A20,Invest[TVA acquittée]))*CI20)</f>
        <v>0</v>
      </c>
      <c r="AJ20" s="56">
        <f>IF($C20=Repart_lignes,0,
(SUMIF(Fonctionnement[Affectation matrice],$A20,Fonctionnement[TVA acquittée])+SUMIF(Invest[Affectation matrice],$A20,Invest[TVA acquittée]))*CJ20)</f>
        <v>0</v>
      </c>
      <c r="AK20" s="56">
        <f>IF($C20=Repart_lignes,0,
(SUMIF(Fonctionnement[Affectation matrice],$A20,Fonctionnement[TVA acquittée])+SUMIF(Invest[Affectation matrice],$A20,Invest[TVA acquittée]))*CK20)</f>
        <v>0</v>
      </c>
      <c r="AL20" s="56">
        <f>IF($C20=Repart_lignes,0,
(SUMIF(Fonctionnement[Affectation matrice],$A20,Fonctionnement[TVA acquittée])+SUMIF(Invest[Affectation matrice],$A20,Invest[TVA acquittée]))*CL20)</f>
        <v>0</v>
      </c>
      <c r="AM20" s="56">
        <f>IF($C20=Repart_lignes,0,
(SUMIF(Fonctionnement[Affectation matrice],$A20,Fonctionnement[TVA acquittée])+SUMIF(Invest[Affectation matrice],$A20,Invest[TVA acquittée]))*CM20)</f>
        <v>0</v>
      </c>
      <c r="AN20" s="56">
        <f>IF($C20=Repart_lignes,0,
(SUMIF(Fonctionnement[Affectation matrice],$A20,Fonctionnement[TVA acquittée])+SUMIF(Invest[Affectation matrice],$A20,Invest[TVA acquittée]))*CN20)</f>
        <v>0</v>
      </c>
      <c r="AO20" s="56">
        <f>IF($C20=Repart_lignes,0,
(SUMIF(Fonctionnement[Affectation matrice],$A20,Fonctionnement[TVA acquittée])+SUMIF(Invest[Affectation matrice],$A20,Invest[TVA acquittée]))*CO20)</f>
        <v>0</v>
      </c>
      <c r="AP20" s="56">
        <f>IF($C20=Repart_lignes,0,
(SUMIF(Fonctionnement[Affectation matrice],$A20,Fonctionnement[TVA acquittée])+SUMIF(Invest[Affectation matrice],$A20,Invest[TVA acquittée]))*CP20)</f>
        <v>0</v>
      </c>
      <c r="AQ20" s="56">
        <f>IF($C20=Repart_lignes,0,
(SUMIF(Fonctionnement[Affectation matrice],$A20,Fonctionnement[TVA acquittée])+SUMIF(Invest[Affectation matrice],$A20,Invest[TVA acquittée]))*CQ20)</f>
        <v>0</v>
      </c>
      <c r="AR20" s="56">
        <f>IF($C20=Repart_lignes,0,
(SUMIF(Fonctionnement[Affectation matrice],$A20,Fonctionnement[TVA acquittée])+SUMIF(Invest[Affectation matrice],$A20,Invest[TVA acquittée]))*CR20)</f>
        <v>0</v>
      </c>
      <c r="AS20" s="56">
        <f>IF($C20=Repart_lignes,0,
(SUMIF(Fonctionnement[Affectation matrice],$A20,Fonctionnement[TVA acquittée])+SUMIF(Invest[Affectation matrice],$A20,Invest[TVA acquittée]))*CS20)</f>
        <v>0</v>
      </c>
      <c r="AT20" s="56">
        <f>IF($C20=Repart_lignes,0,
(SUMIF(Fonctionnement[Affectation matrice],$A20,Fonctionnement[TVA acquittée])+SUMIF(Invest[Affectation matrice],$A20,Invest[TVA acquittée]))*CT20)</f>
        <v>0</v>
      </c>
      <c r="AU20" s="56">
        <f>IF($C20=Repart_lignes,0,
(SUMIF(Fonctionnement[Affectation matrice],$A20,Fonctionnement[TVA acquittée])+SUMIF(Invest[Affectation matrice],$A20,Invest[TVA acquittée]))*CU20)</f>
        <v>0</v>
      </c>
      <c r="AV20" s="56">
        <f>IF($C20=Repart_lignes,0,
(SUMIF(Fonctionnement[Affectation matrice],$A20,Fonctionnement[TVA acquittée])+SUMIF(Invest[Affectation matrice],$A20,Invest[TVA acquittée]))*CV20)</f>
        <v>0</v>
      </c>
      <c r="AW20" s="56">
        <f>IF($C20=Repart_lignes,0,
(SUMIF(Fonctionnement[Affectation matrice],$A20,Fonctionnement[TVA acquittée])+SUMIF(Invest[Affectation matrice],$A20,Invest[TVA acquittée]))*CW20)</f>
        <v>0</v>
      </c>
      <c r="AX20" s="56">
        <f>IF($C20=Repart_lignes,0,
(SUMIF(Fonctionnement[Affectation matrice],$A20,Fonctionnement[TVA acquittée])+SUMIF(Invest[Affectation matrice],$A20,Invest[TVA acquittée]))*CX20)</f>
        <v>0</v>
      </c>
      <c r="AY20" s="56">
        <f>IF($C20=Repart_lignes,0,
(SUMIF(Fonctionnement[Affectation matrice],$A20,Fonctionnement[TVA acquittée])+SUMIF(Invest[Affectation matrice],$A20,Invest[TVA acquittée]))*CY20)</f>
        <v>0</v>
      </c>
      <c r="AZ20" s="56">
        <f>IF($C20=Repart_lignes,0,
(SUMIF(Fonctionnement[Affectation matrice],$A20,Fonctionnement[TVA acquittée])+SUMIF(Invest[Affectation matrice],$A20,Invest[TVA acquittée]))*CZ20)</f>
        <v>0</v>
      </c>
      <c r="BA20" s="56">
        <f>IF($C20=Repart_lignes,0,
(SUMIF(Fonctionnement[Affectation matrice],$A20,Fonctionnement[TVA acquittée])+SUMIF(Invest[Affectation matrice],$A20,Invest[TVA acquittée]))*DA20)</f>
        <v>0</v>
      </c>
      <c r="BB20" s="56">
        <f>IF($C20=Repart_lignes,0,
(SUMIF(Fonctionnement[Affectation matrice],$A20,Fonctionnement[TVA acquittée])+SUMIF(Invest[Affectation matrice],$A20,Invest[TVA acquittée]))*DB20)</f>
        <v>0</v>
      </c>
      <c r="BC20" s="56">
        <f>IF($C20=Repart_lignes,0,
(SUMIF(Fonctionnement[Affectation matrice],$A20,Fonctionnement[TVA acquittée])+SUMIF(Invest[Affectation matrice],$A20,Invest[TVA acquittée]))*DC20)</f>
        <v>0</v>
      </c>
      <c r="BD20" s="56">
        <f>IF($C20=Repart_lignes,0,
(SUMIF(Fonctionnement[Affectation matrice],$A20,Fonctionnement[TVA acquittée])+SUMIF(Invest[Affectation matrice],$A20,Invest[TVA acquittée]))*DD20)</f>
        <v>0</v>
      </c>
      <c r="BE20" s="58">
        <f t="shared" si="1"/>
        <v>0</v>
      </c>
      <c r="BF20" s="56">
        <f>IF($C20=Repart_lignes,0,
(SUMIF(Fonctionnement[Affectation matrice],$A20,Fonctionnement[Montant (€HT)])+SUMIF(Invest[Affectation matrice],$A20,Invest[Amortissement HT + intérêts]))*CF20)</f>
        <v>0</v>
      </c>
      <c r="BG20" s="56">
        <f>IF($C20=Repart_lignes,0,
(SUMIF(Fonctionnement[Affectation matrice],$A20,Fonctionnement[Montant (€HT)])+SUMIF(Invest[Affectation matrice],$A20,Invest[Amortissement HT + intérêts]))*CG20)</f>
        <v>0</v>
      </c>
      <c r="BH20" s="56">
        <f>IF($C20=Repart_lignes,0,
(SUMIF(Fonctionnement[Affectation matrice],$A20,Fonctionnement[Montant (€HT)])+SUMIF(Invest[Affectation matrice],$A20,Invest[Amortissement HT + intérêts]))*CH20)</f>
        <v>0</v>
      </c>
      <c r="BI20" s="56">
        <f>IF($C20=Repart_lignes,0,
(SUMIF(Fonctionnement[Affectation matrice],$A20,Fonctionnement[Montant (€HT)])+SUMIF(Invest[Affectation matrice],$A20,Invest[Amortissement HT + intérêts]))*CI20)</f>
        <v>0</v>
      </c>
      <c r="BJ20" s="56">
        <f>IF($C20=Repart_lignes,0,
(SUMIF(Fonctionnement[Affectation matrice],$A20,Fonctionnement[Montant (€HT)])+SUMIF(Invest[Affectation matrice],$A20,Invest[Amortissement HT + intérêts]))*CJ20)</f>
        <v>0</v>
      </c>
      <c r="BK20" s="56">
        <f>IF($C20=Repart_lignes,0,
(SUMIF(Fonctionnement[Affectation matrice],$A20,Fonctionnement[Montant (€HT)])+SUMIF(Invest[Affectation matrice],$A20,Invest[Amortissement HT + intérêts]))*CK20)</f>
        <v>0</v>
      </c>
      <c r="BL20" s="56">
        <f>IF($C20=Repart_lignes,0,
(SUMIF(Fonctionnement[Affectation matrice],$A20,Fonctionnement[Montant (€HT)])+SUMIF(Invest[Affectation matrice],$A20,Invest[Amortissement HT + intérêts]))*CL20)</f>
        <v>0</v>
      </c>
      <c r="BM20" s="56">
        <f>IF($C20=Repart_lignes,0,
(SUMIF(Fonctionnement[Affectation matrice],$A20,Fonctionnement[Montant (€HT)])+SUMIF(Invest[Affectation matrice],$A20,Invest[Amortissement HT + intérêts]))*CM20)</f>
        <v>0</v>
      </c>
      <c r="BN20" s="56">
        <f>IF($C20=Repart_lignes,0,
(SUMIF(Fonctionnement[Affectation matrice],$A20,Fonctionnement[Montant (€HT)])+SUMIF(Invest[Affectation matrice],$A20,Invest[Amortissement HT + intérêts]))*CN20)</f>
        <v>0</v>
      </c>
      <c r="BO20" s="56">
        <f>IF($C20=Repart_lignes,0,
(SUMIF(Fonctionnement[Affectation matrice],$A20,Fonctionnement[Montant (€HT)])+SUMIF(Invest[Affectation matrice],$A20,Invest[Amortissement HT + intérêts]))*CO20)</f>
        <v>0</v>
      </c>
      <c r="BP20" s="56">
        <f>IF($C20=Repart_lignes,0,
(SUMIF(Fonctionnement[Affectation matrice],$A20,Fonctionnement[Montant (€HT)])+SUMIF(Invest[Affectation matrice],$A20,Invest[Amortissement HT + intérêts]))*CP20)</f>
        <v>0</v>
      </c>
      <c r="BQ20" s="56">
        <f>IF($C20=Repart_lignes,0,
(SUMIF(Fonctionnement[Affectation matrice],$A20,Fonctionnement[Montant (€HT)])+SUMIF(Invest[Affectation matrice],$A20,Invest[Amortissement HT + intérêts]))*CQ20)</f>
        <v>0</v>
      </c>
      <c r="BR20" s="56">
        <f>IF($C20=Repart_lignes,0,
(SUMIF(Fonctionnement[Affectation matrice],$A20,Fonctionnement[Montant (€HT)])+SUMIF(Invest[Affectation matrice],$A20,Invest[Amortissement HT + intérêts]))*CR20)</f>
        <v>0</v>
      </c>
      <c r="BS20" s="56">
        <f>IF($C20=Repart_lignes,0,
(SUMIF(Fonctionnement[Affectation matrice],$A20,Fonctionnement[Montant (€HT)])+SUMIF(Invest[Affectation matrice],$A20,Invest[Amortissement HT + intérêts]))*CS20)</f>
        <v>0</v>
      </c>
      <c r="BT20" s="56">
        <f>IF($C20=Repart_lignes,0,
(SUMIF(Fonctionnement[Affectation matrice],$A20,Fonctionnement[Montant (€HT)])+SUMIF(Invest[Affectation matrice],$A20,Invest[Amortissement HT + intérêts]))*CT20)</f>
        <v>0</v>
      </c>
      <c r="BU20" s="56">
        <f>IF($C20=Repart_lignes,0,
(SUMIF(Fonctionnement[Affectation matrice],$A20,Fonctionnement[Montant (€HT)])+SUMIF(Invest[Affectation matrice],$A20,Invest[Amortissement HT + intérêts]))*CU20)</f>
        <v>0</v>
      </c>
      <c r="BV20" s="56">
        <f>IF($C20=Repart_lignes,0,
(SUMIF(Fonctionnement[Affectation matrice],$A20,Fonctionnement[Montant (€HT)])+SUMIF(Invest[Affectation matrice],$A20,Invest[Amortissement HT + intérêts]))*CV20)</f>
        <v>0</v>
      </c>
      <c r="BW20" s="56">
        <f>IF($C20=Repart_lignes,0,
(SUMIF(Fonctionnement[Affectation matrice],$A20,Fonctionnement[Montant (€HT)])+SUMIF(Invest[Affectation matrice],$A20,Invest[Amortissement HT + intérêts]))*CW20)</f>
        <v>0</v>
      </c>
      <c r="BX20" s="56">
        <f>IF($C20=Repart_lignes,0,
(SUMIF(Fonctionnement[Affectation matrice],$A20,Fonctionnement[Montant (€HT)])+SUMIF(Invest[Affectation matrice],$A20,Invest[Amortissement HT + intérêts]))*CX20)</f>
        <v>0</v>
      </c>
      <c r="BY20" s="56">
        <f>IF($C20=Repart_lignes,0,
(SUMIF(Fonctionnement[Affectation matrice],$A20,Fonctionnement[Montant (€HT)])+SUMIF(Invest[Affectation matrice],$A20,Invest[Amortissement HT + intérêts]))*CY20)</f>
        <v>0</v>
      </c>
      <c r="BZ20" s="56">
        <f>IF($C20=Repart_lignes,0,
(SUMIF(Fonctionnement[Affectation matrice],$A20,Fonctionnement[Montant (€HT)])+SUMIF(Invest[Affectation matrice],$A20,Invest[Amortissement HT + intérêts]))*CZ20)</f>
        <v>0</v>
      </c>
      <c r="CA20" s="56">
        <f>IF($C20=Repart_lignes,0,
(SUMIF(Fonctionnement[Affectation matrice],$A20,Fonctionnement[Montant (€HT)])+SUMIF(Invest[Affectation matrice],$A20,Invest[Amortissement HT + intérêts]))*DA20)</f>
        <v>0</v>
      </c>
      <c r="CB20" s="56">
        <f>IF($C20=Repart_lignes,0,
(SUMIF(Fonctionnement[Affectation matrice],$A20,Fonctionnement[Montant (€HT)])+SUMIF(Invest[Affectation matrice],$A20,Invest[Amortissement HT + intérêts]))*DB20)</f>
        <v>0</v>
      </c>
      <c r="CC20" s="56">
        <f>IF($C20=Repart_lignes,0,
(SUMIF(Fonctionnement[Affectation matrice],$A20,Fonctionnement[Montant (€HT)])+SUMIF(Invest[Affectation matrice],$A20,Invest[Amortissement HT + intérêts]))*DC20)</f>
        <v>0</v>
      </c>
      <c r="CD20" s="56">
        <f>IF($C20=Repart_lignes,0,
(SUMIF(Fonctionnement[Affectation matrice],$A20,Fonctionnement[Montant (€HT)])+SUMIF(Invest[Affectation matrice],$A20,Invest[Amortissement HT + intérêts]))*DD20)</f>
        <v>0</v>
      </c>
      <c r="CE20" s="59">
        <f t="shared" si="2"/>
        <v>0</v>
      </c>
      <c r="CF20" s="61">
        <f t="shared" si="3"/>
        <v>0</v>
      </c>
      <c r="CG20" s="61">
        <f t="shared" si="4"/>
        <v>0</v>
      </c>
      <c r="CH20" s="61">
        <f t="shared" si="5"/>
        <v>0</v>
      </c>
      <c r="CI20" s="61">
        <f t="shared" si="6"/>
        <v>0</v>
      </c>
      <c r="CJ20" s="61">
        <f t="shared" si="7"/>
        <v>0</v>
      </c>
      <c r="CK20" s="61">
        <f t="shared" si="8"/>
        <v>0</v>
      </c>
      <c r="CL20" s="61">
        <f t="shared" si="9"/>
        <v>0</v>
      </c>
      <c r="CM20" s="61">
        <f t="shared" si="10"/>
        <v>0</v>
      </c>
      <c r="CN20" s="61">
        <f t="shared" si="11"/>
        <v>0</v>
      </c>
      <c r="CO20" s="61">
        <f t="shared" si="12"/>
        <v>0</v>
      </c>
      <c r="CP20" s="61">
        <f t="shared" si="13"/>
        <v>0</v>
      </c>
      <c r="CQ20" s="61">
        <f t="shared" si="14"/>
        <v>0</v>
      </c>
      <c r="CR20" s="61">
        <f t="shared" si="15"/>
        <v>0</v>
      </c>
      <c r="CS20" s="61">
        <f t="shared" si="16"/>
        <v>0</v>
      </c>
      <c r="CT20" s="61">
        <f t="shared" si="17"/>
        <v>0</v>
      </c>
      <c r="CU20" s="61">
        <f t="shared" si="18"/>
        <v>0</v>
      </c>
      <c r="CV20" s="61">
        <f t="shared" si="19"/>
        <v>0</v>
      </c>
      <c r="CW20" s="61">
        <f t="shared" si="20"/>
        <v>0</v>
      </c>
      <c r="CX20" s="61">
        <f t="shared" si="21"/>
        <v>0</v>
      </c>
      <c r="CY20" s="61">
        <f t="shared" si="22"/>
        <v>0</v>
      </c>
      <c r="CZ20" s="61">
        <f t="shared" si="23"/>
        <v>0</v>
      </c>
      <c r="DA20" s="61">
        <f t="shared" si="24"/>
        <v>0</v>
      </c>
      <c r="DB20" s="61">
        <f t="shared" si="25"/>
        <v>0</v>
      </c>
      <c r="DC20" s="61">
        <f t="shared" si="26"/>
        <v>0</v>
      </c>
      <c r="DD20" s="61">
        <f t="shared" si="27"/>
        <v>0</v>
      </c>
      <c r="DE20" s="61">
        <f t="shared" si="28"/>
        <v>0</v>
      </c>
      <c r="DF20" s="7"/>
    </row>
    <row r="21" spans="1:110" s="22" customFormat="1" x14ac:dyDescent="0.25">
      <c r="A21" s="248"/>
      <c r="B21" s="248"/>
      <c r="C21" s="251"/>
      <c r="D21" s="25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1">
        <f t="shared" si="30"/>
        <v>0</v>
      </c>
      <c r="AE21" s="53" t="str">
        <f t="shared" ca="1" si="29"/>
        <v/>
      </c>
      <c r="AF21" s="56">
        <f>IF($C21=Repart_lignes,0,
(SUMIF(Fonctionnement[Affectation matrice],$A21,Fonctionnement[TVA acquittée])+SUMIF(Invest[Affectation matrice],$A21,Invest[TVA acquittée]))*CF21)</f>
        <v>0</v>
      </c>
      <c r="AG21" s="56">
        <f>IF($C21=Repart_lignes,0,
(SUMIF(Fonctionnement[Affectation matrice],$A21,Fonctionnement[TVA acquittée])+SUMIF(Invest[Affectation matrice],$A21,Invest[TVA acquittée]))*CG21)</f>
        <v>0</v>
      </c>
      <c r="AH21" s="56">
        <f>IF($C21=Repart_lignes,0,
(SUMIF(Fonctionnement[Affectation matrice],$A21,Fonctionnement[TVA acquittée])+SUMIF(Invest[Affectation matrice],$A21,Invest[TVA acquittée]))*CH21)</f>
        <v>0</v>
      </c>
      <c r="AI21" s="56">
        <f>IF($C21=Repart_lignes,0,
(SUMIF(Fonctionnement[Affectation matrice],$A21,Fonctionnement[TVA acquittée])+SUMIF(Invest[Affectation matrice],$A21,Invest[TVA acquittée]))*CI21)</f>
        <v>0</v>
      </c>
      <c r="AJ21" s="56">
        <f>IF($C21=Repart_lignes,0,
(SUMIF(Fonctionnement[Affectation matrice],$A21,Fonctionnement[TVA acquittée])+SUMIF(Invest[Affectation matrice],$A21,Invest[TVA acquittée]))*CJ21)</f>
        <v>0</v>
      </c>
      <c r="AK21" s="56">
        <f>IF($C21=Repart_lignes,0,
(SUMIF(Fonctionnement[Affectation matrice],$A21,Fonctionnement[TVA acquittée])+SUMIF(Invest[Affectation matrice],$A21,Invest[TVA acquittée]))*CK21)</f>
        <v>0</v>
      </c>
      <c r="AL21" s="56">
        <f>IF($C21=Repart_lignes,0,
(SUMIF(Fonctionnement[Affectation matrice],$A21,Fonctionnement[TVA acquittée])+SUMIF(Invest[Affectation matrice],$A21,Invest[TVA acquittée]))*CL21)</f>
        <v>0</v>
      </c>
      <c r="AM21" s="56">
        <f>IF($C21=Repart_lignes,0,
(SUMIF(Fonctionnement[Affectation matrice],$A21,Fonctionnement[TVA acquittée])+SUMIF(Invest[Affectation matrice],$A21,Invest[TVA acquittée]))*CM21)</f>
        <v>0</v>
      </c>
      <c r="AN21" s="56">
        <f>IF($C21=Repart_lignes,0,
(SUMIF(Fonctionnement[Affectation matrice],$A21,Fonctionnement[TVA acquittée])+SUMIF(Invest[Affectation matrice],$A21,Invest[TVA acquittée]))*CN21)</f>
        <v>0</v>
      </c>
      <c r="AO21" s="56">
        <f>IF($C21=Repart_lignes,0,
(SUMIF(Fonctionnement[Affectation matrice],$A21,Fonctionnement[TVA acquittée])+SUMIF(Invest[Affectation matrice],$A21,Invest[TVA acquittée]))*CO21)</f>
        <v>0</v>
      </c>
      <c r="AP21" s="56">
        <f>IF($C21=Repart_lignes,0,
(SUMIF(Fonctionnement[Affectation matrice],$A21,Fonctionnement[TVA acquittée])+SUMIF(Invest[Affectation matrice],$A21,Invest[TVA acquittée]))*CP21)</f>
        <v>0</v>
      </c>
      <c r="AQ21" s="56">
        <f>IF($C21=Repart_lignes,0,
(SUMIF(Fonctionnement[Affectation matrice],$A21,Fonctionnement[TVA acquittée])+SUMIF(Invest[Affectation matrice],$A21,Invest[TVA acquittée]))*CQ21)</f>
        <v>0</v>
      </c>
      <c r="AR21" s="56">
        <f>IF($C21=Repart_lignes,0,
(SUMIF(Fonctionnement[Affectation matrice],$A21,Fonctionnement[TVA acquittée])+SUMIF(Invest[Affectation matrice],$A21,Invest[TVA acquittée]))*CR21)</f>
        <v>0</v>
      </c>
      <c r="AS21" s="56">
        <f>IF($C21=Repart_lignes,0,
(SUMIF(Fonctionnement[Affectation matrice],$A21,Fonctionnement[TVA acquittée])+SUMIF(Invest[Affectation matrice],$A21,Invest[TVA acquittée]))*CS21)</f>
        <v>0</v>
      </c>
      <c r="AT21" s="56">
        <f>IF($C21=Repart_lignes,0,
(SUMIF(Fonctionnement[Affectation matrice],$A21,Fonctionnement[TVA acquittée])+SUMIF(Invest[Affectation matrice],$A21,Invest[TVA acquittée]))*CT21)</f>
        <v>0</v>
      </c>
      <c r="AU21" s="56">
        <f>IF($C21=Repart_lignes,0,
(SUMIF(Fonctionnement[Affectation matrice],$A21,Fonctionnement[TVA acquittée])+SUMIF(Invest[Affectation matrice],$A21,Invest[TVA acquittée]))*CU21)</f>
        <v>0</v>
      </c>
      <c r="AV21" s="56">
        <f>IF($C21=Repart_lignes,0,
(SUMIF(Fonctionnement[Affectation matrice],$A21,Fonctionnement[TVA acquittée])+SUMIF(Invest[Affectation matrice],$A21,Invest[TVA acquittée]))*CV21)</f>
        <v>0</v>
      </c>
      <c r="AW21" s="56">
        <f>IF($C21=Repart_lignes,0,
(SUMIF(Fonctionnement[Affectation matrice],$A21,Fonctionnement[TVA acquittée])+SUMIF(Invest[Affectation matrice],$A21,Invest[TVA acquittée]))*CW21)</f>
        <v>0</v>
      </c>
      <c r="AX21" s="56">
        <f>IF($C21=Repart_lignes,0,
(SUMIF(Fonctionnement[Affectation matrice],$A21,Fonctionnement[TVA acquittée])+SUMIF(Invest[Affectation matrice],$A21,Invest[TVA acquittée]))*CX21)</f>
        <v>0</v>
      </c>
      <c r="AY21" s="56">
        <f>IF($C21=Repart_lignes,0,
(SUMIF(Fonctionnement[Affectation matrice],$A21,Fonctionnement[TVA acquittée])+SUMIF(Invest[Affectation matrice],$A21,Invest[TVA acquittée]))*CY21)</f>
        <v>0</v>
      </c>
      <c r="AZ21" s="56">
        <f>IF($C21=Repart_lignes,0,
(SUMIF(Fonctionnement[Affectation matrice],$A21,Fonctionnement[TVA acquittée])+SUMIF(Invest[Affectation matrice],$A21,Invest[TVA acquittée]))*CZ21)</f>
        <v>0</v>
      </c>
      <c r="BA21" s="56">
        <f>IF($C21=Repart_lignes,0,
(SUMIF(Fonctionnement[Affectation matrice],$A21,Fonctionnement[TVA acquittée])+SUMIF(Invest[Affectation matrice],$A21,Invest[TVA acquittée]))*DA21)</f>
        <v>0</v>
      </c>
      <c r="BB21" s="56">
        <f>IF($C21=Repart_lignes,0,
(SUMIF(Fonctionnement[Affectation matrice],$A21,Fonctionnement[TVA acquittée])+SUMIF(Invest[Affectation matrice],$A21,Invest[TVA acquittée]))*DB21)</f>
        <v>0</v>
      </c>
      <c r="BC21" s="56">
        <f>IF($C21=Repart_lignes,0,
(SUMIF(Fonctionnement[Affectation matrice],$A21,Fonctionnement[TVA acquittée])+SUMIF(Invest[Affectation matrice],$A21,Invest[TVA acquittée]))*DC21)</f>
        <v>0</v>
      </c>
      <c r="BD21" s="56">
        <f>IF($C21=Repart_lignes,0,
(SUMIF(Fonctionnement[Affectation matrice],$A21,Fonctionnement[TVA acquittée])+SUMIF(Invest[Affectation matrice],$A21,Invest[TVA acquittée]))*DD21)</f>
        <v>0</v>
      </c>
      <c r="BE21" s="58">
        <f t="shared" si="1"/>
        <v>0</v>
      </c>
      <c r="BF21" s="56">
        <f>IF($C21=Repart_lignes,0,
(SUMIF(Fonctionnement[Affectation matrice],$A21,Fonctionnement[Montant (€HT)])+SUMIF(Invest[Affectation matrice],$A21,Invest[Amortissement HT + intérêts]))*CF21)</f>
        <v>0</v>
      </c>
      <c r="BG21" s="56">
        <f>IF($C21=Repart_lignes,0,
(SUMIF(Fonctionnement[Affectation matrice],$A21,Fonctionnement[Montant (€HT)])+SUMIF(Invest[Affectation matrice],$A21,Invest[Amortissement HT + intérêts]))*CG21)</f>
        <v>0</v>
      </c>
      <c r="BH21" s="56">
        <f>IF($C21=Repart_lignes,0,
(SUMIF(Fonctionnement[Affectation matrice],$A21,Fonctionnement[Montant (€HT)])+SUMIF(Invest[Affectation matrice],$A21,Invest[Amortissement HT + intérêts]))*CH21)</f>
        <v>0</v>
      </c>
      <c r="BI21" s="56">
        <f>IF($C21=Repart_lignes,0,
(SUMIF(Fonctionnement[Affectation matrice],$A21,Fonctionnement[Montant (€HT)])+SUMIF(Invest[Affectation matrice],$A21,Invest[Amortissement HT + intérêts]))*CI21)</f>
        <v>0</v>
      </c>
      <c r="BJ21" s="56">
        <f>IF($C21=Repart_lignes,0,
(SUMIF(Fonctionnement[Affectation matrice],$A21,Fonctionnement[Montant (€HT)])+SUMIF(Invest[Affectation matrice],$A21,Invest[Amortissement HT + intérêts]))*CJ21)</f>
        <v>0</v>
      </c>
      <c r="BK21" s="56">
        <f>IF($C21=Repart_lignes,0,
(SUMIF(Fonctionnement[Affectation matrice],$A21,Fonctionnement[Montant (€HT)])+SUMIF(Invest[Affectation matrice],$A21,Invest[Amortissement HT + intérêts]))*CK21)</f>
        <v>0</v>
      </c>
      <c r="BL21" s="56">
        <f>IF($C21=Repart_lignes,0,
(SUMIF(Fonctionnement[Affectation matrice],$A21,Fonctionnement[Montant (€HT)])+SUMIF(Invest[Affectation matrice],$A21,Invest[Amortissement HT + intérêts]))*CL21)</f>
        <v>0</v>
      </c>
      <c r="BM21" s="56">
        <f>IF($C21=Repart_lignes,0,
(SUMIF(Fonctionnement[Affectation matrice],$A21,Fonctionnement[Montant (€HT)])+SUMIF(Invest[Affectation matrice],$A21,Invest[Amortissement HT + intérêts]))*CM21)</f>
        <v>0</v>
      </c>
      <c r="BN21" s="56">
        <f>IF($C21=Repart_lignes,0,
(SUMIF(Fonctionnement[Affectation matrice],$A21,Fonctionnement[Montant (€HT)])+SUMIF(Invest[Affectation matrice],$A21,Invest[Amortissement HT + intérêts]))*CN21)</f>
        <v>0</v>
      </c>
      <c r="BO21" s="56">
        <f>IF($C21=Repart_lignes,0,
(SUMIF(Fonctionnement[Affectation matrice],$A21,Fonctionnement[Montant (€HT)])+SUMIF(Invest[Affectation matrice],$A21,Invest[Amortissement HT + intérêts]))*CO21)</f>
        <v>0</v>
      </c>
      <c r="BP21" s="56">
        <f>IF($C21=Repart_lignes,0,
(SUMIF(Fonctionnement[Affectation matrice],$A21,Fonctionnement[Montant (€HT)])+SUMIF(Invest[Affectation matrice],$A21,Invest[Amortissement HT + intérêts]))*CP21)</f>
        <v>0</v>
      </c>
      <c r="BQ21" s="56">
        <f>IF($C21=Repart_lignes,0,
(SUMIF(Fonctionnement[Affectation matrice],$A21,Fonctionnement[Montant (€HT)])+SUMIF(Invest[Affectation matrice],$A21,Invest[Amortissement HT + intérêts]))*CQ21)</f>
        <v>0</v>
      </c>
      <c r="BR21" s="56">
        <f>IF($C21=Repart_lignes,0,
(SUMIF(Fonctionnement[Affectation matrice],$A21,Fonctionnement[Montant (€HT)])+SUMIF(Invest[Affectation matrice],$A21,Invest[Amortissement HT + intérêts]))*CR21)</f>
        <v>0</v>
      </c>
      <c r="BS21" s="56">
        <f>IF($C21=Repart_lignes,0,
(SUMIF(Fonctionnement[Affectation matrice],$A21,Fonctionnement[Montant (€HT)])+SUMIF(Invest[Affectation matrice],$A21,Invest[Amortissement HT + intérêts]))*CS21)</f>
        <v>0</v>
      </c>
      <c r="BT21" s="56">
        <f>IF($C21=Repart_lignes,0,
(SUMIF(Fonctionnement[Affectation matrice],$A21,Fonctionnement[Montant (€HT)])+SUMIF(Invest[Affectation matrice],$A21,Invest[Amortissement HT + intérêts]))*CT21)</f>
        <v>0</v>
      </c>
      <c r="BU21" s="56">
        <f>IF($C21=Repart_lignes,0,
(SUMIF(Fonctionnement[Affectation matrice],$A21,Fonctionnement[Montant (€HT)])+SUMIF(Invest[Affectation matrice],$A21,Invest[Amortissement HT + intérêts]))*CU21)</f>
        <v>0</v>
      </c>
      <c r="BV21" s="56">
        <f>IF($C21=Repart_lignes,0,
(SUMIF(Fonctionnement[Affectation matrice],$A21,Fonctionnement[Montant (€HT)])+SUMIF(Invest[Affectation matrice],$A21,Invest[Amortissement HT + intérêts]))*CV21)</f>
        <v>0</v>
      </c>
      <c r="BW21" s="56">
        <f>IF($C21=Repart_lignes,0,
(SUMIF(Fonctionnement[Affectation matrice],$A21,Fonctionnement[Montant (€HT)])+SUMIF(Invest[Affectation matrice],$A21,Invest[Amortissement HT + intérêts]))*CW21)</f>
        <v>0</v>
      </c>
      <c r="BX21" s="56">
        <f>IF($C21=Repart_lignes,0,
(SUMIF(Fonctionnement[Affectation matrice],$A21,Fonctionnement[Montant (€HT)])+SUMIF(Invest[Affectation matrice],$A21,Invest[Amortissement HT + intérêts]))*CX21)</f>
        <v>0</v>
      </c>
      <c r="BY21" s="56">
        <f>IF($C21=Repart_lignes,0,
(SUMIF(Fonctionnement[Affectation matrice],$A21,Fonctionnement[Montant (€HT)])+SUMIF(Invest[Affectation matrice],$A21,Invest[Amortissement HT + intérêts]))*CY21)</f>
        <v>0</v>
      </c>
      <c r="BZ21" s="56">
        <f>IF($C21=Repart_lignes,0,
(SUMIF(Fonctionnement[Affectation matrice],$A21,Fonctionnement[Montant (€HT)])+SUMIF(Invest[Affectation matrice],$A21,Invest[Amortissement HT + intérêts]))*CZ21)</f>
        <v>0</v>
      </c>
      <c r="CA21" s="56">
        <f>IF($C21=Repart_lignes,0,
(SUMIF(Fonctionnement[Affectation matrice],$A21,Fonctionnement[Montant (€HT)])+SUMIF(Invest[Affectation matrice],$A21,Invest[Amortissement HT + intérêts]))*DA21)</f>
        <v>0</v>
      </c>
      <c r="CB21" s="56">
        <f>IF($C21=Repart_lignes,0,
(SUMIF(Fonctionnement[Affectation matrice],$A21,Fonctionnement[Montant (€HT)])+SUMIF(Invest[Affectation matrice],$A21,Invest[Amortissement HT + intérêts]))*DB21)</f>
        <v>0</v>
      </c>
      <c r="CC21" s="56">
        <f>IF($C21=Repart_lignes,0,
(SUMIF(Fonctionnement[Affectation matrice],$A21,Fonctionnement[Montant (€HT)])+SUMIF(Invest[Affectation matrice],$A21,Invest[Amortissement HT + intérêts]))*DC21)</f>
        <v>0</v>
      </c>
      <c r="CD21" s="56">
        <f>IF($C21=Repart_lignes,0,
(SUMIF(Fonctionnement[Affectation matrice],$A21,Fonctionnement[Montant (€HT)])+SUMIF(Invest[Affectation matrice],$A21,Invest[Amortissement HT + intérêts]))*DD21)</f>
        <v>0</v>
      </c>
      <c r="CE21" s="59">
        <f t="shared" si="2"/>
        <v>0</v>
      </c>
      <c r="CF21" s="61">
        <f t="shared" si="3"/>
        <v>0</v>
      </c>
      <c r="CG21" s="61">
        <f t="shared" si="4"/>
        <v>0</v>
      </c>
      <c r="CH21" s="61">
        <f t="shared" si="5"/>
        <v>0</v>
      </c>
      <c r="CI21" s="61">
        <f t="shared" si="6"/>
        <v>0</v>
      </c>
      <c r="CJ21" s="61">
        <f t="shared" si="7"/>
        <v>0</v>
      </c>
      <c r="CK21" s="61">
        <f t="shared" si="8"/>
        <v>0</v>
      </c>
      <c r="CL21" s="61">
        <f t="shared" si="9"/>
        <v>0</v>
      </c>
      <c r="CM21" s="61">
        <f t="shared" si="10"/>
        <v>0</v>
      </c>
      <c r="CN21" s="61">
        <f t="shared" si="11"/>
        <v>0</v>
      </c>
      <c r="CO21" s="61">
        <f t="shared" si="12"/>
        <v>0</v>
      </c>
      <c r="CP21" s="61">
        <f t="shared" si="13"/>
        <v>0</v>
      </c>
      <c r="CQ21" s="61">
        <f t="shared" si="14"/>
        <v>0</v>
      </c>
      <c r="CR21" s="61">
        <f t="shared" si="15"/>
        <v>0</v>
      </c>
      <c r="CS21" s="61">
        <f t="shared" si="16"/>
        <v>0</v>
      </c>
      <c r="CT21" s="61">
        <f t="shared" si="17"/>
        <v>0</v>
      </c>
      <c r="CU21" s="61">
        <f t="shared" si="18"/>
        <v>0</v>
      </c>
      <c r="CV21" s="61">
        <f t="shared" si="19"/>
        <v>0</v>
      </c>
      <c r="CW21" s="61">
        <f t="shared" si="20"/>
        <v>0</v>
      </c>
      <c r="CX21" s="61">
        <f t="shared" si="21"/>
        <v>0</v>
      </c>
      <c r="CY21" s="61">
        <f t="shared" si="22"/>
        <v>0</v>
      </c>
      <c r="CZ21" s="61">
        <f t="shared" si="23"/>
        <v>0</v>
      </c>
      <c r="DA21" s="61">
        <f t="shared" si="24"/>
        <v>0</v>
      </c>
      <c r="DB21" s="61">
        <f t="shared" si="25"/>
        <v>0</v>
      </c>
      <c r="DC21" s="61">
        <f t="shared" si="26"/>
        <v>0</v>
      </c>
      <c r="DD21" s="61">
        <f t="shared" si="27"/>
        <v>0</v>
      </c>
      <c r="DE21" s="61">
        <f t="shared" si="28"/>
        <v>0</v>
      </c>
      <c r="DF21" s="7"/>
    </row>
    <row r="22" spans="1:110" s="22" customFormat="1" x14ac:dyDescent="0.25">
      <c r="A22" s="248"/>
      <c r="B22" s="248"/>
      <c r="C22" s="251"/>
      <c r="D22" s="25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1">
        <f t="shared" si="30"/>
        <v>0</v>
      </c>
      <c r="AE22" s="53" t="str">
        <f t="shared" ca="1" si="29"/>
        <v/>
      </c>
      <c r="AF22" s="56">
        <f>IF($C22=Repart_lignes,0,
(SUMIF(Fonctionnement[Affectation matrice],$A22,Fonctionnement[TVA acquittée])+SUMIF(Invest[Affectation matrice],$A22,Invest[TVA acquittée]))*CF22)</f>
        <v>0</v>
      </c>
      <c r="AG22" s="56">
        <f>IF($C22=Repart_lignes,0,
(SUMIF(Fonctionnement[Affectation matrice],$A22,Fonctionnement[TVA acquittée])+SUMIF(Invest[Affectation matrice],$A22,Invest[TVA acquittée]))*CG22)</f>
        <v>0</v>
      </c>
      <c r="AH22" s="56">
        <f>IF($C22=Repart_lignes,0,
(SUMIF(Fonctionnement[Affectation matrice],$A22,Fonctionnement[TVA acquittée])+SUMIF(Invest[Affectation matrice],$A22,Invest[TVA acquittée]))*CH22)</f>
        <v>0</v>
      </c>
      <c r="AI22" s="56">
        <f>IF($C22=Repart_lignes,0,
(SUMIF(Fonctionnement[Affectation matrice],$A22,Fonctionnement[TVA acquittée])+SUMIF(Invest[Affectation matrice],$A22,Invest[TVA acquittée]))*CI22)</f>
        <v>0</v>
      </c>
      <c r="AJ22" s="56">
        <f>IF($C22=Repart_lignes,0,
(SUMIF(Fonctionnement[Affectation matrice],$A22,Fonctionnement[TVA acquittée])+SUMIF(Invest[Affectation matrice],$A22,Invest[TVA acquittée]))*CJ22)</f>
        <v>0</v>
      </c>
      <c r="AK22" s="56">
        <f>IF($C22=Repart_lignes,0,
(SUMIF(Fonctionnement[Affectation matrice],$A22,Fonctionnement[TVA acquittée])+SUMIF(Invest[Affectation matrice],$A22,Invest[TVA acquittée]))*CK22)</f>
        <v>0</v>
      </c>
      <c r="AL22" s="56">
        <f>IF($C22=Repart_lignes,0,
(SUMIF(Fonctionnement[Affectation matrice],$A22,Fonctionnement[TVA acquittée])+SUMIF(Invest[Affectation matrice],$A22,Invest[TVA acquittée]))*CL22)</f>
        <v>0</v>
      </c>
      <c r="AM22" s="56">
        <f>IF($C22=Repart_lignes,0,
(SUMIF(Fonctionnement[Affectation matrice],$A22,Fonctionnement[TVA acquittée])+SUMIF(Invest[Affectation matrice],$A22,Invest[TVA acquittée]))*CM22)</f>
        <v>0</v>
      </c>
      <c r="AN22" s="56">
        <f>IF($C22=Repart_lignes,0,
(SUMIF(Fonctionnement[Affectation matrice],$A22,Fonctionnement[TVA acquittée])+SUMIF(Invest[Affectation matrice],$A22,Invest[TVA acquittée]))*CN22)</f>
        <v>0</v>
      </c>
      <c r="AO22" s="56">
        <f>IF($C22=Repart_lignes,0,
(SUMIF(Fonctionnement[Affectation matrice],$A22,Fonctionnement[TVA acquittée])+SUMIF(Invest[Affectation matrice],$A22,Invest[TVA acquittée]))*CO22)</f>
        <v>0</v>
      </c>
      <c r="AP22" s="56">
        <f>IF($C22=Repart_lignes,0,
(SUMIF(Fonctionnement[Affectation matrice],$A22,Fonctionnement[TVA acquittée])+SUMIF(Invest[Affectation matrice],$A22,Invest[TVA acquittée]))*CP22)</f>
        <v>0</v>
      </c>
      <c r="AQ22" s="56">
        <f>IF($C22=Repart_lignes,0,
(SUMIF(Fonctionnement[Affectation matrice],$A22,Fonctionnement[TVA acquittée])+SUMIF(Invest[Affectation matrice],$A22,Invest[TVA acquittée]))*CQ22)</f>
        <v>0</v>
      </c>
      <c r="AR22" s="56">
        <f>IF($C22=Repart_lignes,0,
(SUMIF(Fonctionnement[Affectation matrice],$A22,Fonctionnement[TVA acquittée])+SUMIF(Invest[Affectation matrice],$A22,Invest[TVA acquittée]))*CR22)</f>
        <v>0</v>
      </c>
      <c r="AS22" s="56">
        <f>IF($C22=Repart_lignes,0,
(SUMIF(Fonctionnement[Affectation matrice],$A22,Fonctionnement[TVA acquittée])+SUMIF(Invest[Affectation matrice],$A22,Invest[TVA acquittée]))*CS22)</f>
        <v>0</v>
      </c>
      <c r="AT22" s="56">
        <f>IF($C22=Repart_lignes,0,
(SUMIF(Fonctionnement[Affectation matrice],$A22,Fonctionnement[TVA acquittée])+SUMIF(Invest[Affectation matrice],$A22,Invest[TVA acquittée]))*CT22)</f>
        <v>0</v>
      </c>
      <c r="AU22" s="56">
        <f>IF($C22=Repart_lignes,0,
(SUMIF(Fonctionnement[Affectation matrice],$A22,Fonctionnement[TVA acquittée])+SUMIF(Invest[Affectation matrice],$A22,Invest[TVA acquittée]))*CU22)</f>
        <v>0</v>
      </c>
      <c r="AV22" s="56">
        <f>IF($C22=Repart_lignes,0,
(SUMIF(Fonctionnement[Affectation matrice],$A22,Fonctionnement[TVA acquittée])+SUMIF(Invest[Affectation matrice],$A22,Invest[TVA acquittée]))*CV22)</f>
        <v>0</v>
      </c>
      <c r="AW22" s="56">
        <f>IF($C22=Repart_lignes,0,
(SUMIF(Fonctionnement[Affectation matrice],$A22,Fonctionnement[TVA acquittée])+SUMIF(Invest[Affectation matrice],$A22,Invest[TVA acquittée]))*CW22)</f>
        <v>0</v>
      </c>
      <c r="AX22" s="56">
        <f>IF($C22=Repart_lignes,0,
(SUMIF(Fonctionnement[Affectation matrice],$A22,Fonctionnement[TVA acquittée])+SUMIF(Invest[Affectation matrice],$A22,Invest[TVA acquittée]))*CX22)</f>
        <v>0</v>
      </c>
      <c r="AY22" s="56">
        <f>IF($C22=Repart_lignes,0,
(SUMIF(Fonctionnement[Affectation matrice],$A22,Fonctionnement[TVA acquittée])+SUMIF(Invest[Affectation matrice],$A22,Invest[TVA acquittée]))*CY22)</f>
        <v>0</v>
      </c>
      <c r="AZ22" s="56">
        <f>IF($C22=Repart_lignes,0,
(SUMIF(Fonctionnement[Affectation matrice],$A22,Fonctionnement[TVA acquittée])+SUMIF(Invest[Affectation matrice],$A22,Invest[TVA acquittée]))*CZ22)</f>
        <v>0</v>
      </c>
      <c r="BA22" s="56">
        <f>IF($C22=Repart_lignes,0,
(SUMIF(Fonctionnement[Affectation matrice],$A22,Fonctionnement[TVA acquittée])+SUMIF(Invest[Affectation matrice],$A22,Invest[TVA acquittée]))*DA22)</f>
        <v>0</v>
      </c>
      <c r="BB22" s="56">
        <f>IF($C22=Repart_lignes,0,
(SUMIF(Fonctionnement[Affectation matrice],$A22,Fonctionnement[TVA acquittée])+SUMIF(Invest[Affectation matrice],$A22,Invest[TVA acquittée]))*DB22)</f>
        <v>0</v>
      </c>
      <c r="BC22" s="56">
        <f>IF($C22=Repart_lignes,0,
(SUMIF(Fonctionnement[Affectation matrice],$A22,Fonctionnement[TVA acquittée])+SUMIF(Invest[Affectation matrice],$A22,Invest[TVA acquittée]))*DC22)</f>
        <v>0</v>
      </c>
      <c r="BD22" s="56">
        <f>IF($C22=Repart_lignes,0,
(SUMIF(Fonctionnement[Affectation matrice],$A22,Fonctionnement[TVA acquittée])+SUMIF(Invest[Affectation matrice],$A22,Invest[TVA acquittée]))*DD22)</f>
        <v>0</v>
      </c>
      <c r="BE22" s="58">
        <f t="shared" si="1"/>
        <v>0</v>
      </c>
      <c r="BF22" s="56">
        <f>IF($C22=Repart_lignes,0,
(SUMIF(Fonctionnement[Affectation matrice],$A22,Fonctionnement[Montant (€HT)])+SUMIF(Invest[Affectation matrice],$A22,Invest[Amortissement HT + intérêts]))*CF22)</f>
        <v>0</v>
      </c>
      <c r="BG22" s="56">
        <f>IF($C22=Repart_lignes,0,
(SUMIF(Fonctionnement[Affectation matrice],$A22,Fonctionnement[Montant (€HT)])+SUMIF(Invest[Affectation matrice],$A22,Invest[Amortissement HT + intérêts]))*CG22)</f>
        <v>0</v>
      </c>
      <c r="BH22" s="56">
        <f>IF($C22=Repart_lignes,0,
(SUMIF(Fonctionnement[Affectation matrice],$A22,Fonctionnement[Montant (€HT)])+SUMIF(Invest[Affectation matrice],$A22,Invest[Amortissement HT + intérêts]))*CH22)</f>
        <v>0</v>
      </c>
      <c r="BI22" s="56">
        <f>IF($C22=Repart_lignes,0,
(SUMIF(Fonctionnement[Affectation matrice],$A22,Fonctionnement[Montant (€HT)])+SUMIF(Invest[Affectation matrice],$A22,Invest[Amortissement HT + intérêts]))*CI22)</f>
        <v>0</v>
      </c>
      <c r="BJ22" s="56">
        <f>IF($C22=Repart_lignes,0,
(SUMIF(Fonctionnement[Affectation matrice],$A22,Fonctionnement[Montant (€HT)])+SUMIF(Invest[Affectation matrice],$A22,Invest[Amortissement HT + intérêts]))*CJ22)</f>
        <v>0</v>
      </c>
      <c r="BK22" s="56">
        <f>IF($C22=Repart_lignes,0,
(SUMIF(Fonctionnement[Affectation matrice],$A22,Fonctionnement[Montant (€HT)])+SUMIF(Invest[Affectation matrice],$A22,Invest[Amortissement HT + intérêts]))*CK22)</f>
        <v>0</v>
      </c>
      <c r="BL22" s="56">
        <f>IF($C22=Repart_lignes,0,
(SUMIF(Fonctionnement[Affectation matrice],$A22,Fonctionnement[Montant (€HT)])+SUMIF(Invest[Affectation matrice],$A22,Invest[Amortissement HT + intérêts]))*CL22)</f>
        <v>0</v>
      </c>
      <c r="BM22" s="56">
        <f>IF($C22=Repart_lignes,0,
(SUMIF(Fonctionnement[Affectation matrice],$A22,Fonctionnement[Montant (€HT)])+SUMIF(Invest[Affectation matrice],$A22,Invest[Amortissement HT + intérêts]))*CM22)</f>
        <v>0</v>
      </c>
      <c r="BN22" s="56">
        <f>IF($C22=Repart_lignes,0,
(SUMIF(Fonctionnement[Affectation matrice],$A22,Fonctionnement[Montant (€HT)])+SUMIF(Invest[Affectation matrice],$A22,Invest[Amortissement HT + intérêts]))*CN22)</f>
        <v>0</v>
      </c>
      <c r="BO22" s="56">
        <f>IF($C22=Repart_lignes,0,
(SUMIF(Fonctionnement[Affectation matrice],$A22,Fonctionnement[Montant (€HT)])+SUMIF(Invest[Affectation matrice],$A22,Invest[Amortissement HT + intérêts]))*CO22)</f>
        <v>0</v>
      </c>
      <c r="BP22" s="56">
        <f>IF($C22=Repart_lignes,0,
(SUMIF(Fonctionnement[Affectation matrice],$A22,Fonctionnement[Montant (€HT)])+SUMIF(Invest[Affectation matrice],$A22,Invest[Amortissement HT + intérêts]))*CP22)</f>
        <v>0</v>
      </c>
      <c r="BQ22" s="56">
        <f>IF($C22=Repart_lignes,0,
(SUMIF(Fonctionnement[Affectation matrice],$A22,Fonctionnement[Montant (€HT)])+SUMIF(Invest[Affectation matrice],$A22,Invest[Amortissement HT + intérêts]))*CQ22)</f>
        <v>0</v>
      </c>
      <c r="BR22" s="56">
        <f>IF($C22=Repart_lignes,0,
(SUMIF(Fonctionnement[Affectation matrice],$A22,Fonctionnement[Montant (€HT)])+SUMIF(Invest[Affectation matrice],$A22,Invest[Amortissement HT + intérêts]))*CR22)</f>
        <v>0</v>
      </c>
      <c r="BS22" s="56">
        <f>IF($C22=Repart_lignes,0,
(SUMIF(Fonctionnement[Affectation matrice],$A22,Fonctionnement[Montant (€HT)])+SUMIF(Invest[Affectation matrice],$A22,Invest[Amortissement HT + intérêts]))*CS22)</f>
        <v>0</v>
      </c>
      <c r="BT22" s="56">
        <f>IF($C22=Repart_lignes,0,
(SUMIF(Fonctionnement[Affectation matrice],$A22,Fonctionnement[Montant (€HT)])+SUMIF(Invest[Affectation matrice],$A22,Invest[Amortissement HT + intérêts]))*CT22)</f>
        <v>0</v>
      </c>
      <c r="BU22" s="56">
        <f>IF($C22=Repart_lignes,0,
(SUMIF(Fonctionnement[Affectation matrice],$A22,Fonctionnement[Montant (€HT)])+SUMIF(Invest[Affectation matrice],$A22,Invest[Amortissement HT + intérêts]))*CU22)</f>
        <v>0</v>
      </c>
      <c r="BV22" s="56">
        <f>IF($C22=Repart_lignes,0,
(SUMIF(Fonctionnement[Affectation matrice],$A22,Fonctionnement[Montant (€HT)])+SUMIF(Invest[Affectation matrice],$A22,Invest[Amortissement HT + intérêts]))*CV22)</f>
        <v>0</v>
      </c>
      <c r="BW22" s="56">
        <f>IF($C22=Repart_lignes,0,
(SUMIF(Fonctionnement[Affectation matrice],$A22,Fonctionnement[Montant (€HT)])+SUMIF(Invest[Affectation matrice],$A22,Invest[Amortissement HT + intérêts]))*CW22)</f>
        <v>0</v>
      </c>
      <c r="BX22" s="56">
        <f>IF($C22=Repart_lignes,0,
(SUMIF(Fonctionnement[Affectation matrice],$A22,Fonctionnement[Montant (€HT)])+SUMIF(Invest[Affectation matrice],$A22,Invest[Amortissement HT + intérêts]))*CX22)</f>
        <v>0</v>
      </c>
      <c r="BY22" s="56">
        <f>IF($C22=Repart_lignes,0,
(SUMIF(Fonctionnement[Affectation matrice],$A22,Fonctionnement[Montant (€HT)])+SUMIF(Invest[Affectation matrice],$A22,Invest[Amortissement HT + intérêts]))*CY22)</f>
        <v>0</v>
      </c>
      <c r="BZ22" s="56">
        <f>IF($C22=Repart_lignes,0,
(SUMIF(Fonctionnement[Affectation matrice],$A22,Fonctionnement[Montant (€HT)])+SUMIF(Invest[Affectation matrice],$A22,Invest[Amortissement HT + intérêts]))*CZ22)</f>
        <v>0</v>
      </c>
      <c r="CA22" s="56">
        <f>IF($C22=Repart_lignes,0,
(SUMIF(Fonctionnement[Affectation matrice],$A22,Fonctionnement[Montant (€HT)])+SUMIF(Invest[Affectation matrice],$A22,Invest[Amortissement HT + intérêts]))*DA22)</f>
        <v>0</v>
      </c>
      <c r="CB22" s="56">
        <f>IF($C22=Repart_lignes,0,
(SUMIF(Fonctionnement[Affectation matrice],$A22,Fonctionnement[Montant (€HT)])+SUMIF(Invest[Affectation matrice],$A22,Invest[Amortissement HT + intérêts]))*DB22)</f>
        <v>0</v>
      </c>
      <c r="CC22" s="56">
        <f>IF($C22=Repart_lignes,0,
(SUMIF(Fonctionnement[Affectation matrice],$A22,Fonctionnement[Montant (€HT)])+SUMIF(Invest[Affectation matrice],$A22,Invest[Amortissement HT + intérêts]))*DC22)</f>
        <v>0</v>
      </c>
      <c r="CD22" s="56">
        <f>IF($C22=Repart_lignes,0,
(SUMIF(Fonctionnement[Affectation matrice],$A22,Fonctionnement[Montant (€HT)])+SUMIF(Invest[Affectation matrice],$A22,Invest[Amortissement HT + intérêts]))*DD22)</f>
        <v>0</v>
      </c>
      <c r="CE22" s="59">
        <f t="shared" si="2"/>
        <v>0</v>
      </c>
      <c r="CF22" s="61">
        <f t="shared" si="3"/>
        <v>0</v>
      </c>
      <c r="CG22" s="61">
        <f t="shared" si="4"/>
        <v>0</v>
      </c>
      <c r="CH22" s="61">
        <f t="shared" si="5"/>
        <v>0</v>
      </c>
      <c r="CI22" s="61">
        <f t="shared" si="6"/>
        <v>0</v>
      </c>
      <c r="CJ22" s="61">
        <f t="shared" si="7"/>
        <v>0</v>
      </c>
      <c r="CK22" s="61">
        <f t="shared" si="8"/>
        <v>0</v>
      </c>
      <c r="CL22" s="61">
        <f t="shared" si="9"/>
        <v>0</v>
      </c>
      <c r="CM22" s="61">
        <f t="shared" si="10"/>
        <v>0</v>
      </c>
      <c r="CN22" s="61">
        <f t="shared" si="11"/>
        <v>0</v>
      </c>
      <c r="CO22" s="61">
        <f t="shared" si="12"/>
        <v>0</v>
      </c>
      <c r="CP22" s="61">
        <f t="shared" si="13"/>
        <v>0</v>
      </c>
      <c r="CQ22" s="61">
        <f t="shared" si="14"/>
        <v>0</v>
      </c>
      <c r="CR22" s="61">
        <f t="shared" si="15"/>
        <v>0</v>
      </c>
      <c r="CS22" s="61">
        <f t="shared" si="16"/>
        <v>0</v>
      </c>
      <c r="CT22" s="61">
        <f t="shared" si="17"/>
        <v>0</v>
      </c>
      <c r="CU22" s="61">
        <f t="shared" si="18"/>
        <v>0</v>
      </c>
      <c r="CV22" s="61">
        <f t="shared" si="19"/>
        <v>0</v>
      </c>
      <c r="CW22" s="61">
        <f t="shared" si="20"/>
        <v>0</v>
      </c>
      <c r="CX22" s="61">
        <f t="shared" si="21"/>
        <v>0</v>
      </c>
      <c r="CY22" s="61">
        <f t="shared" si="22"/>
        <v>0</v>
      </c>
      <c r="CZ22" s="61">
        <f t="shared" si="23"/>
        <v>0</v>
      </c>
      <c r="DA22" s="61">
        <f t="shared" si="24"/>
        <v>0</v>
      </c>
      <c r="DB22" s="61">
        <f t="shared" si="25"/>
        <v>0</v>
      </c>
      <c r="DC22" s="61">
        <f t="shared" si="26"/>
        <v>0</v>
      </c>
      <c r="DD22" s="61">
        <f t="shared" si="27"/>
        <v>0</v>
      </c>
      <c r="DE22" s="61">
        <f t="shared" si="28"/>
        <v>0</v>
      </c>
      <c r="DF22" s="7"/>
    </row>
    <row r="23" spans="1:110" s="22" customFormat="1" x14ac:dyDescent="0.25">
      <c r="A23" s="248"/>
      <c r="B23" s="248"/>
      <c r="C23" s="251"/>
      <c r="D23" s="25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1">
        <f t="shared" si="30"/>
        <v>0</v>
      </c>
      <c r="AE23" s="53" t="str">
        <f t="shared" ca="1" si="29"/>
        <v/>
      </c>
      <c r="AF23" s="56">
        <f>IF($C23=Repart_lignes,0,
(SUMIF(Fonctionnement[Affectation matrice],$A23,Fonctionnement[TVA acquittée])+SUMIF(Invest[Affectation matrice],$A23,Invest[TVA acquittée]))*CF23)</f>
        <v>0</v>
      </c>
      <c r="AG23" s="56">
        <f>IF($C23=Repart_lignes,0,
(SUMIF(Fonctionnement[Affectation matrice],$A23,Fonctionnement[TVA acquittée])+SUMIF(Invest[Affectation matrice],$A23,Invest[TVA acquittée]))*CG23)</f>
        <v>0</v>
      </c>
      <c r="AH23" s="56">
        <f>IF($C23=Repart_lignes,0,
(SUMIF(Fonctionnement[Affectation matrice],$A23,Fonctionnement[TVA acquittée])+SUMIF(Invest[Affectation matrice],$A23,Invest[TVA acquittée]))*CH23)</f>
        <v>0</v>
      </c>
      <c r="AI23" s="56">
        <f>IF($C23=Repart_lignes,0,
(SUMIF(Fonctionnement[Affectation matrice],$A23,Fonctionnement[TVA acquittée])+SUMIF(Invest[Affectation matrice],$A23,Invest[TVA acquittée]))*CI23)</f>
        <v>0</v>
      </c>
      <c r="AJ23" s="56">
        <f>IF($C23=Repart_lignes,0,
(SUMIF(Fonctionnement[Affectation matrice],$A23,Fonctionnement[TVA acquittée])+SUMIF(Invest[Affectation matrice],$A23,Invest[TVA acquittée]))*CJ23)</f>
        <v>0</v>
      </c>
      <c r="AK23" s="56">
        <f>IF($C23=Repart_lignes,0,
(SUMIF(Fonctionnement[Affectation matrice],$A23,Fonctionnement[TVA acquittée])+SUMIF(Invest[Affectation matrice],$A23,Invest[TVA acquittée]))*CK23)</f>
        <v>0</v>
      </c>
      <c r="AL23" s="56">
        <f>IF($C23=Repart_lignes,0,
(SUMIF(Fonctionnement[Affectation matrice],$A23,Fonctionnement[TVA acquittée])+SUMIF(Invest[Affectation matrice],$A23,Invest[TVA acquittée]))*CL23)</f>
        <v>0</v>
      </c>
      <c r="AM23" s="56">
        <f>IF($C23=Repart_lignes,0,
(SUMIF(Fonctionnement[Affectation matrice],$A23,Fonctionnement[TVA acquittée])+SUMIF(Invest[Affectation matrice],$A23,Invest[TVA acquittée]))*CM23)</f>
        <v>0</v>
      </c>
      <c r="AN23" s="56">
        <f>IF($C23=Repart_lignes,0,
(SUMIF(Fonctionnement[Affectation matrice],$A23,Fonctionnement[TVA acquittée])+SUMIF(Invest[Affectation matrice],$A23,Invest[TVA acquittée]))*CN23)</f>
        <v>0</v>
      </c>
      <c r="AO23" s="56">
        <f>IF($C23=Repart_lignes,0,
(SUMIF(Fonctionnement[Affectation matrice],$A23,Fonctionnement[TVA acquittée])+SUMIF(Invest[Affectation matrice],$A23,Invest[TVA acquittée]))*CO23)</f>
        <v>0</v>
      </c>
      <c r="AP23" s="56">
        <f>IF($C23=Repart_lignes,0,
(SUMIF(Fonctionnement[Affectation matrice],$A23,Fonctionnement[TVA acquittée])+SUMIF(Invest[Affectation matrice],$A23,Invest[TVA acquittée]))*CP23)</f>
        <v>0</v>
      </c>
      <c r="AQ23" s="56">
        <f>IF($C23=Repart_lignes,0,
(SUMIF(Fonctionnement[Affectation matrice],$A23,Fonctionnement[TVA acquittée])+SUMIF(Invest[Affectation matrice],$A23,Invest[TVA acquittée]))*CQ23)</f>
        <v>0</v>
      </c>
      <c r="AR23" s="56">
        <f>IF($C23=Repart_lignes,0,
(SUMIF(Fonctionnement[Affectation matrice],$A23,Fonctionnement[TVA acquittée])+SUMIF(Invest[Affectation matrice],$A23,Invest[TVA acquittée]))*CR23)</f>
        <v>0</v>
      </c>
      <c r="AS23" s="56">
        <f>IF($C23=Repart_lignes,0,
(SUMIF(Fonctionnement[Affectation matrice],$A23,Fonctionnement[TVA acquittée])+SUMIF(Invest[Affectation matrice],$A23,Invest[TVA acquittée]))*CS23)</f>
        <v>0</v>
      </c>
      <c r="AT23" s="56">
        <f>IF($C23=Repart_lignes,0,
(SUMIF(Fonctionnement[Affectation matrice],$A23,Fonctionnement[TVA acquittée])+SUMIF(Invest[Affectation matrice],$A23,Invest[TVA acquittée]))*CT23)</f>
        <v>0</v>
      </c>
      <c r="AU23" s="56">
        <f>IF($C23=Repart_lignes,0,
(SUMIF(Fonctionnement[Affectation matrice],$A23,Fonctionnement[TVA acquittée])+SUMIF(Invest[Affectation matrice],$A23,Invest[TVA acquittée]))*CU23)</f>
        <v>0</v>
      </c>
      <c r="AV23" s="56">
        <f>IF($C23=Repart_lignes,0,
(SUMIF(Fonctionnement[Affectation matrice],$A23,Fonctionnement[TVA acquittée])+SUMIF(Invest[Affectation matrice],$A23,Invest[TVA acquittée]))*CV23)</f>
        <v>0</v>
      </c>
      <c r="AW23" s="56">
        <f>IF($C23=Repart_lignes,0,
(SUMIF(Fonctionnement[Affectation matrice],$A23,Fonctionnement[TVA acquittée])+SUMIF(Invest[Affectation matrice],$A23,Invest[TVA acquittée]))*CW23)</f>
        <v>0</v>
      </c>
      <c r="AX23" s="56">
        <f>IF($C23=Repart_lignes,0,
(SUMIF(Fonctionnement[Affectation matrice],$A23,Fonctionnement[TVA acquittée])+SUMIF(Invest[Affectation matrice],$A23,Invest[TVA acquittée]))*CX23)</f>
        <v>0</v>
      </c>
      <c r="AY23" s="56">
        <f>IF($C23=Repart_lignes,0,
(SUMIF(Fonctionnement[Affectation matrice],$A23,Fonctionnement[TVA acquittée])+SUMIF(Invest[Affectation matrice],$A23,Invest[TVA acquittée]))*CY23)</f>
        <v>0</v>
      </c>
      <c r="AZ23" s="56">
        <f>IF($C23=Repart_lignes,0,
(SUMIF(Fonctionnement[Affectation matrice],$A23,Fonctionnement[TVA acquittée])+SUMIF(Invest[Affectation matrice],$A23,Invest[TVA acquittée]))*CZ23)</f>
        <v>0</v>
      </c>
      <c r="BA23" s="56">
        <f>IF($C23=Repart_lignes,0,
(SUMIF(Fonctionnement[Affectation matrice],$A23,Fonctionnement[TVA acquittée])+SUMIF(Invest[Affectation matrice],$A23,Invest[TVA acquittée]))*DA23)</f>
        <v>0</v>
      </c>
      <c r="BB23" s="56">
        <f>IF($C23=Repart_lignes,0,
(SUMIF(Fonctionnement[Affectation matrice],$A23,Fonctionnement[TVA acquittée])+SUMIF(Invest[Affectation matrice],$A23,Invest[TVA acquittée]))*DB23)</f>
        <v>0</v>
      </c>
      <c r="BC23" s="56">
        <f>IF($C23=Repart_lignes,0,
(SUMIF(Fonctionnement[Affectation matrice],$A23,Fonctionnement[TVA acquittée])+SUMIF(Invest[Affectation matrice],$A23,Invest[TVA acquittée]))*DC23)</f>
        <v>0</v>
      </c>
      <c r="BD23" s="56">
        <f>IF($C23=Repart_lignes,0,
(SUMIF(Fonctionnement[Affectation matrice],$A23,Fonctionnement[TVA acquittée])+SUMIF(Invest[Affectation matrice],$A23,Invest[TVA acquittée]))*DD23)</f>
        <v>0</v>
      </c>
      <c r="BE23" s="58">
        <f t="shared" si="1"/>
        <v>0</v>
      </c>
      <c r="BF23" s="56">
        <f>IF($C23=Repart_lignes,0,
(SUMIF(Fonctionnement[Affectation matrice],$A23,Fonctionnement[Montant (€HT)])+SUMIF(Invest[Affectation matrice],$A23,Invest[Amortissement HT + intérêts]))*CF23)</f>
        <v>0</v>
      </c>
      <c r="BG23" s="56">
        <f>IF($C23=Repart_lignes,0,
(SUMIF(Fonctionnement[Affectation matrice],$A23,Fonctionnement[Montant (€HT)])+SUMIF(Invest[Affectation matrice],$A23,Invest[Amortissement HT + intérêts]))*CG23)</f>
        <v>0</v>
      </c>
      <c r="BH23" s="56">
        <f>IF($C23=Repart_lignes,0,
(SUMIF(Fonctionnement[Affectation matrice],$A23,Fonctionnement[Montant (€HT)])+SUMIF(Invest[Affectation matrice],$A23,Invest[Amortissement HT + intérêts]))*CH23)</f>
        <v>0</v>
      </c>
      <c r="BI23" s="56">
        <f>IF($C23=Repart_lignes,0,
(SUMIF(Fonctionnement[Affectation matrice],$A23,Fonctionnement[Montant (€HT)])+SUMIF(Invest[Affectation matrice],$A23,Invest[Amortissement HT + intérêts]))*CI23)</f>
        <v>0</v>
      </c>
      <c r="BJ23" s="56">
        <f>IF($C23=Repart_lignes,0,
(SUMIF(Fonctionnement[Affectation matrice],$A23,Fonctionnement[Montant (€HT)])+SUMIF(Invest[Affectation matrice],$A23,Invest[Amortissement HT + intérêts]))*CJ23)</f>
        <v>0</v>
      </c>
      <c r="BK23" s="56">
        <f>IF($C23=Repart_lignes,0,
(SUMIF(Fonctionnement[Affectation matrice],$A23,Fonctionnement[Montant (€HT)])+SUMIF(Invest[Affectation matrice],$A23,Invest[Amortissement HT + intérêts]))*CK23)</f>
        <v>0</v>
      </c>
      <c r="BL23" s="56">
        <f>IF($C23=Repart_lignes,0,
(SUMIF(Fonctionnement[Affectation matrice],$A23,Fonctionnement[Montant (€HT)])+SUMIF(Invest[Affectation matrice],$A23,Invest[Amortissement HT + intérêts]))*CL23)</f>
        <v>0</v>
      </c>
      <c r="BM23" s="56">
        <f>IF($C23=Repart_lignes,0,
(SUMIF(Fonctionnement[Affectation matrice],$A23,Fonctionnement[Montant (€HT)])+SUMIF(Invest[Affectation matrice],$A23,Invest[Amortissement HT + intérêts]))*CM23)</f>
        <v>0</v>
      </c>
      <c r="BN23" s="56">
        <f>IF($C23=Repart_lignes,0,
(SUMIF(Fonctionnement[Affectation matrice],$A23,Fonctionnement[Montant (€HT)])+SUMIF(Invest[Affectation matrice],$A23,Invest[Amortissement HT + intérêts]))*CN23)</f>
        <v>0</v>
      </c>
      <c r="BO23" s="56">
        <f>IF($C23=Repart_lignes,0,
(SUMIF(Fonctionnement[Affectation matrice],$A23,Fonctionnement[Montant (€HT)])+SUMIF(Invest[Affectation matrice],$A23,Invest[Amortissement HT + intérêts]))*CO23)</f>
        <v>0</v>
      </c>
      <c r="BP23" s="56">
        <f>IF($C23=Repart_lignes,0,
(SUMIF(Fonctionnement[Affectation matrice],$A23,Fonctionnement[Montant (€HT)])+SUMIF(Invest[Affectation matrice],$A23,Invest[Amortissement HT + intérêts]))*CP23)</f>
        <v>0</v>
      </c>
      <c r="BQ23" s="56">
        <f>IF($C23=Repart_lignes,0,
(SUMIF(Fonctionnement[Affectation matrice],$A23,Fonctionnement[Montant (€HT)])+SUMIF(Invest[Affectation matrice],$A23,Invest[Amortissement HT + intérêts]))*CQ23)</f>
        <v>0</v>
      </c>
      <c r="BR23" s="56">
        <f>IF($C23=Repart_lignes,0,
(SUMIF(Fonctionnement[Affectation matrice],$A23,Fonctionnement[Montant (€HT)])+SUMIF(Invest[Affectation matrice],$A23,Invest[Amortissement HT + intérêts]))*CR23)</f>
        <v>0</v>
      </c>
      <c r="BS23" s="56">
        <f>IF($C23=Repart_lignes,0,
(SUMIF(Fonctionnement[Affectation matrice],$A23,Fonctionnement[Montant (€HT)])+SUMIF(Invest[Affectation matrice],$A23,Invest[Amortissement HT + intérêts]))*CS23)</f>
        <v>0</v>
      </c>
      <c r="BT23" s="56">
        <f>IF($C23=Repart_lignes,0,
(SUMIF(Fonctionnement[Affectation matrice],$A23,Fonctionnement[Montant (€HT)])+SUMIF(Invest[Affectation matrice],$A23,Invest[Amortissement HT + intérêts]))*CT23)</f>
        <v>0</v>
      </c>
      <c r="BU23" s="56">
        <f>IF($C23=Repart_lignes,0,
(SUMIF(Fonctionnement[Affectation matrice],$A23,Fonctionnement[Montant (€HT)])+SUMIF(Invest[Affectation matrice],$A23,Invest[Amortissement HT + intérêts]))*CU23)</f>
        <v>0</v>
      </c>
      <c r="BV23" s="56">
        <f>IF($C23=Repart_lignes,0,
(SUMIF(Fonctionnement[Affectation matrice],$A23,Fonctionnement[Montant (€HT)])+SUMIF(Invest[Affectation matrice],$A23,Invest[Amortissement HT + intérêts]))*CV23)</f>
        <v>0</v>
      </c>
      <c r="BW23" s="56">
        <f>IF($C23=Repart_lignes,0,
(SUMIF(Fonctionnement[Affectation matrice],$A23,Fonctionnement[Montant (€HT)])+SUMIF(Invest[Affectation matrice],$A23,Invest[Amortissement HT + intérêts]))*CW23)</f>
        <v>0</v>
      </c>
      <c r="BX23" s="56">
        <f>IF($C23=Repart_lignes,0,
(SUMIF(Fonctionnement[Affectation matrice],$A23,Fonctionnement[Montant (€HT)])+SUMIF(Invest[Affectation matrice],$A23,Invest[Amortissement HT + intérêts]))*CX23)</f>
        <v>0</v>
      </c>
      <c r="BY23" s="56">
        <f>IF($C23=Repart_lignes,0,
(SUMIF(Fonctionnement[Affectation matrice],$A23,Fonctionnement[Montant (€HT)])+SUMIF(Invest[Affectation matrice],$A23,Invest[Amortissement HT + intérêts]))*CY23)</f>
        <v>0</v>
      </c>
      <c r="BZ23" s="56">
        <f>IF($C23=Repart_lignes,0,
(SUMIF(Fonctionnement[Affectation matrice],$A23,Fonctionnement[Montant (€HT)])+SUMIF(Invest[Affectation matrice],$A23,Invest[Amortissement HT + intérêts]))*CZ23)</f>
        <v>0</v>
      </c>
      <c r="CA23" s="56">
        <f>IF($C23=Repart_lignes,0,
(SUMIF(Fonctionnement[Affectation matrice],$A23,Fonctionnement[Montant (€HT)])+SUMIF(Invest[Affectation matrice],$A23,Invest[Amortissement HT + intérêts]))*DA23)</f>
        <v>0</v>
      </c>
      <c r="CB23" s="56">
        <f>IF($C23=Repart_lignes,0,
(SUMIF(Fonctionnement[Affectation matrice],$A23,Fonctionnement[Montant (€HT)])+SUMIF(Invest[Affectation matrice],$A23,Invest[Amortissement HT + intérêts]))*DB23)</f>
        <v>0</v>
      </c>
      <c r="CC23" s="56">
        <f>IF($C23=Repart_lignes,0,
(SUMIF(Fonctionnement[Affectation matrice],$A23,Fonctionnement[Montant (€HT)])+SUMIF(Invest[Affectation matrice],$A23,Invest[Amortissement HT + intérêts]))*DC23)</f>
        <v>0</v>
      </c>
      <c r="CD23" s="56">
        <f>IF($C23=Repart_lignes,0,
(SUMIF(Fonctionnement[Affectation matrice],$A23,Fonctionnement[Montant (€HT)])+SUMIF(Invest[Affectation matrice],$A23,Invest[Amortissement HT + intérêts]))*DD23)</f>
        <v>0</v>
      </c>
      <c r="CE23" s="59">
        <f t="shared" si="2"/>
        <v>0</v>
      </c>
      <c r="CF23" s="61">
        <f t="shared" si="3"/>
        <v>0</v>
      </c>
      <c r="CG23" s="61">
        <f t="shared" si="4"/>
        <v>0</v>
      </c>
      <c r="CH23" s="61">
        <f t="shared" si="5"/>
        <v>0</v>
      </c>
      <c r="CI23" s="61">
        <f t="shared" si="6"/>
        <v>0</v>
      </c>
      <c r="CJ23" s="61">
        <f t="shared" si="7"/>
        <v>0</v>
      </c>
      <c r="CK23" s="61">
        <f t="shared" si="8"/>
        <v>0</v>
      </c>
      <c r="CL23" s="61">
        <f t="shared" si="9"/>
        <v>0</v>
      </c>
      <c r="CM23" s="61">
        <f t="shared" si="10"/>
        <v>0</v>
      </c>
      <c r="CN23" s="61">
        <f t="shared" si="11"/>
        <v>0</v>
      </c>
      <c r="CO23" s="61">
        <f t="shared" si="12"/>
        <v>0</v>
      </c>
      <c r="CP23" s="61">
        <f t="shared" si="13"/>
        <v>0</v>
      </c>
      <c r="CQ23" s="61">
        <f t="shared" si="14"/>
        <v>0</v>
      </c>
      <c r="CR23" s="61">
        <f t="shared" si="15"/>
        <v>0</v>
      </c>
      <c r="CS23" s="61">
        <f t="shared" si="16"/>
        <v>0</v>
      </c>
      <c r="CT23" s="61">
        <f t="shared" si="17"/>
        <v>0</v>
      </c>
      <c r="CU23" s="61">
        <f t="shared" si="18"/>
        <v>0</v>
      </c>
      <c r="CV23" s="61">
        <f t="shared" si="19"/>
        <v>0</v>
      </c>
      <c r="CW23" s="61">
        <f t="shared" si="20"/>
        <v>0</v>
      </c>
      <c r="CX23" s="61">
        <f t="shared" si="21"/>
        <v>0</v>
      </c>
      <c r="CY23" s="61">
        <f t="shared" si="22"/>
        <v>0</v>
      </c>
      <c r="CZ23" s="61">
        <f t="shared" si="23"/>
        <v>0</v>
      </c>
      <c r="DA23" s="61">
        <f t="shared" si="24"/>
        <v>0</v>
      </c>
      <c r="DB23" s="61">
        <f t="shared" si="25"/>
        <v>0</v>
      </c>
      <c r="DC23" s="61">
        <f t="shared" si="26"/>
        <v>0</v>
      </c>
      <c r="DD23" s="61">
        <f t="shared" si="27"/>
        <v>0</v>
      </c>
      <c r="DE23" s="61">
        <f t="shared" si="28"/>
        <v>0</v>
      </c>
      <c r="DF23" s="7"/>
    </row>
    <row r="24" spans="1:110" s="22" customFormat="1" x14ac:dyDescent="0.25">
      <c r="A24" s="248"/>
      <c r="B24" s="248"/>
      <c r="C24" s="251"/>
      <c r="D24" s="25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1">
        <f t="shared" si="30"/>
        <v>0</v>
      </c>
      <c r="AE24" s="53" t="str">
        <f t="shared" ca="1" si="29"/>
        <v/>
      </c>
      <c r="AF24" s="56">
        <f>IF($C24=Repart_lignes,0,
(SUMIF(Fonctionnement[Affectation matrice],$A24,Fonctionnement[TVA acquittée])+SUMIF(Invest[Affectation matrice],$A24,Invest[TVA acquittée]))*CF24)</f>
        <v>0</v>
      </c>
      <c r="AG24" s="56">
        <f>IF($C24=Repart_lignes,0,
(SUMIF(Fonctionnement[Affectation matrice],$A24,Fonctionnement[TVA acquittée])+SUMIF(Invest[Affectation matrice],$A24,Invest[TVA acquittée]))*CG24)</f>
        <v>0</v>
      </c>
      <c r="AH24" s="56">
        <f>IF($C24=Repart_lignes,0,
(SUMIF(Fonctionnement[Affectation matrice],$A24,Fonctionnement[TVA acquittée])+SUMIF(Invest[Affectation matrice],$A24,Invest[TVA acquittée]))*CH24)</f>
        <v>0</v>
      </c>
      <c r="AI24" s="56">
        <f>IF($C24=Repart_lignes,0,
(SUMIF(Fonctionnement[Affectation matrice],$A24,Fonctionnement[TVA acquittée])+SUMIF(Invest[Affectation matrice],$A24,Invest[TVA acquittée]))*CI24)</f>
        <v>0</v>
      </c>
      <c r="AJ24" s="56">
        <f>IF($C24=Repart_lignes,0,
(SUMIF(Fonctionnement[Affectation matrice],$A24,Fonctionnement[TVA acquittée])+SUMIF(Invest[Affectation matrice],$A24,Invest[TVA acquittée]))*CJ24)</f>
        <v>0</v>
      </c>
      <c r="AK24" s="56">
        <f>IF($C24=Repart_lignes,0,
(SUMIF(Fonctionnement[Affectation matrice],$A24,Fonctionnement[TVA acquittée])+SUMIF(Invest[Affectation matrice],$A24,Invest[TVA acquittée]))*CK24)</f>
        <v>0</v>
      </c>
      <c r="AL24" s="56">
        <f>IF($C24=Repart_lignes,0,
(SUMIF(Fonctionnement[Affectation matrice],$A24,Fonctionnement[TVA acquittée])+SUMIF(Invest[Affectation matrice],$A24,Invest[TVA acquittée]))*CL24)</f>
        <v>0</v>
      </c>
      <c r="AM24" s="56">
        <f>IF($C24=Repart_lignes,0,
(SUMIF(Fonctionnement[Affectation matrice],$A24,Fonctionnement[TVA acquittée])+SUMIF(Invest[Affectation matrice],$A24,Invest[TVA acquittée]))*CM24)</f>
        <v>0</v>
      </c>
      <c r="AN24" s="56">
        <f>IF($C24=Repart_lignes,0,
(SUMIF(Fonctionnement[Affectation matrice],$A24,Fonctionnement[TVA acquittée])+SUMIF(Invest[Affectation matrice],$A24,Invest[TVA acquittée]))*CN24)</f>
        <v>0</v>
      </c>
      <c r="AO24" s="56">
        <f>IF($C24=Repart_lignes,0,
(SUMIF(Fonctionnement[Affectation matrice],$A24,Fonctionnement[TVA acquittée])+SUMIF(Invest[Affectation matrice],$A24,Invest[TVA acquittée]))*CO24)</f>
        <v>0</v>
      </c>
      <c r="AP24" s="56">
        <f>IF($C24=Repart_lignes,0,
(SUMIF(Fonctionnement[Affectation matrice],$A24,Fonctionnement[TVA acquittée])+SUMIF(Invest[Affectation matrice],$A24,Invest[TVA acquittée]))*CP24)</f>
        <v>0</v>
      </c>
      <c r="AQ24" s="56">
        <f>IF($C24=Repart_lignes,0,
(SUMIF(Fonctionnement[Affectation matrice],$A24,Fonctionnement[TVA acquittée])+SUMIF(Invest[Affectation matrice],$A24,Invest[TVA acquittée]))*CQ24)</f>
        <v>0</v>
      </c>
      <c r="AR24" s="56">
        <f>IF($C24=Repart_lignes,0,
(SUMIF(Fonctionnement[Affectation matrice],$A24,Fonctionnement[TVA acquittée])+SUMIF(Invest[Affectation matrice],$A24,Invest[TVA acquittée]))*CR24)</f>
        <v>0</v>
      </c>
      <c r="AS24" s="56">
        <f>IF($C24=Repart_lignes,0,
(SUMIF(Fonctionnement[Affectation matrice],$A24,Fonctionnement[TVA acquittée])+SUMIF(Invest[Affectation matrice],$A24,Invest[TVA acquittée]))*CS24)</f>
        <v>0</v>
      </c>
      <c r="AT24" s="56">
        <f>IF($C24=Repart_lignes,0,
(SUMIF(Fonctionnement[Affectation matrice],$A24,Fonctionnement[TVA acquittée])+SUMIF(Invest[Affectation matrice],$A24,Invest[TVA acquittée]))*CT24)</f>
        <v>0</v>
      </c>
      <c r="AU24" s="56">
        <f>IF($C24=Repart_lignes,0,
(SUMIF(Fonctionnement[Affectation matrice],$A24,Fonctionnement[TVA acquittée])+SUMIF(Invest[Affectation matrice],$A24,Invest[TVA acquittée]))*CU24)</f>
        <v>0</v>
      </c>
      <c r="AV24" s="56">
        <f>IF($C24=Repart_lignes,0,
(SUMIF(Fonctionnement[Affectation matrice],$A24,Fonctionnement[TVA acquittée])+SUMIF(Invest[Affectation matrice],$A24,Invest[TVA acquittée]))*CV24)</f>
        <v>0</v>
      </c>
      <c r="AW24" s="56">
        <f>IF($C24=Repart_lignes,0,
(SUMIF(Fonctionnement[Affectation matrice],$A24,Fonctionnement[TVA acquittée])+SUMIF(Invest[Affectation matrice],$A24,Invest[TVA acquittée]))*CW24)</f>
        <v>0</v>
      </c>
      <c r="AX24" s="56">
        <f>IF($C24=Repart_lignes,0,
(SUMIF(Fonctionnement[Affectation matrice],$A24,Fonctionnement[TVA acquittée])+SUMIF(Invest[Affectation matrice],$A24,Invest[TVA acquittée]))*CX24)</f>
        <v>0</v>
      </c>
      <c r="AY24" s="56">
        <f>IF($C24=Repart_lignes,0,
(SUMIF(Fonctionnement[Affectation matrice],$A24,Fonctionnement[TVA acquittée])+SUMIF(Invest[Affectation matrice],$A24,Invest[TVA acquittée]))*CY24)</f>
        <v>0</v>
      </c>
      <c r="AZ24" s="56">
        <f>IF($C24=Repart_lignes,0,
(SUMIF(Fonctionnement[Affectation matrice],$A24,Fonctionnement[TVA acquittée])+SUMIF(Invest[Affectation matrice],$A24,Invest[TVA acquittée]))*CZ24)</f>
        <v>0</v>
      </c>
      <c r="BA24" s="56">
        <f>IF($C24=Repart_lignes,0,
(SUMIF(Fonctionnement[Affectation matrice],$A24,Fonctionnement[TVA acquittée])+SUMIF(Invest[Affectation matrice],$A24,Invest[TVA acquittée]))*DA24)</f>
        <v>0</v>
      </c>
      <c r="BB24" s="56">
        <f>IF($C24=Repart_lignes,0,
(SUMIF(Fonctionnement[Affectation matrice],$A24,Fonctionnement[TVA acquittée])+SUMIF(Invest[Affectation matrice],$A24,Invest[TVA acquittée]))*DB24)</f>
        <v>0</v>
      </c>
      <c r="BC24" s="56">
        <f>IF($C24=Repart_lignes,0,
(SUMIF(Fonctionnement[Affectation matrice],$A24,Fonctionnement[TVA acquittée])+SUMIF(Invest[Affectation matrice],$A24,Invest[TVA acquittée]))*DC24)</f>
        <v>0</v>
      </c>
      <c r="BD24" s="56">
        <f>IF($C24=Repart_lignes,0,
(SUMIF(Fonctionnement[Affectation matrice],$A24,Fonctionnement[TVA acquittée])+SUMIF(Invest[Affectation matrice],$A24,Invest[TVA acquittée]))*DD24)</f>
        <v>0</v>
      </c>
      <c r="BE24" s="58">
        <f t="shared" si="1"/>
        <v>0</v>
      </c>
      <c r="BF24" s="56">
        <f>IF($C24=Repart_lignes,0,
(SUMIF(Fonctionnement[Affectation matrice],$A24,Fonctionnement[Montant (€HT)])+SUMIF(Invest[Affectation matrice],$A24,Invest[Amortissement HT + intérêts]))*CF24)</f>
        <v>0</v>
      </c>
      <c r="BG24" s="56">
        <f>IF($C24=Repart_lignes,0,
(SUMIF(Fonctionnement[Affectation matrice],$A24,Fonctionnement[Montant (€HT)])+SUMIF(Invest[Affectation matrice],$A24,Invest[Amortissement HT + intérêts]))*CG24)</f>
        <v>0</v>
      </c>
      <c r="BH24" s="56">
        <f>IF($C24=Repart_lignes,0,
(SUMIF(Fonctionnement[Affectation matrice],$A24,Fonctionnement[Montant (€HT)])+SUMIF(Invest[Affectation matrice],$A24,Invest[Amortissement HT + intérêts]))*CH24)</f>
        <v>0</v>
      </c>
      <c r="BI24" s="56">
        <f>IF($C24=Repart_lignes,0,
(SUMIF(Fonctionnement[Affectation matrice],$A24,Fonctionnement[Montant (€HT)])+SUMIF(Invest[Affectation matrice],$A24,Invest[Amortissement HT + intérêts]))*CI24)</f>
        <v>0</v>
      </c>
      <c r="BJ24" s="56">
        <f>IF($C24=Repart_lignes,0,
(SUMIF(Fonctionnement[Affectation matrice],$A24,Fonctionnement[Montant (€HT)])+SUMIF(Invest[Affectation matrice],$A24,Invest[Amortissement HT + intérêts]))*CJ24)</f>
        <v>0</v>
      </c>
      <c r="BK24" s="56">
        <f>IF($C24=Repart_lignes,0,
(SUMIF(Fonctionnement[Affectation matrice],$A24,Fonctionnement[Montant (€HT)])+SUMIF(Invest[Affectation matrice],$A24,Invest[Amortissement HT + intérêts]))*CK24)</f>
        <v>0</v>
      </c>
      <c r="BL24" s="56">
        <f>IF($C24=Repart_lignes,0,
(SUMIF(Fonctionnement[Affectation matrice],$A24,Fonctionnement[Montant (€HT)])+SUMIF(Invest[Affectation matrice],$A24,Invest[Amortissement HT + intérêts]))*CL24)</f>
        <v>0</v>
      </c>
      <c r="BM24" s="56">
        <f>IF($C24=Repart_lignes,0,
(SUMIF(Fonctionnement[Affectation matrice],$A24,Fonctionnement[Montant (€HT)])+SUMIF(Invest[Affectation matrice],$A24,Invest[Amortissement HT + intérêts]))*CM24)</f>
        <v>0</v>
      </c>
      <c r="BN24" s="56">
        <f>IF($C24=Repart_lignes,0,
(SUMIF(Fonctionnement[Affectation matrice],$A24,Fonctionnement[Montant (€HT)])+SUMIF(Invest[Affectation matrice],$A24,Invest[Amortissement HT + intérêts]))*CN24)</f>
        <v>0</v>
      </c>
      <c r="BO24" s="56">
        <f>IF($C24=Repart_lignes,0,
(SUMIF(Fonctionnement[Affectation matrice],$A24,Fonctionnement[Montant (€HT)])+SUMIF(Invest[Affectation matrice],$A24,Invest[Amortissement HT + intérêts]))*CO24)</f>
        <v>0</v>
      </c>
      <c r="BP24" s="56">
        <f>IF($C24=Repart_lignes,0,
(SUMIF(Fonctionnement[Affectation matrice],$A24,Fonctionnement[Montant (€HT)])+SUMIF(Invest[Affectation matrice],$A24,Invest[Amortissement HT + intérêts]))*CP24)</f>
        <v>0</v>
      </c>
      <c r="BQ24" s="56">
        <f>IF($C24=Repart_lignes,0,
(SUMIF(Fonctionnement[Affectation matrice],$A24,Fonctionnement[Montant (€HT)])+SUMIF(Invest[Affectation matrice],$A24,Invest[Amortissement HT + intérêts]))*CQ24)</f>
        <v>0</v>
      </c>
      <c r="BR24" s="56">
        <f>IF($C24=Repart_lignes,0,
(SUMIF(Fonctionnement[Affectation matrice],$A24,Fonctionnement[Montant (€HT)])+SUMIF(Invest[Affectation matrice],$A24,Invest[Amortissement HT + intérêts]))*CR24)</f>
        <v>0</v>
      </c>
      <c r="BS24" s="56">
        <f>IF($C24=Repart_lignes,0,
(SUMIF(Fonctionnement[Affectation matrice],$A24,Fonctionnement[Montant (€HT)])+SUMIF(Invest[Affectation matrice],$A24,Invest[Amortissement HT + intérêts]))*CS24)</f>
        <v>0</v>
      </c>
      <c r="BT24" s="56">
        <f>IF($C24=Repart_lignes,0,
(SUMIF(Fonctionnement[Affectation matrice],$A24,Fonctionnement[Montant (€HT)])+SUMIF(Invest[Affectation matrice],$A24,Invest[Amortissement HT + intérêts]))*CT24)</f>
        <v>0</v>
      </c>
      <c r="BU24" s="56">
        <f>IF($C24=Repart_lignes,0,
(SUMIF(Fonctionnement[Affectation matrice],$A24,Fonctionnement[Montant (€HT)])+SUMIF(Invest[Affectation matrice],$A24,Invest[Amortissement HT + intérêts]))*CU24)</f>
        <v>0</v>
      </c>
      <c r="BV24" s="56">
        <f>IF($C24=Repart_lignes,0,
(SUMIF(Fonctionnement[Affectation matrice],$A24,Fonctionnement[Montant (€HT)])+SUMIF(Invest[Affectation matrice],$A24,Invest[Amortissement HT + intérêts]))*CV24)</f>
        <v>0</v>
      </c>
      <c r="BW24" s="56">
        <f>IF($C24=Repart_lignes,0,
(SUMIF(Fonctionnement[Affectation matrice],$A24,Fonctionnement[Montant (€HT)])+SUMIF(Invest[Affectation matrice],$A24,Invest[Amortissement HT + intérêts]))*CW24)</f>
        <v>0</v>
      </c>
      <c r="BX24" s="56">
        <f>IF($C24=Repart_lignes,0,
(SUMIF(Fonctionnement[Affectation matrice],$A24,Fonctionnement[Montant (€HT)])+SUMIF(Invest[Affectation matrice],$A24,Invest[Amortissement HT + intérêts]))*CX24)</f>
        <v>0</v>
      </c>
      <c r="BY24" s="56">
        <f>IF($C24=Repart_lignes,0,
(SUMIF(Fonctionnement[Affectation matrice],$A24,Fonctionnement[Montant (€HT)])+SUMIF(Invest[Affectation matrice],$A24,Invest[Amortissement HT + intérêts]))*CY24)</f>
        <v>0</v>
      </c>
      <c r="BZ24" s="56">
        <f>IF($C24=Repart_lignes,0,
(SUMIF(Fonctionnement[Affectation matrice],$A24,Fonctionnement[Montant (€HT)])+SUMIF(Invest[Affectation matrice],$A24,Invest[Amortissement HT + intérêts]))*CZ24)</f>
        <v>0</v>
      </c>
      <c r="CA24" s="56">
        <f>IF($C24=Repart_lignes,0,
(SUMIF(Fonctionnement[Affectation matrice],$A24,Fonctionnement[Montant (€HT)])+SUMIF(Invest[Affectation matrice],$A24,Invest[Amortissement HT + intérêts]))*DA24)</f>
        <v>0</v>
      </c>
      <c r="CB24" s="56">
        <f>IF($C24=Repart_lignes,0,
(SUMIF(Fonctionnement[Affectation matrice],$A24,Fonctionnement[Montant (€HT)])+SUMIF(Invest[Affectation matrice],$A24,Invest[Amortissement HT + intérêts]))*DB24)</f>
        <v>0</v>
      </c>
      <c r="CC24" s="56">
        <f>IF($C24=Repart_lignes,0,
(SUMIF(Fonctionnement[Affectation matrice],$A24,Fonctionnement[Montant (€HT)])+SUMIF(Invest[Affectation matrice],$A24,Invest[Amortissement HT + intérêts]))*DC24)</f>
        <v>0</v>
      </c>
      <c r="CD24" s="56">
        <f>IF($C24=Repart_lignes,0,
(SUMIF(Fonctionnement[Affectation matrice],$A24,Fonctionnement[Montant (€HT)])+SUMIF(Invest[Affectation matrice],$A24,Invest[Amortissement HT + intérêts]))*DD24)</f>
        <v>0</v>
      </c>
      <c r="CE24" s="59">
        <f t="shared" si="2"/>
        <v>0</v>
      </c>
      <c r="CF24" s="61">
        <f t="shared" si="3"/>
        <v>0</v>
      </c>
      <c r="CG24" s="61">
        <f t="shared" si="4"/>
        <v>0</v>
      </c>
      <c r="CH24" s="61">
        <f t="shared" si="5"/>
        <v>0</v>
      </c>
      <c r="CI24" s="61">
        <f t="shared" si="6"/>
        <v>0</v>
      </c>
      <c r="CJ24" s="61">
        <f t="shared" si="7"/>
        <v>0</v>
      </c>
      <c r="CK24" s="61">
        <f t="shared" si="8"/>
        <v>0</v>
      </c>
      <c r="CL24" s="61">
        <f t="shared" si="9"/>
        <v>0</v>
      </c>
      <c r="CM24" s="61">
        <f t="shared" si="10"/>
        <v>0</v>
      </c>
      <c r="CN24" s="61">
        <f t="shared" si="11"/>
        <v>0</v>
      </c>
      <c r="CO24" s="61">
        <f t="shared" si="12"/>
        <v>0</v>
      </c>
      <c r="CP24" s="61">
        <f t="shared" si="13"/>
        <v>0</v>
      </c>
      <c r="CQ24" s="61">
        <f t="shared" si="14"/>
        <v>0</v>
      </c>
      <c r="CR24" s="61">
        <f t="shared" si="15"/>
        <v>0</v>
      </c>
      <c r="CS24" s="61">
        <f t="shared" si="16"/>
        <v>0</v>
      </c>
      <c r="CT24" s="61">
        <f t="shared" si="17"/>
        <v>0</v>
      </c>
      <c r="CU24" s="61">
        <f t="shared" si="18"/>
        <v>0</v>
      </c>
      <c r="CV24" s="61">
        <f t="shared" si="19"/>
        <v>0</v>
      </c>
      <c r="CW24" s="61">
        <f t="shared" si="20"/>
        <v>0</v>
      </c>
      <c r="CX24" s="61">
        <f t="shared" si="21"/>
        <v>0</v>
      </c>
      <c r="CY24" s="61">
        <f t="shared" si="22"/>
        <v>0</v>
      </c>
      <c r="CZ24" s="61">
        <f t="shared" si="23"/>
        <v>0</v>
      </c>
      <c r="DA24" s="61">
        <f t="shared" si="24"/>
        <v>0</v>
      </c>
      <c r="DB24" s="61">
        <f t="shared" si="25"/>
        <v>0</v>
      </c>
      <c r="DC24" s="61">
        <f t="shared" si="26"/>
        <v>0</v>
      </c>
      <c r="DD24" s="61">
        <f t="shared" si="27"/>
        <v>0</v>
      </c>
      <c r="DE24" s="61">
        <f t="shared" si="28"/>
        <v>0</v>
      </c>
      <c r="DF24" s="7"/>
    </row>
    <row r="25" spans="1:110" s="22" customFormat="1" x14ac:dyDescent="0.25">
      <c r="A25" s="248"/>
      <c r="B25" s="248"/>
      <c r="C25" s="251"/>
      <c r="D25" s="25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1">
        <f t="shared" si="30"/>
        <v>0</v>
      </c>
      <c r="AE25" s="53" t="str">
        <f t="shared" ca="1" si="29"/>
        <v/>
      </c>
      <c r="AF25" s="56">
        <f>IF($C25=Repart_lignes,0,
(SUMIF(Fonctionnement[Affectation matrice],$A25,Fonctionnement[TVA acquittée])+SUMIF(Invest[Affectation matrice],$A25,Invest[TVA acquittée]))*CF25)</f>
        <v>0</v>
      </c>
      <c r="AG25" s="56">
        <f>IF($C25=Repart_lignes,0,
(SUMIF(Fonctionnement[Affectation matrice],$A25,Fonctionnement[TVA acquittée])+SUMIF(Invest[Affectation matrice],$A25,Invest[TVA acquittée]))*CG25)</f>
        <v>0</v>
      </c>
      <c r="AH25" s="56">
        <f>IF($C25=Repart_lignes,0,
(SUMIF(Fonctionnement[Affectation matrice],$A25,Fonctionnement[TVA acquittée])+SUMIF(Invest[Affectation matrice],$A25,Invest[TVA acquittée]))*CH25)</f>
        <v>0</v>
      </c>
      <c r="AI25" s="56">
        <f>IF($C25=Repart_lignes,0,
(SUMIF(Fonctionnement[Affectation matrice],$A25,Fonctionnement[TVA acquittée])+SUMIF(Invest[Affectation matrice],$A25,Invest[TVA acquittée]))*CI25)</f>
        <v>0</v>
      </c>
      <c r="AJ25" s="56">
        <f>IF($C25=Repart_lignes,0,
(SUMIF(Fonctionnement[Affectation matrice],$A25,Fonctionnement[TVA acquittée])+SUMIF(Invest[Affectation matrice],$A25,Invest[TVA acquittée]))*CJ25)</f>
        <v>0</v>
      </c>
      <c r="AK25" s="56">
        <f>IF($C25=Repart_lignes,0,
(SUMIF(Fonctionnement[Affectation matrice],$A25,Fonctionnement[TVA acquittée])+SUMIF(Invest[Affectation matrice],$A25,Invest[TVA acquittée]))*CK25)</f>
        <v>0</v>
      </c>
      <c r="AL25" s="56">
        <f>IF($C25=Repart_lignes,0,
(SUMIF(Fonctionnement[Affectation matrice],$A25,Fonctionnement[TVA acquittée])+SUMIF(Invest[Affectation matrice],$A25,Invest[TVA acquittée]))*CL25)</f>
        <v>0</v>
      </c>
      <c r="AM25" s="56">
        <f>IF($C25=Repart_lignes,0,
(SUMIF(Fonctionnement[Affectation matrice],$A25,Fonctionnement[TVA acquittée])+SUMIF(Invest[Affectation matrice],$A25,Invest[TVA acquittée]))*CM25)</f>
        <v>0</v>
      </c>
      <c r="AN25" s="56">
        <f>IF($C25=Repart_lignes,0,
(SUMIF(Fonctionnement[Affectation matrice],$A25,Fonctionnement[TVA acquittée])+SUMIF(Invest[Affectation matrice],$A25,Invest[TVA acquittée]))*CN25)</f>
        <v>0</v>
      </c>
      <c r="AO25" s="56">
        <f>IF($C25=Repart_lignes,0,
(SUMIF(Fonctionnement[Affectation matrice],$A25,Fonctionnement[TVA acquittée])+SUMIF(Invest[Affectation matrice],$A25,Invest[TVA acquittée]))*CO25)</f>
        <v>0</v>
      </c>
      <c r="AP25" s="56">
        <f>IF($C25=Repart_lignes,0,
(SUMIF(Fonctionnement[Affectation matrice],$A25,Fonctionnement[TVA acquittée])+SUMIF(Invest[Affectation matrice],$A25,Invest[TVA acquittée]))*CP25)</f>
        <v>0</v>
      </c>
      <c r="AQ25" s="56">
        <f>IF($C25=Repart_lignes,0,
(SUMIF(Fonctionnement[Affectation matrice],$A25,Fonctionnement[TVA acquittée])+SUMIF(Invest[Affectation matrice],$A25,Invest[TVA acquittée]))*CQ25)</f>
        <v>0</v>
      </c>
      <c r="AR25" s="56">
        <f>IF($C25=Repart_lignes,0,
(SUMIF(Fonctionnement[Affectation matrice],$A25,Fonctionnement[TVA acquittée])+SUMIF(Invest[Affectation matrice],$A25,Invest[TVA acquittée]))*CR25)</f>
        <v>0</v>
      </c>
      <c r="AS25" s="56">
        <f>IF($C25=Repart_lignes,0,
(SUMIF(Fonctionnement[Affectation matrice],$A25,Fonctionnement[TVA acquittée])+SUMIF(Invest[Affectation matrice],$A25,Invest[TVA acquittée]))*CS25)</f>
        <v>0</v>
      </c>
      <c r="AT25" s="56">
        <f>IF($C25=Repart_lignes,0,
(SUMIF(Fonctionnement[Affectation matrice],$A25,Fonctionnement[TVA acquittée])+SUMIF(Invest[Affectation matrice],$A25,Invest[TVA acquittée]))*CT25)</f>
        <v>0</v>
      </c>
      <c r="AU25" s="56">
        <f>IF($C25=Repart_lignes,0,
(SUMIF(Fonctionnement[Affectation matrice],$A25,Fonctionnement[TVA acquittée])+SUMIF(Invest[Affectation matrice],$A25,Invest[TVA acquittée]))*CU25)</f>
        <v>0</v>
      </c>
      <c r="AV25" s="56">
        <f>IF($C25=Repart_lignes,0,
(SUMIF(Fonctionnement[Affectation matrice],$A25,Fonctionnement[TVA acquittée])+SUMIF(Invest[Affectation matrice],$A25,Invest[TVA acquittée]))*CV25)</f>
        <v>0</v>
      </c>
      <c r="AW25" s="56">
        <f>IF($C25=Repart_lignes,0,
(SUMIF(Fonctionnement[Affectation matrice],$A25,Fonctionnement[TVA acquittée])+SUMIF(Invest[Affectation matrice],$A25,Invest[TVA acquittée]))*CW25)</f>
        <v>0</v>
      </c>
      <c r="AX25" s="56">
        <f>IF($C25=Repart_lignes,0,
(SUMIF(Fonctionnement[Affectation matrice],$A25,Fonctionnement[TVA acquittée])+SUMIF(Invest[Affectation matrice],$A25,Invest[TVA acquittée]))*CX25)</f>
        <v>0</v>
      </c>
      <c r="AY25" s="56">
        <f>IF($C25=Repart_lignes,0,
(SUMIF(Fonctionnement[Affectation matrice],$A25,Fonctionnement[TVA acquittée])+SUMIF(Invest[Affectation matrice],$A25,Invest[TVA acquittée]))*CY25)</f>
        <v>0</v>
      </c>
      <c r="AZ25" s="56">
        <f>IF($C25=Repart_lignes,0,
(SUMIF(Fonctionnement[Affectation matrice],$A25,Fonctionnement[TVA acquittée])+SUMIF(Invest[Affectation matrice],$A25,Invest[TVA acquittée]))*CZ25)</f>
        <v>0</v>
      </c>
      <c r="BA25" s="56">
        <f>IF($C25=Repart_lignes,0,
(SUMIF(Fonctionnement[Affectation matrice],$A25,Fonctionnement[TVA acquittée])+SUMIF(Invest[Affectation matrice],$A25,Invest[TVA acquittée]))*DA25)</f>
        <v>0</v>
      </c>
      <c r="BB25" s="56">
        <f>IF($C25=Repart_lignes,0,
(SUMIF(Fonctionnement[Affectation matrice],$A25,Fonctionnement[TVA acquittée])+SUMIF(Invest[Affectation matrice],$A25,Invest[TVA acquittée]))*DB25)</f>
        <v>0</v>
      </c>
      <c r="BC25" s="56">
        <f>IF($C25=Repart_lignes,0,
(SUMIF(Fonctionnement[Affectation matrice],$A25,Fonctionnement[TVA acquittée])+SUMIF(Invest[Affectation matrice],$A25,Invest[TVA acquittée]))*DC25)</f>
        <v>0</v>
      </c>
      <c r="BD25" s="56">
        <f>IF($C25=Repart_lignes,0,
(SUMIF(Fonctionnement[Affectation matrice],$A25,Fonctionnement[TVA acquittée])+SUMIF(Invest[Affectation matrice],$A25,Invest[TVA acquittée]))*DD25)</f>
        <v>0</v>
      </c>
      <c r="BE25" s="58">
        <f t="shared" si="1"/>
        <v>0</v>
      </c>
      <c r="BF25" s="56">
        <f>IF($C25=Repart_lignes,0,
(SUMIF(Fonctionnement[Affectation matrice],$A25,Fonctionnement[Montant (€HT)])+SUMIF(Invest[Affectation matrice],$A25,Invest[Amortissement HT + intérêts]))*CF25)</f>
        <v>0</v>
      </c>
      <c r="BG25" s="56">
        <f>IF($C25=Repart_lignes,0,
(SUMIF(Fonctionnement[Affectation matrice],$A25,Fonctionnement[Montant (€HT)])+SUMIF(Invest[Affectation matrice],$A25,Invest[Amortissement HT + intérêts]))*CG25)</f>
        <v>0</v>
      </c>
      <c r="BH25" s="56">
        <f>IF($C25=Repart_lignes,0,
(SUMIF(Fonctionnement[Affectation matrice],$A25,Fonctionnement[Montant (€HT)])+SUMIF(Invest[Affectation matrice],$A25,Invest[Amortissement HT + intérêts]))*CH25)</f>
        <v>0</v>
      </c>
      <c r="BI25" s="56">
        <f>IF($C25=Repart_lignes,0,
(SUMIF(Fonctionnement[Affectation matrice],$A25,Fonctionnement[Montant (€HT)])+SUMIF(Invest[Affectation matrice],$A25,Invest[Amortissement HT + intérêts]))*CI25)</f>
        <v>0</v>
      </c>
      <c r="BJ25" s="56">
        <f>IF($C25=Repart_lignes,0,
(SUMIF(Fonctionnement[Affectation matrice],$A25,Fonctionnement[Montant (€HT)])+SUMIF(Invest[Affectation matrice],$A25,Invest[Amortissement HT + intérêts]))*CJ25)</f>
        <v>0</v>
      </c>
      <c r="BK25" s="56">
        <f>IF($C25=Repart_lignes,0,
(SUMIF(Fonctionnement[Affectation matrice],$A25,Fonctionnement[Montant (€HT)])+SUMIF(Invest[Affectation matrice],$A25,Invest[Amortissement HT + intérêts]))*CK25)</f>
        <v>0</v>
      </c>
      <c r="BL25" s="56">
        <f>IF($C25=Repart_lignes,0,
(SUMIF(Fonctionnement[Affectation matrice],$A25,Fonctionnement[Montant (€HT)])+SUMIF(Invest[Affectation matrice],$A25,Invest[Amortissement HT + intérêts]))*CL25)</f>
        <v>0</v>
      </c>
      <c r="BM25" s="56">
        <f>IF($C25=Repart_lignes,0,
(SUMIF(Fonctionnement[Affectation matrice],$A25,Fonctionnement[Montant (€HT)])+SUMIF(Invest[Affectation matrice],$A25,Invest[Amortissement HT + intérêts]))*CM25)</f>
        <v>0</v>
      </c>
      <c r="BN25" s="56">
        <f>IF($C25=Repart_lignes,0,
(SUMIF(Fonctionnement[Affectation matrice],$A25,Fonctionnement[Montant (€HT)])+SUMIF(Invest[Affectation matrice],$A25,Invest[Amortissement HT + intérêts]))*CN25)</f>
        <v>0</v>
      </c>
      <c r="BO25" s="56">
        <f>IF($C25=Repart_lignes,0,
(SUMIF(Fonctionnement[Affectation matrice],$A25,Fonctionnement[Montant (€HT)])+SUMIF(Invest[Affectation matrice],$A25,Invest[Amortissement HT + intérêts]))*CO25)</f>
        <v>0</v>
      </c>
      <c r="BP25" s="56">
        <f>IF($C25=Repart_lignes,0,
(SUMIF(Fonctionnement[Affectation matrice],$A25,Fonctionnement[Montant (€HT)])+SUMIF(Invest[Affectation matrice],$A25,Invest[Amortissement HT + intérêts]))*CP25)</f>
        <v>0</v>
      </c>
      <c r="BQ25" s="56">
        <f>IF($C25=Repart_lignes,0,
(SUMIF(Fonctionnement[Affectation matrice],$A25,Fonctionnement[Montant (€HT)])+SUMIF(Invest[Affectation matrice],$A25,Invest[Amortissement HT + intérêts]))*CQ25)</f>
        <v>0</v>
      </c>
      <c r="BR25" s="56">
        <f>IF($C25=Repart_lignes,0,
(SUMIF(Fonctionnement[Affectation matrice],$A25,Fonctionnement[Montant (€HT)])+SUMIF(Invest[Affectation matrice],$A25,Invest[Amortissement HT + intérêts]))*CR25)</f>
        <v>0</v>
      </c>
      <c r="BS25" s="56">
        <f>IF($C25=Repart_lignes,0,
(SUMIF(Fonctionnement[Affectation matrice],$A25,Fonctionnement[Montant (€HT)])+SUMIF(Invest[Affectation matrice],$A25,Invest[Amortissement HT + intérêts]))*CS25)</f>
        <v>0</v>
      </c>
      <c r="BT25" s="56">
        <f>IF($C25=Repart_lignes,0,
(SUMIF(Fonctionnement[Affectation matrice],$A25,Fonctionnement[Montant (€HT)])+SUMIF(Invest[Affectation matrice],$A25,Invest[Amortissement HT + intérêts]))*CT25)</f>
        <v>0</v>
      </c>
      <c r="BU25" s="56">
        <f>IF($C25=Repart_lignes,0,
(SUMIF(Fonctionnement[Affectation matrice],$A25,Fonctionnement[Montant (€HT)])+SUMIF(Invest[Affectation matrice],$A25,Invest[Amortissement HT + intérêts]))*CU25)</f>
        <v>0</v>
      </c>
      <c r="BV25" s="56">
        <f>IF($C25=Repart_lignes,0,
(SUMIF(Fonctionnement[Affectation matrice],$A25,Fonctionnement[Montant (€HT)])+SUMIF(Invest[Affectation matrice],$A25,Invest[Amortissement HT + intérêts]))*CV25)</f>
        <v>0</v>
      </c>
      <c r="BW25" s="56">
        <f>IF($C25=Repart_lignes,0,
(SUMIF(Fonctionnement[Affectation matrice],$A25,Fonctionnement[Montant (€HT)])+SUMIF(Invest[Affectation matrice],$A25,Invest[Amortissement HT + intérêts]))*CW25)</f>
        <v>0</v>
      </c>
      <c r="BX25" s="56">
        <f>IF($C25=Repart_lignes,0,
(SUMIF(Fonctionnement[Affectation matrice],$A25,Fonctionnement[Montant (€HT)])+SUMIF(Invest[Affectation matrice],$A25,Invest[Amortissement HT + intérêts]))*CX25)</f>
        <v>0</v>
      </c>
      <c r="BY25" s="56">
        <f>IF($C25=Repart_lignes,0,
(SUMIF(Fonctionnement[Affectation matrice],$A25,Fonctionnement[Montant (€HT)])+SUMIF(Invest[Affectation matrice],$A25,Invest[Amortissement HT + intérêts]))*CY25)</f>
        <v>0</v>
      </c>
      <c r="BZ25" s="56">
        <f>IF($C25=Repart_lignes,0,
(SUMIF(Fonctionnement[Affectation matrice],$A25,Fonctionnement[Montant (€HT)])+SUMIF(Invest[Affectation matrice],$A25,Invest[Amortissement HT + intérêts]))*CZ25)</f>
        <v>0</v>
      </c>
      <c r="CA25" s="56">
        <f>IF($C25=Repart_lignes,0,
(SUMIF(Fonctionnement[Affectation matrice],$A25,Fonctionnement[Montant (€HT)])+SUMIF(Invest[Affectation matrice],$A25,Invest[Amortissement HT + intérêts]))*DA25)</f>
        <v>0</v>
      </c>
      <c r="CB25" s="56">
        <f>IF($C25=Repart_lignes,0,
(SUMIF(Fonctionnement[Affectation matrice],$A25,Fonctionnement[Montant (€HT)])+SUMIF(Invest[Affectation matrice],$A25,Invest[Amortissement HT + intérêts]))*DB25)</f>
        <v>0</v>
      </c>
      <c r="CC25" s="56">
        <f>IF($C25=Repart_lignes,0,
(SUMIF(Fonctionnement[Affectation matrice],$A25,Fonctionnement[Montant (€HT)])+SUMIF(Invest[Affectation matrice],$A25,Invest[Amortissement HT + intérêts]))*DC25)</f>
        <v>0</v>
      </c>
      <c r="CD25" s="56">
        <f>IF($C25=Repart_lignes,0,
(SUMIF(Fonctionnement[Affectation matrice],$A25,Fonctionnement[Montant (€HT)])+SUMIF(Invest[Affectation matrice],$A25,Invest[Amortissement HT + intérêts]))*DD25)</f>
        <v>0</v>
      </c>
      <c r="CE25" s="59">
        <f t="shared" si="2"/>
        <v>0</v>
      </c>
      <c r="CF25" s="61">
        <f t="shared" si="3"/>
        <v>0</v>
      </c>
      <c r="CG25" s="61">
        <f t="shared" si="4"/>
        <v>0</v>
      </c>
      <c r="CH25" s="61">
        <f t="shared" si="5"/>
        <v>0</v>
      </c>
      <c r="CI25" s="61">
        <f t="shared" si="6"/>
        <v>0</v>
      </c>
      <c r="CJ25" s="61">
        <f t="shared" si="7"/>
        <v>0</v>
      </c>
      <c r="CK25" s="61">
        <f t="shared" si="8"/>
        <v>0</v>
      </c>
      <c r="CL25" s="61">
        <f t="shared" si="9"/>
        <v>0</v>
      </c>
      <c r="CM25" s="61">
        <f t="shared" si="10"/>
        <v>0</v>
      </c>
      <c r="CN25" s="61">
        <f t="shared" si="11"/>
        <v>0</v>
      </c>
      <c r="CO25" s="61">
        <f t="shared" si="12"/>
        <v>0</v>
      </c>
      <c r="CP25" s="61">
        <f t="shared" si="13"/>
        <v>0</v>
      </c>
      <c r="CQ25" s="61">
        <f t="shared" si="14"/>
        <v>0</v>
      </c>
      <c r="CR25" s="61">
        <f t="shared" si="15"/>
        <v>0</v>
      </c>
      <c r="CS25" s="61">
        <f t="shared" si="16"/>
        <v>0</v>
      </c>
      <c r="CT25" s="61">
        <f t="shared" si="17"/>
        <v>0</v>
      </c>
      <c r="CU25" s="61">
        <f t="shared" si="18"/>
        <v>0</v>
      </c>
      <c r="CV25" s="61">
        <f t="shared" si="19"/>
        <v>0</v>
      </c>
      <c r="CW25" s="61">
        <f t="shared" si="20"/>
        <v>0</v>
      </c>
      <c r="CX25" s="61">
        <f t="shared" si="21"/>
        <v>0</v>
      </c>
      <c r="CY25" s="61">
        <f t="shared" si="22"/>
        <v>0</v>
      </c>
      <c r="CZ25" s="61">
        <f t="shared" si="23"/>
        <v>0</v>
      </c>
      <c r="DA25" s="61">
        <f t="shared" si="24"/>
        <v>0</v>
      </c>
      <c r="DB25" s="61">
        <f t="shared" si="25"/>
        <v>0</v>
      </c>
      <c r="DC25" s="61">
        <f t="shared" si="26"/>
        <v>0</v>
      </c>
      <c r="DD25" s="61">
        <f t="shared" si="27"/>
        <v>0</v>
      </c>
      <c r="DE25" s="61">
        <f t="shared" si="28"/>
        <v>0</v>
      </c>
      <c r="DF25" s="7"/>
    </row>
    <row r="26" spans="1:110" s="22" customFormat="1" x14ac:dyDescent="0.25">
      <c r="A26" s="248"/>
      <c r="B26" s="248"/>
      <c r="C26" s="251"/>
      <c r="D26" s="25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1">
        <f t="shared" si="30"/>
        <v>0</v>
      </c>
      <c r="AE26" s="53" t="str">
        <f t="shared" ca="1" si="29"/>
        <v/>
      </c>
      <c r="AF26" s="56">
        <f>IF($C26=Repart_lignes,0,
(SUMIF(Fonctionnement[Affectation matrice],$A26,Fonctionnement[TVA acquittée])+SUMIF(Invest[Affectation matrice],$A26,Invest[TVA acquittée]))*CF26)</f>
        <v>0</v>
      </c>
      <c r="AG26" s="56">
        <f>IF($C26=Repart_lignes,0,
(SUMIF(Fonctionnement[Affectation matrice],$A26,Fonctionnement[TVA acquittée])+SUMIF(Invest[Affectation matrice],$A26,Invest[TVA acquittée]))*CG26)</f>
        <v>0</v>
      </c>
      <c r="AH26" s="56">
        <f>IF($C26=Repart_lignes,0,
(SUMIF(Fonctionnement[Affectation matrice],$A26,Fonctionnement[TVA acquittée])+SUMIF(Invest[Affectation matrice],$A26,Invest[TVA acquittée]))*CH26)</f>
        <v>0</v>
      </c>
      <c r="AI26" s="56">
        <f>IF($C26=Repart_lignes,0,
(SUMIF(Fonctionnement[Affectation matrice],$A26,Fonctionnement[TVA acquittée])+SUMIF(Invest[Affectation matrice],$A26,Invest[TVA acquittée]))*CI26)</f>
        <v>0</v>
      </c>
      <c r="AJ26" s="56">
        <f>IF($C26=Repart_lignes,0,
(SUMIF(Fonctionnement[Affectation matrice],$A26,Fonctionnement[TVA acquittée])+SUMIF(Invest[Affectation matrice],$A26,Invest[TVA acquittée]))*CJ26)</f>
        <v>0</v>
      </c>
      <c r="AK26" s="56">
        <f>IF($C26=Repart_lignes,0,
(SUMIF(Fonctionnement[Affectation matrice],$A26,Fonctionnement[TVA acquittée])+SUMIF(Invest[Affectation matrice],$A26,Invest[TVA acquittée]))*CK26)</f>
        <v>0</v>
      </c>
      <c r="AL26" s="56">
        <f>IF($C26=Repart_lignes,0,
(SUMIF(Fonctionnement[Affectation matrice],$A26,Fonctionnement[TVA acquittée])+SUMIF(Invest[Affectation matrice],$A26,Invest[TVA acquittée]))*CL26)</f>
        <v>0</v>
      </c>
      <c r="AM26" s="56">
        <f>IF($C26=Repart_lignes,0,
(SUMIF(Fonctionnement[Affectation matrice],$A26,Fonctionnement[TVA acquittée])+SUMIF(Invest[Affectation matrice],$A26,Invest[TVA acquittée]))*CM26)</f>
        <v>0</v>
      </c>
      <c r="AN26" s="56">
        <f>IF($C26=Repart_lignes,0,
(SUMIF(Fonctionnement[Affectation matrice],$A26,Fonctionnement[TVA acquittée])+SUMIF(Invest[Affectation matrice],$A26,Invest[TVA acquittée]))*CN26)</f>
        <v>0</v>
      </c>
      <c r="AO26" s="56">
        <f>IF($C26=Repart_lignes,0,
(SUMIF(Fonctionnement[Affectation matrice],$A26,Fonctionnement[TVA acquittée])+SUMIF(Invest[Affectation matrice],$A26,Invest[TVA acquittée]))*CO26)</f>
        <v>0</v>
      </c>
      <c r="AP26" s="56">
        <f>IF($C26=Repart_lignes,0,
(SUMIF(Fonctionnement[Affectation matrice],$A26,Fonctionnement[TVA acquittée])+SUMIF(Invest[Affectation matrice],$A26,Invest[TVA acquittée]))*CP26)</f>
        <v>0</v>
      </c>
      <c r="AQ26" s="56">
        <f>IF($C26=Repart_lignes,0,
(SUMIF(Fonctionnement[Affectation matrice],$A26,Fonctionnement[TVA acquittée])+SUMIF(Invest[Affectation matrice],$A26,Invest[TVA acquittée]))*CQ26)</f>
        <v>0</v>
      </c>
      <c r="AR26" s="56">
        <f>IF($C26=Repart_lignes,0,
(SUMIF(Fonctionnement[Affectation matrice],$A26,Fonctionnement[TVA acquittée])+SUMIF(Invest[Affectation matrice],$A26,Invest[TVA acquittée]))*CR26)</f>
        <v>0</v>
      </c>
      <c r="AS26" s="56">
        <f>IF($C26=Repart_lignes,0,
(SUMIF(Fonctionnement[Affectation matrice],$A26,Fonctionnement[TVA acquittée])+SUMIF(Invest[Affectation matrice],$A26,Invest[TVA acquittée]))*CS26)</f>
        <v>0</v>
      </c>
      <c r="AT26" s="56">
        <f>IF($C26=Repart_lignes,0,
(SUMIF(Fonctionnement[Affectation matrice],$A26,Fonctionnement[TVA acquittée])+SUMIF(Invest[Affectation matrice],$A26,Invest[TVA acquittée]))*CT26)</f>
        <v>0</v>
      </c>
      <c r="AU26" s="56">
        <f>IF($C26=Repart_lignes,0,
(SUMIF(Fonctionnement[Affectation matrice],$A26,Fonctionnement[TVA acquittée])+SUMIF(Invest[Affectation matrice],$A26,Invest[TVA acquittée]))*CU26)</f>
        <v>0</v>
      </c>
      <c r="AV26" s="56">
        <f>IF($C26=Repart_lignes,0,
(SUMIF(Fonctionnement[Affectation matrice],$A26,Fonctionnement[TVA acquittée])+SUMIF(Invest[Affectation matrice],$A26,Invest[TVA acquittée]))*CV26)</f>
        <v>0</v>
      </c>
      <c r="AW26" s="56">
        <f>IF($C26=Repart_lignes,0,
(SUMIF(Fonctionnement[Affectation matrice],$A26,Fonctionnement[TVA acquittée])+SUMIF(Invest[Affectation matrice],$A26,Invest[TVA acquittée]))*CW26)</f>
        <v>0</v>
      </c>
      <c r="AX26" s="56">
        <f>IF($C26=Repart_lignes,0,
(SUMIF(Fonctionnement[Affectation matrice],$A26,Fonctionnement[TVA acquittée])+SUMIF(Invest[Affectation matrice],$A26,Invest[TVA acquittée]))*CX26)</f>
        <v>0</v>
      </c>
      <c r="AY26" s="56">
        <f>IF($C26=Repart_lignes,0,
(SUMIF(Fonctionnement[Affectation matrice],$A26,Fonctionnement[TVA acquittée])+SUMIF(Invest[Affectation matrice],$A26,Invest[TVA acquittée]))*CY26)</f>
        <v>0</v>
      </c>
      <c r="AZ26" s="56">
        <f>IF($C26=Repart_lignes,0,
(SUMIF(Fonctionnement[Affectation matrice],$A26,Fonctionnement[TVA acquittée])+SUMIF(Invest[Affectation matrice],$A26,Invest[TVA acquittée]))*CZ26)</f>
        <v>0</v>
      </c>
      <c r="BA26" s="56">
        <f>IF($C26=Repart_lignes,0,
(SUMIF(Fonctionnement[Affectation matrice],$A26,Fonctionnement[TVA acquittée])+SUMIF(Invest[Affectation matrice],$A26,Invest[TVA acquittée]))*DA26)</f>
        <v>0</v>
      </c>
      <c r="BB26" s="56">
        <f>IF($C26=Repart_lignes,0,
(SUMIF(Fonctionnement[Affectation matrice],$A26,Fonctionnement[TVA acquittée])+SUMIF(Invest[Affectation matrice],$A26,Invest[TVA acquittée]))*DB26)</f>
        <v>0</v>
      </c>
      <c r="BC26" s="56">
        <f>IF($C26=Repart_lignes,0,
(SUMIF(Fonctionnement[Affectation matrice],$A26,Fonctionnement[TVA acquittée])+SUMIF(Invest[Affectation matrice],$A26,Invest[TVA acquittée]))*DC26)</f>
        <v>0</v>
      </c>
      <c r="BD26" s="56">
        <f>IF($C26=Repart_lignes,0,
(SUMIF(Fonctionnement[Affectation matrice],$A26,Fonctionnement[TVA acquittée])+SUMIF(Invest[Affectation matrice],$A26,Invest[TVA acquittée]))*DD26)</f>
        <v>0</v>
      </c>
      <c r="BE26" s="58">
        <f t="shared" si="1"/>
        <v>0</v>
      </c>
      <c r="BF26" s="56">
        <f>IF($C26=Repart_lignes,0,
(SUMIF(Fonctionnement[Affectation matrice],$A26,Fonctionnement[Montant (€HT)])+SUMIF(Invest[Affectation matrice],$A26,Invest[Amortissement HT + intérêts]))*CF26)</f>
        <v>0</v>
      </c>
      <c r="BG26" s="56">
        <f>IF($C26=Repart_lignes,0,
(SUMIF(Fonctionnement[Affectation matrice],$A26,Fonctionnement[Montant (€HT)])+SUMIF(Invest[Affectation matrice],$A26,Invest[Amortissement HT + intérêts]))*CG26)</f>
        <v>0</v>
      </c>
      <c r="BH26" s="56">
        <f>IF($C26=Repart_lignes,0,
(SUMIF(Fonctionnement[Affectation matrice],$A26,Fonctionnement[Montant (€HT)])+SUMIF(Invest[Affectation matrice],$A26,Invest[Amortissement HT + intérêts]))*CH26)</f>
        <v>0</v>
      </c>
      <c r="BI26" s="56">
        <f>IF($C26=Repart_lignes,0,
(SUMIF(Fonctionnement[Affectation matrice],$A26,Fonctionnement[Montant (€HT)])+SUMIF(Invest[Affectation matrice],$A26,Invest[Amortissement HT + intérêts]))*CI26)</f>
        <v>0</v>
      </c>
      <c r="BJ26" s="56">
        <f>IF($C26=Repart_lignes,0,
(SUMIF(Fonctionnement[Affectation matrice],$A26,Fonctionnement[Montant (€HT)])+SUMIF(Invest[Affectation matrice],$A26,Invest[Amortissement HT + intérêts]))*CJ26)</f>
        <v>0</v>
      </c>
      <c r="BK26" s="56">
        <f>IF($C26=Repart_lignes,0,
(SUMIF(Fonctionnement[Affectation matrice],$A26,Fonctionnement[Montant (€HT)])+SUMIF(Invest[Affectation matrice],$A26,Invest[Amortissement HT + intérêts]))*CK26)</f>
        <v>0</v>
      </c>
      <c r="BL26" s="56">
        <f>IF($C26=Repart_lignes,0,
(SUMIF(Fonctionnement[Affectation matrice],$A26,Fonctionnement[Montant (€HT)])+SUMIF(Invest[Affectation matrice],$A26,Invest[Amortissement HT + intérêts]))*CL26)</f>
        <v>0</v>
      </c>
      <c r="BM26" s="56">
        <f>IF($C26=Repart_lignes,0,
(SUMIF(Fonctionnement[Affectation matrice],$A26,Fonctionnement[Montant (€HT)])+SUMIF(Invest[Affectation matrice],$A26,Invest[Amortissement HT + intérêts]))*CM26)</f>
        <v>0</v>
      </c>
      <c r="BN26" s="56">
        <f>IF($C26=Repart_lignes,0,
(SUMIF(Fonctionnement[Affectation matrice],$A26,Fonctionnement[Montant (€HT)])+SUMIF(Invest[Affectation matrice],$A26,Invest[Amortissement HT + intérêts]))*CN26)</f>
        <v>0</v>
      </c>
      <c r="BO26" s="56">
        <f>IF($C26=Repart_lignes,0,
(SUMIF(Fonctionnement[Affectation matrice],$A26,Fonctionnement[Montant (€HT)])+SUMIF(Invest[Affectation matrice],$A26,Invest[Amortissement HT + intérêts]))*CO26)</f>
        <v>0</v>
      </c>
      <c r="BP26" s="56">
        <f>IF($C26=Repart_lignes,0,
(SUMIF(Fonctionnement[Affectation matrice],$A26,Fonctionnement[Montant (€HT)])+SUMIF(Invest[Affectation matrice],$A26,Invest[Amortissement HT + intérêts]))*CP26)</f>
        <v>0</v>
      </c>
      <c r="BQ26" s="56">
        <f>IF($C26=Repart_lignes,0,
(SUMIF(Fonctionnement[Affectation matrice],$A26,Fonctionnement[Montant (€HT)])+SUMIF(Invest[Affectation matrice],$A26,Invest[Amortissement HT + intérêts]))*CQ26)</f>
        <v>0</v>
      </c>
      <c r="BR26" s="56">
        <f>IF($C26=Repart_lignes,0,
(SUMIF(Fonctionnement[Affectation matrice],$A26,Fonctionnement[Montant (€HT)])+SUMIF(Invest[Affectation matrice],$A26,Invest[Amortissement HT + intérêts]))*CR26)</f>
        <v>0</v>
      </c>
      <c r="BS26" s="56">
        <f>IF($C26=Repart_lignes,0,
(SUMIF(Fonctionnement[Affectation matrice],$A26,Fonctionnement[Montant (€HT)])+SUMIF(Invest[Affectation matrice],$A26,Invest[Amortissement HT + intérêts]))*CS26)</f>
        <v>0</v>
      </c>
      <c r="BT26" s="56">
        <f>IF($C26=Repart_lignes,0,
(SUMIF(Fonctionnement[Affectation matrice],$A26,Fonctionnement[Montant (€HT)])+SUMIF(Invest[Affectation matrice],$A26,Invest[Amortissement HT + intérêts]))*CT26)</f>
        <v>0</v>
      </c>
      <c r="BU26" s="56">
        <f>IF($C26=Repart_lignes,0,
(SUMIF(Fonctionnement[Affectation matrice],$A26,Fonctionnement[Montant (€HT)])+SUMIF(Invest[Affectation matrice],$A26,Invest[Amortissement HT + intérêts]))*CU26)</f>
        <v>0</v>
      </c>
      <c r="BV26" s="56">
        <f>IF($C26=Repart_lignes,0,
(SUMIF(Fonctionnement[Affectation matrice],$A26,Fonctionnement[Montant (€HT)])+SUMIF(Invest[Affectation matrice],$A26,Invest[Amortissement HT + intérêts]))*CV26)</f>
        <v>0</v>
      </c>
      <c r="BW26" s="56">
        <f>IF($C26=Repart_lignes,0,
(SUMIF(Fonctionnement[Affectation matrice],$A26,Fonctionnement[Montant (€HT)])+SUMIF(Invest[Affectation matrice],$A26,Invest[Amortissement HT + intérêts]))*CW26)</f>
        <v>0</v>
      </c>
      <c r="BX26" s="56">
        <f>IF($C26=Repart_lignes,0,
(SUMIF(Fonctionnement[Affectation matrice],$A26,Fonctionnement[Montant (€HT)])+SUMIF(Invest[Affectation matrice],$A26,Invest[Amortissement HT + intérêts]))*CX26)</f>
        <v>0</v>
      </c>
      <c r="BY26" s="56">
        <f>IF($C26=Repart_lignes,0,
(SUMIF(Fonctionnement[Affectation matrice],$A26,Fonctionnement[Montant (€HT)])+SUMIF(Invest[Affectation matrice],$A26,Invest[Amortissement HT + intérêts]))*CY26)</f>
        <v>0</v>
      </c>
      <c r="BZ26" s="56">
        <f>IF($C26=Repart_lignes,0,
(SUMIF(Fonctionnement[Affectation matrice],$A26,Fonctionnement[Montant (€HT)])+SUMIF(Invest[Affectation matrice],$A26,Invest[Amortissement HT + intérêts]))*CZ26)</f>
        <v>0</v>
      </c>
      <c r="CA26" s="56">
        <f>IF($C26=Repart_lignes,0,
(SUMIF(Fonctionnement[Affectation matrice],$A26,Fonctionnement[Montant (€HT)])+SUMIF(Invest[Affectation matrice],$A26,Invest[Amortissement HT + intérêts]))*DA26)</f>
        <v>0</v>
      </c>
      <c r="CB26" s="56">
        <f>IF($C26=Repart_lignes,0,
(SUMIF(Fonctionnement[Affectation matrice],$A26,Fonctionnement[Montant (€HT)])+SUMIF(Invest[Affectation matrice],$A26,Invest[Amortissement HT + intérêts]))*DB26)</f>
        <v>0</v>
      </c>
      <c r="CC26" s="56">
        <f>IF($C26=Repart_lignes,0,
(SUMIF(Fonctionnement[Affectation matrice],$A26,Fonctionnement[Montant (€HT)])+SUMIF(Invest[Affectation matrice],$A26,Invest[Amortissement HT + intérêts]))*DC26)</f>
        <v>0</v>
      </c>
      <c r="CD26" s="56">
        <f>IF($C26=Repart_lignes,0,
(SUMIF(Fonctionnement[Affectation matrice],$A26,Fonctionnement[Montant (€HT)])+SUMIF(Invest[Affectation matrice],$A26,Invest[Amortissement HT + intérêts]))*DD26)</f>
        <v>0</v>
      </c>
      <c r="CE26" s="59">
        <f t="shared" si="2"/>
        <v>0</v>
      </c>
      <c r="CF26" s="61">
        <f t="shared" si="3"/>
        <v>0</v>
      </c>
      <c r="CG26" s="61">
        <f t="shared" si="4"/>
        <v>0</v>
      </c>
      <c r="CH26" s="61">
        <f t="shared" si="5"/>
        <v>0</v>
      </c>
      <c r="CI26" s="61">
        <f t="shared" si="6"/>
        <v>0</v>
      </c>
      <c r="CJ26" s="61">
        <f t="shared" si="7"/>
        <v>0</v>
      </c>
      <c r="CK26" s="61">
        <f t="shared" si="8"/>
        <v>0</v>
      </c>
      <c r="CL26" s="61">
        <f t="shared" si="9"/>
        <v>0</v>
      </c>
      <c r="CM26" s="61">
        <f t="shared" si="10"/>
        <v>0</v>
      </c>
      <c r="CN26" s="61">
        <f t="shared" si="11"/>
        <v>0</v>
      </c>
      <c r="CO26" s="61">
        <f t="shared" si="12"/>
        <v>0</v>
      </c>
      <c r="CP26" s="61">
        <f t="shared" si="13"/>
        <v>0</v>
      </c>
      <c r="CQ26" s="61">
        <f t="shared" si="14"/>
        <v>0</v>
      </c>
      <c r="CR26" s="61">
        <f t="shared" si="15"/>
        <v>0</v>
      </c>
      <c r="CS26" s="61">
        <f t="shared" si="16"/>
        <v>0</v>
      </c>
      <c r="CT26" s="61">
        <f t="shared" si="17"/>
        <v>0</v>
      </c>
      <c r="CU26" s="61">
        <f t="shared" si="18"/>
        <v>0</v>
      </c>
      <c r="CV26" s="61">
        <f t="shared" si="19"/>
        <v>0</v>
      </c>
      <c r="CW26" s="61">
        <f t="shared" si="20"/>
        <v>0</v>
      </c>
      <c r="CX26" s="61">
        <f t="shared" si="21"/>
        <v>0</v>
      </c>
      <c r="CY26" s="61">
        <f t="shared" si="22"/>
        <v>0</v>
      </c>
      <c r="CZ26" s="61">
        <f t="shared" si="23"/>
        <v>0</v>
      </c>
      <c r="DA26" s="61">
        <f t="shared" si="24"/>
        <v>0</v>
      </c>
      <c r="DB26" s="61">
        <f t="shared" si="25"/>
        <v>0</v>
      </c>
      <c r="DC26" s="61">
        <f t="shared" si="26"/>
        <v>0</v>
      </c>
      <c r="DD26" s="61">
        <f t="shared" si="27"/>
        <v>0</v>
      </c>
      <c r="DE26" s="61">
        <f t="shared" si="28"/>
        <v>0</v>
      </c>
      <c r="DF26" s="7"/>
    </row>
    <row r="27" spans="1:110" s="22" customFormat="1" x14ac:dyDescent="0.25">
      <c r="A27" s="248"/>
      <c r="B27" s="248"/>
      <c r="C27" s="251"/>
      <c r="D27" s="25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1">
        <f t="shared" si="30"/>
        <v>0</v>
      </c>
      <c r="AE27" s="53" t="str">
        <f t="shared" ca="1" si="29"/>
        <v/>
      </c>
      <c r="AF27" s="56">
        <f>IF($C27=Repart_lignes,0,
(SUMIF(Fonctionnement[Affectation matrice],$A27,Fonctionnement[TVA acquittée])+SUMIF(Invest[Affectation matrice],$A27,Invest[TVA acquittée]))*CF27)</f>
        <v>0</v>
      </c>
      <c r="AG27" s="56">
        <f>IF($C27=Repart_lignes,0,
(SUMIF(Fonctionnement[Affectation matrice],$A27,Fonctionnement[TVA acquittée])+SUMIF(Invest[Affectation matrice],$A27,Invest[TVA acquittée]))*CG27)</f>
        <v>0</v>
      </c>
      <c r="AH27" s="56">
        <f>IF($C27=Repart_lignes,0,
(SUMIF(Fonctionnement[Affectation matrice],$A27,Fonctionnement[TVA acquittée])+SUMIF(Invest[Affectation matrice],$A27,Invest[TVA acquittée]))*CH27)</f>
        <v>0</v>
      </c>
      <c r="AI27" s="56">
        <f>IF($C27=Repart_lignes,0,
(SUMIF(Fonctionnement[Affectation matrice],$A27,Fonctionnement[TVA acquittée])+SUMIF(Invest[Affectation matrice],$A27,Invest[TVA acquittée]))*CI27)</f>
        <v>0</v>
      </c>
      <c r="AJ27" s="56">
        <f>IF($C27=Repart_lignes,0,
(SUMIF(Fonctionnement[Affectation matrice],$A27,Fonctionnement[TVA acquittée])+SUMIF(Invest[Affectation matrice],$A27,Invest[TVA acquittée]))*CJ27)</f>
        <v>0</v>
      </c>
      <c r="AK27" s="56">
        <f>IF($C27=Repart_lignes,0,
(SUMIF(Fonctionnement[Affectation matrice],$A27,Fonctionnement[TVA acquittée])+SUMIF(Invest[Affectation matrice],$A27,Invest[TVA acquittée]))*CK27)</f>
        <v>0</v>
      </c>
      <c r="AL27" s="56">
        <f>IF($C27=Repart_lignes,0,
(SUMIF(Fonctionnement[Affectation matrice],$A27,Fonctionnement[TVA acquittée])+SUMIF(Invest[Affectation matrice],$A27,Invest[TVA acquittée]))*CL27)</f>
        <v>0</v>
      </c>
      <c r="AM27" s="56">
        <f>IF($C27=Repart_lignes,0,
(SUMIF(Fonctionnement[Affectation matrice],$A27,Fonctionnement[TVA acquittée])+SUMIF(Invest[Affectation matrice],$A27,Invest[TVA acquittée]))*CM27)</f>
        <v>0</v>
      </c>
      <c r="AN27" s="56">
        <f>IF($C27=Repart_lignes,0,
(SUMIF(Fonctionnement[Affectation matrice],$A27,Fonctionnement[TVA acquittée])+SUMIF(Invest[Affectation matrice],$A27,Invest[TVA acquittée]))*CN27)</f>
        <v>0</v>
      </c>
      <c r="AO27" s="56">
        <f>IF($C27=Repart_lignes,0,
(SUMIF(Fonctionnement[Affectation matrice],$A27,Fonctionnement[TVA acquittée])+SUMIF(Invest[Affectation matrice],$A27,Invest[TVA acquittée]))*CO27)</f>
        <v>0</v>
      </c>
      <c r="AP27" s="56">
        <f>IF($C27=Repart_lignes,0,
(SUMIF(Fonctionnement[Affectation matrice],$A27,Fonctionnement[TVA acquittée])+SUMIF(Invest[Affectation matrice],$A27,Invest[TVA acquittée]))*CP27)</f>
        <v>0</v>
      </c>
      <c r="AQ27" s="56">
        <f>IF($C27=Repart_lignes,0,
(SUMIF(Fonctionnement[Affectation matrice],$A27,Fonctionnement[TVA acquittée])+SUMIF(Invest[Affectation matrice],$A27,Invest[TVA acquittée]))*CQ27)</f>
        <v>0</v>
      </c>
      <c r="AR27" s="56">
        <f>IF($C27=Repart_lignes,0,
(SUMIF(Fonctionnement[Affectation matrice],$A27,Fonctionnement[TVA acquittée])+SUMIF(Invest[Affectation matrice],$A27,Invest[TVA acquittée]))*CR27)</f>
        <v>0</v>
      </c>
      <c r="AS27" s="56">
        <f>IF($C27=Repart_lignes,0,
(SUMIF(Fonctionnement[Affectation matrice],$A27,Fonctionnement[TVA acquittée])+SUMIF(Invest[Affectation matrice],$A27,Invest[TVA acquittée]))*CS27)</f>
        <v>0</v>
      </c>
      <c r="AT27" s="56">
        <f>IF($C27=Repart_lignes,0,
(SUMIF(Fonctionnement[Affectation matrice],$A27,Fonctionnement[TVA acquittée])+SUMIF(Invest[Affectation matrice],$A27,Invest[TVA acquittée]))*CT27)</f>
        <v>0</v>
      </c>
      <c r="AU27" s="56">
        <f>IF($C27=Repart_lignes,0,
(SUMIF(Fonctionnement[Affectation matrice],$A27,Fonctionnement[TVA acquittée])+SUMIF(Invest[Affectation matrice],$A27,Invest[TVA acquittée]))*CU27)</f>
        <v>0</v>
      </c>
      <c r="AV27" s="56">
        <f>IF($C27=Repart_lignes,0,
(SUMIF(Fonctionnement[Affectation matrice],$A27,Fonctionnement[TVA acquittée])+SUMIF(Invest[Affectation matrice],$A27,Invest[TVA acquittée]))*CV27)</f>
        <v>0</v>
      </c>
      <c r="AW27" s="56">
        <f>IF($C27=Repart_lignes,0,
(SUMIF(Fonctionnement[Affectation matrice],$A27,Fonctionnement[TVA acquittée])+SUMIF(Invest[Affectation matrice],$A27,Invest[TVA acquittée]))*CW27)</f>
        <v>0</v>
      </c>
      <c r="AX27" s="56">
        <f>IF($C27=Repart_lignes,0,
(SUMIF(Fonctionnement[Affectation matrice],$A27,Fonctionnement[TVA acquittée])+SUMIF(Invest[Affectation matrice],$A27,Invest[TVA acquittée]))*CX27)</f>
        <v>0</v>
      </c>
      <c r="AY27" s="56">
        <f>IF($C27=Repart_lignes,0,
(SUMIF(Fonctionnement[Affectation matrice],$A27,Fonctionnement[TVA acquittée])+SUMIF(Invest[Affectation matrice],$A27,Invest[TVA acquittée]))*CY27)</f>
        <v>0</v>
      </c>
      <c r="AZ27" s="56">
        <f>IF($C27=Repart_lignes,0,
(SUMIF(Fonctionnement[Affectation matrice],$A27,Fonctionnement[TVA acquittée])+SUMIF(Invest[Affectation matrice],$A27,Invest[TVA acquittée]))*CZ27)</f>
        <v>0</v>
      </c>
      <c r="BA27" s="56">
        <f>IF($C27=Repart_lignes,0,
(SUMIF(Fonctionnement[Affectation matrice],$A27,Fonctionnement[TVA acquittée])+SUMIF(Invest[Affectation matrice],$A27,Invest[TVA acquittée]))*DA27)</f>
        <v>0</v>
      </c>
      <c r="BB27" s="56">
        <f>IF($C27=Repart_lignes,0,
(SUMIF(Fonctionnement[Affectation matrice],$A27,Fonctionnement[TVA acquittée])+SUMIF(Invest[Affectation matrice],$A27,Invest[TVA acquittée]))*DB27)</f>
        <v>0</v>
      </c>
      <c r="BC27" s="56">
        <f>IF($C27=Repart_lignes,0,
(SUMIF(Fonctionnement[Affectation matrice],$A27,Fonctionnement[TVA acquittée])+SUMIF(Invest[Affectation matrice],$A27,Invest[TVA acquittée]))*DC27)</f>
        <v>0</v>
      </c>
      <c r="BD27" s="56">
        <f>IF($C27=Repart_lignes,0,
(SUMIF(Fonctionnement[Affectation matrice],$A27,Fonctionnement[TVA acquittée])+SUMIF(Invest[Affectation matrice],$A27,Invest[TVA acquittée]))*DD27)</f>
        <v>0</v>
      </c>
      <c r="BE27" s="58">
        <f t="shared" si="1"/>
        <v>0</v>
      </c>
      <c r="BF27" s="56">
        <f>IF($C27=Repart_lignes,0,
(SUMIF(Fonctionnement[Affectation matrice],$A27,Fonctionnement[Montant (€HT)])+SUMIF(Invest[Affectation matrice],$A27,Invest[Amortissement HT + intérêts]))*CF27)</f>
        <v>0</v>
      </c>
      <c r="BG27" s="56">
        <f>IF($C27=Repart_lignes,0,
(SUMIF(Fonctionnement[Affectation matrice],$A27,Fonctionnement[Montant (€HT)])+SUMIF(Invest[Affectation matrice],$A27,Invest[Amortissement HT + intérêts]))*CG27)</f>
        <v>0</v>
      </c>
      <c r="BH27" s="56">
        <f>IF($C27=Repart_lignes,0,
(SUMIF(Fonctionnement[Affectation matrice],$A27,Fonctionnement[Montant (€HT)])+SUMIF(Invest[Affectation matrice],$A27,Invest[Amortissement HT + intérêts]))*CH27)</f>
        <v>0</v>
      </c>
      <c r="BI27" s="56">
        <f>IF($C27=Repart_lignes,0,
(SUMIF(Fonctionnement[Affectation matrice],$A27,Fonctionnement[Montant (€HT)])+SUMIF(Invest[Affectation matrice],$A27,Invest[Amortissement HT + intérêts]))*CI27)</f>
        <v>0</v>
      </c>
      <c r="BJ27" s="56">
        <f>IF($C27=Repart_lignes,0,
(SUMIF(Fonctionnement[Affectation matrice],$A27,Fonctionnement[Montant (€HT)])+SUMIF(Invest[Affectation matrice],$A27,Invest[Amortissement HT + intérêts]))*CJ27)</f>
        <v>0</v>
      </c>
      <c r="BK27" s="56">
        <f>IF($C27=Repart_lignes,0,
(SUMIF(Fonctionnement[Affectation matrice],$A27,Fonctionnement[Montant (€HT)])+SUMIF(Invest[Affectation matrice],$A27,Invest[Amortissement HT + intérêts]))*CK27)</f>
        <v>0</v>
      </c>
      <c r="BL27" s="56">
        <f>IF($C27=Repart_lignes,0,
(SUMIF(Fonctionnement[Affectation matrice],$A27,Fonctionnement[Montant (€HT)])+SUMIF(Invest[Affectation matrice],$A27,Invest[Amortissement HT + intérêts]))*CL27)</f>
        <v>0</v>
      </c>
      <c r="BM27" s="56">
        <f>IF($C27=Repart_lignes,0,
(SUMIF(Fonctionnement[Affectation matrice],$A27,Fonctionnement[Montant (€HT)])+SUMIF(Invest[Affectation matrice],$A27,Invest[Amortissement HT + intérêts]))*CM27)</f>
        <v>0</v>
      </c>
      <c r="BN27" s="56">
        <f>IF($C27=Repart_lignes,0,
(SUMIF(Fonctionnement[Affectation matrice],$A27,Fonctionnement[Montant (€HT)])+SUMIF(Invest[Affectation matrice],$A27,Invest[Amortissement HT + intérêts]))*CN27)</f>
        <v>0</v>
      </c>
      <c r="BO27" s="56">
        <f>IF($C27=Repart_lignes,0,
(SUMIF(Fonctionnement[Affectation matrice],$A27,Fonctionnement[Montant (€HT)])+SUMIF(Invest[Affectation matrice],$A27,Invest[Amortissement HT + intérêts]))*CO27)</f>
        <v>0</v>
      </c>
      <c r="BP27" s="56">
        <f>IF($C27=Repart_lignes,0,
(SUMIF(Fonctionnement[Affectation matrice],$A27,Fonctionnement[Montant (€HT)])+SUMIF(Invest[Affectation matrice],$A27,Invest[Amortissement HT + intérêts]))*CP27)</f>
        <v>0</v>
      </c>
      <c r="BQ27" s="56">
        <f>IF($C27=Repart_lignes,0,
(SUMIF(Fonctionnement[Affectation matrice],$A27,Fonctionnement[Montant (€HT)])+SUMIF(Invest[Affectation matrice],$A27,Invest[Amortissement HT + intérêts]))*CQ27)</f>
        <v>0</v>
      </c>
      <c r="BR27" s="56">
        <f>IF($C27=Repart_lignes,0,
(SUMIF(Fonctionnement[Affectation matrice],$A27,Fonctionnement[Montant (€HT)])+SUMIF(Invest[Affectation matrice],$A27,Invest[Amortissement HT + intérêts]))*CR27)</f>
        <v>0</v>
      </c>
      <c r="BS27" s="56">
        <f>IF($C27=Repart_lignes,0,
(SUMIF(Fonctionnement[Affectation matrice],$A27,Fonctionnement[Montant (€HT)])+SUMIF(Invest[Affectation matrice],$A27,Invest[Amortissement HT + intérêts]))*CS27)</f>
        <v>0</v>
      </c>
      <c r="BT27" s="56">
        <f>IF($C27=Repart_lignes,0,
(SUMIF(Fonctionnement[Affectation matrice],$A27,Fonctionnement[Montant (€HT)])+SUMIF(Invest[Affectation matrice],$A27,Invest[Amortissement HT + intérêts]))*CT27)</f>
        <v>0</v>
      </c>
      <c r="BU27" s="56">
        <f>IF($C27=Repart_lignes,0,
(SUMIF(Fonctionnement[Affectation matrice],$A27,Fonctionnement[Montant (€HT)])+SUMIF(Invest[Affectation matrice],$A27,Invest[Amortissement HT + intérêts]))*CU27)</f>
        <v>0</v>
      </c>
      <c r="BV27" s="56">
        <f>IF($C27=Repart_lignes,0,
(SUMIF(Fonctionnement[Affectation matrice],$A27,Fonctionnement[Montant (€HT)])+SUMIF(Invest[Affectation matrice],$A27,Invest[Amortissement HT + intérêts]))*CV27)</f>
        <v>0</v>
      </c>
      <c r="BW27" s="56">
        <f>IF($C27=Repart_lignes,0,
(SUMIF(Fonctionnement[Affectation matrice],$A27,Fonctionnement[Montant (€HT)])+SUMIF(Invest[Affectation matrice],$A27,Invest[Amortissement HT + intérêts]))*CW27)</f>
        <v>0</v>
      </c>
      <c r="BX27" s="56">
        <f>IF($C27=Repart_lignes,0,
(SUMIF(Fonctionnement[Affectation matrice],$A27,Fonctionnement[Montant (€HT)])+SUMIF(Invest[Affectation matrice],$A27,Invest[Amortissement HT + intérêts]))*CX27)</f>
        <v>0</v>
      </c>
      <c r="BY27" s="56">
        <f>IF($C27=Repart_lignes,0,
(SUMIF(Fonctionnement[Affectation matrice],$A27,Fonctionnement[Montant (€HT)])+SUMIF(Invest[Affectation matrice],$A27,Invest[Amortissement HT + intérêts]))*CY27)</f>
        <v>0</v>
      </c>
      <c r="BZ27" s="56">
        <f>IF($C27=Repart_lignes,0,
(SUMIF(Fonctionnement[Affectation matrice],$A27,Fonctionnement[Montant (€HT)])+SUMIF(Invest[Affectation matrice],$A27,Invest[Amortissement HT + intérêts]))*CZ27)</f>
        <v>0</v>
      </c>
      <c r="CA27" s="56">
        <f>IF($C27=Repart_lignes,0,
(SUMIF(Fonctionnement[Affectation matrice],$A27,Fonctionnement[Montant (€HT)])+SUMIF(Invest[Affectation matrice],$A27,Invest[Amortissement HT + intérêts]))*DA27)</f>
        <v>0</v>
      </c>
      <c r="CB27" s="56">
        <f>IF($C27=Repart_lignes,0,
(SUMIF(Fonctionnement[Affectation matrice],$A27,Fonctionnement[Montant (€HT)])+SUMIF(Invest[Affectation matrice],$A27,Invest[Amortissement HT + intérêts]))*DB27)</f>
        <v>0</v>
      </c>
      <c r="CC27" s="56">
        <f>IF($C27=Repart_lignes,0,
(SUMIF(Fonctionnement[Affectation matrice],$A27,Fonctionnement[Montant (€HT)])+SUMIF(Invest[Affectation matrice],$A27,Invest[Amortissement HT + intérêts]))*DC27)</f>
        <v>0</v>
      </c>
      <c r="CD27" s="56">
        <f>IF($C27=Repart_lignes,0,
(SUMIF(Fonctionnement[Affectation matrice],$A27,Fonctionnement[Montant (€HT)])+SUMIF(Invest[Affectation matrice],$A27,Invest[Amortissement HT + intérêts]))*DD27)</f>
        <v>0</v>
      </c>
      <c r="CE27" s="59">
        <f t="shared" si="2"/>
        <v>0</v>
      </c>
      <c r="CF27" s="61">
        <f t="shared" si="3"/>
        <v>0</v>
      </c>
      <c r="CG27" s="61">
        <f t="shared" si="4"/>
        <v>0</v>
      </c>
      <c r="CH27" s="61">
        <f t="shared" si="5"/>
        <v>0</v>
      </c>
      <c r="CI27" s="61">
        <f t="shared" si="6"/>
        <v>0</v>
      </c>
      <c r="CJ27" s="61">
        <f t="shared" si="7"/>
        <v>0</v>
      </c>
      <c r="CK27" s="61">
        <f t="shared" si="8"/>
        <v>0</v>
      </c>
      <c r="CL27" s="61">
        <f t="shared" si="9"/>
        <v>0</v>
      </c>
      <c r="CM27" s="61">
        <f t="shared" si="10"/>
        <v>0</v>
      </c>
      <c r="CN27" s="61">
        <f t="shared" si="11"/>
        <v>0</v>
      </c>
      <c r="CO27" s="61">
        <f t="shared" si="12"/>
        <v>0</v>
      </c>
      <c r="CP27" s="61">
        <f t="shared" si="13"/>
        <v>0</v>
      </c>
      <c r="CQ27" s="61">
        <f t="shared" si="14"/>
        <v>0</v>
      </c>
      <c r="CR27" s="61">
        <f t="shared" si="15"/>
        <v>0</v>
      </c>
      <c r="CS27" s="61">
        <f t="shared" si="16"/>
        <v>0</v>
      </c>
      <c r="CT27" s="61">
        <f t="shared" si="17"/>
        <v>0</v>
      </c>
      <c r="CU27" s="61">
        <f t="shared" si="18"/>
        <v>0</v>
      </c>
      <c r="CV27" s="61">
        <f t="shared" si="19"/>
        <v>0</v>
      </c>
      <c r="CW27" s="61">
        <f t="shared" si="20"/>
        <v>0</v>
      </c>
      <c r="CX27" s="61">
        <f t="shared" si="21"/>
        <v>0</v>
      </c>
      <c r="CY27" s="61">
        <f t="shared" si="22"/>
        <v>0</v>
      </c>
      <c r="CZ27" s="61">
        <f t="shared" si="23"/>
        <v>0</v>
      </c>
      <c r="DA27" s="61">
        <f t="shared" si="24"/>
        <v>0</v>
      </c>
      <c r="DB27" s="61">
        <f t="shared" si="25"/>
        <v>0</v>
      </c>
      <c r="DC27" s="61">
        <f t="shared" si="26"/>
        <v>0</v>
      </c>
      <c r="DD27" s="61">
        <f t="shared" si="27"/>
        <v>0</v>
      </c>
      <c r="DE27" s="61">
        <f t="shared" si="28"/>
        <v>0</v>
      </c>
      <c r="DF27" s="7"/>
    </row>
    <row r="28" spans="1:110" s="22" customFormat="1" x14ac:dyDescent="0.25">
      <c r="A28" s="248"/>
      <c r="B28" s="248"/>
      <c r="C28" s="251"/>
      <c r="D28" s="25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1">
        <f t="shared" si="30"/>
        <v>0</v>
      </c>
      <c r="AE28" s="53" t="str">
        <f t="shared" ca="1" si="29"/>
        <v/>
      </c>
      <c r="AF28" s="56">
        <f>IF($C28=Repart_lignes,0,
(SUMIF(Fonctionnement[Affectation matrice],$A28,Fonctionnement[TVA acquittée])+SUMIF(Invest[Affectation matrice],$A28,Invest[TVA acquittée]))*CF28)</f>
        <v>0</v>
      </c>
      <c r="AG28" s="56">
        <f>IF($C28=Repart_lignes,0,
(SUMIF(Fonctionnement[Affectation matrice],$A28,Fonctionnement[TVA acquittée])+SUMIF(Invest[Affectation matrice],$A28,Invest[TVA acquittée]))*CG28)</f>
        <v>0</v>
      </c>
      <c r="AH28" s="56">
        <f>IF($C28=Repart_lignes,0,
(SUMIF(Fonctionnement[Affectation matrice],$A28,Fonctionnement[TVA acquittée])+SUMIF(Invest[Affectation matrice],$A28,Invest[TVA acquittée]))*CH28)</f>
        <v>0</v>
      </c>
      <c r="AI28" s="56">
        <f>IF($C28=Repart_lignes,0,
(SUMIF(Fonctionnement[Affectation matrice],$A28,Fonctionnement[TVA acquittée])+SUMIF(Invest[Affectation matrice],$A28,Invest[TVA acquittée]))*CI28)</f>
        <v>0</v>
      </c>
      <c r="AJ28" s="56">
        <f>IF($C28=Repart_lignes,0,
(SUMIF(Fonctionnement[Affectation matrice],$A28,Fonctionnement[TVA acquittée])+SUMIF(Invest[Affectation matrice],$A28,Invest[TVA acquittée]))*CJ28)</f>
        <v>0</v>
      </c>
      <c r="AK28" s="56">
        <f>IF($C28=Repart_lignes,0,
(SUMIF(Fonctionnement[Affectation matrice],$A28,Fonctionnement[TVA acquittée])+SUMIF(Invest[Affectation matrice],$A28,Invest[TVA acquittée]))*CK28)</f>
        <v>0</v>
      </c>
      <c r="AL28" s="56">
        <f>IF($C28=Repart_lignes,0,
(SUMIF(Fonctionnement[Affectation matrice],$A28,Fonctionnement[TVA acquittée])+SUMIF(Invest[Affectation matrice],$A28,Invest[TVA acquittée]))*CL28)</f>
        <v>0</v>
      </c>
      <c r="AM28" s="56">
        <f>IF($C28=Repart_lignes,0,
(SUMIF(Fonctionnement[Affectation matrice],$A28,Fonctionnement[TVA acquittée])+SUMIF(Invest[Affectation matrice],$A28,Invest[TVA acquittée]))*CM28)</f>
        <v>0</v>
      </c>
      <c r="AN28" s="56">
        <f>IF($C28=Repart_lignes,0,
(SUMIF(Fonctionnement[Affectation matrice],$A28,Fonctionnement[TVA acquittée])+SUMIF(Invest[Affectation matrice],$A28,Invest[TVA acquittée]))*CN28)</f>
        <v>0</v>
      </c>
      <c r="AO28" s="56">
        <f>IF($C28=Repart_lignes,0,
(SUMIF(Fonctionnement[Affectation matrice],$A28,Fonctionnement[TVA acquittée])+SUMIF(Invest[Affectation matrice],$A28,Invest[TVA acquittée]))*CO28)</f>
        <v>0</v>
      </c>
      <c r="AP28" s="56">
        <f>IF($C28=Repart_lignes,0,
(SUMIF(Fonctionnement[Affectation matrice],$A28,Fonctionnement[TVA acquittée])+SUMIF(Invest[Affectation matrice],$A28,Invest[TVA acquittée]))*CP28)</f>
        <v>0</v>
      </c>
      <c r="AQ28" s="56">
        <f>IF($C28=Repart_lignes,0,
(SUMIF(Fonctionnement[Affectation matrice],$A28,Fonctionnement[TVA acquittée])+SUMIF(Invest[Affectation matrice],$A28,Invest[TVA acquittée]))*CQ28)</f>
        <v>0</v>
      </c>
      <c r="AR28" s="56">
        <f>IF($C28=Repart_lignes,0,
(SUMIF(Fonctionnement[Affectation matrice],$A28,Fonctionnement[TVA acquittée])+SUMIF(Invest[Affectation matrice],$A28,Invest[TVA acquittée]))*CR28)</f>
        <v>0</v>
      </c>
      <c r="AS28" s="56">
        <f>IF($C28=Repart_lignes,0,
(SUMIF(Fonctionnement[Affectation matrice],$A28,Fonctionnement[TVA acquittée])+SUMIF(Invest[Affectation matrice],$A28,Invest[TVA acquittée]))*CS28)</f>
        <v>0</v>
      </c>
      <c r="AT28" s="56">
        <f>IF($C28=Repart_lignes,0,
(SUMIF(Fonctionnement[Affectation matrice],$A28,Fonctionnement[TVA acquittée])+SUMIF(Invest[Affectation matrice],$A28,Invest[TVA acquittée]))*CT28)</f>
        <v>0</v>
      </c>
      <c r="AU28" s="56">
        <f>IF($C28=Repart_lignes,0,
(SUMIF(Fonctionnement[Affectation matrice],$A28,Fonctionnement[TVA acquittée])+SUMIF(Invest[Affectation matrice],$A28,Invest[TVA acquittée]))*CU28)</f>
        <v>0</v>
      </c>
      <c r="AV28" s="56">
        <f>IF($C28=Repart_lignes,0,
(SUMIF(Fonctionnement[Affectation matrice],$A28,Fonctionnement[TVA acquittée])+SUMIF(Invest[Affectation matrice],$A28,Invest[TVA acquittée]))*CV28)</f>
        <v>0</v>
      </c>
      <c r="AW28" s="56">
        <f>IF($C28=Repart_lignes,0,
(SUMIF(Fonctionnement[Affectation matrice],$A28,Fonctionnement[TVA acquittée])+SUMIF(Invest[Affectation matrice],$A28,Invest[TVA acquittée]))*CW28)</f>
        <v>0</v>
      </c>
      <c r="AX28" s="56">
        <f>IF($C28=Repart_lignes,0,
(SUMIF(Fonctionnement[Affectation matrice],$A28,Fonctionnement[TVA acquittée])+SUMIF(Invest[Affectation matrice],$A28,Invest[TVA acquittée]))*CX28)</f>
        <v>0</v>
      </c>
      <c r="AY28" s="56">
        <f>IF($C28=Repart_lignes,0,
(SUMIF(Fonctionnement[Affectation matrice],$A28,Fonctionnement[TVA acquittée])+SUMIF(Invest[Affectation matrice],$A28,Invest[TVA acquittée]))*CY28)</f>
        <v>0</v>
      </c>
      <c r="AZ28" s="56">
        <f>IF($C28=Repart_lignes,0,
(SUMIF(Fonctionnement[Affectation matrice],$A28,Fonctionnement[TVA acquittée])+SUMIF(Invest[Affectation matrice],$A28,Invest[TVA acquittée]))*CZ28)</f>
        <v>0</v>
      </c>
      <c r="BA28" s="56">
        <f>IF($C28=Repart_lignes,0,
(SUMIF(Fonctionnement[Affectation matrice],$A28,Fonctionnement[TVA acquittée])+SUMIF(Invest[Affectation matrice],$A28,Invest[TVA acquittée]))*DA28)</f>
        <v>0</v>
      </c>
      <c r="BB28" s="56">
        <f>IF($C28=Repart_lignes,0,
(SUMIF(Fonctionnement[Affectation matrice],$A28,Fonctionnement[TVA acquittée])+SUMIF(Invest[Affectation matrice],$A28,Invest[TVA acquittée]))*DB28)</f>
        <v>0</v>
      </c>
      <c r="BC28" s="56">
        <f>IF($C28=Repart_lignes,0,
(SUMIF(Fonctionnement[Affectation matrice],$A28,Fonctionnement[TVA acquittée])+SUMIF(Invest[Affectation matrice],$A28,Invest[TVA acquittée]))*DC28)</f>
        <v>0</v>
      </c>
      <c r="BD28" s="56">
        <f>IF($C28=Repart_lignes,0,
(SUMIF(Fonctionnement[Affectation matrice],$A28,Fonctionnement[TVA acquittée])+SUMIF(Invest[Affectation matrice],$A28,Invest[TVA acquittée]))*DD28)</f>
        <v>0</v>
      </c>
      <c r="BE28" s="58">
        <f t="shared" si="1"/>
        <v>0</v>
      </c>
      <c r="BF28" s="56">
        <f>IF($C28=Repart_lignes,0,
(SUMIF(Fonctionnement[Affectation matrice],$A28,Fonctionnement[Montant (€HT)])+SUMIF(Invest[Affectation matrice],$A28,Invest[Amortissement HT + intérêts]))*CF28)</f>
        <v>0</v>
      </c>
      <c r="BG28" s="56">
        <f>IF($C28=Repart_lignes,0,
(SUMIF(Fonctionnement[Affectation matrice],$A28,Fonctionnement[Montant (€HT)])+SUMIF(Invest[Affectation matrice],$A28,Invest[Amortissement HT + intérêts]))*CG28)</f>
        <v>0</v>
      </c>
      <c r="BH28" s="56">
        <f>IF($C28=Repart_lignes,0,
(SUMIF(Fonctionnement[Affectation matrice],$A28,Fonctionnement[Montant (€HT)])+SUMIF(Invest[Affectation matrice],$A28,Invest[Amortissement HT + intérêts]))*CH28)</f>
        <v>0</v>
      </c>
      <c r="BI28" s="56">
        <f>IF($C28=Repart_lignes,0,
(SUMIF(Fonctionnement[Affectation matrice],$A28,Fonctionnement[Montant (€HT)])+SUMIF(Invest[Affectation matrice],$A28,Invest[Amortissement HT + intérêts]))*CI28)</f>
        <v>0</v>
      </c>
      <c r="BJ28" s="56">
        <f>IF($C28=Repart_lignes,0,
(SUMIF(Fonctionnement[Affectation matrice],$A28,Fonctionnement[Montant (€HT)])+SUMIF(Invest[Affectation matrice],$A28,Invest[Amortissement HT + intérêts]))*CJ28)</f>
        <v>0</v>
      </c>
      <c r="BK28" s="56">
        <f>IF($C28=Repart_lignes,0,
(SUMIF(Fonctionnement[Affectation matrice],$A28,Fonctionnement[Montant (€HT)])+SUMIF(Invest[Affectation matrice],$A28,Invest[Amortissement HT + intérêts]))*CK28)</f>
        <v>0</v>
      </c>
      <c r="BL28" s="56">
        <f>IF($C28=Repart_lignes,0,
(SUMIF(Fonctionnement[Affectation matrice],$A28,Fonctionnement[Montant (€HT)])+SUMIF(Invest[Affectation matrice],$A28,Invest[Amortissement HT + intérêts]))*CL28)</f>
        <v>0</v>
      </c>
      <c r="BM28" s="56">
        <f>IF($C28=Repart_lignes,0,
(SUMIF(Fonctionnement[Affectation matrice],$A28,Fonctionnement[Montant (€HT)])+SUMIF(Invest[Affectation matrice],$A28,Invest[Amortissement HT + intérêts]))*CM28)</f>
        <v>0</v>
      </c>
      <c r="BN28" s="56">
        <f>IF($C28=Repart_lignes,0,
(SUMIF(Fonctionnement[Affectation matrice],$A28,Fonctionnement[Montant (€HT)])+SUMIF(Invest[Affectation matrice],$A28,Invest[Amortissement HT + intérêts]))*CN28)</f>
        <v>0</v>
      </c>
      <c r="BO28" s="56">
        <f>IF($C28=Repart_lignes,0,
(SUMIF(Fonctionnement[Affectation matrice],$A28,Fonctionnement[Montant (€HT)])+SUMIF(Invest[Affectation matrice],$A28,Invest[Amortissement HT + intérêts]))*CO28)</f>
        <v>0</v>
      </c>
      <c r="BP28" s="56">
        <f>IF($C28=Repart_lignes,0,
(SUMIF(Fonctionnement[Affectation matrice],$A28,Fonctionnement[Montant (€HT)])+SUMIF(Invest[Affectation matrice],$A28,Invest[Amortissement HT + intérêts]))*CP28)</f>
        <v>0</v>
      </c>
      <c r="BQ28" s="56">
        <f>IF($C28=Repart_lignes,0,
(SUMIF(Fonctionnement[Affectation matrice],$A28,Fonctionnement[Montant (€HT)])+SUMIF(Invest[Affectation matrice],$A28,Invest[Amortissement HT + intérêts]))*CQ28)</f>
        <v>0</v>
      </c>
      <c r="BR28" s="56">
        <f>IF($C28=Repart_lignes,0,
(SUMIF(Fonctionnement[Affectation matrice],$A28,Fonctionnement[Montant (€HT)])+SUMIF(Invest[Affectation matrice],$A28,Invest[Amortissement HT + intérêts]))*CR28)</f>
        <v>0</v>
      </c>
      <c r="BS28" s="56">
        <f>IF($C28=Repart_lignes,0,
(SUMIF(Fonctionnement[Affectation matrice],$A28,Fonctionnement[Montant (€HT)])+SUMIF(Invest[Affectation matrice],$A28,Invest[Amortissement HT + intérêts]))*CS28)</f>
        <v>0</v>
      </c>
      <c r="BT28" s="56">
        <f>IF($C28=Repart_lignes,0,
(SUMIF(Fonctionnement[Affectation matrice],$A28,Fonctionnement[Montant (€HT)])+SUMIF(Invest[Affectation matrice],$A28,Invest[Amortissement HT + intérêts]))*CT28)</f>
        <v>0</v>
      </c>
      <c r="BU28" s="56">
        <f>IF($C28=Repart_lignes,0,
(SUMIF(Fonctionnement[Affectation matrice],$A28,Fonctionnement[Montant (€HT)])+SUMIF(Invest[Affectation matrice],$A28,Invest[Amortissement HT + intérêts]))*CU28)</f>
        <v>0</v>
      </c>
      <c r="BV28" s="56">
        <f>IF($C28=Repart_lignes,0,
(SUMIF(Fonctionnement[Affectation matrice],$A28,Fonctionnement[Montant (€HT)])+SUMIF(Invest[Affectation matrice],$A28,Invest[Amortissement HT + intérêts]))*CV28)</f>
        <v>0</v>
      </c>
      <c r="BW28" s="56">
        <f>IF($C28=Repart_lignes,0,
(SUMIF(Fonctionnement[Affectation matrice],$A28,Fonctionnement[Montant (€HT)])+SUMIF(Invest[Affectation matrice],$A28,Invest[Amortissement HT + intérêts]))*CW28)</f>
        <v>0</v>
      </c>
      <c r="BX28" s="56">
        <f>IF($C28=Repart_lignes,0,
(SUMIF(Fonctionnement[Affectation matrice],$A28,Fonctionnement[Montant (€HT)])+SUMIF(Invest[Affectation matrice],$A28,Invest[Amortissement HT + intérêts]))*CX28)</f>
        <v>0</v>
      </c>
      <c r="BY28" s="56">
        <f>IF($C28=Repart_lignes,0,
(SUMIF(Fonctionnement[Affectation matrice],$A28,Fonctionnement[Montant (€HT)])+SUMIF(Invest[Affectation matrice],$A28,Invest[Amortissement HT + intérêts]))*CY28)</f>
        <v>0</v>
      </c>
      <c r="BZ28" s="56">
        <f>IF($C28=Repart_lignes,0,
(SUMIF(Fonctionnement[Affectation matrice],$A28,Fonctionnement[Montant (€HT)])+SUMIF(Invest[Affectation matrice],$A28,Invest[Amortissement HT + intérêts]))*CZ28)</f>
        <v>0</v>
      </c>
      <c r="CA28" s="56">
        <f>IF($C28=Repart_lignes,0,
(SUMIF(Fonctionnement[Affectation matrice],$A28,Fonctionnement[Montant (€HT)])+SUMIF(Invest[Affectation matrice],$A28,Invest[Amortissement HT + intérêts]))*DA28)</f>
        <v>0</v>
      </c>
      <c r="CB28" s="56">
        <f>IF($C28=Repart_lignes,0,
(SUMIF(Fonctionnement[Affectation matrice],$A28,Fonctionnement[Montant (€HT)])+SUMIF(Invest[Affectation matrice],$A28,Invest[Amortissement HT + intérêts]))*DB28)</f>
        <v>0</v>
      </c>
      <c r="CC28" s="56">
        <f>IF($C28=Repart_lignes,0,
(SUMIF(Fonctionnement[Affectation matrice],$A28,Fonctionnement[Montant (€HT)])+SUMIF(Invest[Affectation matrice],$A28,Invest[Amortissement HT + intérêts]))*DC28)</f>
        <v>0</v>
      </c>
      <c r="CD28" s="56">
        <f>IF($C28=Repart_lignes,0,
(SUMIF(Fonctionnement[Affectation matrice],$A28,Fonctionnement[Montant (€HT)])+SUMIF(Invest[Affectation matrice],$A28,Invest[Amortissement HT + intérêts]))*DD28)</f>
        <v>0</v>
      </c>
      <c r="CE28" s="59">
        <f t="shared" si="2"/>
        <v>0</v>
      </c>
      <c r="CF28" s="61">
        <f t="shared" si="3"/>
        <v>0</v>
      </c>
      <c r="CG28" s="61">
        <f t="shared" si="4"/>
        <v>0</v>
      </c>
      <c r="CH28" s="61">
        <f t="shared" si="5"/>
        <v>0</v>
      </c>
      <c r="CI28" s="61">
        <f t="shared" si="6"/>
        <v>0</v>
      </c>
      <c r="CJ28" s="61">
        <f t="shared" si="7"/>
        <v>0</v>
      </c>
      <c r="CK28" s="61">
        <f t="shared" si="8"/>
        <v>0</v>
      </c>
      <c r="CL28" s="61">
        <f t="shared" si="9"/>
        <v>0</v>
      </c>
      <c r="CM28" s="61">
        <f t="shared" si="10"/>
        <v>0</v>
      </c>
      <c r="CN28" s="61">
        <f t="shared" si="11"/>
        <v>0</v>
      </c>
      <c r="CO28" s="61">
        <f t="shared" si="12"/>
        <v>0</v>
      </c>
      <c r="CP28" s="61">
        <f t="shared" si="13"/>
        <v>0</v>
      </c>
      <c r="CQ28" s="61">
        <f t="shared" si="14"/>
        <v>0</v>
      </c>
      <c r="CR28" s="61">
        <f t="shared" si="15"/>
        <v>0</v>
      </c>
      <c r="CS28" s="61">
        <f t="shared" si="16"/>
        <v>0</v>
      </c>
      <c r="CT28" s="61">
        <f t="shared" si="17"/>
        <v>0</v>
      </c>
      <c r="CU28" s="61">
        <f t="shared" si="18"/>
        <v>0</v>
      </c>
      <c r="CV28" s="61">
        <f t="shared" si="19"/>
        <v>0</v>
      </c>
      <c r="CW28" s="61">
        <f t="shared" si="20"/>
        <v>0</v>
      </c>
      <c r="CX28" s="61">
        <f t="shared" si="21"/>
        <v>0</v>
      </c>
      <c r="CY28" s="61">
        <f t="shared" si="22"/>
        <v>0</v>
      </c>
      <c r="CZ28" s="61">
        <f t="shared" si="23"/>
        <v>0</v>
      </c>
      <c r="DA28" s="61">
        <f t="shared" si="24"/>
        <v>0</v>
      </c>
      <c r="DB28" s="61">
        <f t="shared" si="25"/>
        <v>0</v>
      </c>
      <c r="DC28" s="61">
        <f t="shared" si="26"/>
        <v>0</v>
      </c>
      <c r="DD28" s="61">
        <f t="shared" si="27"/>
        <v>0</v>
      </c>
      <c r="DE28" s="61">
        <f t="shared" si="28"/>
        <v>0</v>
      </c>
      <c r="DF28" s="7"/>
    </row>
    <row r="29" spans="1:110" s="22" customFormat="1" x14ac:dyDescent="0.25">
      <c r="A29" s="248"/>
      <c r="B29" s="248"/>
      <c r="C29" s="251"/>
      <c r="D29" s="25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1">
        <f t="shared" si="30"/>
        <v>0</v>
      </c>
      <c r="AE29" s="53" t="str">
        <f t="shared" ca="1" si="29"/>
        <v/>
      </c>
      <c r="AF29" s="56">
        <f>IF($C29=Repart_lignes,0,
(SUMIF(Fonctionnement[Affectation matrice],$A29,Fonctionnement[TVA acquittée])+SUMIF(Invest[Affectation matrice],$A29,Invest[TVA acquittée]))*CF29)</f>
        <v>0</v>
      </c>
      <c r="AG29" s="56">
        <f>IF($C29=Repart_lignes,0,
(SUMIF(Fonctionnement[Affectation matrice],$A29,Fonctionnement[TVA acquittée])+SUMIF(Invest[Affectation matrice],$A29,Invest[TVA acquittée]))*CG29)</f>
        <v>0</v>
      </c>
      <c r="AH29" s="56">
        <f>IF($C29=Repart_lignes,0,
(SUMIF(Fonctionnement[Affectation matrice],$A29,Fonctionnement[TVA acquittée])+SUMIF(Invest[Affectation matrice],$A29,Invest[TVA acquittée]))*CH29)</f>
        <v>0</v>
      </c>
      <c r="AI29" s="56">
        <f>IF($C29=Repart_lignes,0,
(SUMIF(Fonctionnement[Affectation matrice],$A29,Fonctionnement[TVA acquittée])+SUMIF(Invest[Affectation matrice],$A29,Invest[TVA acquittée]))*CI29)</f>
        <v>0</v>
      </c>
      <c r="AJ29" s="56">
        <f>IF($C29=Repart_lignes,0,
(SUMIF(Fonctionnement[Affectation matrice],$A29,Fonctionnement[TVA acquittée])+SUMIF(Invest[Affectation matrice],$A29,Invest[TVA acquittée]))*CJ29)</f>
        <v>0</v>
      </c>
      <c r="AK29" s="56">
        <f>IF($C29=Repart_lignes,0,
(SUMIF(Fonctionnement[Affectation matrice],$A29,Fonctionnement[TVA acquittée])+SUMIF(Invest[Affectation matrice],$A29,Invest[TVA acquittée]))*CK29)</f>
        <v>0</v>
      </c>
      <c r="AL29" s="56">
        <f>IF($C29=Repart_lignes,0,
(SUMIF(Fonctionnement[Affectation matrice],$A29,Fonctionnement[TVA acquittée])+SUMIF(Invest[Affectation matrice],$A29,Invest[TVA acquittée]))*CL29)</f>
        <v>0</v>
      </c>
      <c r="AM29" s="56">
        <f>IF($C29=Repart_lignes,0,
(SUMIF(Fonctionnement[Affectation matrice],$A29,Fonctionnement[TVA acquittée])+SUMIF(Invest[Affectation matrice],$A29,Invest[TVA acquittée]))*CM29)</f>
        <v>0</v>
      </c>
      <c r="AN29" s="56">
        <f>IF($C29=Repart_lignes,0,
(SUMIF(Fonctionnement[Affectation matrice],$A29,Fonctionnement[TVA acquittée])+SUMIF(Invest[Affectation matrice],$A29,Invest[TVA acquittée]))*CN29)</f>
        <v>0</v>
      </c>
      <c r="AO29" s="56">
        <f>IF($C29=Repart_lignes,0,
(SUMIF(Fonctionnement[Affectation matrice],$A29,Fonctionnement[TVA acquittée])+SUMIF(Invest[Affectation matrice],$A29,Invest[TVA acquittée]))*CO29)</f>
        <v>0</v>
      </c>
      <c r="AP29" s="56">
        <f>IF($C29=Repart_lignes,0,
(SUMIF(Fonctionnement[Affectation matrice],$A29,Fonctionnement[TVA acquittée])+SUMIF(Invest[Affectation matrice],$A29,Invest[TVA acquittée]))*CP29)</f>
        <v>0</v>
      </c>
      <c r="AQ29" s="56">
        <f>IF($C29=Repart_lignes,0,
(SUMIF(Fonctionnement[Affectation matrice],$A29,Fonctionnement[TVA acquittée])+SUMIF(Invest[Affectation matrice],$A29,Invest[TVA acquittée]))*CQ29)</f>
        <v>0</v>
      </c>
      <c r="AR29" s="56">
        <f>IF($C29=Repart_lignes,0,
(SUMIF(Fonctionnement[Affectation matrice],$A29,Fonctionnement[TVA acquittée])+SUMIF(Invest[Affectation matrice],$A29,Invest[TVA acquittée]))*CR29)</f>
        <v>0</v>
      </c>
      <c r="AS29" s="56">
        <f>IF($C29=Repart_lignes,0,
(SUMIF(Fonctionnement[Affectation matrice],$A29,Fonctionnement[TVA acquittée])+SUMIF(Invest[Affectation matrice],$A29,Invest[TVA acquittée]))*CS29)</f>
        <v>0</v>
      </c>
      <c r="AT29" s="56">
        <f>IF($C29=Repart_lignes,0,
(SUMIF(Fonctionnement[Affectation matrice],$A29,Fonctionnement[TVA acquittée])+SUMIF(Invest[Affectation matrice],$A29,Invest[TVA acquittée]))*CT29)</f>
        <v>0</v>
      </c>
      <c r="AU29" s="56">
        <f>IF($C29=Repart_lignes,0,
(SUMIF(Fonctionnement[Affectation matrice],$A29,Fonctionnement[TVA acquittée])+SUMIF(Invest[Affectation matrice],$A29,Invest[TVA acquittée]))*CU29)</f>
        <v>0</v>
      </c>
      <c r="AV29" s="56">
        <f>IF($C29=Repart_lignes,0,
(SUMIF(Fonctionnement[Affectation matrice],$A29,Fonctionnement[TVA acquittée])+SUMIF(Invest[Affectation matrice],$A29,Invest[TVA acquittée]))*CV29)</f>
        <v>0</v>
      </c>
      <c r="AW29" s="56">
        <f>IF($C29=Repart_lignes,0,
(SUMIF(Fonctionnement[Affectation matrice],$A29,Fonctionnement[TVA acquittée])+SUMIF(Invest[Affectation matrice],$A29,Invest[TVA acquittée]))*CW29)</f>
        <v>0</v>
      </c>
      <c r="AX29" s="56">
        <f>IF($C29=Repart_lignes,0,
(SUMIF(Fonctionnement[Affectation matrice],$A29,Fonctionnement[TVA acquittée])+SUMIF(Invest[Affectation matrice],$A29,Invest[TVA acquittée]))*CX29)</f>
        <v>0</v>
      </c>
      <c r="AY29" s="56">
        <f>IF($C29=Repart_lignes,0,
(SUMIF(Fonctionnement[Affectation matrice],$A29,Fonctionnement[TVA acquittée])+SUMIF(Invest[Affectation matrice],$A29,Invest[TVA acquittée]))*CY29)</f>
        <v>0</v>
      </c>
      <c r="AZ29" s="56">
        <f>IF($C29=Repart_lignes,0,
(SUMIF(Fonctionnement[Affectation matrice],$A29,Fonctionnement[TVA acquittée])+SUMIF(Invest[Affectation matrice],$A29,Invest[TVA acquittée]))*CZ29)</f>
        <v>0</v>
      </c>
      <c r="BA29" s="56">
        <f>IF($C29=Repart_lignes,0,
(SUMIF(Fonctionnement[Affectation matrice],$A29,Fonctionnement[TVA acquittée])+SUMIF(Invest[Affectation matrice],$A29,Invest[TVA acquittée]))*DA29)</f>
        <v>0</v>
      </c>
      <c r="BB29" s="56">
        <f>IF($C29=Repart_lignes,0,
(SUMIF(Fonctionnement[Affectation matrice],$A29,Fonctionnement[TVA acquittée])+SUMIF(Invest[Affectation matrice],$A29,Invest[TVA acquittée]))*DB29)</f>
        <v>0</v>
      </c>
      <c r="BC29" s="56">
        <f>IF($C29=Repart_lignes,0,
(SUMIF(Fonctionnement[Affectation matrice],$A29,Fonctionnement[TVA acquittée])+SUMIF(Invest[Affectation matrice],$A29,Invest[TVA acquittée]))*DC29)</f>
        <v>0</v>
      </c>
      <c r="BD29" s="56">
        <f>IF($C29=Repart_lignes,0,
(SUMIF(Fonctionnement[Affectation matrice],$A29,Fonctionnement[TVA acquittée])+SUMIF(Invest[Affectation matrice],$A29,Invest[TVA acquittée]))*DD29)</f>
        <v>0</v>
      </c>
      <c r="BE29" s="58">
        <f t="shared" si="1"/>
        <v>0</v>
      </c>
      <c r="BF29" s="56">
        <f>IF($C29=Repart_lignes,0,
(SUMIF(Fonctionnement[Affectation matrice],$A29,Fonctionnement[Montant (€HT)])+SUMIF(Invest[Affectation matrice],$A29,Invest[Amortissement HT + intérêts]))*CF29)</f>
        <v>0</v>
      </c>
      <c r="BG29" s="56">
        <f>IF($C29=Repart_lignes,0,
(SUMIF(Fonctionnement[Affectation matrice],$A29,Fonctionnement[Montant (€HT)])+SUMIF(Invest[Affectation matrice],$A29,Invest[Amortissement HT + intérêts]))*CG29)</f>
        <v>0</v>
      </c>
      <c r="BH29" s="56">
        <f>IF($C29=Repart_lignes,0,
(SUMIF(Fonctionnement[Affectation matrice],$A29,Fonctionnement[Montant (€HT)])+SUMIF(Invest[Affectation matrice],$A29,Invest[Amortissement HT + intérêts]))*CH29)</f>
        <v>0</v>
      </c>
      <c r="BI29" s="56">
        <f>IF($C29=Repart_lignes,0,
(SUMIF(Fonctionnement[Affectation matrice],$A29,Fonctionnement[Montant (€HT)])+SUMIF(Invest[Affectation matrice],$A29,Invest[Amortissement HT + intérêts]))*CI29)</f>
        <v>0</v>
      </c>
      <c r="BJ29" s="56">
        <f>IF($C29=Repart_lignes,0,
(SUMIF(Fonctionnement[Affectation matrice],$A29,Fonctionnement[Montant (€HT)])+SUMIF(Invest[Affectation matrice],$A29,Invest[Amortissement HT + intérêts]))*CJ29)</f>
        <v>0</v>
      </c>
      <c r="BK29" s="56">
        <f>IF($C29=Repart_lignes,0,
(SUMIF(Fonctionnement[Affectation matrice],$A29,Fonctionnement[Montant (€HT)])+SUMIF(Invest[Affectation matrice],$A29,Invest[Amortissement HT + intérêts]))*CK29)</f>
        <v>0</v>
      </c>
      <c r="BL29" s="56">
        <f>IF($C29=Repart_lignes,0,
(SUMIF(Fonctionnement[Affectation matrice],$A29,Fonctionnement[Montant (€HT)])+SUMIF(Invest[Affectation matrice],$A29,Invest[Amortissement HT + intérêts]))*CL29)</f>
        <v>0</v>
      </c>
      <c r="BM29" s="56">
        <f>IF($C29=Repart_lignes,0,
(SUMIF(Fonctionnement[Affectation matrice],$A29,Fonctionnement[Montant (€HT)])+SUMIF(Invest[Affectation matrice],$A29,Invest[Amortissement HT + intérêts]))*CM29)</f>
        <v>0</v>
      </c>
      <c r="BN29" s="56">
        <f>IF($C29=Repart_lignes,0,
(SUMIF(Fonctionnement[Affectation matrice],$A29,Fonctionnement[Montant (€HT)])+SUMIF(Invest[Affectation matrice],$A29,Invest[Amortissement HT + intérêts]))*CN29)</f>
        <v>0</v>
      </c>
      <c r="BO29" s="56">
        <f>IF($C29=Repart_lignes,0,
(SUMIF(Fonctionnement[Affectation matrice],$A29,Fonctionnement[Montant (€HT)])+SUMIF(Invest[Affectation matrice],$A29,Invest[Amortissement HT + intérêts]))*CO29)</f>
        <v>0</v>
      </c>
      <c r="BP29" s="56">
        <f>IF($C29=Repart_lignes,0,
(SUMIF(Fonctionnement[Affectation matrice],$A29,Fonctionnement[Montant (€HT)])+SUMIF(Invest[Affectation matrice],$A29,Invest[Amortissement HT + intérêts]))*CP29)</f>
        <v>0</v>
      </c>
      <c r="BQ29" s="56">
        <f>IF($C29=Repart_lignes,0,
(SUMIF(Fonctionnement[Affectation matrice],$A29,Fonctionnement[Montant (€HT)])+SUMIF(Invest[Affectation matrice],$A29,Invest[Amortissement HT + intérêts]))*CQ29)</f>
        <v>0</v>
      </c>
      <c r="BR29" s="56">
        <f>IF($C29=Repart_lignes,0,
(SUMIF(Fonctionnement[Affectation matrice],$A29,Fonctionnement[Montant (€HT)])+SUMIF(Invest[Affectation matrice],$A29,Invest[Amortissement HT + intérêts]))*CR29)</f>
        <v>0</v>
      </c>
      <c r="BS29" s="56">
        <f>IF($C29=Repart_lignes,0,
(SUMIF(Fonctionnement[Affectation matrice],$A29,Fonctionnement[Montant (€HT)])+SUMIF(Invest[Affectation matrice],$A29,Invest[Amortissement HT + intérêts]))*CS29)</f>
        <v>0</v>
      </c>
      <c r="BT29" s="56">
        <f>IF($C29=Repart_lignes,0,
(SUMIF(Fonctionnement[Affectation matrice],$A29,Fonctionnement[Montant (€HT)])+SUMIF(Invest[Affectation matrice],$A29,Invest[Amortissement HT + intérêts]))*CT29)</f>
        <v>0</v>
      </c>
      <c r="BU29" s="56">
        <f>IF($C29=Repart_lignes,0,
(SUMIF(Fonctionnement[Affectation matrice],$A29,Fonctionnement[Montant (€HT)])+SUMIF(Invest[Affectation matrice],$A29,Invest[Amortissement HT + intérêts]))*CU29)</f>
        <v>0</v>
      </c>
      <c r="BV29" s="56">
        <f>IF($C29=Repart_lignes,0,
(SUMIF(Fonctionnement[Affectation matrice],$A29,Fonctionnement[Montant (€HT)])+SUMIF(Invest[Affectation matrice],$A29,Invest[Amortissement HT + intérêts]))*CV29)</f>
        <v>0</v>
      </c>
      <c r="BW29" s="56">
        <f>IF($C29=Repart_lignes,0,
(SUMIF(Fonctionnement[Affectation matrice],$A29,Fonctionnement[Montant (€HT)])+SUMIF(Invest[Affectation matrice],$A29,Invest[Amortissement HT + intérêts]))*CW29)</f>
        <v>0</v>
      </c>
      <c r="BX29" s="56">
        <f>IF($C29=Repart_lignes,0,
(SUMIF(Fonctionnement[Affectation matrice],$A29,Fonctionnement[Montant (€HT)])+SUMIF(Invest[Affectation matrice],$A29,Invest[Amortissement HT + intérêts]))*CX29)</f>
        <v>0</v>
      </c>
      <c r="BY29" s="56">
        <f>IF($C29=Repart_lignes,0,
(SUMIF(Fonctionnement[Affectation matrice],$A29,Fonctionnement[Montant (€HT)])+SUMIF(Invest[Affectation matrice],$A29,Invest[Amortissement HT + intérêts]))*CY29)</f>
        <v>0</v>
      </c>
      <c r="BZ29" s="56">
        <f>IF($C29=Repart_lignes,0,
(SUMIF(Fonctionnement[Affectation matrice],$A29,Fonctionnement[Montant (€HT)])+SUMIF(Invest[Affectation matrice],$A29,Invest[Amortissement HT + intérêts]))*CZ29)</f>
        <v>0</v>
      </c>
      <c r="CA29" s="56">
        <f>IF($C29=Repart_lignes,0,
(SUMIF(Fonctionnement[Affectation matrice],$A29,Fonctionnement[Montant (€HT)])+SUMIF(Invest[Affectation matrice],$A29,Invest[Amortissement HT + intérêts]))*DA29)</f>
        <v>0</v>
      </c>
      <c r="CB29" s="56">
        <f>IF($C29=Repart_lignes,0,
(SUMIF(Fonctionnement[Affectation matrice],$A29,Fonctionnement[Montant (€HT)])+SUMIF(Invest[Affectation matrice],$A29,Invest[Amortissement HT + intérêts]))*DB29)</f>
        <v>0</v>
      </c>
      <c r="CC29" s="56">
        <f>IF($C29=Repart_lignes,0,
(SUMIF(Fonctionnement[Affectation matrice],$A29,Fonctionnement[Montant (€HT)])+SUMIF(Invest[Affectation matrice],$A29,Invest[Amortissement HT + intérêts]))*DC29)</f>
        <v>0</v>
      </c>
      <c r="CD29" s="56">
        <f>IF($C29=Repart_lignes,0,
(SUMIF(Fonctionnement[Affectation matrice],$A29,Fonctionnement[Montant (€HT)])+SUMIF(Invest[Affectation matrice],$A29,Invest[Amortissement HT + intérêts]))*DD29)</f>
        <v>0</v>
      </c>
      <c r="CE29" s="59">
        <f t="shared" si="2"/>
        <v>0</v>
      </c>
      <c r="CF29" s="61">
        <f t="shared" si="3"/>
        <v>0</v>
      </c>
      <c r="CG29" s="61">
        <f t="shared" si="4"/>
        <v>0</v>
      </c>
      <c r="CH29" s="61">
        <f t="shared" si="5"/>
        <v>0</v>
      </c>
      <c r="CI29" s="61">
        <f t="shared" si="6"/>
        <v>0</v>
      </c>
      <c r="CJ29" s="61">
        <f t="shared" si="7"/>
        <v>0</v>
      </c>
      <c r="CK29" s="61">
        <f t="shared" si="8"/>
        <v>0</v>
      </c>
      <c r="CL29" s="61">
        <f t="shared" si="9"/>
        <v>0</v>
      </c>
      <c r="CM29" s="61">
        <f t="shared" si="10"/>
        <v>0</v>
      </c>
      <c r="CN29" s="61">
        <f t="shared" si="11"/>
        <v>0</v>
      </c>
      <c r="CO29" s="61">
        <f t="shared" si="12"/>
        <v>0</v>
      </c>
      <c r="CP29" s="61">
        <f t="shared" si="13"/>
        <v>0</v>
      </c>
      <c r="CQ29" s="61">
        <f t="shared" si="14"/>
        <v>0</v>
      </c>
      <c r="CR29" s="61">
        <f t="shared" si="15"/>
        <v>0</v>
      </c>
      <c r="CS29" s="61">
        <f t="shared" si="16"/>
        <v>0</v>
      </c>
      <c r="CT29" s="61">
        <f t="shared" si="17"/>
        <v>0</v>
      </c>
      <c r="CU29" s="61">
        <f t="shared" si="18"/>
        <v>0</v>
      </c>
      <c r="CV29" s="61">
        <f t="shared" si="19"/>
        <v>0</v>
      </c>
      <c r="CW29" s="61">
        <f t="shared" si="20"/>
        <v>0</v>
      </c>
      <c r="CX29" s="61">
        <f t="shared" si="21"/>
        <v>0</v>
      </c>
      <c r="CY29" s="61">
        <f t="shared" si="22"/>
        <v>0</v>
      </c>
      <c r="CZ29" s="61">
        <f t="shared" si="23"/>
        <v>0</v>
      </c>
      <c r="DA29" s="61">
        <f t="shared" si="24"/>
        <v>0</v>
      </c>
      <c r="DB29" s="61">
        <f t="shared" si="25"/>
        <v>0</v>
      </c>
      <c r="DC29" s="61">
        <f t="shared" si="26"/>
        <v>0</v>
      </c>
      <c r="DD29" s="61">
        <f t="shared" si="27"/>
        <v>0</v>
      </c>
      <c r="DE29" s="61">
        <f t="shared" si="28"/>
        <v>0</v>
      </c>
      <c r="DF29" s="7"/>
    </row>
    <row r="30" spans="1:110" s="22" customFormat="1" x14ac:dyDescent="0.25">
      <c r="A30" s="248"/>
      <c r="B30" s="248"/>
      <c r="C30" s="251"/>
      <c r="D30" s="25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1">
        <f t="shared" si="30"/>
        <v>0</v>
      </c>
      <c r="AE30" s="53" t="str">
        <f t="shared" ca="1" si="29"/>
        <v/>
      </c>
      <c r="AF30" s="56">
        <f>IF($C30=Repart_lignes,0,
(SUMIF(Fonctionnement[Affectation matrice],$A30,Fonctionnement[TVA acquittée])+SUMIF(Invest[Affectation matrice],$A30,Invest[TVA acquittée]))*CF30)</f>
        <v>0</v>
      </c>
      <c r="AG30" s="56">
        <f>IF($C30=Repart_lignes,0,
(SUMIF(Fonctionnement[Affectation matrice],$A30,Fonctionnement[TVA acquittée])+SUMIF(Invest[Affectation matrice],$A30,Invest[TVA acquittée]))*CG30)</f>
        <v>0</v>
      </c>
      <c r="AH30" s="56">
        <f>IF($C30=Repart_lignes,0,
(SUMIF(Fonctionnement[Affectation matrice],$A30,Fonctionnement[TVA acquittée])+SUMIF(Invest[Affectation matrice],$A30,Invest[TVA acquittée]))*CH30)</f>
        <v>0</v>
      </c>
      <c r="AI30" s="56">
        <f>IF($C30=Repart_lignes,0,
(SUMIF(Fonctionnement[Affectation matrice],$A30,Fonctionnement[TVA acquittée])+SUMIF(Invest[Affectation matrice],$A30,Invest[TVA acquittée]))*CI30)</f>
        <v>0</v>
      </c>
      <c r="AJ30" s="56">
        <f>IF($C30=Repart_lignes,0,
(SUMIF(Fonctionnement[Affectation matrice],$A30,Fonctionnement[TVA acquittée])+SUMIF(Invest[Affectation matrice],$A30,Invest[TVA acquittée]))*CJ30)</f>
        <v>0</v>
      </c>
      <c r="AK30" s="56">
        <f>IF($C30=Repart_lignes,0,
(SUMIF(Fonctionnement[Affectation matrice],$A30,Fonctionnement[TVA acquittée])+SUMIF(Invest[Affectation matrice],$A30,Invest[TVA acquittée]))*CK30)</f>
        <v>0</v>
      </c>
      <c r="AL30" s="56">
        <f>IF($C30=Repart_lignes,0,
(SUMIF(Fonctionnement[Affectation matrice],$A30,Fonctionnement[TVA acquittée])+SUMIF(Invest[Affectation matrice],$A30,Invest[TVA acquittée]))*CL30)</f>
        <v>0</v>
      </c>
      <c r="AM30" s="56">
        <f>IF($C30=Repart_lignes,0,
(SUMIF(Fonctionnement[Affectation matrice],$A30,Fonctionnement[TVA acquittée])+SUMIF(Invest[Affectation matrice],$A30,Invest[TVA acquittée]))*CM30)</f>
        <v>0</v>
      </c>
      <c r="AN30" s="56">
        <f>IF($C30=Repart_lignes,0,
(SUMIF(Fonctionnement[Affectation matrice],$A30,Fonctionnement[TVA acquittée])+SUMIF(Invest[Affectation matrice],$A30,Invest[TVA acquittée]))*CN30)</f>
        <v>0</v>
      </c>
      <c r="AO30" s="56">
        <f>IF($C30=Repart_lignes,0,
(SUMIF(Fonctionnement[Affectation matrice],$A30,Fonctionnement[TVA acquittée])+SUMIF(Invest[Affectation matrice],$A30,Invest[TVA acquittée]))*CO30)</f>
        <v>0</v>
      </c>
      <c r="AP30" s="56">
        <f>IF($C30=Repart_lignes,0,
(SUMIF(Fonctionnement[Affectation matrice],$A30,Fonctionnement[TVA acquittée])+SUMIF(Invest[Affectation matrice],$A30,Invest[TVA acquittée]))*CP30)</f>
        <v>0</v>
      </c>
      <c r="AQ30" s="56">
        <f>IF($C30=Repart_lignes,0,
(SUMIF(Fonctionnement[Affectation matrice],$A30,Fonctionnement[TVA acquittée])+SUMIF(Invest[Affectation matrice],$A30,Invest[TVA acquittée]))*CQ30)</f>
        <v>0</v>
      </c>
      <c r="AR30" s="56">
        <f>IF($C30=Repart_lignes,0,
(SUMIF(Fonctionnement[Affectation matrice],$A30,Fonctionnement[TVA acquittée])+SUMIF(Invest[Affectation matrice],$A30,Invest[TVA acquittée]))*CR30)</f>
        <v>0</v>
      </c>
      <c r="AS30" s="56">
        <f>IF($C30=Repart_lignes,0,
(SUMIF(Fonctionnement[Affectation matrice],$A30,Fonctionnement[TVA acquittée])+SUMIF(Invest[Affectation matrice],$A30,Invest[TVA acquittée]))*CS30)</f>
        <v>0</v>
      </c>
      <c r="AT30" s="56">
        <f>IF($C30=Repart_lignes,0,
(SUMIF(Fonctionnement[Affectation matrice],$A30,Fonctionnement[TVA acquittée])+SUMIF(Invest[Affectation matrice],$A30,Invest[TVA acquittée]))*CT30)</f>
        <v>0</v>
      </c>
      <c r="AU30" s="56">
        <f>IF($C30=Repart_lignes,0,
(SUMIF(Fonctionnement[Affectation matrice],$A30,Fonctionnement[TVA acquittée])+SUMIF(Invest[Affectation matrice],$A30,Invest[TVA acquittée]))*CU30)</f>
        <v>0</v>
      </c>
      <c r="AV30" s="56">
        <f>IF($C30=Repart_lignes,0,
(SUMIF(Fonctionnement[Affectation matrice],$A30,Fonctionnement[TVA acquittée])+SUMIF(Invest[Affectation matrice],$A30,Invest[TVA acquittée]))*CV30)</f>
        <v>0</v>
      </c>
      <c r="AW30" s="56">
        <f>IF($C30=Repart_lignes,0,
(SUMIF(Fonctionnement[Affectation matrice],$A30,Fonctionnement[TVA acquittée])+SUMIF(Invest[Affectation matrice],$A30,Invest[TVA acquittée]))*CW30)</f>
        <v>0</v>
      </c>
      <c r="AX30" s="56">
        <f>IF($C30=Repart_lignes,0,
(SUMIF(Fonctionnement[Affectation matrice],$A30,Fonctionnement[TVA acquittée])+SUMIF(Invest[Affectation matrice],$A30,Invest[TVA acquittée]))*CX30)</f>
        <v>0</v>
      </c>
      <c r="AY30" s="56">
        <f>IF($C30=Repart_lignes,0,
(SUMIF(Fonctionnement[Affectation matrice],$A30,Fonctionnement[TVA acquittée])+SUMIF(Invest[Affectation matrice],$A30,Invest[TVA acquittée]))*CY30)</f>
        <v>0</v>
      </c>
      <c r="AZ30" s="56">
        <f>IF($C30=Repart_lignes,0,
(SUMIF(Fonctionnement[Affectation matrice],$A30,Fonctionnement[TVA acquittée])+SUMIF(Invest[Affectation matrice],$A30,Invest[TVA acquittée]))*CZ30)</f>
        <v>0</v>
      </c>
      <c r="BA30" s="56">
        <f>IF($C30=Repart_lignes,0,
(SUMIF(Fonctionnement[Affectation matrice],$A30,Fonctionnement[TVA acquittée])+SUMIF(Invest[Affectation matrice],$A30,Invest[TVA acquittée]))*DA30)</f>
        <v>0</v>
      </c>
      <c r="BB30" s="56">
        <f>IF($C30=Repart_lignes,0,
(SUMIF(Fonctionnement[Affectation matrice],$A30,Fonctionnement[TVA acquittée])+SUMIF(Invest[Affectation matrice],$A30,Invest[TVA acquittée]))*DB30)</f>
        <v>0</v>
      </c>
      <c r="BC30" s="56">
        <f>IF($C30=Repart_lignes,0,
(SUMIF(Fonctionnement[Affectation matrice],$A30,Fonctionnement[TVA acquittée])+SUMIF(Invest[Affectation matrice],$A30,Invest[TVA acquittée]))*DC30)</f>
        <v>0</v>
      </c>
      <c r="BD30" s="56">
        <f>IF($C30=Repart_lignes,0,
(SUMIF(Fonctionnement[Affectation matrice],$A30,Fonctionnement[TVA acquittée])+SUMIF(Invest[Affectation matrice],$A30,Invest[TVA acquittée]))*DD30)</f>
        <v>0</v>
      </c>
      <c r="BE30" s="58">
        <f t="shared" si="1"/>
        <v>0</v>
      </c>
      <c r="BF30" s="56">
        <f>IF($C30=Repart_lignes,0,
(SUMIF(Fonctionnement[Affectation matrice],$A30,Fonctionnement[Montant (€HT)])+SUMIF(Invest[Affectation matrice],$A30,Invest[Amortissement HT + intérêts]))*CF30)</f>
        <v>0</v>
      </c>
      <c r="BG30" s="56">
        <f>IF($C30=Repart_lignes,0,
(SUMIF(Fonctionnement[Affectation matrice],$A30,Fonctionnement[Montant (€HT)])+SUMIF(Invest[Affectation matrice],$A30,Invest[Amortissement HT + intérêts]))*CG30)</f>
        <v>0</v>
      </c>
      <c r="BH30" s="56">
        <f>IF($C30=Repart_lignes,0,
(SUMIF(Fonctionnement[Affectation matrice],$A30,Fonctionnement[Montant (€HT)])+SUMIF(Invest[Affectation matrice],$A30,Invest[Amortissement HT + intérêts]))*CH30)</f>
        <v>0</v>
      </c>
      <c r="BI30" s="56">
        <f>IF($C30=Repart_lignes,0,
(SUMIF(Fonctionnement[Affectation matrice],$A30,Fonctionnement[Montant (€HT)])+SUMIF(Invest[Affectation matrice],$A30,Invest[Amortissement HT + intérêts]))*CI30)</f>
        <v>0</v>
      </c>
      <c r="BJ30" s="56">
        <f>IF($C30=Repart_lignes,0,
(SUMIF(Fonctionnement[Affectation matrice],$A30,Fonctionnement[Montant (€HT)])+SUMIF(Invest[Affectation matrice],$A30,Invest[Amortissement HT + intérêts]))*CJ30)</f>
        <v>0</v>
      </c>
      <c r="BK30" s="56">
        <f>IF($C30=Repart_lignes,0,
(SUMIF(Fonctionnement[Affectation matrice],$A30,Fonctionnement[Montant (€HT)])+SUMIF(Invest[Affectation matrice],$A30,Invest[Amortissement HT + intérêts]))*CK30)</f>
        <v>0</v>
      </c>
      <c r="BL30" s="56">
        <f>IF($C30=Repart_lignes,0,
(SUMIF(Fonctionnement[Affectation matrice],$A30,Fonctionnement[Montant (€HT)])+SUMIF(Invest[Affectation matrice],$A30,Invest[Amortissement HT + intérêts]))*CL30)</f>
        <v>0</v>
      </c>
      <c r="BM30" s="56">
        <f>IF($C30=Repart_lignes,0,
(SUMIF(Fonctionnement[Affectation matrice],$A30,Fonctionnement[Montant (€HT)])+SUMIF(Invest[Affectation matrice],$A30,Invest[Amortissement HT + intérêts]))*CM30)</f>
        <v>0</v>
      </c>
      <c r="BN30" s="56">
        <f>IF($C30=Repart_lignes,0,
(SUMIF(Fonctionnement[Affectation matrice],$A30,Fonctionnement[Montant (€HT)])+SUMIF(Invest[Affectation matrice],$A30,Invest[Amortissement HT + intérêts]))*CN30)</f>
        <v>0</v>
      </c>
      <c r="BO30" s="56">
        <f>IF($C30=Repart_lignes,0,
(SUMIF(Fonctionnement[Affectation matrice],$A30,Fonctionnement[Montant (€HT)])+SUMIF(Invest[Affectation matrice],$A30,Invest[Amortissement HT + intérêts]))*CO30)</f>
        <v>0</v>
      </c>
      <c r="BP30" s="56">
        <f>IF($C30=Repart_lignes,0,
(SUMIF(Fonctionnement[Affectation matrice],$A30,Fonctionnement[Montant (€HT)])+SUMIF(Invest[Affectation matrice],$A30,Invest[Amortissement HT + intérêts]))*CP30)</f>
        <v>0</v>
      </c>
      <c r="BQ30" s="56">
        <f>IF($C30=Repart_lignes,0,
(SUMIF(Fonctionnement[Affectation matrice],$A30,Fonctionnement[Montant (€HT)])+SUMIF(Invest[Affectation matrice],$A30,Invest[Amortissement HT + intérêts]))*CQ30)</f>
        <v>0</v>
      </c>
      <c r="BR30" s="56">
        <f>IF($C30=Repart_lignes,0,
(SUMIF(Fonctionnement[Affectation matrice],$A30,Fonctionnement[Montant (€HT)])+SUMIF(Invest[Affectation matrice],$A30,Invest[Amortissement HT + intérêts]))*CR30)</f>
        <v>0</v>
      </c>
      <c r="BS30" s="56">
        <f>IF($C30=Repart_lignes,0,
(SUMIF(Fonctionnement[Affectation matrice],$A30,Fonctionnement[Montant (€HT)])+SUMIF(Invest[Affectation matrice],$A30,Invest[Amortissement HT + intérêts]))*CS30)</f>
        <v>0</v>
      </c>
      <c r="BT30" s="56">
        <f>IF($C30=Repart_lignes,0,
(SUMIF(Fonctionnement[Affectation matrice],$A30,Fonctionnement[Montant (€HT)])+SUMIF(Invest[Affectation matrice],$A30,Invest[Amortissement HT + intérêts]))*CT30)</f>
        <v>0</v>
      </c>
      <c r="BU30" s="56">
        <f>IF($C30=Repart_lignes,0,
(SUMIF(Fonctionnement[Affectation matrice],$A30,Fonctionnement[Montant (€HT)])+SUMIF(Invest[Affectation matrice],$A30,Invest[Amortissement HT + intérêts]))*CU30)</f>
        <v>0</v>
      </c>
      <c r="BV30" s="56">
        <f>IF($C30=Repart_lignes,0,
(SUMIF(Fonctionnement[Affectation matrice],$A30,Fonctionnement[Montant (€HT)])+SUMIF(Invest[Affectation matrice],$A30,Invest[Amortissement HT + intérêts]))*CV30)</f>
        <v>0</v>
      </c>
      <c r="BW30" s="56">
        <f>IF($C30=Repart_lignes,0,
(SUMIF(Fonctionnement[Affectation matrice],$A30,Fonctionnement[Montant (€HT)])+SUMIF(Invest[Affectation matrice],$A30,Invest[Amortissement HT + intérêts]))*CW30)</f>
        <v>0</v>
      </c>
      <c r="BX30" s="56">
        <f>IF($C30=Repart_lignes,0,
(SUMIF(Fonctionnement[Affectation matrice],$A30,Fonctionnement[Montant (€HT)])+SUMIF(Invest[Affectation matrice],$A30,Invest[Amortissement HT + intérêts]))*CX30)</f>
        <v>0</v>
      </c>
      <c r="BY30" s="56">
        <f>IF($C30=Repart_lignes,0,
(SUMIF(Fonctionnement[Affectation matrice],$A30,Fonctionnement[Montant (€HT)])+SUMIF(Invest[Affectation matrice],$A30,Invest[Amortissement HT + intérêts]))*CY30)</f>
        <v>0</v>
      </c>
      <c r="BZ30" s="56">
        <f>IF($C30=Repart_lignes,0,
(SUMIF(Fonctionnement[Affectation matrice],$A30,Fonctionnement[Montant (€HT)])+SUMIF(Invest[Affectation matrice],$A30,Invest[Amortissement HT + intérêts]))*CZ30)</f>
        <v>0</v>
      </c>
      <c r="CA30" s="56">
        <f>IF($C30=Repart_lignes,0,
(SUMIF(Fonctionnement[Affectation matrice],$A30,Fonctionnement[Montant (€HT)])+SUMIF(Invest[Affectation matrice],$A30,Invest[Amortissement HT + intérêts]))*DA30)</f>
        <v>0</v>
      </c>
      <c r="CB30" s="56">
        <f>IF($C30=Repart_lignes,0,
(SUMIF(Fonctionnement[Affectation matrice],$A30,Fonctionnement[Montant (€HT)])+SUMIF(Invest[Affectation matrice],$A30,Invest[Amortissement HT + intérêts]))*DB30)</f>
        <v>0</v>
      </c>
      <c r="CC30" s="56">
        <f>IF($C30=Repart_lignes,0,
(SUMIF(Fonctionnement[Affectation matrice],$A30,Fonctionnement[Montant (€HT)])+SUMIF(Invest[Affectation matrice],$A30,Invest[Amortissement HT + intérêts]))*DC30)</f>
        <v>0</v>
      </c>
      <c r="CD30" s="56">
        <f>IF($C30=Repart_lignes,0,
(SUMIF(Fonctionnement[Affectation matrice],$A30,Fonctionnement[Montant (€HT)])+SUMIF(Invest[Affectation matrice],$A30,Invest[Amortissement HT + intérêts]))*DD30)</f>
        <v>0</v>
      </c>
      <c r="CE30" s="59">
        <f t="shared" si="2"/>
        <v>0</v>
      </c>
      <c r="CF30" s="61">
        <f t="shared" si="3"/>
        <v>0</v>
      </c>
      <c r="CG30" s="61">
        <f t="shared" si="4"/>
        <v>0</v>
      </c>
      <c r="CH30" s="61">
        <f t="shared" si="5"/>
        <v>0</v>
      </c>
      <c r="CI30" s="61">
        <f t="shared" si="6"/>
        <v>0</v>
      </c>
      <c r="CJ30" s="61">
        <f t="shared" si="7"/>
        <v>0</v>
      </c>
      <c r="CK30" s="61">
        <f t="shared" si="8"/>
        <v>0</v>
      </c>
      <c r="CL30" s="61">
        <f t="shared" si="9"/>
        <v>0</v>
      </c>
      <c r="CM30" s="61">
        <f t="shared" si="10"/>
        <v>0</v>
      </c>
      <c r="CN30" s="61">
        <f t="shared" si="11"/>
        <v>0</v>
      </c>
      <c r="CO30" s="61">
        <f t="shared" si="12"/>
        <v>0</v>
      </c>
      <c r="CP30" s="61">
        <f t="shared" si="13"/>
        <v>0</v>
      </c>
      <c r="CQ30" s="61">
        <f t="shared" si="14"/>
        <v>0</v>
      </c>
      <c r="CR30" s="61">
        <f t="shared" si="15"/>
        <v>0</v>
      </c>
      <c r="CS30" s="61">
        <f t="shared" si="16"/>
        <v>0</v>
      </c>
      <c r="CT30" s="61">
        <f t="shared" si="17"/>
        <v>0</v>
      </c>
      <c r="CU30" s="61">
        <f t="shared" si="18"/>
        <v>0</v>
      </c>
      <c r="CV30" s="61">
        <f t="shared" si="19"/>
        <v>0</v>
      </c>
      <c r="CW30" s="61">
        <f t="shared" si="20"/>
        <v>0</v>
      </c>
      <c r="CX30" s="61">
        <f t="shared" si="21"/>
        <v>0</v>
      </c>
      <c r="CY30" s="61">
        <f t="shared" si="22"/>
        <v>0</v>
      </c>
      <c r="CZ30" s="61">
        <f t="shared" si="23"/>
        <v>0</v>
      </c>
      <c r="DA30" s="61">
        <f t="shared" si="24"/>
        <v>0</v>
      </c>
      <c r="DB30" s="61">
        <f t="shared" si="25"/>
        <v>0</v>
      </c>
      <c r="DC30" s="61">
        <f t="shared" si="26"/>
        <v>0</v>
      </c>
      <c r="DD30" s="61">
        <f t="shared" si="27"/>
        <v>0</v>
      </c>
      <c r="DE30" s="61">
        <f t="shared" si="28"/>
        <v>0</v>
      </c>
      <c r="DF30" s="7"/>
    </row>
    <row r="31" spans="1:110" s="22" customFormat="1" x14ac:dyDescent="0.25">
      <c r="A31" s="248"/>
      <c r="B31" s="248"/>
      <c r="C31" s="251"/>
      <c r="D31" s="25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1">
        <f t="shared" si="30"/>
        <v>0</v>
      </c>
      <c r="AE31" s="53" t="str">
        <f t="shared" ca="1" si="29"/>
        <v/>
      </c>
      <c r="AF31" s="56">
        <f>IF($C31=Repart_lignes,0,
(SUMIF(Fonctionnement[Affectation matrice],$A31,Fonctionnement[TVA acquittée])+SUMIF(Invest[Affectation matrice],$A31,Invest[TVA acquittée]))*CF31)</f>
        <v>0</v>
      </c>
      <c r="AG31" s="56">
        <f>IF($C31=Repart_lignes,0,
(SUMIF(Fonctionnement[Affectation matrice],$A31,Fonctionnement[TVA acquittée])+SUMIF(Invest[Affectation matrice],$A31,Invest[TVA acquittée]))*CG31)</f>
        <v>0</v>
      </c>
      <c r="AH31" s="56">
        <f>IF($C31=Repart_lignes,0,
(SUMIF(Fonctionnement[Affectation matrice],$A31,Fonctionnement[TVA acquittée])+SUMIF(Invest[Affectation matrice],$A31,Invest[TVA acquittée]))*CH31)</f>
        <v>0</v>
      </c>
      <c r="AI31" s="56">
        <f>IF($C31=Repart_lignes,0,
(SUMIF(Fonctionnement[Affectation matrice],$A31,Fonctionnement[TVA acquittée])+SUMIF(Invest[Affectation matrice],$A31,Invest[TVA acquittée]))*CI31)</f>
        <v>0</v>
      </c>
      <c r="AJ31" s="56">
        <f>IF($C31=Repart_lignes,0,
(SUMIF(Fonctionnement[Affectation matrice],$A31,Fonctionnement[TVA acquittée])+SUMIF(Invest[Affectation matrice],$A31,Invest[TVA acquittée]))*CJ31)</f>
        <v>0</v>
      </c>
      <c r="AK31" s="56">
        <f>IF($C31=Repart_lignes,0,
(SUMIF(Fonctionnement[Affectation matrice],$A31,Fonctionnement[TVA acquittée])+SUMIF(Invest[Affectation matrice],$A31,Invest[TVA acquittée]))*CK31)</f>
        <v>0</v>
      </c>
      <c r="AL31" s="56">
        <f>IF($C31=Repart_lignes,0,
(SUMIF(Fonctionnement[Affectation matrice],$A31,Fonctionnement[TVA acquittée])+SUMIF(Invest[Affectation matrice],$A31,Invest[TVA acquittée]))*CL31)</f>
        <v>0</v>
      </c>
      <c r="AM31" s="56">
        <f>IF($C31=Repart_lignes,0,
(SUMIF(Fonctionnement[Affectation matrice],$A31,Fonctionnement[TVA acquittée])+SUMIF(Invest[Affectation matrice],$A31,Invest[TVA acquittée]))*CM31)</f>
        <v>0</v>
      </c>
      <c r="AN31" s="56">
        <f>IF($C31=Repart_lignes,0,
(SUMIF(Fonctionnement[Affectation matrice],$A31,Fonctionnement[TVA acquittée])+SUMIF(Invest[Affectation matrice],$A31,Invest[TVA acquittée]))*CN31)</f>
        <v>0</v>
      </c>
      <c r="AO31" s="56">
        <f>IF($C31=Repart_lignes,0,
(SUMIF(Fonctionnement[Affectation matrice],$A31,Fonctionnement[TVA acquittée])+SUMIF(Invest[Affectation matrice],$A31,Invest[TVA acquittée]))*CO31)</f>
        <v>0</v>
      </c>
      <c r="AP31" s="56">
        <f>IF($C31=Repart_lignes,0,
(SUMIF(Fonctionnement[Affectation matrice],$A31,Fonctionnement[TVA acquittée])+SUMIF(Invest[Affectation matrice],$A31,Invest[TVA acquittée]))*CP31)</f>
        <v>0</v>
      </c>
      <c r="AQ31" s="56">
        <f>IF($C31=Repart_lignes,0,
(SUMIF(Fonctionnement[Affectation matrice],$A31,Fonctionnement[TVA acquittée])+SUMIF(Invest[Affectation matrice],$A31,Invest[TVA acquittée]))*CQ31)</f>
        <v>0</v>
      </c>
      <c r="AR31" s="56">
        <f>IF($C31=Repart_lignes,0,
(SUMIF(Fonctionnement[Affectation matrice],$A31,Fonctionnement[TVA acquittée])+SUMIF(Invest[Affectation matrice],$A31,Invest[TVA acquittée]))*CR31)</f>
        <v>0</v>
      </c>
      <c r="AS31" s="56">
        <f>IF($C31=Repart_lignes,0,
(SUMIF(Fonctionnement[Affectation matrice],$A31,Fonctionnement[TVA acquittée])+SUMIF(Invest[Affectation matrice],$A31,Invest[TVA acquittée]))*CS31)</f>
        <v>0</v>
      </c>
      <c r="AT31" s="56">
        <f>IF($C31=Repart_lignes,0,
(SUMIF(Fonctionnement[Affectation matrice],$A31,Fonctionnement[TVA acquittée])+SUMIF(Invest[Affectation matrice],$A31,Invest[TVA acquittée]))*CT31)</f>
        <v>0</v>
      </c>
      <c r="AU31" s="56">
        <f>IF($C31=Repart_lignes,0,
(SUMIF(Fonctionnement[Affectation matrice],$A31,Fonctionnement[TVA acquittée])+SUMIF(Invest[Affectation matrice],$A31,Invest[TVA acquittée]))*CU31)</f>
        <v>0</v>
      </c>
      <c r="AV31" s="56">
        <f>IF($C31=Repart_lignes,0,
(SUMIF(Fonctionnement[Affectation matrice],$A31,Fonctionnement[TVA acquittée])+SUMIF(Invest[Affectation matrice],$A31,Invest[TVA acquittée]))*CV31)</f>
        <v>0</v>
      </c>
      <c r="AW31" s="56">
        <f>IF($C31=Repart_lignes,0,
(SUMIF(Fonctionnement[Affectation matrice],$A31,Fonctionnement[TVA acquittée])+SUMIF(Invest[Affectation matrice],$A31,Invest[TVA acquittée]))*CW31)</f>
        <v>0</v>
      </c>
      <c r="AX31" s="56">
        <f>IF($C31=Repart_lignes,0,
(SUMIF(Fonctionnement[Affectation matrice],$A31,Fonctionnement[TVA acquittée])+SUMIF(Invest[Affectation matrice],$A31,Invest[TVA acquittée]))*CX31)</f>
        <v>0</v>
      </c>
      <c r="AY31" s="56">
        <f>IF($C31=Repart_lignes,0,
(SUMIF(Fonctionnement[Affectation matrice],$A31,Fonctionnement[TVA acquittée])+SUMIF(Invest[Affectation matrice],$A31,Invest[TVA acquittée]))*CY31)</f>
        <v>0</v>
      </c>
      <c r="AZ31" s="56">
        <f>IF($C31=Repart_lignes,0,
(SUMIF(Fonctionnement[Affectation matrice],$A31,Fonctionnement[TVA acquittée])+SUMIF(Invest[Affectation matrice],$A31,Invest[TVA acquittée]))*CZ31)</f>
        <v>0</v>
      </c>
      <c r="BA31" s="56">
        <f>IF($C31=Repart_lignes,0,
(SUMIF(Fonctionnement[Affectation matrice],$A31,Fonctionnement[TVA acquittée])+SUMIF(Invest[Affectation matrice],$A31,Invest[TVA acquittée]))*DA31)</f>
        <v>0</v>
      </c>
      <c r="BB31" s="56">
        <f>IF($C31=Repart_lignes,0,
(SUMIF(Fonctionnement[Affectation matrice],$A31,Fonctionnement[TVA acquittée])+SUMIF(Invest[Affectation matrice],$A31,Invest[TVA acquittée]))*DB31)</f>
        <v>0</v>
      </c>
      <c r="BC31" s="56">
        <f>IF($C31=Repart_lignes,0,
(SUMIF(Fonctionnement[Affectation matrice],$A31,Fonctionnement[TVA acquittée])+SUMIF(Invest[Affectation matrice],$A31,Invest[TVA acquittée]))*DC31)</f>
        <v>0</v>
      </c>
      <c r="BD31" s="56">
        <f>IF($C31=Repart_lignes,0,
(SUMIF(Fonctionnement[Affectation matrice],$A31,Fonctionnement[TVA acquittée])+SUMIF(Invest[Affectation matrice],$A31,Invest[TVA acquittée]))*DD31)</f>
        <v>0</v>
      </c>
      <c r="BE31" s="58">
        <f t="shared" si="1"/>
        <v>0</v>
      </c>
      <c r="BF31" s="56">
        <f>IF($C31=Repart_lignes,0,
(SUMIF(Fonctionnement[Affectation matrice],$A31,Fonctionnement[Montant (€HT)])+SUMIF(Invest[Affectation matrice],$A31,Invest[Amortissement HT + intérêts]))*CF31)</f>
        <v>0</v>
      </c>
      <c r="BG31" s="56">
        <f>IF($C31=Repart_lignes,0,
(SUMIF(Fonctionnement[Affectation matrice],$A31,Fonctionnement[Montant (€HT)])+SUMIF(Invest[Affectation matrice],$A31,Invest[Amortissement HT + intérêts]))*CG31)</f>
        <v>0</v>
      </c>
      <c r="BH31" s="56">
        <f>IF($C31=Repart_lignes,0,
(SUMIF(Fonctionnement[Affectation matrice],$A31,Fonctionnement[Montant (€HT)])+SUMIF(Invest[Affectation matrice],$A31,Invest[Amortissement HT + intérêts]))*CH31)</f>
        <v>0</v>
      </c>
      <c r="BI31" s="56">
        <f>IF($C31=Repart_lignes,0,
(SUMIF(Fonctionnement[Affectation matrice],$A31,Fonctionnement[Montant (€HT)])+SUMIF(Invest[Affectation matrice],$A31,Invest[Amortissement HT + intérêts]))*CI31)</f>
        <v>0</v>
      </c>
      <c r="BJ31" s="56">
        <f>IF($C31=Repart_lignes,0,
(SUMIF(Fonctionnement[Affectation matrice],$A31,Fonctionnement[Montant (€HT)])+SUMIF(Invest[Affectation matrice],$A31,Invest[Amortissement HT + intérêts]))*CJ31)</f>
        <v>0</v>
      </c>
      <c r="BK31" s="56">
        <f>IF($C31=Repart_lignes,0,
(SUMIF(Fonctionnement[Affectation matrice],$A31,Fonctionnement[Montant (€HT)])+SUMIF(Invest[Affectation matrice],$A31,Invest[Amortissement HT + intérêts]))*CK31)</f>
        <v>0</v>
      </c>
      <c r="BL31" s="56">
        <f>IF($C31=Repart_lignes,0,
(SUMIF(Fonctionnement[Affectation matrice],$A31,Fonctionnement[Montant (€HT)])+SUMIF(Invest[Affectation matrice],$A31,Invest[Amortissement HT + intérêts]))*CL31)</f>
        <v>0</v>
      </c>
      <c r="BM31" s="56">
        <f>IF($C31=Repart_lignes,0,
(SUMIF(Fonctionnement[Affectation matrice],$A31,Fonctionnement[Montant (€HT)])+SUMIF(Invest[Affectation matrice],$A31,Invest[Amortissement HT + intérêts]))*CM31)</f>
        <v>0</v>
      </c>
      <c r="BN31" s="56">
        <f>IF($C31=Repart_lignes,0,
(SUMIF(Fonctionnement[Affectation matrice],$A31,Fonctionnement[Montant (€HT)])+SUMIF(Invest[Affectation matrice],$A31,Invest[Amortissement HT + intérêts]))*CN31)</f>
        <v>0</v>
      </c>
      <c r="BO31" s="56">
        <f>IF($C31=Repart_lignes,0,
(SUMIF(Fonctionnement[Affectation matrice],$A31,Fonctionnement[Montant (€HT)])+SUMIF(Invest[Affectation matrice],$A31,Invest[Amortissement HT + intérêts]))*CO31)</f>
        <v>0</v>
      </c>
      <c r="BP31" s="56">
        <f>IF($C31=Repart_lignes,0,
(SUMIF(Fonctionnement[Affectation matrice],$A31,Fonctionnement[Montant (€HT)])+SUMIF(Invest[Affectation matrice],$A31,Invest[Amortissement HT + intérêts]))*CP31)</f>
        <v>0</v>
      </c>
      <c r="BQ31" s="56">
        <f>IF($C31=Repart_lignes,0,
(SUMIF(Fonctionnement[Affectation matrice],$A31,Fonctionnement[Montant (€HT)])+SUMIF(Invest[Affectation matrice],$A31,Invest[Amortissement HT + intérêts]))*CQ31)</f>
        <v>0</v>
      </c>
      <c r="BR31" s="56">
        <f>IF($C31=Repart_lignes,0,
(SUMIF(Fonctionnement[Affectation matrice],$A31,Fonctionnement[Montant (€HT)])+SUMIF(Invest[Affectation matrice],$A31,Invest[Amortissement HT + intérêts]))*CR31)</f>
        <v>0</v>
      </c>
      <c r="BS31" s="56">
        <f>IF($C31=Repart_lignes,0,
(SUMIF(Fonctionnement[Affectation matrice],$A31,Fonctionnement[Montant (€HT)])+SUMIF(Invest[Affectation matrice],$A31,Invest[Amortissement HT + intérêts]))*CS31)</f>
        <v>0</v>
      </c>
      <c r="BT31" s="56">
        <f>IF($C31=Repart_lignes,0,
(SUMIF(Fonctionnement[Affectation matrice],$A31,Fonctionnement[Montant (€HT)])+SUMIF(Invest[Affectation matrice],$A31,Invest[Amortissement HT + intérêts]))*CT31)</f>
        <v>0</v>
      </c>
      <c r="BU31" s="56">
        <f>IF($C31=Repart_lignes,0,
(SUMIF(Fonctionnement[Affectation matrice],$A31,Fonctionnement[Montant (€HT)])+SUMIF(Invest[Affectation matrice],$A31,Invest[Amortissement HT + intérêts]))*CU31)</f>
        <v>0</v>
      </c>
      <c r="BV31" s="56">
        <f>IF($C31=Repart_lignes,0,
(SUMIF(Fonctionnement[Affectation matrice],$A31,Fonctionnement[Montant (€HT)])+SUMIF(Invest[Affectation matrice],$A31,Invest[Amortissement HT + intérêts]))*CV31)</f>
        <v>0</v>
      </c>
      <c r="BW31" s="56">
        <f>IF($C31=Repart_lignes,0,
(SUMIF(Fonctionnement[Affectation matrice],$A31,Fonctionnement[Montant (€HT)])+SUMIF(Invest[Affectation matrice],$A31,Invest[Amortissement HT + intérêts]))*CW31)</f>
        <v>0</v>
      </c>
      <c r="BX31" s="56">
        <f>IF($C31=Repart_lignes,0,
(SUMIF(Fonctionnement[Affectation matrice],$A31,Fonctionnement[Montant (€HT)])+SUMIF(Invest[Affectation matrice],$A31,Invest[Amortissement HT + intérêts]))*CX31)</f>
        <v>0</v>
      </c>
      <c r="BY31" s="56">
        <f>IF($C31=Repart_lignes,0,
(SUMIF(Fonctionnement[Affectation matrice],$A31,Fonctionnement[Montant (€HT)])+SUMIF(Invest[Affectation matrice],$A31,Invest[Amortissement HT + intérêts]))*CY31)</f>
        <v>0</v>
      </c>
      <c r="BZ31" s="56">
        <f>IF($C31=Repart_lignes,0,
(SUMIF(Fonctionnement[Affectation matrice],$A31,Fonctionnement[Montant (€HT)])+SUMIF(Invest[Affectation matrice],$A31,Invest[Amortissement HT + intérêts]))*CZ31)</f>
        <v>0</v>
      </c>
      <c r="CA31" s="56">
        <f>IF($C31=Repart_lignes,0,
(SUMIF(Fonctionnement[Affectation matrice],$A31,Fonctionnement[Montant (€HT)])+SUMIF(Invest[Affectation matrice],$A31,Invest[Amortissement HT + intérêts]))*DA31)</f>
        <v>0</v>
      </c>
      <c r="CB31" s="56">
        <f>IF($C31=Repart_lignes,0,
(SUMIF(Fonctionnement[Affectation matrice],$A31,Fonctionnement[Montant (€HT)])+SUMIF(Invest[Affectation matrice],$A31,Invest[Amortissement HT + intérêts]))*DB31)</f>
        <v>0</v>
      </c>
      <c r="CC31" s="56">
        <f>IF($C31=Repart_lignes,0,
(SUMIF(Fonctionnement[Affectation matrice],$A31,Fonctionnement[Montant (€HT)])+SUMIF(Invest[Affectation matrice],$A31,Invest[Amortissement HT + intérêts]))*DC31)</f>
        <v>0</v>
      </c>
      <c r="CD31" s="56">
        <f>IF($C31=Repart_lignes,0,
(SUMIF(Fonctionnement[Affectation matrice],$A31,Fonctionnement[Montant (€HT)])+SUMIF(Invest[Affectation matrice],$A31,Invest[Amortissement HT + intérêts]))*DD31)</f>
        <v>0</v>
      </c>
      <c r="CE31" s="59">
        <f t="shared" si="2"/>
        <v>0</v>
      </c>
      <c r="CF31" s="61">
        <f t="shared" si="3"/>
        <v>0</v>
      </c>
      <c r="CG31" s="61">
        <f t="shared" si="4"/>
        <v>0</v>
      </c>
      <c r="CH31" s="61">
        <f t="shared" si="5"/>
        <v>0</v>
      </c>
      <c r="CI31" s="61">
        <f t="shared" si="6"/>
        <v>0</v>
      </c>
      <c r="CJ31" s="61">
        <f t="shared" si="7"/>
        <v>0</v>
      </c>
      <c r="CK31" s="61">
        <f t="shared" si="8"/>
        <v>0</v>
      </c>
      <c r="CL31" s="61">
        <f t="shared" si="9"/>
        <v>0</v>
      </c>
      <c r="CM31" s="61">
        <f t="shared" si="10"/>
        <v>0</v>
      </c>
      <c r="CN31" s="61">
        <f t="shared" si="11"/>
        <v>0</v>
      </c>
      <c r="CO31" s="61">
        <f t="shared" si="12"/>
        <v>0</v>
      </c>
      <c r="CP31" s="61">
        <f t="shared" si="13"/>
        <v>0</v>
      </c>
      <c r="CQ31" s="61">
        <f t="shared" si="14"/>
        <v>0</v>
      </c>
      <c r="CR31" s="61">
        <f t="shared" si="15"/>
        <v>0</v>
      </c>
      <c r="CS31" s="61">
        <f t="shared" si="16"/>
        <v>0</v>
      </c>
      <c r="CT31" s="61">
        <f t="shared" si="17"/>
        <v>0</v>
      </c>
      <c r="CU31" s="61">
        <f t="shared" si="18"/>
        <v>0</v>
      </c>
      <c r="CV31" s="61">
        <f t="shared" si="19"/>
        <v>0</v>
      </c>
      <c r="CW31" s="61">
        <f t="shared" si="20"/>
        <v>0</v>
      </c>
      <c r="CX31" s="61">
        <f t="shared" si="21"/>
        <v>0</v>
      </c>
      <c r="CY31" s="61">
        <f t="shared" si="22"/>
        <v>0</v>
      </c>
      <c r="CZ31" s="61">
        <f t="shared" si="23"/>
        <v>0</v>
      </c>
      <c r="DA31" s="61">
        <f t="shared" si="24"/>
        <v>0</v>
      </c>
      <c r="DB31" s="61">
        <f t="shared" si="25"/>
        <v>0</v>
      </c>
      <c r="DC31" s="61">
        <f t="shared" si="26"/>
        <v>0</v>
      </c>
      <c r="DD31" s="61">
        <f t="shared" si="27"/>
        <v>0</v>
      </c>
      <c r="DE31" s="61">
        <f t="shared" si="28"/>
        <v>0</v>
      </c>
      <c r="DF31" s="7"/>
    </row>
    <row r="32" spans="1:110" s="22" customFormat="1" x14ac:dyDescent="0.25">
      <c r="A32" s="248"/>
      <c r="B32" s="248"/>
      <c r="C32" s="251"/>
      <c r="D32" s="25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1">
        <f t="shared" si="30"/>
        <v>0</v>
      </c>
      <c r="AE32" s="53" t="str">
        <f t="shared" ca="1" si="29"/>
        <v/>
      </c>
      <c r="AF32" s="56">
        <f>IF($C32=Repart_lignes,0,
(SUMIF(Fonctionnement[Affectation matrice],$A32,Fonctionnement[TVA acquittée])+SUMIF(Invest[Affectation matrice],$A32,Invest[TVA acquittée]))*CF32)</f>
        <v>0</v>
      </c>
      <c r="AG32" s="56">
        <f>IF($C32=Repart_lignes,0,
(SUMIF(Fonctionnement[Affectation matrice],$A32,Fonctionnement[TVA acquittée])+SUMIF(Invest[Affectation matrice],$A32,Invest[TVA acquittée]))*CG32)</f>
        <v>0</v>
      </c>
      <c r="AH32" s="56">
        <f>IF($C32=Repart_lignes,0,
(SUMIF(Fonctionnement[Affectation matrice],$A32,Fonctionnement[TVA acquittée])+SUMIF(Invest[Affectation matrice],$A32,Invest[TVA acquittée]))*CH32)</f>
        <v>0</v>
      </c>
      <c r="AI32" s="56">
        <f>IF($C32=Repart_lignes,0,
(SUMIF(Fonctionnement[Affectation matrice],$A32,Fonctionnement[TVA acquittée])+SUMIF(Invest[Affectation matrice],$A32,Invest[TVA acquittée]))*CI32)</f>
        <v>0</v>
      </c>
      <c r="AJ32" s="56">
        <f>IF($C32=Repart_lignes,0,
(SUMIF(Fonctionnement[Affectation matrice],$A32,Fonctionnement[TVA acquittée])+SUMIF(Invest[Affectation matrice],$A32,Invest[TVA acquittée]))*CJ32)</f>
        <v>0</v>
      </c>
      <c r="AK32" s="56">
        <f>IF($C32=Repart_lignes,0,
(SUMIF(Fonctionnement[Affectation matrice],$A32,Fonctionnement[TVA acquittée])+SUMIF(Invest[Affectation matrice],$A32,Invest[TVA acquittée]))*CK32)</f>
        <v>0</v>
      </c>
      <c r="AL32" s="56">
        <f>IF($C32=Repart_lignes,0,
(SUMIF(Fonctionnement[Affectation matrice],$A32,Fonctionnement[TVA acquittée])+SUMIF(Invest[Affectation matrice],$A32,Invest[TVA acquittée]))*CL32)</f>
        <v>0</v>
      </c>
      <c r="AM32" s="56">
        <f>IF($C32=Repart_lignes,0,
(SUMIF(Fonctionnement[Affectation matrice],$A32,Fonctionnement[TVA acquittée])+SUMIF(Invest[Affectation matrice],$A32,Invest[TVA acquittée]))*CM32)</f>
        <v>0</v>
      </c>
      <c r="AN32" s="56">
        <f>IF($C32=Repart_lignes,0,
(SUMIF(Fonctionnement[Affectation matrice],$A32,Fonctionnement[TVA acquittée])+SUMIF(Invest[Affectation matrice],$A32,Invest[TVA acquittée]))*CN32)</f>
        <v>0</v>
      </c>
      <c r="AO32" s="56">
        <f>IF($C32=Repart_lignes,0,
(SUMIF(Fonctionnement[Affectation matrice],$A32,Fonctionnement[TVA acquittée])+SUMIF(Invest[Affectation matrice],$A32,Invest[TVA acquittée]))*CO32)</f>
        <v>0</v>
      </c>
      <c r="AP32" s="56">
        <f>IF($C32=Repart_lignes,0,
(SUMIF(Fonctionnement[Affectation matrice],$A32,Fonctionnement[TVA acquittée])+SUMIF(Invest[Affectation matrice],$A32,Invest[TVA acquittée]))*CP32)</f>
        <v>0</v>
      </c>
      <c r="AQ32" s="56">
        <f>IF($C32=Repart_lignes,0,
(SUMIF(Fonctionnement[Affectation matrice],$A32,Fonctionnement[TVA acquittée])+SUMIF(Invest[Affectation matrice],$A32,Invest[TVA acquittée]))*CQ32)</f>
        <v>0</v>
      </c>
      <c r="AR32" s="56">
        <f>IF($C32=Repart_lignes,0,
(SUMIF(Fonctionnement[Affectation matrice],$A32,Fonctionnement[TVA acquittée])+SUMIF(Invest[Affectation matrice],$A32,Invest[TVA acquittée]))*CR32)</f>
        <v>0</v>
      </c>
      <c r="AS32" s="56">
        <f>IF($C32=Repart_lignes,0,
(SUMIF(Fonctionnement[Affectation matrice],$A32,Fonctionnement[TVA acquittée])+SUMIF(Invest[Affectation matrice],$A32,Invest[TVA acquittée]))*CS32)</f>
        <v>0</v>
      </c>
      <c r="AT32" s="56">
        <f>IF($C32=Repart_lignes,0,
(SUMIF(Fonctionnement[Affectation matrice],$A32,Fonctionnement[TVA acquittée])+SUMIF(Invest[Affectation matrice],$A32,Invest[TVA acquittée]))*CT32)</f>
        <v>0</v>
      </c>
      <c r="AU32" s="56">
        <f>IF($C32=Repart_lignes,0,
(SUMIF(Fonctionnement[Affectation matrice],$A32,Fonctionnement[TVA acquittée])+SUMIF(Invest[Affectation matrice],$A32,Invest[TVA acquittée]))*CU32)</f>
        <v>0</v>
      </c>
      <c r="AV32" s="56">
        <f>IF($C32=Repart_lignes,0,
(SUMIF(Fonctionnement[Affectation matrice],$A32,Fonctionnement[TVA acquittée])+SUMIF(Invest[Affectation matrice],$A32,Invest[TVA acquittée]))*CV32)</f>
        <v>0</v>
      </c>
      <c r="AW32" s="56">
        <f>IF($C32=Repart_lignes,0,
(SUMIF(Fonctionnement[Affectation matrice],$A32,Fonctionnement[TVA acquittée])+SUMIF(Invest[Affectation matrice],$A32,Invest[TVA acquittée]))*CW32)</f>
        <v>0</v>
      </c>
      <c r="AX32" s="56">
        <f>IF($C32=Repart_lignes,0,
(SUMIF(Fonctionnement[Affectation matrice],$A32,Fonctionnement[TVA acquittée])+SUMIF(Invest[Affectation matrice],$A32,Invest[TVA acquittée]))*CX32)</f>
        <v>0</v>
      </c>
      <c r="AY32" s="56">
        <f>IF($C32=Repart_lignes,0,
(SUMIF(Fonctionnement[Affectation matrice],$A32,Fonctionnement[TVA acquittée])+SUMIF(Invest[Affectation matrice],$A32,Invest[TVA acquittée]))*CY32)</f>
        <v>0</v>
      </c>
      <c r="AZ32" s="56">
        <f>IF($C32=Repart_lignes,0,
(SUMIF(Fonctionnement[Affectation matrice],$A32,Fonctionnement[TVA acquittée])+SUMIF(Invest[Affectation matrice],$A32,Invest[TVA acquittée]))*CZ32)</f>
        <v>0</v>
      </c>
      <c r="BA32" s="56">
        <f>IF($C32=Repart_lignes,0,
(SUMIF(Fonctionnement[Affectation matrice],$A32,Fonctionnement[TVA acquittée])+SUMIF(Invest[Affectation matrice],$A32,Invest[TVA acquittée]))*DA32)</f>
        <v>0</v>
      </c>
      <c r="BB32" s="56">
        <f>IF($C32=Repart_lignes,0,
(SUMIF(Fonctionnement[Affectation matrice],$A32,Fonctionnement[TVA acquittée])+SUMIF(Invest[Affectation matrice],$A32,Invest[TVA acquittée]))*DB32)</f>
        <v>0</v>
      </c>
      <c r="BC32" s="56">
        <f>IF($C32=Repart_lignes,0,
(SUMIF(Fonctionnement[Affectation matrice],$A32,Fonctionnement[TVA acquittée])+SUMIF(Invest[Affectation matrice],$A32,Invest[TVA acquittée]))*DC32)</f>
        <v>0</v>
      </c>
      <c r="BD32" s="56">
        <f>IF($C32=Repart_lignes,0,
(SUMIF(Fonctionnement[Affectation matrice],$A32,Fonctionnement[TVA acquittée])+SUMIF(Invest[Affectation matrice],$A32,Invest[TVA acquittée]))*DD32)</f>
        <v>0</v>
      </c>
      <c r="BE32" s="58">
        <f t="shared" si="1"/>
        <v>0</v>
      </c>
      <c r="BF32" s="56">
        <f>IF($C32=Repart_lignes,0,
(SUMIF(Fonctionnement[Affectation matrice],$A32,Fonctionnement[Montant (€HT)])+SUMIF(Invest[Affectation matrice],$A32,Invest[Amortissement HT + intérêts]))*CF32)</f>
        <v>0</v>
      </c>
      <c r="BG32" s="56">
        <f>IF($C32=Repart_lignes,0,
(SUMIF(Fonctionnement[Affectation matrice],$A32,Fonctionnement[Montant (€HT)])+SUMIF(Invest[Affectation matrice],$A32,Invest[Amortissement HT + intérêts]))*CG32)</f>
        <v>0</v>
      </c>
      <c r="BH32" s="56">
        <f>IF($C32=Repart_lignes,0,
(SUMIF(Fonctionnement[Affectation matrice],$A32,Fonctionnement[Montant (€HT)])+SUMIF(Invest[Affectation matrice],$A32,Invest[Amortissement HT + intérêts]))*CH32)</f>
        <v>0</v>
      </c>
      <c r="BI32" s="56">
        <f>IF($C32=Repart_lignes,0,
(SUMIF(Fonctionnement[Affectation matrice],$A32,Fonctionnement[Montant (€HT)])+SUMIF(Invest[Affectation matrice],$A32,Invest[Amortissement HT + intérêts]))*CI32)</f>
        <v>0</v>
      </c>
      <c r="BJ32" s="56">
        <f>IF($C32=Repart_lignes,0,
(SUMIF(Fonctionnement[Affectation matrice],$A32,Fonctionnement[Montant (€HT)])+SUMIF(Invest[Affectation matrice],$A32,Invest[Amortissement HT + intérêts]))*CJ32)</f>
        <v>0</v>
      </c>
      <c r="BK32" s="56">
        <f>IF($C32=Repart_lignes,0,
(SUMIF(Fonctionnement[Affectation matrice],$A32,Fonctionnement[Montant (€HT)])+SUMIF(Invest[Affectation matrice],$A32,Invest[Amortissement HT + intérêts]))*CK32)</f>
        <v>0</v>
      </c>
      <c r="BL32" s="56">
        <f>IF($C32=Repart_lignes,0,
(SUMIF(Fonctionnement[Affectation matrice],$A32,Fonctionnement[Montant (€HT)])+SUMIF(Invest[Affectation matrice],$A32,Invest[Amortissement HT + intérêts]))*CL32)</f>
        <v>0</v>
      </c>
      <c r="BM32" s="56">
        <f>IF($C32=Repart_lignes,0,
(SUMIF(Fonctionnement[Affectation matrice],$A32,Fonctionnement[Montant (€HT)])+SUMIF(Invest[Affectation matrice],$A32,Invest[Amortissement HT + intérêts]))*CM32)</f>
        <v>0</v>
      </c>
      <c r="BN32" s="56">
        <f>IF($C32=Repart_lignes,0,
(SUMIF(Fonctionnement[Affectation matrice],$A32,Fonctionnement[Montant (€HT)])+SUMIF(Invest[Affectation matrice],$A32,Invest[Amortissement HT + intérêts]))*CN32)</f>
        <v>0</v>
      </c>
      <c r="BO32" s="56">
        <f>IF($C32=Repart_lignes,0,
(SUMIF(Fonctionnement[Affectation matrice],$A32,Fonctionnement[Montant (€HT)])+SUMIF(Invest[Affectation matrice],$A32,Invest[Amortissement HT + intérêts]))*CO32)</f>
        <v>0</v>
      </c>
      <c r="BP32" s="56">
        <f>IF($C32=Repart_lignes,0,
(SUMIF(Fonctionnement[Affectation matrice],$A32,Fonctionnement[Montant (€HT)])+SUMIF(Invest[Affectation matrice],$A32,Invest[Amortissement HT + intérêts]))*CP32)</f>
        <v>0</v>
      </c>
      <c r="BQ32" s="56">
        <f>IF($C32=Repart_lignes,0,
(SUMIF(Fonctionnement[Affectation matrice],$A32,Fonctionnement[Montant (€HT)])+SUMIF(Invest[Affectation matrice],$A32,Invest[Amortissement HT + intérêts]))*CQ32)</f>
        <v>0</v>
      </c>
      <c r="BR32" s="56">
        <f>IF($C32=Repart_lignes,0,
(SUMIF(Fonctionnement[Affectation matrice],$A32,Fonctionnement[Montant (€HT)])+SUMIF(Invest[Affectation matrice],$A32,Invest[Amortissement HT + intérêts]))*CR32)</f>
        <v>0</v>
      </c>
      <c r="BS32" s="56">
        <f>IF($C32=Repart_lignes,0,
(SUMIF(Fonctionnement[Affectation matrice],$A32,Fonctionnement[Montant (€HT)])+SUMIF(Invest[Affectation matrice],$A32,Invest[Amortissement HT + intérêts]))*CS32)</f>
        <v>0</v>
      </c>
      <c r="BT32" s="56">
        <f>IF($C32=Repart_lignes,0,
(SUMIF(Fonctionnement[Affectation matrice],$A32,Fonctionnement[Montant (€HT)])+SUMIF(Invest[Affectation matrice],$A32,Invest[Amortissement HT + intérêts]))*CT32)</f>
        <v>0</v>
      </c>
      <c r="BU32" s="56">
        <f>IF($C32=Repart_lignes,0,
(SUMIF(Fonctionnement[Affectation matrice],$A32,Fonctionnement[Montant (€HT)])+SUMIF(Invest[Affectation matrice],$A32,Invest[Amortissement HT + intérêts]))*CU32)</f>
        <v>0</v>
      </c>
      <c r="BV32" s="56">
        <f>IF($C32=Repart_lignes,0,
(SUMIF(Fonctionnement[Affectation matrice],$A32,Fonctionnement[Montant (€HT)])+SUMIF(Invest[Affectation matrice],$A32,Invest[Amortissement HT + intérêts]))*CV32)</f>
        <v>0</v>
      </c>
      <c r="BW32" s="56">
        <f>IF($C32=Repart_lignes,0,
(SUMIF(Fonctionnement[Affectation matrice],$A32,Fonctionnement[Montant (€HT)])+SUMIF(Invest[Affectation matrice],$A32,Invest[Amortissement HT + intérêts]))*CW32)</f>
        <v>0</v>
      </c>
      <c r="BX32" s="56">
        <f>IF($C32=Repart_lignes,0,
(SUMIF(Fonctionnement[Affectation matrice],$A32,Fonctionnement[Montant (€HT)])+SUMIF(Invest[Affectation matrice],$A32,Invest[Amortissement HT + intérêts]))*CX32)</f>
        <v>0</v>
      </c>
      <c r="BY32" s="56">
        <f>IF($C32=Repart_lignes,0,
(SUMIF(Fonctionnement[Affectation matrice],$A32,Fonctionnement[Montant (€HT)])+SUMIF(Invest[Affectation matrice],$A32,Invest[Amortissement HT + intérêts]))*CY32)</f>
        <v>0</v>
      </c>
      <c r="BZ32" s="56">
        <f>IF($C32=Repart_lignes,0,
(SUMIF(Fonctionnement[Affectation matrice],$A32,Fonctionnement[Montant (€HT)])+SUMIF(Invest[Affectation matrice],$A32,Invest[Amortissement HT + intérêts]))*CZ32)</f>
        <v>0</v>
      </c>
      <c r="CA32" s="56">
        <f>IF($C32=Repart_lignes,0,
(SUMIF(Fonctionnement[Affectation matrice],$A32,Fonctionnement[Montant (€HT)])+SUMIF(Invest[Affectation matrice],$A32,Invest[Amortissement HT + intérêts]))*DA32)</f>
        <v>0</v>
      </c>
      <c r="CB32" s="56">
        <f>IF($C32=Repart_lignes,0,
(SUMIF(Fonctionnement[Affectation matrice],$A32,Fonctionnement[Montant (€HT)])+SUMIF(Invest[Affectation matrice],$A32,Invest[Amortissement HT + intérêts]))*DB32)</f>
        <v>0</v>
      </c>
      <c r="CC32" s="56">
        <f>IF($C32=Repart_lignes,0,
(SUMIF(Fonctionnement[Affectation matrice],$A32,Fonctionnement[Montant (€HT)])+SUMIF(Invest[Affectation matrice],$A32,Invest[Amortissement HT + intérêts]))*DC32)</f>
        <v>0</v>
      </c>
      <c r="CD32" s="56">
        <f>IF($C32=Repart_lignes,0,
(SUMIF(Fonctionnement[Affectation matrice],$A32,Fonctionnement[Montant (€HT)])+SUMIF(Invest[Affectation matrice],$A32,Invest[Amortissement HT + intérêts]))*DD32)</f>
        <v>0</v>
      </c>
      <c r="CE32" s="59">
        <f t="shared" si="2"/>
        <v>0</v>
      </c>
      <c r="CF32" s="61">
        <f t="shared" si="3"/>
        <v>0</v>
      </c>
      <c r="CG32" s="61">
        <f t="shared" si="4"/>
        <v>0</v>
      </c>
      <c r="CH32" s="61">
        <f t="shared" si="5"/>
        <v>0</v>
      </c>
      <c r="CI32" s="61">
        <f t="shared" si="6"/>
        <v>0</v>
      </c>
      <c r="CJ32" s="61">
        <f t="shared" si="7"/>
        <v>0</v>
      </c>
      <c r="CK32" s="61">
        <f t="shared" si="8"/>
        <v>0</v>
      </c>
      <c r="CL32" s="61">
        <f t="shared" si="9"/>
        <v>0</v>
      </c>
      <c r="CM32" s="61">
        <f t="shared" si="10"/>
        <v>0</v>
      </c>
      <c r="CN32" s="61">
        <f t="shared" si="11"/>
        <v>0</v>
      </c>
      <c r="CO32" s="61">
        <f t="shared" si="12"/>
        <v>0</v>
      </c>
      <c r="CP32" s="61">
        <f t="shared" si="13"/>
        <v>0</v>
      </c>
      <c r="CQ32" s="61">
        <f t="shared" si="14"/>
        <v>0</v>
      </c>
      <c r="CR32" s="61">
        <f t="shared" si="15"/>
        <v>0</v>
      </c>
      <c r="CS32" s="61">
        <f t="shared" si="16"/>
        <v>0</v>
      </c>
      <c r="CT32" s="61">
        <f t="shared" si="17"/>
        <v>0</v>
      </c>
      <c r="CU32" s="61">
        <f t="shared" si="18"/>
        <v>0</v>
      </c>
      <c r="CV32" s="61">
        <f t="shared" si="19"/>
        <v>0</v>
      </c>
      <c r="CW32" s="61">
        <f t="shared" si="20"/>
        <v>0</v>
      </c>
      <c r="CX32" s="61">
        <f t="shared" si="21"/>
        <v>0</v>
      </c>
      <c r="CY32" s="61">
        <f t="shared" si="22"/>
        <v>0</v>
      </c>
      <c r="CZ32" s="61">
        <f t="shared" si="23"/>
        <v>0</v>
      </c>
      <c r="DA32" s="61">
        <f t="shared" si="24"/>
        <v>0</v>
      </c>
      <c r="DB32" s="61">
        <f t="shared" si="25"/>
        <v>0</v>
      </c>
      <c r="DC32" s="61">
        <f t="shared" si="26"/>
        <v>0</v>
      </c>
      <c r="DD32" s="61">
        <f t="shared" si="27"/>
        <v>0</v>
      </c>
      <c r="DE32" s="61">
        <f t="shared" si="28"/>
        <v>0</v>
      </c>
      <c r="DF32" s="7"/>
    </row>
    <row r="33" spans="1:110" s="22" customFormat="1" x14ac:dyDescent="0.25">
      <c r="A33" s="248"/>
      <c r="B33" s="248"/>
      <c r="C33" s="251"/>
      <c r="D33" s="25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1">
        <f t="shared" si="30"/>
        <v>0</v>
      </c>
      <c r="AE33" s="53" t="str">
        <f t="shared" ca="1" si="29"/>
        <v/>
      </c>
      <c r="AF33" s="56">
        <f>IF($C33=Repart_lignes,0,
(SUMIF(Fonctionnement[Affectation matrice],$A33,Fonctionnement[TVA acquittée])+SUMIF(Invest[Affectation matrice],$A33,Invest[TVA acquittée]))*CF33)</f>
        <v>0</v>
      </c>
      <c r="AG33" s="56">
        <f>IF($C33=Repart_lignes,0,
(SUMIF(Fonctionnement[Affectation matrice],$A33,Fonctionnement[TVA acquittée])+SUMIF(Invest[Affectation matrice],$A33,Invest[TVA acquittée]))*CG33)</f>
        <v>0</v>
      </c>
      <c r="AH33" s="56">
        <f>IF($C33=Repart_lignes,0,
(SUMIF(Fonctionnement[Affectation matrice],$A33,Fonctionnement[TVA acquittée])+SUMIF(Invest[Affectation matrice],$A33,Invest[TVA acquittée]))*CH33)</f>
        <v>0</v>
      </c>
      <c r="AI33" s="56">
        <f>IF($C33=Repart_lignes,0,
(SUMIF(Fonctionnement[Affectation matrice],$A33,Fonctionnement[TVA acquittée])+SUMIF(Invest[Affectation matrice],$A33,Invest[TVA acquittée]))*CI33)</f>
        <v>0</v>
      </c>
      <c r="AJ33" s="56">
        <f>IF($C33=Repart_lignes,0,
(SUMIF(Fonctionnement[Affectation matrice],$A33,Fonctionnement[TVA acquittée])+SUMIF(Invest[Affectation matrice],$A33,Invest[TVA acquittée]))*CJ33)</f>
        <v>0</v>
      </c>
      <c r="AK33" s="56">
        <f>IF($C33=Repart_lignes,0,
(SUMIF(Fonctionnement[Affectation matrice],$A33,Fonctionnement[TVA acquittée])+SUMIF(Invest[Affectation matrice],$A33,Invest[TVA acquittée]))*CK33)</f>
        <v>0</v>
      </c>
      <c r="AL33" s="56">
        <f>IF($C33=Repart_lignes,0,
(SUMIF(Fonctionnement[Affectation matrice],$A33,Fonctionnement[TVA acquittée])+SUMIF(Invest[Affectation matrice],$A33,Invest[TVA acquittée]))*CL33)</f>
        <v>0</v>
      </c>
      <c r="AM33" s="56">
        <f>IF($C33=Repart_lignes,0,
(SUMIF(Fonctionnement[Affectation matrice],$A33,Fonctionnement[TVA acquittée])+SUMIF(Invest[Affectation matrice],$A33,Invest[TVA acquittée]))*CM33)</f>
        <v>0</v>
      </c>
      <c r="AN33" s="56">
        <f>IF($C33=Repart_lignes,0,
(SUMIF(Fonctionnement[Affectation matrice],$A33,Fonctionnement[TVA acquittée])+SUMIF(Invest[Affectation matrice],$A33,Invest[TVA acquittée]))*CN33)</f>
        <v>0</v>
      </c>
      <c r="AO33" s="56">
        <f>IF($C33=Repart_lignes,0,
(SUMIF(Fonctionnement[Affectation matrice],$A33,Fonctionnement[TVA acquittée])+SUMIF(Invest[Affectation matrice],$A33,Invest[TVA acquittée]))*CO33)</f>
        <v>0</v>
      </c>
      <c r="AP33" s="56">
        <f>IF($C33=Repart_lignes,0,
(SUMIF(Fonctionnement[Affectation matrice],$A33,Fonctionnement[TVA acquittée])+SUMIF(Invest[Affectation matrice],$A33,Invest[TVA acquittée]))*CP33)</f>
        <v>0</v>
      </c>
      <c r="AQ33" s="56">
        <f>IF($C33=Repart_lignes,0,
(SUMIF(Fonctionnement[Affectation matrice],$A33,Fonctionnement[TVA acquittée])+SUMIF(Invest[Affectation matrice],$A33,Invest[TVA acquittée]))*CQ33)</f>
        <v>0</v>
      </c>
      <c r="AR33" s="56">
        <f>IF($C33=Repart_lignes,0,
(SUMIF(Fonctionnement[Affectation matrice],$A33,Fonctionnement[TVA acquittée])+SUMIF(Invest[Affectation matrice],$A33,Invest[TVA acquittée]))*CR33)</f>
        <v>0</v>
      </c>
      <c r="AS33" s="56">
        <f>IF($C33=Repart_lignes,0,
(SUMIF(Fonctionnement[Affectation matrice],$A33,Fonctionnement[TVA acquittée])+SUMIF(Invest[Affectation matrice],$A33,Invest[TVA acquittée]))*CS33)</f>
        <v>0</v>
      </c>
      <c r="AT33" s="56">
        <f>IF($C33=Repart_lignes,0,
(SUMIF(Fonctionnement[Affectation matrice],$A33,Fonctionnement[TVA acquittée])+SUMIF(Invest[Affectation matrice],$A33,Invest[TVA acquittée]))*CT33)</f>
        <v>0</v>
      </c>
      <c r="AU33" s="56">
        <f>IF($C33=Repart_lignes,0,
(SUMIF(Fonctionnement[Affectation matrice],$A33,Fonctionnement[TVA acquittée])+SUMIF(Invest[Affectation matrice],$A33,Invest[TVA acquittée]))*CU33)</f>
        <v>0</v>
      </c>
      <c r="AV33" s="56">
        <f>IF($C33=Repart_lignes,0,
(SUMIF(Fonctionnement[Affectation matrice],$A33,Fonctionnement[TVA acquittée])+SUMIF(Invest[Affectation matrice],$A33,Invest[TVA acquittée]))*CV33)</f>
        <v>0</v>
      </c>
      <c r="AW33" s="56">
        <f>IF($C33=Repart_lignes,0,
(SUMIF(Fonctionnement[Affectation matrice],$A33,Fonctionnement[TVA acquittée])+SUMIF(Invest[Affectation matrice],$A33,Invest[TVA acquittée]))*CW33)</f>
        <v>0</v>
      </c>
      <c r="AX33" s="56">
        <f>IF($C33=Repart_lignes,0,
(SUMIF(Fonctionnement[Affectation matrice],$A33,Fonctionnement[TVA acquittée])+SUMIF(Invest[Affectation matrice],$A33,Invest[TVA acquittée]))*CX33)</f>
        <v>0</v>
      </c>
      <c r="AY33" s="56">
        <f>IF($C33=Repart_lignes,0,
(SUMIF(Fonctionnement[Affectation matrice],$A33,Fonctionnement[TVA acquittée])+SUMIF(Invest[Affectation matrice],$A33,Invest[TVA acquittée]))*CY33)</f>
        <v>0</v>
      </c>
      <c r="AZ33" s="56">
        <f>IF($C33=Repart_lignes,0,
(SUMIF(Fonctionnement[Affectation matrice],$A33,Fonctionnement[TVA acquittée])+SUMIF(Invest[Affectation matrice],$A33,Invest[TVA acquittée]))*CZ33)</f>
        <v>0</v>
      </c>
      <c r="BA33" s="56">
        <f>IF($C33=Repart_lignes,0,
(SUMIF(Fonctionnement[Affectation matrice],$A33,Fonctionnement[TVA acquittée])+SUMIF(Invest[Affectation matrice],$A33,Invest[TVA acquittée]))*DA33)</f>
        <v>0</v>
      </c>
      <c r="BB33" s="56">
        <f>IF($C33=Repart_lignes,0,
(SUMIF(Fonctionnement[Affectation matrice],$A33,Fonctionnement[TVA acquittée])+SUMIF(Invest[Affectation matrice],$A33,Invest[TVA acquittée]))*DB33)</f>
        <v>0</v>
      </c>
      <c r="BC33" s="56">
        <f>IF($C33=Repart_lignes,0,
(SUMIF(Fonctionnement[Affectation matrice],$A33,Fonctionnement[TVA acquittée])+SUMIF(Invest[Affectation matrice],$A33,Invest[TVA acquittée]))*DC33)</f>
        <v>0</v>
      </c>
      <c r="BD33" s="56">
        <f>IF($C33=Repart_lignes,0,
(SUMIF(Fonctionnement[Affectation matrice],$A33,Fonctionnement[TVA acquittée])+SUMIF(Invest[Affectation matrice],$A33,Invest[TVA acquittée]))*DD33)</f>
        <v>0</v>
      </c>
      <c r="BE33" s="58">
        <f t="shared" si="1"/>
        <v>0</v>
      </c>
      <c r="BF33" s="56">
        <f>IF($C33=Repart_lignes,0,
(SUMIF(Fonctionnement[Affectation matrice],$A33,Fonctionnement[Montant (€HT)])+SUMIF(Invest[Affectation matrice],$A33,Invest[Amortissement HT + intérêts]))*CF33)</f>
        <v>0</v>
      </c>
      <c r="BG33" s="56">
        <f>IF($C33=Repart_lignes,0,
(SUMIF(Fonctionnement[Affectation matrice],$A33,Fonctionnement[Montant (€HT)])+SUMIF(Invest[Affectation matrice],$A33,Invest[Amortissement HT + intérêts]))*CG33)</f>
        <v>0</v>
      </c>
      <c r="BH33" s="56">
        <f>IF($C33=Repart_lignes,0,
(SUMIF(Fonctionnement[Affectation matrice],$A33,Fonctionnement[Montant (€HT)])+SUMIF(Invest[Affectation matrice],$A33,Invest[Amortissement HT + intérêts]))*CH33)</f>
        <v>0</v>
      </c>
      <c r="BI33" s="56">
        <f>IF($C33=Repart_lignes,0,
(SUMIF(Fonctionnement[Affectation matrice],$A33,Fonctionnement[Montant (€HT)])+SUMIF(Invest[Affectation matrice],$A33,Invest[Amortissement HT + intérêts]))*CI33)</f>
        <v>0</v>
      </c>
      <c r="BJ33" s="56">
        <f>IF($C33=Repart_lignes,0,
(SUMIF(Fonctionnement[Affectation matrice],$A33,Fonctionnement[Montant (€HT)])+SUMIF(Invest[Affectation matrice],$A33,Invest[Amortissement HT + intérêts]))*CJ33)</f>
        <v>0</v>
      </c>
      <c r="BK33" s="56">
        <f>IF($C33=Repart_lignes,0,
(SUMIF(Fonctionnement[Affectation matrice],$A33,Fonctionnement[Montant (€HT)])+SUMIF(Invest[Affectation matrice],$A33,Invest[Amortissement HT + intérêts]))*CK33)</f>
        <v>0</v>
      </c>
      <c r="BL33" s="56">
        <f>IF($C33=Repart_lignes,0,
(SUMIF(Fonctionnement[Affectation matrice],$A33,Fonctionnement[Montant (€HT)])+SUMIF(Invest[Affectation matrice],$A33,Invest[Amortissement HT + intérêts]))*CL33)</f>
        <v>0</v>
      </c>
      <c r="BM33" s="56">
        <f>IF($C33=Repart_lignes,0,
(SUMIF(Fonctionnement[Affectation matrice],$A33,Fonctionnement[Montant (€HT)])+SUMIF(Invest[Affectation matrice],$A33,Invest[Amortissement HT + intérêts]))*CM33)</f>
        <v>0</v>
      </c>
      <c r="BN33" s="56">
        <f>IF($C33=Repart_lignes,0,
(SUMIF(Fonctionnement[Affectation matrice],$A33,Fonctionnement[Montant (€HT)])+SUMIF(Invest[Affectation matrice],$A33,Invest[Amortissement HT + intérêts]))*CN33)</f>
        <v>0</v>
      </c>
      <c r="BO33" s="56">
        <f>IF($C33=Repart_lignes,0,
(SUMIF(Fonctionnement[Affectation matrice],$A33,Fonctionnement[Montant (€HT)])+SUMIF(Invest[Affectation matrice],$A33,Invest[Amortissement HT + intérêts]))*CO33)</f>
        <v>0</v>
      </c>
      <c r="BP33" s="56">
        <f>IF($C33=Repart_lignes,0,
(SUMIF(Fonctionnement[Affectation matrice],$A33,Fonctionnement[Montant (€HT)])+SUMIF(Invest[Affectation matrice],$A33,Invest[Amortissement HT + intérêts]))*CP33)</f>
        <v>0</v>
      </c>
      <c r="BQ33" s="56">
        <f>IF($C33=Repart_lignes,0,
(SUMIF(Fonctionnement[Affectation matrice],$A33,Fonctionnement[Montant (€HT)])+SUMIF(Invest[Affectation matrice],$A33,Invest[Amortissement HT + intérêts]))*CQ33)</f>
        <v>0</v>
      </c>
      <c r="BR33" s="56">
        <f>IF($C33=Repart_lignes,0,
(SUMIF(Fonctionnement[Affectation matrice],$A33,Fonctionnement[Montant (€HT)])+SUMIF(Invest[Affectation matrice],$A33,Invest[Amortissement HT + intérêts]))*CR33)</f>
        <v>0</v>
      </c>
      <c r="BS33" s="56">
        <f>IF($C33=Repart_lignes,0,
(SUMIF(Fonctionnement[Affectation matrice],$A33,Fonctionnement[Montant (€HT)])+SUMIF(Invest[Affectation matrice],$A33,Invest[Amortissement HT + intérêts]))*CS33)</f>
        <v>0</v>
      </c>
      <c r="BT33" s="56">
        <f>IF($C33=Repart_lignes,0,
(SUMIF(Fonctionnement[Affectation matrice],$A33,Fonctionnement[Montant (€HT)])+SUMIF(Invest[Affectation matrice],$A33,Invest[Amortissement HT + intérêts]))*CT33)</f>
        <v>0</v>
      </c>
      <c r="BU33" s="56">
        <f>IF($C33=Repart_lignes,0,
(SUMIF(Fonctionnement[Affectation matrice],$A33,Fonctionnement[Montant (€HT)])+SUMIF(Invest[Affectation matrice],$A33,Invest[Amortissement HT + intérêts]))*CU33)</f>
        <v>0</v>
      </c>
      <c r="BV33" s="56">
        <f>IF($C33=Repart_lignes,0,
(SUMIF(Fonctionnement[Affectation matrice],$A33,Fonctionnement[Montant (€HT)])+SUMIF(Invest[Affectation matrice],$A33,Invest[Amortissement HT + intérêts]))*CV33)</f>
        <v>0</v>
      </c>
      <c r="BW33" s="56">
        <f>IF($C33=Repart_lignes,0,
(SUMIF(Fonctionnement[Affectation matrice],$A33,Fonctionnement[Montant (€HT)])+SUMIF(Invest[Affectation matrice],$A33,Invest[Amortissement HT + intérêts]))*CW33)</f>
        <v>0</v>
      </c>
      <c r="BX33" s="56">
        <f>IF($C33=Repart_lignes,0,
(SUMIF(Fonctionnement[Affectation matrice],$A33,Fonctionnement[Montant (€HT)])+SUMIF(Invest[Affectation matrice],$A33,Invest[Amortissement HT + intérêts]))*CX33)</f>
        <v>0</v>
      </c>
      <c r="BY33" s="56">
        <f>IF($C33=Repart_lignes,0,
(SUMIF(Fonctionnement[Affectation matrice],$A33,Fonctionnement[Montant (€HT)])+SUMIF(Invest[Affectation matrice],$A33,Invest[Amortissement HT + intérêts]))*CY33)</f>
        <v>0</v>
      </c>
      <c r="BZ33" s="56">
        <f>IF($C33=Repart_lignes,0,
(SUMIF(Fonctionnement[Affectation matrice],$A33,Fonctionnement[Montant (€HT)])+SUMIF(Invest[Affectation matrice],$A33,Invest[Amortissement HT + intérêts]))*CZ33)</f>
        <v>0</v>
      </c>
      <c r="CA33" s="56">
        <f>IF($C33=Repart_lignes,0,
(SUMIF(Fonctionnement[Affectation matrice],$A33,Fonctionnement[Montant (€HT)])+SUMIF(Invest[Affectation matrice],$A33,Invest[Amortissement HT + intérêts]))*DA33)</f>
        <v>0</v>
      </c>
      <c r="CB33" s="56">
        <f>IF($C33=Repart_lignes,0,
(SUMIF(Fonctionnement[Affectation matrice],$A33,Fonctionnement[Montant (€HT)])+SUMIF(Invest[Affectation matrice],$A33,Invest[Amortissement HT + intérêts]))*DB33)</f>
        <v>0</v>
      </c>
      <c r="CC33" s="56">
        <f>IF($C33=Repart_lignes,0,
(SUMIF(Fonctionnement[Affectation matrice],$A33,Fonctionnement[Montant (€HT)])+SUMIF(Invest[Affectation matrice],$A33,Invest[Amortissement HT + intérêts]))*DC33)</f>
        <v>0</v>
      </c>
      <c r="CD33" s="56">
        <f>IF($C33=Repart_lignes,0,
(SUMIF(Fonctionnement[Affectation matrice],$A33,Fonctionnement[Montant (€HT)])+SUMIF(Invest[Affectation matrice],$A33,Invest[Amortissement HT + intérêts]))*DD33)</f>
        <v>0</v>
      </c>
      <c r="CE33" s="59">
        <f t="shared" si="2"/>
        <v>0</v>
      </c>
      <c r="CF33" s="61">
        <f t="shared" si="3"/>
        <v>0</v>
      </c>
      <c r="CG33" s="61">
        <f t="shared" si="4"/>
        <v>0</v>
      </c>
      <c r="CH33" s="61">
        <f t="shared" si="5"/>
        <v>0</v>
      </c>
      <c r="CI33" s="61">
        <f t="shared" si="6"/>
        <v>0</v>
      </c>
      <c r="CJ33" s="61">
        <f t="shared" si="7"/>
        <v>0</v>
      </c>
      <c r="CK33" s="61">
        <f t="shared" si="8"/>
        <v>0</v>
      </c>
      <c r="CL33" s="61">
        <f t="shared" si="9"/>
        <v>0</v>
      </c>
      <c r="CM33" s="61">
        <f t="shared" si="10"/>
        <v>0</v>
      </c>
      <c r="CN33" s="61">
        <f t="shared" si="11"/>
        <v>0</v>
      </c>
      <c r="CO33" s="61">
        <f t="shared" si="12"/>
        <v>0</v>
      </c>
      <c r="CP33" s="61">
        <f t="shared" si="13"/>
        <v>0</v>
      </c>
      <c r="CQ33" s="61">
        <f t="shared" si="14"/>
        <v>0</v>
      </c>
      <c r="CR33" s="61">
        <f t="shared" si="15"/>
        <v>0</v>
      </c>
      <c r="CS33" s="61">
        <f t="shared" si="16"/>
        <v>0</v>
      </c>
      <c r="CT33" s="61">
        <f t="shared" si="17"/>
        <v>0</v>
      </c>
      <c r="CU33" s="61">
        <f t="shared" si="18"/>
        <v>0</v>
      </c>
      <c r="CV33" s="61">
        <f t="shared" si="19"/>
        <v>0</v>
      </c>
      <c r="CW33" s="61">
        <f t="shared" si="20"/>
        <v>0</v>
      </c>
      <c r="CX33" s="61">
        <f t="shared" si="21"/>
        <v>0</v>
      </c>
      <c r="CY33" s="61">
        <f t="shared" si="22"/>
        <v>0</v>
      </c>
      <c r="CZ33" s="61">
        <f t="shared" si="23"/>
        <v>0</v>
      </c>
      <c r="DA33" s="61">
        <f t="shared" si="24"/>
        <v>0</v>
      </c>
      <c r="DB33" s="61">
        <f t="shared" si="25"/>
        <v>0</v>
      </c>
      <c r="DC33" s="61">
        <f t="shared" si="26"/>
        <v>0</v>
      </c>
      <c r="DD33" s="61">
        <f t="shared" si="27"/>
        <v>0</v>
      </c>
      <c r="DE33" s="61">
        <f t="shared" si="28"/>
        <v>0</v>
      </c>
      <c r="DF33" s="7"/>
    </row>
    <row r="34" spans="1:110" s="22" customFormat="1" x14ac:dyDescent="0.25">
      <c r="A34" s="248"/>
      <c r="B34" s="248"/>
      <c r="C34" s="251"/>
      <c r="D34" s="25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1">
        <f t="shared" si="30"/>
        <v>0</v>
      </c>
      <c r="AE34" s="53" t="str">
        <f t="shared" ca="1" si="29"/>
        <v/>
      </c>
      <c r="AF34" s="56">
        <f>IF($C34=Repart_lignes,0,
(SUMIF(Fonctionnement[Affectation matrice],$A34,Fonctionnement[TVA acquittée])+SUMIF(Invest[Affectation matrice],$A34,Invest[TVA acquittée]))*CF34)</f>
        <v>0</v>
      </c>
      <c r="AG34" s="56">
        <f>IF($C34=Repart_lignes,0,
(SUMIF(Fonctionnement[Affectation matrice],$A34,Fonctionnement[TVA acquittée])+SUMIF(Invest[Affectation matrice],$A34,Invest[TVA acquittée]))*CG34)</f>
        <v>0</v>
      </c>
      <c r="AH34" s="56">
        <f>IF($C34=Repart_lignes,0,
(SUMIF(Fonctionnement[Affectation matrice],$A34,Fonctionnement[TVA acquittée])+SUMIF(Invest[Affectation matrice],$A34,Invest[TVA acquittée]))*CH34)</f>
        <v>0</v>
      </c>
      <c r="AI34" s="56">
        <f>IF($C34=Repart_lignes,0,
(SUMIF(Fonctionnement[Affectation matrice],$A34,Fonctionnement[TVA acquittée])+SUMIF(Invest[Affectation matrice],$A34,Invest[TVA acquittée]))*CI34)</f>
        <v>0</v>
      </c>
      <c r="AJ34" s="56">
        <f>IF($C34=Repart_lignes,0,
(SUMIF(Fonctionnement[Affectation matrice],$A34,Fonctionnement[TVA acquittée])+SUMIF(Invest[Affectation matrice],$A34,Invest[TVA acquittée]))*CJ34)</f>
        <v>0</v>
      </c>
      <c r="AK34" s="56">
        <f>IF($C34=Repart_lignes,0,
(SUMIF(Fonctionnement[Affectation matrice],$A34,Fonctionnement[TVA acquittée])+SUMIF(Invest[Affectation matrice],$A34,Invest[TVA acquittée]))*CK34)</f>
        <v>0</v>
      </c>
      <c r="AL34" s="56">
        <f>IF($C34=Repart_lignes,0,
(SUMIF(Fonctionnement[Affectation matrice],$A34,Fonctionnement[TVA acquittée])+SUMIF(Invest[Affectation matrice],$A34,Invest[TVA acquittée]))*CL34)</f>
        <v>0</v>
      </c>
      <c r="AM34" s="56">
        <f>IF($C34=Repart_lignes,0,
(SUMIF(Fonctionnement[Affectation matrice],$A34,Fonctionnement[TVA acquittée])+SUMIF(Invest[Affectation matrice],$A34,Invest[TVA acquittée]))*CM34)</f>
        <v>0</v>
      </c>
      <c r="AN34" s="56">
        <f>IF($C34=Repart_lignes,0,
(SUMIF(Fonctionnement[Affectation matrice],$A34,Fonctionnement[TVA acquittée])+SUMIF(Invest[Affectation matrice],$A34,Invest[TVA acquittée]))*CN34)</f>
        <v>0</v>
      </c>
      <c r="AO34" s="56">
        <f>IF($C34=Repart_lignes,0,
(SUMIF(Fonctionnement[Affectation matrice],$A34,Fonctionnement[TVA acquittée])+SUMIF(Invest[Affectation matrice],$A34,Invest[TVA acquittée]))*CO34)</f>
        <v>0</v>
      </c>
      <c r="AP34" s="56">
        <f>IF($C34=Repart_lignes,0,
(SUMIF(Fonctionnement[Affectation matrice],$A34,Fonctionnement[TVA acquittée])+SUMIF(Invest[Affectation matrice],$A34,Invest[TVA acquittée]))*CP34)</f>
        <v>0</v>
      </c>
      <c r="AQ34" s="56">
        <f>IF($C34=Repart_lignes,0,
(SUMIF(Fonctionnement[Affectation matrice],$A34,Fonctionnement[TVA acquittée])+SUMIF(Invest[Affectation matrice],$A34,Invest[TVA acquittée]))*CQ34)</f>
        <v>0</v>
      </c>
      <c r="AR34" s="56">
        <f>IF($C34=Repart_lignes,0,
(SUMIF(Fonctionnement[Affectation matrice],$A34,Fonctionnement[TVA acquittée])+SUMIF(Invest[Affectation matrice],$A34,Invest[TVA acquittée]))*CR34)</f>
        <v>0</v>
      </c>
      <c r="AS34" s="56">
        <f>IF($C34=Repart_lignes,0,
(SUMIF(Fonctionnement[Affectation matrice],$A34,Fonctionnement[TVA acquittée])+SUMIF(Invest[Affectation matrice],$A34,Invest[TVA acquittée]))*CS34)</f>
        <v>0</v>
      </c>
      <c r="AT34" s="56">
        <f>IF($C34=Repart_lignes,0,
(SUMIF(Fonctionnement[Affectation matrice],$A34,Fonctionnement[TVA acquittée])+SUMIF(Invest[Affectation matrice],$A34,Invest[TVA acquittée]))*CT34)</f>
        <v>0</v>
      </c>
      <c r="AU34" s="56">
        <f>IF($C34=Repart_lignes,0,
(SUMIF(Fonctionnement[Affectation matrice],$A34,Fonctionnement[TVA acquittée])+SUMIF(Invest[Affectation matrice],$A34,Invest[TVA acquittée]))*CU34)</f>
        <v>0</v>
      </c>
      <c r="AV34" s="56">
        <f>IF($C34=Repart_lignes,0,
(SUMIF(Fonctionnement[Affectation matrice],$A34,Fonctionnement[TVA acquittée])+SUMIF(Invest[Affectation matrice],$A34,Invest[TVA acquittée]))*CV34)</f>
        <v>0</v>
      </c>
      <c r="AW34" s="56">
        <f>IF($C34=Repart_lignes,0,
(SUMIF(Fonctionnement[Affectation matrice],$A34,Fonctionnement[TVA acquittée])+SUMIF(Invest[Affectation matrice],$A34,Invest[TVA acquittée]))*CW34)</f>
        <v>0</v>
      </c>
      <c r="AX34" s="56">
        <f>IF($C34=Repart_lignes,0,
(SUMIF(Fonctionnement[Affectation matrice],$A34,Fonctionnement[TVA acquittée])+SUMIF(Invest[Affectation matrice],$A34,Invest[TVA acquittée]))*CX34)</f>
        <v>0</v>
      </c>
      <c r="AY34" s="56">
        <f>IF($C34=Repart_lignes,0,
(SUMIF(Fonctionnement[Affectation matrice],$A34,Fonctionnement[TVA acquittée])+SUMIF(Invest[Affectation matrice],$A34,Invest[TVA acquittée]))*CY34)</f>
        <v>0</v>
      </c>
      <c r="AZ34" s="56">
        <f>IF($C34=Repart_lignes,0,
(SUMIF(Fonctionnement[Affectation matrice],$A34,Fonctionnement[TVA acquittée])+SUMIF(Invest[Affectation matrice],$A34,Invest[TVA acquittée]))*CZ34)</f>
        <v>0</v>
      </c>
      <c r="BA34" s="56">
        <f>IF($C34=Repart_lignes,0,
(SUMIF(Fonctionnement[Affectation matrice],$A34,Fonctionnement[TVA acquittée])+SUMIF(Invest[Affectation matrice],$A34,Invest[TVA acquittée]))*DA34)</f>
        <v>0</v>
      </c>
      <c r="BB34" s="56">
        <f>IF($C34=Repart_lignes,0,
(SUMIF(Fonctionnement[Affectation matrice],$A34,Fonctionnement[TVA acquittée])+SUMIF(Invest[Affectation matrice],$A34,Invest[TVA acquittée]))*DB34)</f>
        <v>0</v>
      </c>
      <c r="BC34" s="56">
        <f>IF($C34=Repart_lignes,0,
(SUMIF(Fonctionnement[Affectation matrice],$A34,Fonctionnement[TVA acquittée])+SUMIF(Invest[Affectation matrice],$A34,Invest[TVA acquittée]))*DC34)</f>
        <v>0</v>
      </c>
      <c r="BD34" s="56">
        <f>IF($C34=Repart_lignes,0,
(SUMIF(Fonctionnement[Affectation matrice],$A34,Fonctionnement[TVA acquittée])+SUMIF(Invest[Affectation matrice],$A34,Invest[TVA acquittée]))*DD34)</f>
        <v>0</v>
      </c>
      <c r="BE34" s="58">
        <f t="shared" si="1"/>
        <v>0</v>
      </c>
      <c r="BF34" s="56">
        <f>IF($C34=Repart_lignes,0,
(SUMIF(Fonctionnement[Affectation matrice],$A34,Fonctionnement[Montant (€HT)])+SUMIF(Invest[Affectation matrice],$A34,Invest[Amortissement HT + intérêts]))*CF34)</f>
        <v>0</v>
      </c>
      <c r="BG34" s="56">
        <f>IF($C34=Repart_lignes,0,
(SUMIF(Fonctionnement[Affectation matrice],$A34,Fonctionnement[Montant (€HT)])+SUMIF(Invest[Affectation matrice],$A34,Invest[Amortissement HT + intérêts]))*CG34)</f>
        <v>0</v>
      </c>
      <c r="BH34" s="56">
        <f>IF($C34=Repart_lignes,0,
(SUMIF(Fonctionnement[Affectation matrice],$A34,Fonctionnement[Montant (€HT)])+SUMIF(Invest[Affectation matrice],$A34,Invest[Amortissement HT + intérêts]))*CH34)</f>
        <v>0</v>
      </c>
      <c r="BI34" s="56">
        <f>IF($C34=Repart_lignes,0,
(SUMIF(Fonctionnement[Affectation matrice],$A34,Fonctionnement[Montant (€HT)])+SUMIF(Invest[Affectation matrice],$A34,Invest[Amortissement HT + intérêts]))*CI34)</f>
        <v>0</v>
      </c>
      <c r="BJ34" s="56">
        <f>IF($C34=Repart_lignes,0,
(SUMIF(Fonctionnement[Affectation matrice],$A34,Fonctionnement[Montant (€HT)])+SUMIF(Invest[Affectation matrice],$A34,Invest[Amortissement HT + intérêts]))*CJ34)</f>
        <v>0</v>
      </c>
      <c r="BK34" s="56">
        <f>IF($C34=Repart_lignes,0,
(SUMIF(Fonctionnement[Affectation matrice],$A34,Fonctionnement[Montant (€HT)])+SUMIF(Invest[Affectation matrice],$A34,Invest[Amortissement HT + intérêts]))*CK34)</f>
        <v>0</v>
      </c>
      <c r="BL34" s="56">
        <f>IF($C34=Repart_lignes,0,
(SUMIF(Fonctionnement[Affectation matrice],$A34,Fonctionnement[Montant (€HT)])+SUMIF(Invest[Affectation matrice],$A34,Invest[Amortissement HT + intérêts]))*CL34)</f>
        <v>0</v>
      </c>
      <c r="BM34" s="56">
        <f>IF($C34=Repart_lignes,0,
(SUMIF(Fonctionnement[Affectation matrice],$A34,Fonctionnement[Montant (€HT)])+SUMIF(Invest[Affectation matrice],$A34,Invest[Amortissement HT + intérêts]))*CM34)</f>
        <v>0</v>
      </c>
      <c r="BN34" s="56">
        <f>IF($C34=Repart_lignes,0,
(SUMIF(Fonctionnement[Affectation matrice],$A34,Fonctionnement[Montant (€HT)])+SUMIF(Invest[Affectation matrice],$A34,Invest[Amortissement HT + intérêts]))*CN34)</f>
        <v>0</v>
      </c>
      <c r="BO34" s="56">
        <f>IF($C34=Repart_lignes,0,
(SUMIF(Fonctionnement[Affectation matrice],$A34,Fonctionnement[Montant (€HT)])+SUMIF(Invest[Affectation matrice],$A34,Invest[Amortissement HT + intérêts]))*CO34)</f>
        <v>0</v>
      </c>
      <c r="BP34" s="56">
        <f>IF($C34=Repart_lignes,0,
(SUMIF(Fonctionnement[Affectation matrice],$A34,Fonctionnement[Montant (€HT)])+SUMIF(Invest[Affectation matrice],$A34,Invest[Amortissement HT + intérêts]))*CP34)</f>
        <v>0</v>
      </c>
      <c r="BQ34" s="56">
        <f>IF($C34=Repart_lignes,0,
(SUMIF(Fonctionnement[Affectation matrice],$A34,Fonctionnement[Montant (€HT)])+SUMIF(Invest[Affectation matrice],$A34,Invest[Amortissement HT + intérêts]))*CQ34)</f>
        <v>0</v>
      </c>
      <c r="BR34" s="56">
        <f>IF($C34=Repart_lignes,0,
(SUMIF(Fonctionnement[Affectation matrice],$A34,Fonctionnement[Montant (€HT)])+SUMIF(Invest[Affectation matrice],$A34,Invest[Amortissement HT + intérêts]))*CR34)</f>
        <v>0</v>
      </c>
      <c r="BS34" s="56">
        <f>IF($C34=Repart_lignes,0,
(SUMIF(Fonctionnement[Affectation matrice],$A34,Fonctionnement[Montant (€HT)])+SUMIF(Invest[Affectation matrice],$A34,Invest[Amortissement HT + intérêts]))*CS34)</f>
        <v>0</v>
      </c>
      <c r="BT34" s="56">
        <f>IF($C34=Repart_lignes,0,
(SUMIF(Fonctionnement[Affectation matrice],$A34,Fonctionnement[Montant (€HT)])+SUMIF(Invest[Affectation matrice],$A34,Invest[Amortissement HT + intérêts]))*CT34)</f>
        <v>0</v>
      </c>
      <c r="BU34" s="56">
        <f>IF($C34=Repart_lignes,0,
(SUMIF(Fonctionnement[Affectation matrice],$A34,Fonctionnement[Montant (€HT)])+SUMIF(Invest[Affectation matrice],$A34,Invest[Amortissement HT + intérêts]))*CU34)</f>
        <v>0</v>
      </c>
      <c r="BV34" s="56">
        <f>IF($C34=Repart_lignes,0,
(SUMIF(Fonctionnement[Affectation matrice],$A34,Fonctionnement[Montant (€HT)])+SUMIF(Invest[Affectation matrice],$A34,Invest[Amortissement HT + intérêts]))*CV34)</f>
        <v>0</v>
      </c>
      <c r="BW34" s="56">
        <f>IF($C34=Repart_lignes,0,
(SUMIF(Fonctionnement[Affectation matrice],$A34,Fonctionnement[Montant (€HT)])+SUMIF(Invest[Affectation matrice],$A34,Invest[Amortissement HT + intérêts]))*CW34)</f>
        <v>0</v>
      </c>
      <c r="BX34" s="56">
        <f>IF($C34=Repart_lignes,0,
(SUMIF(Fonctionnement[Affectation matrice],$A34,Fonctionnement[Montant (€HT)])+SUMIF(Invest[Affectation matrice],$A34,Invest[Amortissement HT + intérêts]))*CX34)</f>
        <v>0</v>
      </c>
      <c r="BY34" s="56">
        <f>IF($C34=Repart_lignes,0,
(SUMIF(Fonctionnement[Affectation matrice],$A34,Fonctionnement[Montant (€HT)])+SUMIF(Invest[Affectation matrice],$A34,Invest[Amortissement HT + intérêts]))*CY34)</f>
        <v>0</v>
      </c>
      <c r="BZ34" s="56">
        <f>IF($C34=Repart_lignes,0,
(SUMIF(Fonctionnement[Affectation matrice],$A34,Fonctionnement[Montant (€HT)])+SUMIF(Invest[Affectation matrice],$A34,Invest[Amortissement HT + intérêts]))*CZ34)</f>
        <v>0</v>
      </c>
      <c r="CA34" s="56">
        <f>IF($C34=Repart_lignes,0,
(SUMIF(Fonctionnement[Affectation matrice],$A34,Fonctionnement[Montant (€HT)])+SUMIF(Invest[Affectation matrice],$A34,Invest[Amortissement HT + intérêts]))*DA34)</f>
        <v>0</v>
      </c>
      <c r="CB34" s="56">
        <f>IF($C34=Repart_lignes,0,
(SUMIF(Fonctionnement[Affectation matrice],$A34,Fonctionnement[Montant (€HT)])+SUMIF(Invest[Affectation matrice],$A34,Invest[Amortissement HT + intérêts]))*DB34)</f>
        <v>0</v>
      </c>
      <c r="CC34" s="56">
        <f>IF($C34=Repart_lignes,0,
(SUMIF(Fonctionnement[Affectation matrice],$A34,Fonctionnement[Montant (€HT)])+SUMIF(Invest[Affectation matrice],$A34,Invest[Amortissement HT + intérêts]))*DC34)</f>
        <v>0</v>
      </c>
      <c r="CD34" s="56">
        <f>IF($C34=Repart_lignes,0,
(SUMIF(Fonctionnement[Affectation matrice],$A34,Fonctionnement[Montant (€HT)])+SUMIF(Invest[Affectation matrice],$A34,Invest[Amortissement HT + intérêts]))*DD34)</f>
        <v>0</v>
      </c>
      <c r="CE34" s="59">
        <f t="shared" si="2"/>
        <v>0</v>
      </c>
      <c r="CF34" s="61">
        <f t="shared" si="3"/>
        <v>0</v>
      </c>
      <c r="CG34" s="61">
        <f t="shared" si="4"/>
        <v>0</v>
      </c>
      <c r="CH34" s="61">
        <f t="shared" si="5"/>
        <v>0</v>
      </c>
      <c r="CI34" s="61">
        <f t="shared" si="6"/>
        <v>0</v>
      </c>
      <c r="CJ34" s="61">
        <f t="shared" si="7"/>
        <v>0</v>
      </c>
      <c r="CK34" s="61">
        <f t="shared" si="8"/>
        <v>0</v>
      </c>
      <c r="CL34" s="61">
        <f t="shared" si="9"/>
        <v>0</v>
      </c>
      <c r="CM34" s="61">
        <f t="shared" si="10"/>
        <v>0</v>
      </c>
      <c r="CN34" s="61">
        <f t="shared" si="11"/>
        <v>0</v>
      </c>
      <c r="CO34" s="61">
        <f t="shared" si="12"/>
        <v>0</v>
      </c>
      <c r="CP34" s="61">
        <f t="shared" si="13"/>
        <v>0</v>
      </c>
      <c r="CQ34" s="61">
        <f t="shared" si="14"/>
        <v>0</v>
      </c>
      <c r="CR34" s="61">
        <f t="shared" si="15"/>
        <v>0</v>
      </c>
      <c r="CS34" s="61">
        <f t="shared" si="16"/>
        <v>0</v>
      </c>
      <c r="CT34" s="61">
        <f t="shared" si="17"/>
        <v>0</v>
      </c>
      <c r="CU34" s="61">
        <f t="shared" si="18"/>
        <v>0</v>
      </c>
      <c r="CV34" s="61">
        <f t="shared" si="19"/>
        <v>0</v>
      </c>
      <c r="CW34" s="61">
        <f t="shared" si="20"/>
        <v>0</v>
      </c>
      <c r="CX34" s="61">
        <f t="shared" si="21"/>
        <v>0</v>
      </c>
      <c r="CY34" s="61">
        <f t="shared" si="22"/>
        <v>0</v>
      </c>
      <c r="CZ34" s="61">
        <f t="shared" si="23"/>
        <v>0</v>
      </c>
      <c r="DA34" s="61">
        <f t="shared" si="24"/>
        <v>0</v>
      </c>
      <c r="DB34" s="61">
        <f t="shared" si="25"/>
        <v>0</v>
      </c>
      <c r="DC34" s="61">
        <f t="shared" si="26"/>
        <v>0</v>
      </c>
      <c r="DD34" s="61">
        <f t="shared" si="27"/>
        <v>0</v>
      </c>
      <c r="DE34" s="61">
        <f t="shared" si="28"/>
        <v>0</v>
      </c>
      <c r="DF34" s="7"/>
    </row>
    <row r="35" spans="1:110" s="22" customFormat="1" x14ac:dyDescent="0.25">
      <c r="A35" s="248"/>
      <c r="B35" s="248"/>
      <c r="C35" s="251"/>
      <c r="D35" s="25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1">
        <f t="shared" si="30"/>
        <v>0</v>
      </c>
      <c r="AE35" s="53" t="str">
        <f t="shared" ca="1" si="29"/>
        <v/>
      </c>
      <c r="AF35" s="56">
        <f>IF($C35=Repart_lignes,0,
(SUMIF(Fonctionnement[Affectation matrice],$A35,Fonctionnement[TVA acquittée])+SUMIF(Invest[Affectation matrice],$A35,Invest[TVA acquittée]))*CF35)</f>
        <v>0</v>
      </c>
      <c r="AG35" s="56">
        <f>IF($C35=Repart_lignes,0,
(SUMIF(Fonctionnement[Affectation matrice],$A35,Fonctionnement[TVA acquittée])+SUMIF(Invest[Affectation matrice],$A35,Invest[TVA acquittée]))*CG35)</f>
        <v>0</v>
      </c>
      <c r="AH35" s="56">
        <f>IF($C35=Repart_lignes,0,
(SUMIF(Fonctionnement[Affectation matrice],$A35,Fonctionnement[TVA acquittée])+SUMIF(Invest[Affectation matrice],$A35,Invest[TVA acquittée]))*CH35)</f>
        <v>0</v>
      </c>
      <c r="AI35" s="56">
        <f>IF($C35=Repart_lignes,0,
(SUMIF(Fonctionnement[Affectation matrice],$A35,Fonctionnement[TVA acquittée])+SUMIF(Invest[Affectation matrice],$A35,Invest[TVA acquittée]))*CI35)</f>
        <v>0</v>
      </c>
      <c r="AJ35" s="56">
        <f>IF($C35=Repart_lignes,0,
(SUMIF(Fonctionnement[Affectation matrice],$A35,Fonctionnement[TVA acquittée])+SUMIF(Invest[Affectation matrice],$A35,Invest[TVA acquittée]))*CJ35)</f>
        <v>0</v>
      </c>
      <c r="AK35" s="56">
        <f>IF($C35=Repart_lignes,0,
(SUMIF(Fonctionnement[Affectation matrice],$A35,Fonctionnement[TVA acquittée])+SUMIF(Invest[Affectation matrice],$A35,Invest[TVA acquittée]))*CK35)</f>
        <v>0</v>
      </c>
      <c r="AL35" s="56">
        <f>IF($C35=Repart_lignes,0,
(SUMIF(Fonctionnement[Affectation matrice],$A35,Fonctionnement[TVA acquittée])+SUMIF(Invest[Affectation matrice],$A35,Invest[TVA acquittée]))*CL35)</f>
        <v>0</v>
      </c>
      <c r="AM35" s="56">
        <f>IF($C35=Repart_lignes,0,
(SUMIF(Fonctionnement[Affectation matrice],$A35,Fonctionnement[TVA acquittée])+SUMIF(Invest[Affectation matrice],$A35,Invest[TVA acquittée]))*CM35)</f>
        <v>0</v>
      </c>
      <c r="AN35" s="56">
        <f>IF($C35=Repart_lignes,0,
(SUMIF(Fonctionnement[Affectation matrice],$A35,Fonctionnement[TVA acquittée])+SUMIF(Invest[Affectation matrice],$A35,Invest[TVA acquittée]))*CN35)</f>
        <v>0</v>
      </c>
      <c r="AO35" s="56">
        <f>IF($C35=Repart_lignes,0,
(SUMIF(Fonctionnement[Affectation matrice],$A35,Fonctionnement[TVA acquittée])+SUMIF(Invest[Affectation matrice],$A35,Invest[TVA acquittée]))*CO35)</f>
        <v>0</v>
      </c>
      <c r="AP35" s="56">
        <f>IF($C35=Repart_lignes,0,
(SUMIF(Fonctionnement[Affectation matrice],$A35,Fonctionnement[TVA acquittée])+SUMIF(Invest[Affectation matrice],$A35,Invest[TVA acquittée]))*CP35)</f>
        <v>0</v>
      </c>
      <c r="AQ35" s="56">
        <f>IF($C35=Repart_lignes,0,
(SUMIF(Fonctionnement[Affectation matrice],$A35,Fonctionnement[TVA acquittée])+SUMIF(Invest[Affectation matrice],$A35,Invest[TVA acquittée]))*CQ35)</f>
        <v>0</v>
      </c>
      <c r="AR35" s="56">
        <f>IF($C35=Repart_lignes,0,
(SUMIF(Fonctionnement[Affectation matrice],$A35,Fonctionnement[TVA acquittée])+SUMIF(Invest[Affectation matrice],$A35,Invest[TVA acquittée]))*CR35)</f>
        <v>0</v>
      </c>
      <c r="AS35" s="56">
        <f>IF($C35=Repart_lignes,0,
(SUMIF(Fonctionnement[Affectation matrice],$A35,Fonctionnement[TVA acquittée])+SUMIF(Invest[Affectation matrice],$A35,Invest[TVA acquittée]))*CS35)</f>
        <v>0</v>
      </c>
      <c r="AT35" s="56">
        <f>IF($C35=Repart_lignes,0,
(SUMIF(Fonctionnement[Affectation matrice],$A35,Fonctionnement[TVA acquittée])+SUMIF(Invest[Affectation matrice],$A35,Invest[TVA acquittée]))*CT35)</f>
        <v>0</v>
      </c>
      <c r="AU35" s="56">
        <f>IF($C35=Repart_lignes,0,
(SUMIF(Fonctionnement[Affectation matrice],$A35,Fonctionnement[TVA acquittée])+SUMIF(Invest[Affectation matrice],$A35,Invest[TVA acquittée]))*CU35)</f>
        <v>0</v>
      </c>
      <c r="AV35" s="56">
        <f>IF($C35=Repart_lignes,0,
(SUMIF(Fonctionnement[Affectation matrice],$A35,Fonctionnement[TVA acquittée])+SUMIF(Invest[Affectation matrice],$A35,Invest[TVA acquittée]))*CV35)</f>
        <v>0</v>
      </c>
      <c r="AW35" s="56">
        <f>IF($C35=Repart_lignes,0,
(SUMIF(Fonctionnement[Affectation matrice],$A35,Fonctionnement[TVA acquittée])+SUMIF(Invest[Affectation matrice],$A35,Invest[TVA acquittée]))*CW35)</f>
        <v>0</v>
      </c>
      <c r="AX35" s="56">
        <f>IF($C35=Repart_lignes,0,
(SUMIF(Fonctionnement[Affectation matrice],$A35,Fonctionnement[TVA acquittée])+SUMIF(Invest[Affectation matrice],$A35,Invest[TVA acquittée]))*CX35)</f>
        <v>0</v>
      </c>
      <c r="AY35" s="56">
        <f>IF($C35=Repart_lignes,0,
(SUMIF(Fonctionnement[Affectation matrice],$A35,Fonctionnement[TVA acquittée])+SUMIF(Invest[Affectation matrice],$A35,Invest[TVA acquittée]))*CY35)</f>
        <v>0</v>
      </c>
      <c r="AZ35" s="56">
        <f>IF($C35=Repart_lignes,0,
(SUMIF(Fonctionnement[Affectation matrice],$A35,Fonctionnement[TVA acquittée])+SUMIF(Invest[Affectation matrice],$A35,Invest[TVA acquittée]))*CZ35)</f>
        <v>0</v>
      </c>
      <c r="BA35" s="56">
        <f>IF($C35=Repart_lignes,0,
(SUMIF(Fonctionnement[Affectation matrice],$A35,Fonctionnement[TVA acquittée])+SUMIF(Invest[Affectation matrice],$A35,Invest[TVA acquittée]))*DA35)</f>
        <v>0</v>
      </c>
      <c r="BB35" s="56">
        <f>IF($C35=Repart_lignes,0,
(SUMIF(Fonctionnement[Affectation matrice],$A35,Fonctionnement[TVA acquittée])+SUMIF(Invest[Affectation matrice],$A35,Invest[TVA acquittée]))*DB35)</f>
        <v>0</v>
      </c>
      <c r="BC35" s="56">
        <f>IF($C35=Repart_lignes,0,
(SUMIF(Fonctionnement[Affectation matrice],$A35,Fonctionnement[TVA acquittée])+SUMIF(Invest[Affectation matrice],$A35,Invest[TVA acquittée]))*DC35)</f>
        <v>0</v>
      </c>
      <c r="BD35" s="56">
        <f>IF($C35=Repart_lignes,0,
(SUMIF(Fonctionnement[Affectation matrice],$A35,Fonctionnement[TVA acquittée])+SUMIF(Invest[Affectation matrice],$A35,Invest[TVA acquittée]))*DD35)</f>
        <v>0</v>
      </c>
      <c r="BE35" s="58">
        <f t="shared" si="1"/>
        <v>0</v>
      </c>
      <c r="BF35" s="56">
        <f>IF($C35=Repart_lignes,0,
(SUMIF(Fonctionnement[Affectation matrice],$A35,Fonctionnement[Montant (€HT)])+SUMIF(Invest[Affectation matrice],$A35,Invest[Amortissement HT + intérêts]))*CF35)</f>
        <v>0</v>
      </c>
      <c r="BG35" s="56">
        <f>IF($C35=Repart_lignes,0,
(SUMIF(Fonctionnement[Affectation matrice],$A35,Fonctionnement[Montant (€HT)])+SUMIF(Invest[Affectation matrice],$A35,Invest[Amortissement HT + intérêts]))*CG35)</f>
        <v>0</v>
      </c>
      <c r="BH35" s="56">
        <f>IF($C35=Repart_lignes,0,
(SUMIF(Fonctionnement[Affectation matrice],$A35,Fonctionnement[Montant (€HT)])+SUMIF(Invest[Affectation matrice],$A35,Invest[Amortissement HT + intérêts]))*CH35)</f>
        <v>0</v>
      </c>
      <c r="BI35" s="56">
        <f>IF($C35=Repart_lignes,0,
(SUMIF(Fonctionnement[Affectation matrice],$A35,Fonctionnement[Montant (€HT)])+SUMIF(Invest[Affectation matrice],$A35,Invest[Amortissement HT + intérêts]))*CI35)</f>
        <v>0</v>
      </c>
      <c r="BJ35" s="56">
        <f>IF($C35=Repart_lignes,0,
(SUMIF(Fonctionnement[Affectation matrice],$A35,Fonctionnement[Montant (€HT)])+SUMIF(Invest[Affectation matrice],$A35,Invest[Amortissement HT + intérêts]))*CJ35)</f>
        <v>0</v>
      </c>
      <c r="BK35" s="56">
        <f>IF($C35=Repart_lignes,0,
(SUMIF(Fonctionnement[Affectation matrice],$A35,Fonctionnement[Montant (€HT)])+SUMIF(Invest[Affectation matrice],$A35,Invest[Amortissement HT + intérêts]))*CK35)</f>
        <v>0</v>
      </c>
      <c r="BL35" s="56">
        <f>IF($C35=Repart_lignes,0,
(SUMIF(Fonctionnement[Affectation matrice],$A35,Fonctionnement[Montant (€HT)])+SUMIF(Invest[Affectation matrice],$A35,Invest[Amortissement HT + intérêts]))*CL35)</f>
        <v>0</v>
      </c>
      <c r="BM35" s="56">
        <f>IF($C35=Repart_lignes,0,
(SUMIF(Fonctionnement[Affectation matrice],$A35,Fonctionnement[Montant (€HT)])+SUMIF(Invest[Affectation matrice],$A35,Invest[Amortissement HT + intérêts]))*CM35)</f>
        <v>0</v>
      </c>
      <c r="BN35" s="56">
        <f>IF($C35=Repart_lignes,0,
(SUMIF(Fonctionnement[Affectation matrice],$A35,Fonctionnement[Montant (€HT)])+SUMIF(Invest[Affectation matrice],$A35,Invest[Amortissement HT + intérêts]))*CN35)</f>
        <v>0</v>
      </c>
      <c r="BO35" s="56">
        <f>IF($C35=Repart_lignes,0,
(SUMIF(Fonctionnement[Affectation matrice],$A35,Fonctionnement[Montant (€HT)])+SUMIF(Invest[Affectation matrice],$A35,Invest[Amortissement HT + intérêts]))*CO35)</f>
        <v>0</v>
      </c>
      <c r="BP35" s="56">
        <f>IF($C35=Repart_lignes,0,
(SUMIF(Fonctionnement[Affectation matrice],$A35,Fonctionnement[Montant (€HT)])+SUMIF(Invest[Affectation matrice],$A35,Invest[Amortissement HT + intérêts]))*CP35)</f>
        <v>0</v>
      </c>
      <c r="BQ35" s="56">
        <f>IF($C35=Repart_lignes,0,
(SUMIF(Fonctionnement[Affectation matrice],$A35,Fonctionnement[Montant (€HT)])+SUMIF(Invest[Affectation matrice],$A35,Invest[Amortissement HT + intérêts]))*CQ35)</f>
        <v>0</v>
      </c>
      <c r="BR35" s="56">
        <f>IF($C35=Repart_lignes,0,
(SUMIF(Fonctionnement[Affectation matrice],$A35,Fonctionnement[Montant (€HT)])+SUMIF(Invest[Affectation matrice],$A35,Invest[Amortissement HT + intérêts]))*CR35)</f>
        <v>0</v>
      </c>
      <c r="BS35" s="56">
        <f>IF($C35=Repart_lignes,0,
(SUMIF(Fonctionnement[Affectation matrice],$A35,Fonctionnement[Montant (€HT)])+SUMIF(Invest[Affectation matrice],$A35,Invest[Amortissement HT + intérêts]))*CS35)</f>
        <v>0</v>
      </c>
      <c r="BT35" s="56">
        <f>IF($C35=Repart_lignes,0,
(SUMIF(Fonctionnement[Affectation matrice],$A35,Fonctionnement[Montant (€HT)])+SUMIF(Invest[Affectation matrice],$A35,Invest[Amortissement HT + intérêts]))*CT35)</f>
        <v>0</v>
      </c>
      <c r="BU35" s="56">
        <f>IF($C35=Repart_lignes,0,
(SUMIF(Fonctionnement[Affectation matrice],$A35,Fonctionnement[Montant (€HT)])+SUMIF(Invest[Affectation matrice],$A35,Invest[Amortissement HT + intérêts]))*CU35)</f>
        <v>0</v>
      </c>
      <c r="BV35" s="56">
        <f>IF($C35=Repart_lignes,0,
(SUMIF(Fonctionnement[Affectation matrice],$A35,Fonctionnement[Montant (€HT)])+SUMIF(Invest[Affectation matrice],$A35,Invest[Amortissement HT + intérêts]))*CV35)</f>
        <v>0</v>
      </c>
      <c r="BW35" s="56">
        <f>IF($C35=Repart_lignes,0,
(SUMIF(Fonctionnement[Affectation matrice],$A35,Fonctionnement[Montant (€HT)])+SUMIF(Invest[Affectation matrice],$A35,Invest[Amortissement HT + intérêts]))*CW35)</f>
        <v>0</v>
      </c>
      <c r="BX35" s="56">
        <f>IF($C35=Repart_lignes,0,
(SUMIF(Fonctionnement[Affectation matrice],$A35,Fonctionnement[Montant (€HT)])+SUMIF(Invest[Affectation matrice],$A35,Invest[Amortissement HT + intérêts]))*CX35)</f>
        <v>0</v>
      </c>
      <c r="BY35" s="56">
        <f>IF($C35=Repart_lignes,0,
(SUMIF(Fonctionnement[Affectation matrice],$A35,Fonctionnement[Montant (€HT)])+SUMIF(Invest[Affectation matrice],$A35,Invest[Amortissement HT + intérêts]))*CY35)</f>
        <v>0</v>
      </c>
      <c r="BZ35" s="56">
        <f>IF($C35=Repart_lignes,0,
(SUMIF(Fonctionnement[Affectation matrice],$A35,Fonctionnement[Montant (€HT)])+SUMIF(Invest[Affectation matrice],$A35,Invest[Amortissement HT + intérêts]))*CZ35)</f>
        <v>0</v>
      </c>
      <c r="CA35" s="56">
        <f>IF($C35=Repart_lignes,0,
(SUMIF(Fonctionnement[Affectation matrice],$A35,Fonctionnement[Montant (€HT)])+SUMIF(Invest[Affectation matrice],$A35,Invest[Amortissement HT + intérêts]))*DA35)</f>
        <v>0</v>
      </c>
      <c r="CB35" s="56">
        <f>IF($C35=Repart_lignes,0,
(SUMIF(Fonctionnement[Affectation matrice],$A35,Fonctionnement[Montant (€HT)])+SUMIF(Invest[Affectation matrice],$A35,Invest[Amortissement HT + intérêts]))*DB35)</f>
        <v>0</v>
      </c>
      <c r="CC35" s="56">
        <f>IF($C35=Repart_lignes,0,
(SUMIF(Fonctionnement[Affectation matrice],$A35,Fonctionnement[Montant (€HT)])+SUMIF(Invest[Affectation matrice],$A35,Invest[Amortissement HT + intérêts]))*DC35)</f>
        <v>0</v>
      </c>
      <c r="CD35" s="56">
        <f>IF($C35=Repart_lignes,0,
(SUMIF(Fonctionnement[Affectation matrice],$A35,Fonctionnement[Montant (€HT)])+SUMIF(Invest[Affectation matrice],$A35,Invest[Amortissement HT + intérêts]))*DD35)</f>
        <v>0</v>
      </c>
      <c r="CE35" s="59">
        <f t="shared" si="2"/>
        <v>0</v>
      </c>
      <c r="CF35" s="61">
        <f t="shared" si="3"/>
        <v>0</v>
      </c>
      <c r="CG35" s="61">
        <f t="shared" si="4"/>
        <v>0</v>
      </c>
      <c r="CH35" s="61">
        <f t="shared" si="5"/>
        <v>0</v>
      </c>
      <c r="CI35" s="61">
        <f t="shared" si="6"/>
        <v>0</v>
      </c>
      <c r="CJ35" s="61">
        <f t="shared" si="7"/>
        <v>0</v>
      </c>
      <c r="CK35" s="61">
        <f t="shared" si="8"/>
        <v>0</v>
      </c>
      <c r="CL35" s="61">
        <f t="shared" si="9"/>
        <v>0</v>
      </c>
      <c r="CM35" s="61">
        <f t="shared" si="10"/>
        <v>0</v>
      </c>
      <c r="CN35" s="61">
        <f t="shared" si="11"/>
        <v>0</v>
      </c>
      <c r="CO35" s="61">
        <f t="shared" si="12"/>
        <v>0</v>
      </c>
      <c r="CP35" s="61">
        <f t="shared" si="13"/>
        <v>0</v>
      </c>
      <c r="CQ35" s="61">
        <f t="shared" si="14"/>
        <v>0</v>
      </c>
      <c r="CR35" s="61">
        <f t="shared" si="15"/>
        <v>0</v>
      </c>
      <c r="CS35" s="61">
        <f t="shared" si="16"/>
        <v>0</v>
      </c>
      <c r="CT35" s="61">
        <f t="shared" si="17"/>
        <v>0</v>
      </c>
      <c r="CU35" s="61">
        <f t="shared" si="18"/>
        <v>0</v>
      </c>
      <c r="CV35" s="61">
        <f t="shared" si="19"/>
        <v>0</v>
      </c>
      <c r="CW35" s="61">
        <f t="shared" si="20"/>
        <v>0</v>
      </c>
      <c r="CX35" s="61">
        <f t="shared" si="21"/>
        <v>0</v>
      </c>
      <c r="CY35" s="61">
        <f t="shared" si="22"/>
        <v>0</v>
      </c>
      <c r="CZ35" s="61">
        <f t="shared" si="23"/>
        <v>0</v>
      </c>
      <c r="DA35" s="61">
        <f t="shared" si="24"/>
        <v>0</v>
      </c>
      <c r="DB35" s="61">
        <f t="shared" si="25"/>
        <v>0</v>
      </c>
      <c r="DC35" s="61">
        <f t="shared" si="26"/>
        <v>0</v>
      </c>
      <c r="DD35" s="61">
        <f t="shared" si="27"/>
        <v>0</v>
      </c>
      <c r="DE35" s="61">
        <f t="shared" si="28"/>
        <v>0</v>
      </c>
      <c r="DF35" s="7"/>
    </row>
    <row r="36" spans="1:110" s="22" customFormat="1" x14ac:dyDescent="0.25">
      <c r="A36" s="248"/>
      <c r="B36" s="248"/>
      <c r="C36" s="251"/>
      <c r="D36" s="25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1">
        <f t="shared" ref="AD36:AD67" si="31">SUM(E36:AC36)</f>
        <v>0</v>
      </c>
      <c r="AE36" s="53" t="str">
        <f t="shared" ca="1" si="29"/>
        <v/>
      </c>
      <c r="AF36" s="56">
        <f>IF($C36=Repart_lignes,0,
(SUMIF(Fonctionnement[Affectation matrice],$A36,Fonctionnement[TVA acquittée])+SUMIF(Invest[Affectation matrice],$A36,Invest[TVA acquittée]))*CF36)</f>
        <v>0</v>
      </c>
      <c r="AG36" s="56">
        <f>IF($C36=Repart_lignes,0,
(SUMIF(Fonctionnement[Affectation matrice],$A36,Fonctionnement[TVA acquittée])+SUMIF(Invest[Affectation matrice],$A36,Invest[TVA acquittée]))*CG36)</f>
        <v>0</v>
      </c>
      <c r="AH36" s="56">
        <f>IF($C36=Repart_lignes,0,
(SUMIF(Fonctionnement[Affectation matrice],$A36,Fonctionnement[TVA acquittée])+SUMIF(Invest[Affectation matrice],$A36,Invest[TVA acquittée]))*CH36)</f>
        <v>0</v>
      </c>
      <c r="AI36" s="56">
        <f>IF($C36=Repart_lignes,0,
(SUMIF(Fonctionnement[Affectation matrice],$A36,Fonctionnement[TVA acquittée])+SUMIF(Invest[Affectation matrice],$A36,Invest[TVA acquittée]))*CI36)</f>
        <v>0</v>
      </c>
      <c r="AJ36" s="56">
        <f>IF($C36=Repart_lignes,0,
(SUMIF(Fonctionnement[Affectation matrice],$A36,Fonctionnement[TVA acquittée])+SUMIF(Invest[Affectation matrice],$A36,Invest[TVA acquittée]))*CJ36)</f>
        <v>0</v>
      </c>
      <c r="AK36" s="56">
        <f>IF($C36=Repart_lignes,0,
(SUMIF(Fonctionnement[Affectation matrice],$A36,Fonctionnement[TVA acquittée])+SUMIF(Invest[Affectation matrice],$A36,Invest[TVA acquittée]))*CK36)</f>
        <v>0</v>
      </c>
      <c r="AL36" s="56">
        <f>IF($C36=Repart_lignes,0,
(SUMIF(Fonctionnement[Affectation matrice],$A36,Fonctionnement[TVA acquittée])+SUMIF(Invest[Affectation matrice],$A36,Invest[TVA acquittée]))*CL36)</f>
        <v>0</v>
      </c>
      <c r="AM36" s="56">
        <f>IF($C36=Repart_lignes,0,
(SUMIF(Fonctionnement[Affectation matrice],$A36,Fonctionnement[TVA acquittée])+SUMIF(Invest[Affectation matrice],$A36,Invest[TVA acquittée]))*CM36)</f>
        <v>0</v>
      </c>
      <c r="AN36" s="56">
        <f>IF($C36=Repart_lignes,0,
(SUMIF(Fonctionnement[Affectation matrice],$A36,Fonctionnement[TVA acquittée])+SUMIF(Invest[Affectation matrice],$A36,Invest[TVA acquittée]))*CN36)</f>
        <v>0</v>
      </c>
      <c r="AO36" s="56">
        <f>IF($C36=Repart_lignes,0,
(SUMIF(Fonctionnement[Affectation matrice],$A36,Fonctionnement[TVA acquittée])+SUMIF(Invest[Affectation matrice],$A36,Invest[TVA acquittée]))*CO36)</f>
        <v>0</v>
      </c>
      <c r="AP36" s="56">
        <f>IF($C36=Repart_lignes,0,
(SUMIF(Fonctionnement[Affectation matrice],$A36,Fonctionnement[TVA acquittée])+SUMIF(Invest[Affectation matrice],$A36,Invest[TVA acquittée]))*CP36)</f>
        <v>0</v>
      </c>
      <c r="AQ36" s="56">
        <f>IF($C36=Repart_lignes,0,
(SUMIF(Fonctionnement[Affectation matrice],$A36,Fonctionnement[TVA acquittée])+SUMIF(Invest[Affectation matrice],$A36,Invest[TVA acquittée]))*CQ36)</f>
        <v>0</v>
      </c>
      <c r="AR36" s="56">
        <f>IF($C36=Repart_lignes,0,
(SUMIF(Fonctionnement[Affectation matrice],$A36,Fonctionnement[TVA acquittée])+SUMIF(Invest[Affectation matrice],$A36,Invest[TVA acquittée]))*CR36)</f>
        <v>0</v>
      </c>
      <c r="AS36" s="56">
        <f>IF($C36=Repart_lignes,0,
(SUMIF(Fonctionnement[Affectation matrice],$A36,Fonctionnement[TVA acquittée])+SUMIF(Invest[Affectation matrice],$A36,Invest[TVA acquittée]))*CS36)</f>
        <v>0</v>
      </c>
      <c r="AT36" s="56">
        <f>IF($C36=Repart_lignes,0,
(SUMIF(Fonctionnement[Affectation matrice],$A36,Fonctionnement[TVA acquittée])+SUMIF(Invest[Affectation matrice],$A36,Invest[TVA acquittée]))*CT36)</f>
        <v>0</v>
      </c>
      <c r="AU36" s="56">
        <f>IF($C36=Repart_lignes,0,
(SUMIF(Fonctionnement[Affectation matrice],$A36,Fonctionnement[TVA acquittée])+SUMIF(Invest[Affectation matrice],$A36,Invest[TVA acquittée]))*CU36)</f>
        <v>0</v>
      </c>
      <c r="AV36" s="56">
        <f>IF($C36=Repart_lignes,0,
(SUMIF(Fonctionnement[Affectation matrice],$A36,Fonctionnement[TVA acquittée])+SUMIF(Invest[Affectation matrice],$A36,Invest[TVA acquittée]))*CV36)</f>
        <v>0</v>
      </c>
      <c r="AW36" s="56">
        <f>IF($C36=Repart_lignes,0,
(SUMIF(Fonctionnement[Affectation matrice],$A36,Fonctionnement[TVA acquittée])+SUMIF(Invest[Affectation matrice],$A36,Invest[TVA acquittée]))*CW36)</f>
        <v>0</v>
      </c>
      <c r="AX36" s="56">
        <f>IF($C36=Repart_lignes,0,
(SUMIF(Fonctionnement[Affectation matrice],$A36,Fonctionnement[TVA acquittée])+SUMIF(Invest[Affectation matrice],$A36,Invest[TVA acquittée]))*CX36)</f>
        <v>0</v>
      </c>
      <c r="AY36" s="56">
        <f>IF($C36=Repart_lignes,0,
(SUMIF(Fonctionnement[Affectation matrice],$A36,Fonctionnement[TVA acquittée])+SUMIF(Invest[Affectation matrice],$A36,Invest[TVA acquittée]))*CY36)</f>
        <v>0</v>
      </c>
      <c r="AZ36" s="56">
        <f>IF($C36=Repart_lignes,0,
(SUMIF(Fonctionnement[Affectation matrice],$A36,Fonctionnement[TVA acquittée])+SUMIF(Invest[Affectation matrice],$A36,Invest[TVA acquittée]))*CZ36)</f>
        <v>0</v>
      </c>
      <c r="BA36" s="56">
        <f>IF($C36=Repart_lignes,0,
(SUMIF(Fonctionnement[Affectation matrice],$A36,Fonctionnement[TVA acquittée])+SUMIF(Invest[Affectation matrice],$A36,Invest[TVA acquittée]))*DA36)</f>
        <v>0</v>
      </c>
      <c r="BB36" s="56">
        <f>IF($C36=Repart_lignes,0,
(SUMIF(Fonctionnement[Affectation matrice],$A36,Fonctionnement[TVA acquittée])+SUMIF(Invest[Affectation matrice],$A36,Invest[TVA acquittée]))*DB36)</f>
        <v>0</v>
      </c>
      <c r="BC36" s="56">
        <f>IF($C36=Repart_lignes,0,
(SUMIF(Fonctionnement[Affectation matrice],$A36,Fonctionnement[TVA acquittée])+SUMIF(Invest[Affectation matrice],$A36,Invest[TVA acquittée]))*DC36)</f>
        <v>0</v>
      </c>
      <c r="BD36" s="56">
        <f>IF($C36=Repart_lignes,0,
(SUMIF(Fonctionnement[Affectation matrice],$A36,Fonctionnement[TVA acquittée])+SUMIF(Invest[Affectation matrice],$A36,Invest[TVA acquittée]))*DD36)</f>
        <v>0</v>
      </c>
      <c r="BE36" s="58">
        <f t="shared" ref="BE36:BE67" si="32">SUM(AF36:BD36)</f>
        <v>0</v>
      </c>
      <c r="BF36" s="56">
        <f>IF($C36=Repart_lignes,0,
(SUMIF(Fonctionnement[Affectation matrice],$A36,Fonctionnement[Montant (€HT)])+SUMIF(Invest[Affectation matrice],$A36,Invest[Amortissement HT + intérêts]))*CF36)</f>
        <v>0</v>
      </c>
      <c r="BG36" s="56">
        <f>IF($C36=Repart_lignes,0,
(SUMIF(Fonctionnement[Affectation matrice],$A36,Fonctionnement[Montant (€HT)])+SUMIF(Invest[Affectation matrice],$A36,Invest[Amortissement HT + intérêts]))*CG36)</f>
        <v>0</v>
      </c>
      <c r="BH36" s="56">
        <f>IF($C36=Repart_lignes,0,
(SUMIF(Fonctionnement[Affectation matrice],$A36,Fonctionnement[Montant (€HT)])+SUMIF(Invest[Affectation matrice],$A36,Invest[Amortissement HT + intérêts]))*CH36)</f>
        <v>0</v>
      </c>
      <c r="BI36" s="56">
        <f>IF($C36=Repart_lignes,0,
(SUMIF(Fonctionnement[Affectation matrice],$A36,Fonctionnement[Montant (€HT)])+SUMIF(Invest[Affectation matrice],$A36,Invest[Amortissement HT + intérêts]))*CI36)</f>
        <v>0</v>
      </c>
      <c r="BJ36" s="56">
        <f>IF($C36=Repart_lignes,0,
(SUMIF(Fonctionnement[Affectation matrice],$A36,Fonctionnement[Montant (€HT)])+SUMIF(Invest[Affectation matrice],$A36,Invest[Amortissement HT + intérêts]))*CJ36)</f>
        <v>0</v>
      </c>
      <c r="BK36" s="56">
        <f>IF($C36=Repart_lignes,0,
(SUMIF(Fonctionnement[Affectation matrice],$A36,Fonctionnement[Montant (€HT)])+SUMIF(Invest[Affectation matrice],$A36,Invest[Amortissement HT + intérêts]))*CK36)</f>
        <v>0</v>
      </c>
      <c r="BL36" s="56">
        <f>IF($C36=Repart_lignes,0,
(SUMIF(Fonctionnement[Affectation matrice],$A36,Fonctionnement[Montant (€HT)])+SUMIF(Invest[Affectation matrice],$A36,Invest[Amortissement HT + intérêts]))*CL36)</f>
        <v>0</v>
      </c>
      <c r="BM36" s="56">
        <f>IF($C36=Repart_lignes,0,
(SUMIF(Fonctionnement[Affectation matrice],$A36,Fonctionnement[Montant (€HT)])+SUMIF(Invest[Affectation matrice],$A36,Invest[Amortissement HT + intérêts]))*CM36)</f>
        <v>0</v>
      </c>
      <c r="BN36" s="56">
        <f>IF($C36=Repart_lignes,0,
(SUMIF(Fonctionnement[Affectation matrice],$A36,Fonctionnement[Montant (€HT)])+SUMIF(Invest[Affectation matrice],$A36,Invest[Amortissement HT + intérêts]))*CN36)</f>
        <v>0</v>
      </c>
      <c r="BO36" s="56">
        <f>IF($C36=Repart_lignes,0,
(SUMIF(Fonctionnement[Affectation matrice],$A36,Fonctionnement[Montant (€HT)])+SUMIF(Invest[Affectation matrice],$A36,Invest[Amortissement HT + intérêts]))*CO36)</f>
        <v>0</v>
      </c>
      <c r="BP36" s="56">
        <f>IF($C36=Repart_lignes,0,
(SUMIF(Fonctionnement[Affectation matrice],$A36,Fonctionnement[Montant (€HT)])+SUMIF(Invest[Affectation matrice],$A36,Invest[Amortissement HT + intérêts]))*CP36)</f>
        <v>0</v>
      </c>
      <c r="BQ36" s="56">
        <f>IF($C36=Repart_lignes,0,
(SUMIF(Fonctionnement[Affectation matrice],$A36,Fonctionnement[Montant (€HT)])+SUMIF(Invest[Affectation matrice],$A36,Invest[Amortissement HT + intérêts]))*CQ36)</f>
        <v>0</v>
      </c>
      <c r="BR36" s="56">
        <f>IF($C36=Repart_lignes,0,
(SUMIF(Fonctionnement[Affectation matrice],$A36,Fonctionnement[Montant (€HT)])+SUMIF(Invest[Affectation matrice],$A36,Invest[Amortissement HT + intérêts]))*CR36)</f>
        <v>0</v>
      </c>
      <c r="BS36" s="56">
        <f>IF($C36=Repart_lignes,0,
(SUMIF(Fonctionnement[Affectation matrice],$A36,Fonctionnement[Montant (€HT)])+SUMIF(Invest[Affectation matrice],$A36,Invest[Amortissement HT + intérêts]))*CS36)</f>
        <v>0</v>
      </c>
      <c r="BT36" s="56">
        <f>IF($C36=Repart_lignes,0,
(SUMIF(Fonctionnement[Affectation matrice],$A36,Fonctionnement[Montant (€HT)])+SUMIF(Invest[Affectation matrice],$A36,Invest[Amortissement HT + intérêts]))*CT36)</f>
        <v>0</v>
      </c>
      <c r="BU36" s="56">
        <f>IF($C36=Repart_lignes,0,
(SUMIF(Fonctionnement[Affectation matrice],$A36,Fonctionnement[Montant (€HT)])+SUMIF(Invest[Affectation matrice],$A36,Invest[Amortissement HT + intérêts]))*CU36)</f>
        <v>0</v>
      </c>
      <c r="BV36" s="56">
        <f>IF($C36=Repart_lignes,0,
(SUMIF(Fonctionnement[Affectation matrice],$A36,Fonctionnement[Montant (€HT)])+SUMIF(Invest[Affectation matrice],$A36,Invest[Amortissement HT + intérêts]))*CV36)</f>
        <v>0</v>
      </c>
      <c r="BW36" s="56">
        <f>IF($C36=Repart_lignes,0,
(SUMIF(Fonctionnement[Affectation matrice],$A36,Fonctionnement[Montant (€HT)])+SUMIF(Invest[Affectation matrice],$A36,Invest[Amortissement HT + intérêts]))*CW36)</f>
        <v>0</v>
      </c>
      <c r="BX36" s="56">
        <f>IF($C36=Repart_lignes,0,
(SUMIF(Fonctionnement[Affectation matrice],$A36,Fonctionnement[Montant (€HT)])+SUMIF(Invest[Affectation matrice],$A36,Invest[Amortissement HT + intérêts]))*CX36)</f>
        <v>0</v>
      </c>
      <c r="BY36" s="56">
        <f>IF($C36=Repart_lignes,0,
(SUMIF(Fonctionnement[Affectation matrice],$A36,Fonctionnement[Montant (€HT)])+SUMIF(Invest[Affectation matrice],$A36,Invest[Amortissement HT + intérêts]))*CY36)</f>
        <v>0</v>
      </c>
      <c r="BZ36" s="56">
        <f>IF($C36=Repart_lignes,0,
(SUMIF(Fonctionnement[Affectation matrice],$A36,Fonctionnement[Montant (€HT)])+SUMIF(Invest[Affectation matrice],$A36,Invest[Amortissement HT + intérêts]))*CZ36)</f>
        <v>0</v>
      </c>
      <c r="CA36" s="56">
        <f>IF($C36=Repart_lignes,0,
(SUMIF(Fonctionnement[Affectation matrice],$A36,Fonctionnement[Montant (€HT)])+SUMIF(Invest[Affectation matrice],$A36,Invest[Amortissement HT + intérêts]))*DA36)</f>
        <v>0</v>
      </c>
      <c r="CB36" s="56">
        <f>IF($C36=Repart_lignes,0,
(SUMIF(Fonctionnement[Affectation matrice],$A36,Fonctionnement[Montant (€HT)])+SUMIF(Invest[Affectation matrice],$A36,Invest[Amortissement HT + intérêts]))*DB36)</f>
        <v>0</v>
      </c>
      <c r="CC36" s="56">
        <f>IF($C36=Repart_lignes,0,
(SUMIF(Fonctionnement[Affectation matrice],$A36,Fonctionnement[Montant (€HT)])+SUMIF(Invest[Affectation matrice],$A36,Invest[Amortissement HT + intérêts]))*DC36)</f>
        <v>0</v>
      </c>
      <c r="CD36" s="56">
        <f>IF($C36=Repart_lignes,0,
(SUMIF(Fonctionnement[Affectation matrice],$A36,Fonctionnement[Montant (€HT)])+SUMIF(Invest[Affectation matrice],$A36,Invest[Amortissement HT + intérêts]))*DD36)</f>
        <v>0</v>
      </c>
      <c r="CE36" s="59">
        <f t="shared" ref="CE36:CE67" si="33">SUM(BF36:CD36)</f>
        <v>0</v>
      </c>
      <c r="CF36" s="61">
        <f t="shared" ref="CF36:CF67" si="34">IF($AD36=0,0,E36/$AD36)</f>
        <v>0</v>
      </c>
      <c r="CG36" s="61">
        <f t="shared" ref="CG36:CG67" si="35">IF($AD36=0,0,F36/$AD36)</f>
        <v>0</v>
      </c>
      <c r="CH36" s="61">
        <f t="shared" ref="CH36:CH67" si="36">IF($AD36=0,0,G36/$AD36)</f>
        <v>0</v>
      </c>
      <c r="CI36" s="61">
        <f t="shared" ref="CI36:CI67" si="37">IF($AD36=0,0,H36/$AD36)</f>
        <v>0</v>
      </c>
      <c r="CJ36" s="61">
        <f t="shared" ref="CJ36:CJ67" si="38">IF($AD36=0,0,I36/$AD36)</f>
        <v>0</v>
      </c>
      <c r="CK36" s="61">
        <f t="shared" ref="CK36:CK67" si="39">IF($AD36=0,0,J36/$AD36)</f>
        <v>0</v>
      </c>
      <c r="CL36" s="61">
        <f t="shared" ref="CL36:CL67" si="40">IF($AD36=0,0,K36/$AD36)</f>
        <v>0</v>
      </c>
      <c r="CM36" s="61">
        <f t="shared" ref="CM36:CM67" si="41">IF($AD36=0,0,L36/$AD36)</f>
        <v>0</v>
      </c>
      <c r="CN36" s="61">
        <f t="shared" ref="CN36:CN67" si="42">IF($AD36=0,0,M36/$AD36)</f>
        <v>0</v>
      </c>
      <c r="CO36" s="61">
        <f t="shared" ref="CO36:CO67" si="43">IF($AD36=0,0,N36/$AD36)</f>
        <v>0</v>
      </c>
      <c r="CP36" s="61">
        <f t="shared" ref="CP36:CP67" si="44">IF($AD36=0,0,O36/$AD36)</f>
        <v>0</v>
      </c>
      <c r="CQ36" s="61">
        <f t="shared" ref="CQ36:CQ67" si="45">IF($AD36=0,0,P36/$AD36)</f>
        <v>0</v>
      </c>
      <c r="CR36" s="61">
        <f t="shared" ref="CR36:CR67" si="46">IF($AD36=0,0,Q36/$AD36)</f>
        <v>0</v>
      </c>
      <c r="CS36" s="61">
        <f t="shared" ref="CS36:CS67" si="47">IF($AD36=0,0,R36/$AD36)</f>
        <v>0</v>
      </c>
      <c r="CT36" s="61">
        <f t="shared" ref="CT36:CT67" si="48">IF($AD36=0,0,S36/$AD36)</f>
        <v>0</v>
      </c>
      <c r="CU36" s="61">
        <f t="shared" ref="CU36:CU67" si="49">IF($AD36=0,0,T36/$AD36)</f>
        <v>0</v>
      </c>
      <c r="CV36" s="61">
        <f t="shared" ref="CV36:CV67" si="50">IF($AD36=0,0,U36/$AD36)</f>
        <v>0</v>
      </c>
      <c r="CW36" s="61">
        <f t="shared" ref="CW36:CW67" si="51">IF($AD36=0,0,V36/$AD36)</f>
        <v>0</v>
      </c>
      <c r="CX36" s="61">
        <f t="shared" ref="CX36:CX67" si="52">IF($AD36=0,0,W36/$AD36)</f>
        <v>0</v>
      </c>
      <c r="CY36" s="61">
        <f t="shared" ref="CY36:CY67" si="53">IF($AD36=0,0,X36/$AD36)</f>
        <v>0</v>
      </c>
      <c r="CZ36" s="61">
        <f t="shared" ref="CZ36:CZ67" si="54">IF($AD36=0,0,Y36/$AD36)</f>
        <v>0</v>
      </c>
      <c r="DA36" s="61">
        <f t="shared" ref="DA36:DA67" si="55">IF($AD36=0,0,Z36/$AD36)</f>
        <v>0</v>
      </c>
      <c r="DB36" s="61">
        <f t="shared" ref="DB36:DB67" si="56">IF($AD36=0,0,AA36/$AD36)</f>
        <v>0</v>
      </c>
      <c r="DC36" s="61">
        <f t="shared" ref="DC36:DC67" si="57">IF($AD36=0,0,AB36/$AD36)</f>
        <v>0</v>
      </c>
      <c r="DD36" s="61">
        <f t="shared" ref="DD36:DD67" si="58">IF($AD36=0,0,AC36/$AD36)</f>
        <v>0</v>
      </c>
      <c r="DE36" s="61">
        <f t="shared" ref="DE36:DE67" si="59">SUM(CF36:DD36)</f>
        <v>0</v>
      </c>
      <c r="DF36" s="7"/>
    </row>
    <row r="37" spans="1:110" s="22" customFormat="1" x14ac:dyDescent="0.25">
      <c r="A37" s="248"/>
      <c r="B37" s="248"/>
      <c r="C37" s="251"/>
      <c r="D37" s="25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1">
        <f t="shared" si="31"/>
        <v>0</v>
      </c>
      <c r="AE37" s="53" t="str">
        <f t="shared" ca="1" si="29"/>
        <v/>
      </c>
      <c r="AF37" s="56">
        <f>IF($C37=Repart_lignes,0,
(SUMIF(Fonctionnement[Affectation matrice],$A37,Fonctionnement[TVA acquittée])+SUMIF(Invest[Affectation matrice],$A37,Invest[TVA acquittée]))*CF37)</f>
        <v>0</v>
      </c>
      <c r="AG37" s="56">
        <f>IF($C37=Repart_lignes,0,
(SUMIF(Fonctionnement[Affectation matrice],$A37,Fonctionnement[TVA acquittée])+SUMIF(Invest[Affectation matrice],$A37,Invest[TVA acquittée]))*CG37)</f>
        <v>0</v>
      </c>
      <c r="AH37" s="56">
        <f>IF($C37=Repart_lignes,0,
(SUMIF(Fonctionnement[Affectation matrice],$A37,Fonctionnement[TVA acquittée])+SUMIF(Invest[Affectation matrice],$A37,Invest[TVA acquittée]))*CH37)</f>
        <v>0</v>
      </c>
      <c r="AI37" s="56">
        <f>IF($C37=Repart_lignes,0,
(SUMIF(Fonctionnement[Affectation matrice],$A37,Fonctionnement[TVA acquittée])+SUMIF(Invest[Affectation matrice],$A37,Invest[TVA acquittée]))*CI37)</f>
        <v>0</v>
      </c>
      <c r="AJ37" s="56">
        <f>IF($C37=Repart_lignes,0,
(SUMIF(Fonctionnement[Affectation matrice],$A37,Fonctionnement[TVA acquittée])+SUMIF(Invest[Affectation matrice],$A37,Invest[TVA acquittée]))*CJ37)</f>
        <v>0</v>
      </c>
      <c r="AK37" s="56">
        <f>IF($C37=Repart_lignes,0,
(SUMIF(Fonctionnement[Affectation matrice],$A37,Fonctionnement[TVA acquittée])+SUMIF(Invest[Affectation matrice],$A37,Invest[TVA acquittée]))*CK37)</f>
        <v>0</v>
      </c>
      <c r="AL37" s="56">
        <f>IF($C37=Repart_lignes,0,
(SUMIF(Fonctionnement[Affectation matrice],$A37,Fonctionnement[TVA acquittée])+SUMIF(Invest[Affectation matrice],$A37,Invest[TVA acquittée]))*CL37)</f>
        <v>0</v>
      </c>
      <c r="AM37" s="56">
        <f>IF($C37=Repart_lignes,0,
(SUMIF(Fonctionnement[Affectation matrice],$A37,Fonctionnement[TVA acquittée])+SUMIF(Invest[Affectation matrice],$A37,Invest[TVA acquittée]))*CM37)</f>
        <v>0</v>
      </c>
      <c r="AN37" s="56">
        <f>IF($C37=Repart_lignes,0,
(SUMIF(Fonctionnement[Affectation matrice],$A37,Fonctionnement[TVA acquittée])+SUMIF(Invest[Affectation matrice],$A37,Invest[TVA acquittée]))*CN37)</f>
        <v>0</v>
      </c>
      <c r="AO37" s="56">
        <f>IF($C37=Repart_lignes,0,
(SUMIF(Fonctionnement[Affectation matrice],$A37,Fonctionnement[TVA acquittée])+SUMIF(Invest[Affectation matrice],$A37,Invest[TVA acquittée]))*CO37)</f>
        <v>0</v>
      </c>
      <c r="AP37" s="56">
        <f>IF($C37=Repart_lignes,0,
(SUMIF(Fonctionnement[Affectation matrice],$A37,Fonctionnement[TVA acquittée])+SUMIF(Invest[Affectation matrice],$A37,Invest[TVA acquittée]))*CP37)</f>
        <v>0</v>
      </c>
      <c r="AQ37" s="56">
        <f>IF($C37=Repart_lignes,0,
(SUMIF(Fonctionnement[Affectation matrice],$A37,Fonctionnement[TVA acquittée])+SUMIF(Invest[Affectation matrice],$A37,Invest[TVA acquittée]))*CQ37)</f>
        <v>0</v>
      </c>
      <c r="AR37" s="56">
        <f>IF($C37=Repart_lignes,0,
(SUMIF(Fonctionnement[Affectation matrice],$A37,Fonctionnement[TVA acquittée])+SUMIF(Invest[Affectation matrice],$A37,Invest[TVA acquittée]))*CR37)</f>
        <v>0</v>
      </c>
      <c r="AS37" s="56">
        <f>IF($C37=Repart_lignes,0,
(SUMIF(Fonctionnement[Affectation matrice],$A37,Fonctionnement[TVA acquittée])+SUMIF(Invest[Affectation matrice],$A37,Invest[TVA acquittée]))*CS37)</f>
        <v>0</v>
      </c>
      <c r="AT37" s="56">
        <f>IF($C37=Repart_lignes,0,
(SUMIF(Fonctionnement[Affectation matrice],$A37,Fonctionnement[TVA acquittée])+SUMIF(Invest[Affectation matrice],$A37,Invest[TVA acquittée]))*CT37)</f>
        <v>0</v>
      </c>
      <c r="AU37" s="56">
        <f>IF($C37=Repart_lignes,0,
(SUMIF(Fonctionnement[Affectation matrice],$A37,Fonctionnement[TVA acquittée])+SUMIF(Invest[Affectation matrice],$A37,Invest[TVA acquittée]))*CU37)</f>
        <v>0</v>
      </c>
      <c r="AV37" s="56">
        <f>IF($C37=Repart_lignes,0,
(SUMIF(Fonctionnement[Affectation matrice],$A37,Fonctionnement[TVA acquittée])+SUMIF(Invest[Affectation matrice],$A37,Invest[TVA acquittée]))*CV37)</f>
        <v>0</v>
      </c>
      <c r="AW37" s="56">
        <f>IF($C37=Repart_lignes,0,
(SUMIF(Fonctionnement[Affectation matrice],$A37,Fonctionnement[TVA acquittée])+SUMIF(Invest[Affectation matrice],$A37,Invest[TVA acquittée]))*CW37)</f>
        <v>0</v>
      </c>
      <c r="AX37" s="56">
        <f>IF($C37=Repart_lignes,0,
(SUMIF(Fonctionnement[Affectation matrice],$A37,Fonctionnement[TVA acquittée])+SUMIF(Invest[Affectation matrice],$A37,Invest[TVA acquittée]))*CX37)</f>
        <v>0</v>
      </c>
      <c r="AY37" s="56">
        <f>IF($C37=Repart_lignes,0,
(SUMIF(Fonctionnement[Affectation matrice],$A37,Fonctionnement[TVA acquittée])+SUMIF(Invest[Affectation matrice],$A37,Invest[TVA acquittée]))*CY37)</f>
        <v>0</v>
      </c>
      <c r="AZ37" s="56">
        <f>IF($C37=Repart_lignes,0,
(SUMIF(Fonctionnement[Affectation matrice],$A37,Fonctionnement[TVA acquittée])+SUMIF(Invest[Affectation matrice],$A37,Invest[TVA acquittée]))*CZ37)</f>
        <v>0</v>
      </c>
      <c r="BA37" s="56">
        <f>IF($C37=Repart_lignes,0,
(SUMIF(Fonctionnement[Affectation matrice],$A37,Fonctionnement[TVA acquittée])+SUMIF(Invest[Affectation matrice],$A37,Invest[TVA acquittée]))*DA37)</f>
        <v>0</v>
      </c>
      <c r="BB37" s="56">
        <f>IF($C37=Repart_lignes,0,
(SUMIF(Fonctionnement[Affectation matrice],$A37,Fonctionnement[TVA acquittée])+SUMIF(Invest[Affectation matrice],$A37,Invest[TVA acquittée]))*DB37)</f>
        <v>0</v>
      </c>
      <c r="BC37" s="56">
        <f>IF($C37=Repart_lignes,0,
(SUMIF(Fonctionnement[Affectation matrice],$A37,Fonctionnement[TVA acquittée])+SUMIF(Invest[Affectation matrice],$A37,Invest[TVA acquittée]))*DC37)</f>
        <v>0</v>
      </c>
      <c r="BD37" s="56">
        <f>IF($C37=Repart_lignes,0,
(SUMIF(Fonctionnement[Affectation matrice],$A37,Fonctionnement[TVA acquittée])+SUMIF(Invest[Affectation matrice],$A37,Invest[TVA acquittée]))*DD37)</f>
        <v>0</v>
      </c>
      <c r="BE37" s="58">
        <f t="shared" si="32"/>
        <v>0</v>
      </c>
      <c r="BF37" s="56">
        <f>IF($C37=Repart_lignes,0,
(SUMIF(Fonctionnement[Affectation matrice],$A37,Fonctionnement[Montant (€HT)])+SUMIF(Invest[Affectation matrice],$A37,Invest[Amortissement HT + intérêts]))*CF37)</f>
        <v>0</v>
      </c>
      <c r="BG37" s="56">
        <f>IF($C37=Repart_lignes,0,
(SUMIF(Fonctionnement[Affectation matrice],$A37,Fonctionnement[Montant (€HT)])+SUMIF(Invest[Affectation matrice],$A37,Invest[Amortissement HT + intérêts]))*CG37)</f>
        <v>0</v>
      </c>
      <c r="BH37" s="56">
        <f>IF($C37=Repart_lignes,0,
(SUMIF(Fonctionnement[Affectation matrice],$A37,Fonctionnement[Montant (€HT)])+SUMIF(Invest[Affectation matrice],$A37,Invest[Amortissement HT + intérêts]))*CH37)</f>
        <v>0</v>
      </c>
      <c r="BI37" s="56">
        <f>IF($C37=Repart_lignes,0,
(SUMIF(Fonctionnement[Affectation matrice],$A37,Fonctionnement[Montant (€HT)])+SUMIF(Invest[Affectation matrice],$A37,Invest[Amortissement HT + intérêts]))*CI37)</f>
        <v>0</v>
      </c>
      <c r="BJ37" s="56">
        <f>IF($C37=Repart_lignes,0,
(SUMIF(Fonctionnement[Affectation matrice],$A37,Fonctionnement[Montant (€HT)])+SUMIF(Invest[Affectation matrice],$A37,Invest[Amortissement HT + intérêts]))*CJ37)</f>
        <v>0</v>
      </c>
      <c r="BK37" s="56">
        <f>IF($C37=Repart_lignes,0,
(SUMIF(Fonctionnement[Affectation matrice],$A37,Fonctionnement[Montant (€HT)])+SUMIF(Invest[Affectation matrice],$A37,Invest[Amortissement HT + intérêts]))*CK37)</f>
        <v>0</v>
      </c>
      <c r="BL37" s="56">
        <f>IF($C37=Repart_lignes,0,
(SUMIF(Fonctionnement[Affectation matrice],$A37,Fonctionnement[Montant (€HT)])+SUMIF(Invest[Affectation matrice],$A37,Invest[Amortissement HT + intérêts]))*CL37)</f>
        <v>0</v>
      </c>
      <c r="BM37" s="56">
        <f>IF($C37=Repart_lignes,0,
(SUMIF(Fonctionnement[Affectation matrice],$A37,Fonctionnement[Montant (€HT)])+SUMIF(Invest[Affectation matrice],$A37,Invest[Amortissement HT + intérêts]))*CM37)</f>
        <v>0</v>
      </c>
      <c r="BN37" s="56">
        <f>IF($C37=Repart_lignes,0,
(SUMIF(Fonctionnement[Affectation matrice],$A37,Fonctionnement[Montant (€HT)])+SUMIF(Invest[Affectation matrice],$A37,Invest[Amortissement HT + intérêts]))*CN37)</f>
        <v>0</v>
      </c>
      <c r="BO37" s="56">
        <f>IF($C37=Repart_lignes,0,
(SUMIF(Fonctionnement[Affectation matrice],$A37,Fonctionnement[Montant (€HT)])+SUMIF(Invest[Affectation matrice],$A37,Invest[Amortissement HT + intérêts]))*CO37)</f>
        <v>0</v>
      </c>
      <c r="BP37" s="56">
        <f>IF($C37=Repart_lignes,0,
(SUMIF(Fonctionnement[Affectation matrice],$A37,Fonctionnement[Montant (€HT)])+SUMIF(Invest[Affectation matrice],$A37,Invest[Amortissement HT + intérêts]))*CP37)</f>
        <v>0</v>
      </c>
      <c r="BQ37" s="56">
        <f>IF($C37=Repart_lignes,0,
(SUMIF(Fonctionnement[Affectation matrice],$A37,Fonctionnement[Montant (€HT)])+SUMIF(Invest[Affectation matrice],$A37,Invest[Amortissement HT + intérêts]))*CQ37)</f>
        <v>0</v>
      </c>
      <c r="BR37" s="56">
        <f>IF($C37=Repart_lignes,0,
(SUMIF(Fonctionnement[Affectation matrice],$A37,Fonctionnement[Montant (€HT)])+SUMIF(Invest[Affectation matrice],$A37,Invest[Amortissement HT + intérêts]))*CR37)</f>
        <v>0</v>
      </c>
      <c r="BS37" s="56">
        <f>IF($C37=Repart_lignes,0,
(SUMIF(Fonctionnement[Affectation matrice],$A37,Fonctionnement[Montant (€HT)])+SUMIF(Invest[Affectation matrice],$A37,Invest[Amortissement HT + intérêts]))*CS37)</f>
        <v>0</v>
      </c>
      <c r="BT37" s="56">
        <f>IF($C37=Repart_lignes,0,
(SUMIF(Fonctionnement[Affectation matrice],$A37,Fonctionnement[Montant (€HT)])+SUMIF(Invest[Affectation matrice],$A37,Invest[Amortissement HT + intérêts]))*CT37)</f>
        <v>0</v>
      </c>
      <c r="BU37" s="56">
        <f>IF($C37=Repart_lignes,0,
(SUMIF(Fonctionnement[Affectation matrice],$A37,Fonctionnement[Montant (€HT)])+SUMIF(Invest[Affectation matrice],$A37,Invest[Amortissement HT + intérêts]))*CU37)</f>
        <v>0</v>
      </c>
      <c r="BV37" s="56">
        <f>IF($C37=Repart_lignes,0,
(SUMIF(Fonctionnement[Affectation matrice],$A37,Fonctionnement[Montant (€HT)])+SUMIF(Invest[Affectation matrice],$A37,Invest[Amortissement HT + intérêts]))*CV37)</f>
        <v>0</v>
      </c>
      <c r="BW37" s="56">
        <f>IF($C37=Repart_lignes,0,
(SUMIF(Fonctionnement[Affectation matrice],$A37,Fonctionnement[Montant (€HT)])+SUMIF(Invest[Affectation matrice],$A37,Invest[Amortissement HT + intérêts]))*CW37)</f>
        <v>0</v>
      </c>
      <c r="BX37" s="56">
        <f>IF($C37=Repart_lignes,0,
(SUMIF(Fonctionnement[Affectation matrice],$A37,Fonctionnement[Montant (€HT)])+SUMIF(Invest[Affectation matrice],$A37,Invest[Amortissement HT + intérêts]))*CX37)</f>
        <v>0</v>
      </c>
      <c r="BY37" s="56">
        <f>IF($C37=Repart_lignes,0,
(SUMIF(Fonctionnement[Affectation matrice],$A37,Fonctionnement[Montant (€HT)])+SUMIF(Invest[Affectation matrice],$A37,Invest[Amortissement HT + intérêts]))*CY37)</f>
        <v>0</v>
      </c>
      <c r="BZ37" s="56">
        <f>IF($C37=Repart_lignes,0,
(SUMIF(Fonctionnement[Affectation matrice],$A37,Fonctionnement[Montant (€HT)])+SUMIF(Invest[Affectation matrice],$A37,Invest[Amortissement HT + intérêts]))*CZ37)</f>
        <v>0</v>
      </c>
      <c r="CA37" s="56">
        <f>IF($C37=Repart_lignes,0,
(SUMIF(Fonctionnement[Affectation matrice],$A37,Fonctionnement[Montant (€HT)])+SUMIF(Invest[Affectation matrice],$A37,Invest[Amortissement HT + intérêts]))*DA37)</f>
        <v>0</v>
      </c>
      <c r="CB37" s="56">
        <f>IF($C37=Repart_lignes,0,
(SUMIF(Fonctionnement[Affectation matrice],$A37,Fonctionnement[Montant (€HT)])+SUMIF(Invest[Affectation matrice],$A37,Invest[Amortissement HT + intérêts]))*DB37)</f>
        <v>0</v>
      </c>
      <c r="CC37" s="56">
        <f>IF($C37=Repart_lignes,0,
(SUMIF(Fonctionnement[Affectation matrice],$A37,Fonctionnement[Montant (€HT)])+SUMIF(Invest[Affectation matrice],$A37,Invest[Amortissement HT + intérêts]))*DC37)</f>
        <v>0</v>
      </c>
      <c r="CD37" s="56">
        <f>IF($C37=Repart_lignes,0,
(SUMIF(Fonctionnement[Affectation matrice],$A37,Fonctionnement[Montant (€HT)])+SUMIF(Invest[Affectation matrice],$A37,Invest[Amortissement HT + intérêts]))*DD37)</f>
        <v>0</v>
      </c>
      <c r="CE37" s="59">
        <f t="shared" si="33"/>
        <v>0</v>
      </c>
      <c r="CF37" s="61">
        <f t="shared" si="34"/>
        <v>0</v>
      </c>
      <c r="CG37" s="61">
        <f t="shared" si="35"/>
        <v>0</v>
      </c>
      <c r="CH37" s="61">
        <f t="shared" si="36"/>
        <v>0</v>
      </c>
      <c r="CI37" s="61">
        <f t="shared" si="37"/>
        <v>0</v>
      </c>
      <c r="CJ37" s="61">
        <f t="shared" si="38"/>
        <v>0</v>
      </c>
      <c r="CK37" s="61">
        <f t="shared" si="39"/>
        <v>0</v>
      </c>
      <c r="CL37" s="61">
        <f t="shared" si="40"/>
        <v>0</v>
      </c>
      <c r="CM37" s="61">
        <f t="shared" si="41"/>
        <v>0</v>
      </c>
      <c r="CN37" s="61">
        <f t="shared" si="42"/>
        <v>0</v>
      </c>
      <c r="CO37" s="61">
        <f t="shared" si="43"/>
        <v>0</v>
      </c>
      <c r="CP37" s="61">
        <f t="shared" si="44"/>
        <v>0</v>
      </c>
      <c r="CQ37" s="61">
        <f t="shared" si="45"/>
        <v>0</v>
      </c>
      <c r="CR37" s="61">
        <f t="shared" si="46"/>
        <v>0</v>
      </c>
      <c r="CS37" s="61">
        <f t="shared" si="47"/>
        <v>0</v>
      </c>
      <c r="CT37" s="61">
        <f t="shared" si="48"/>
        <v>0</v>
      </c>
      <c r="CU37" s="61">
        <f t="shared" si="49"/>
        <v>0</v>
      </c>
      <c r="CV37" s="61">
        <f t="shared" si="50"/>
        <v>0</v>
      </c>
      <c r="CW37" s="61">
        <f t="shared" si="51"/>
        <v>0</v>
      </c>
      <c r="CX37" s="61">
        <f t="shared" si="52"/>
        <v>0</v>
      </c>
      <c r="CY37" s="61">
        <f t="shared" si="53"/>
        <v>0</v>
      </c>
      <c r="CZ37" s="61">
        <f t="shared" si="54"/>
        <v>0</v>
      </c>
      <c r="DA37" s="61">
        <f t="shared" si="55"/>
        <v>0</v>
      </c>
      <c r="DB37" s="61">
        <f t="shared" si="56"/>
        <v>0</v>
      </c>
      <c r="DC37" s="61">
        <f t="shared" si="57"/>
        <v>0</v>
      </c>
      <c r="DD37" s="61">
        <f t="shared" si="58"/>
        <v>0</v>
      </c>
      <c r="DE37" s="61">
        <f t="shared" si="59"/>
        <v>0</v>
      </c>
      <c r="DF37" s="7"/>
    </row>
    <row r="38" spans="1:110" s="22" customFormat="1" x14ac:dyDescent="0.25">
      <c r="A38" s="248"/>
      <c r="B38" s="248"/>
      <c r="C38" s="251"/>
      <c r="D38" s="25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1">
        <f t="shared" si="31"/>
        <v>0</v>
      </c>
      <c r="AE38" s="53" t="str">
        <f t="shared" ca="1" si="29"/>
        <v/>
      </c>
      <c r="AF38" s="56">
        <f>IF($C38=Repart_lignes,0,
(SUMIF(Fonctionnement[Affectation matrice],$A38,Fonctionnement[TVA acquittée])+SUMIF(Invest[Affectation matrice],$A38,Invest[TVA acquittée]))*CF38)</f>
        <v>0</v>
      </c>
      <c r="AG38" s="56">
        <f>IF($C38=Repart_lignes,0,
(SUMIF(Fonctionnement[Affectation matrice],$A38,Fonctionnement[TVA acquittée])+SUMIF(Invest[Affectation matrice],$A38,Invest[TVA acquittée]))*CG38)</f>
        <v>0</v>
      </c>
      <c r="AH38" s="56">
        <f>IF($C38=Repart_lignes,0,
(SUMIF(Fonctionnement[Affectation matrice],$A38,Fonctionnement[TVA acquittée])+SUMIF(Invest[Affectation matrice],$A38,Invest[TVA acquittée]))*CH38)</f>
        <v>0</v>
      </c>
      <c r="AI38" s="56">
        <f>IF($C38=Repart_lignes,0,
(SUMIF(Fonctionnement[Affectation matrice],$A38,Fonctionnement[TVA acquittée])+SUMIF(Invest[Affectation matrice],$A38,Invest[TVA acquittée]))*CI38)</f>
        <v>0</v>
      </c>
      <c r="AJ38" s="56">
        <f>IF($C38=Repart_lignes,0,
(SUMIF(Fonctionnement[Affectation matrice],$A38,Fonctionnement[TVA acquittée])+SUMIF(Invest[Affectation matrice],$A38,Invest[TVA acquittée]))*CJ38)</f>
        <v>0</v>
      </c>
      <c r="AK38" s="56">
        <f>IF($C38=Repart_lignes,0,
(SUMIF(Fonctionnement[Affectation matrice],$A38,Fonctionnement[TVA acquittée])+SUMIF(Invest[Affectation matrice],$A38,Invest[TVA acquittée]))*CK38)</f>
        <v>0</v>
      </c>
      <c r="AL38" s="56">
        <f>IF($C38=Repart_lignes,0,
(SUMIF(Fonctionnement[Affectation matrice],$A38,Fonctionnement[TVA acquittée])+SUMIF(Invest[Affectation matrice],$A38,Invest[TVA acquittée]))*CL38)</f>
        <v>0</v>
      </c>
      <c r="AM38" s="56">
        <f>IF($C38=Repart_lignes,0,
(SUMIF(Fonctionnement[Affectation matrice],$A38,Fonctionnement[TVA acquittée])+SUMIF(Invest[Affectation matrice],$A38,Invest[TVA acquittée]))*CM38)</f>
        <v>0</v>
      </c>
      <c r="AN38" s="56">
        <f>IF($C38=Repart_lignes,0,
(SUMIF(Fonctionnement[Affectation matrice],$A38,Fonctionnement[TVA acquittée])+SUMIF(Invest[Affectation matrice],$A38,Invest[TVA acquittée]))*CN38)</f>
        <v>0</v>
      </c>
      <c r="AO38" s="56">
        <f>IF($C38=Repart_lignes,0,
(SUMIF(Fonctionnement[Affectation matrice],$A38,Fonctionnement[TVA acquittée])+SUMIF(Invest[Affectation matrice],$A38,Invest[TVA acquittée]))*CO38)</f>
        <v>0</v>
      </c>
      <c r="AP38" s="56">
        <f>IF($C38=Repart_lignes,0,
(SUMIF(Fonctionnement[Affectation matrice],$A38,Fonctionnement[TVA acquittée])+SUMIF(Invest[Affectation matrice],$A38,Invest[TVA acquittée]))*CP38)</f>
        <v>0</v>
      </c>
      <c r="AQ38" s="56">
        <f>IF($C38=Repart_lignes,0,
(SUMIF(Fonctionnement[Affectation matrice],$A38,Fonctionnement[TVA acquittée])+SUMIF(Invest[Affectation matrice],$A38,Invest[TVA acquittée]))*CQ38)</f>
        <v>0</v>
      </c>
      <c r="AR38" s="56">
        <f>IF($C38=Repart_lignes,0,
(SUMIF(Fonctionnement[Affectation matrice],$A38,Fonctionnement[TVA acquittée])+SUMIF(Invest[Affectation matrice],$A38,Invest[TVA acquittée]))*CR38)</f>
        <v>0</v>
      </c>
      <c r="AS38" s="56">
        <f>IF($C38=Repart_lignes,0,
(SUMIF(Fonctionnement[Affectation matrice],$A38,Fonctionnement[TVA acquittée])+SUMIF(Invest[Affectation matrice],$A38,Invest[TVA acquittée]))*CS38)</f>
        <v>0</v>
      </c>
      <c r="AT38" s="56">
        <f>IF($C38=Repart_lignes,0,
(SUMIF(Fonctionnement[Affectation matrice],$A38,Fonctionnement[TVA acquittée])+SUMIF(Invest[Affectation matrice],$A38,Invest[TVA acquittée]))*CT38)</f>
        <v>0</v>
      </c>
      <c r="AU38" s="56">
        <f>IF($C38=Repart_lignes,0,
(SUMIF(Fonctionnement[Affectation matrice],$A38,Fonctionnement[TVA acquittée])+SUMIF(Invest[Affectation matrice],$A38,Invest[TVA acquittée]))*CU38)</f>
        <v>0</v>
      </c>
      <c r="AV38" s="56">
        <f>IF($C38=Repart_lignes,0,
(SUMIF(Fonctionnement[Affectation matrice],$A38,Fonctionnement[TVA acquittée])+SUMIF(Invest[Affectation matrice],$A38,Invest[TVA acquittée]))*CV38)</f>
        <v>0</v>
      </c>
      <c r="AW38" s="56">
        <f>IF($C38=Repart_lignes,0,
(SUMIF(Fonctionnement[Affectation matrice],$A38,Fonctionnement[TVA acquittée])+SUMIF(Invest[Affectation matrice],$A38,Invest[TVA acquittée]))*CW38)</f>
        <v>0</v>
      </c>
      <c r="AX38" s="56">
        <f>IF($C38=Repart_lignes,0,
(SUMIF(Fonctionnement[Affectation matrice],$A38,Fonctionnement[TVA acquittée])+SUMIF(Invest[Affectation matrice],$A38,Invest[TVA acquittée]))*CX38)</f>
        <v>0</v>
      </c>
      <c r="AY38" s="56">
        <f>IF($C38=Repart_lignes,0,
(SUMIF(Fonctionnement[Affectation matrice],$A38,Fonctionnement[TVA acquittée])+SUMIF(Invest[Affectation matrice],$A38,Invest[TVA acquittée]))*CY38)</f>
        <v>0</v>
      </c>
      <c r="AZ38" s="56">
        <f>IF($C38=Repart_lignes,0,
(SUMIF(Fonctionnement[Affectation matrice],$A38,Fonctionnement[TVA acquittée])+SUMIF(Invest[Affectation matrice],$A38,Invest[TVA acquittée]))*CZ38)</f>
        <v>0</v>
      </c>
      <c r="BA38" s="56">
        <f>IF($C38=Repart_lignes,0,
(SUMIF(Fonctionnement[Affectation matrice],$A38,Fonctionnement[TVA acquittée])+SUMIF(Invest[Affectation matrice],$A38,Invest[TVA acquittée]))*DA38)</f>
        <v>0</v>
      </c>
      <c r="BB38" s="56">
        <f>IF($C38=Repart_lignes,0,
(SUMIF(Fonctionnement[Affectation matrice],$A38,Fonctionnement[TVA acquittée])+SUMIF(Invest[Affectation matrice],$A38,Invest[TVA acquittée]))*DB38)</f>
        <v>0</v>
      </c>
      <c r="BC38" s="56">
        <f>IF($C38=Repart_lignes,0,
(SUMIF(Fonctionnement[Affectation matrice],$A38,Fonctionnement[TVA acquittée])+SUMIF(Invest[Affectation matrice],$A38,Invest[TVA acquittée]))*DC38)</f>
        <v>0</v>
      </c>
      <c r="BD38" s="56">
        <f>IF($C38=Repart_lignes,0,
(SUMIF(Fonctionnement[Affectation matrice],$A38,Fonctionnement[TVA acquittée])+SUMIF(Invest[Affectation matrice],$A38,Invest[TVA acquittée]))*DD38)</f>
        <v>0</v>
      </c>
      <c r="BE38" s="58">
        <f t="shared" si="32"/>
        <v>0</v>
      </c>
      <c r="BF38" s="56">
        <f>IF($C38=Repart_lignes,0,
(SUMIF(Fonctionnement[Affectation matrice],$A38,Fonctionnement[Montant (€HT)])+SUMIF(Invest[Affectation matrice],$A38,Invest[Amortissement HT + intérêts]))*CF38)</f>
        <v>0</v>
      </c>
      <c r="BG38" s="56">
        <f>IF($C38=Repart_lignes,0,
(SUMIF(Fonctionnement[Affectation matrice],$A38,Fonctionnement[Montant (€HT)])+SUMIF(Invest[Affectation matrice],$A38,Invest[Amortissement HT + intérêts]))*CG38)</f>
        <v>0</v>
      </c>
      <c r="BH38" s="56">
        <f>IF($C38=Repart_lignes,0,
(SUMIF(Fonctionnement[Affectation matrice],$A38,Fonctionnement[Montant (€HT)])+SUMIF(Invest[Affectation matrice],$A38,Invest[Amortissement HT + intérêts]))*CH38)</f>
        <v>0</v>
      </c>
      <c r="BI38" s="56">
        <f>IF($C38=Repart_lignes,0,
(SUMIF(Fonctionnement[Affectation matrice],$A38,Fonctionnement[Montant (€HT)])+SUMIF(Invest[Affectation matrice],$A38,Invest[Amortissement HT + intérêts]))*CI38)</f>
        <v>0</v>
      </c>
      <c r="BJ38" s="56">
        <f>IF($C38=Repart_lignes,0,
(SUMIF(Fonctionnement[Affectation matrice],$A38,Fonctionnement[Montant (€HT)])+SUMIF(Invest[Affectation matrice],$A38,Invest[Amortissement HT + intérêts]))*CJ38)</f>
        <v>0</v>
      </c>
      <c r="BK38" s="56">
        <f>IF($C38=Repart_lignes,0,
(SUMIF(Fonctionnement[Affectation matrice],$A38,Fonctionnement[Montant (€HT)])+SUMIF(Invest[Affectation matrice],$A38,Invest[Amortissement HT + intérêts]))*CK38)</f>
        <v>0</v>
      </c>
      <c r="BL38" s="56">
        <f>IF($C38=Repart_lignes,0,
(SUMIF(Fonctionnement[Affectation matrice],$A38,Fonctionnement[Montant (€HT)])+SUMIF(Invest[Affectation matrice],$A38,Invest[Amortissement HT + intérêts]))*CL38)</f>
        <v>0</v>
      </c>
      <c r="BM38" s="56">
        <f>IF($C38=Repart_lignes,0,
(SUMIF(Fonctionnement[Affectation matrice],$A38,Fonctionnement[Montant (€HT)])+SUMIF(Invest[Affectation matrice],$A38,Invest[Amortissement HT + intérêts]))*CM38)</f>
        <v>0</v>
      </c>
      <c r="BN38" s="56">
        <f>IF($C38=Repart_lignes,0,
(SUMIF(Fonctionnement[Affectation matrice],$A38,Fonctionnement[Montant (€HT)])+SUMIF(Invest[Affectation matrice],$A38,Invest[Amortissement HT + intérêts]))*CN38)</f>
        <v>0</v>
      </c>
      <c r="BO38" s="56">
        <f>IF($C38=Repart_lignes,0,
(SUMIF(Fonctionnement[Affectation matrice],$A38,Fonctionnement[Montant (€HT)])+SUMIF(Invest[Affectation matrice],$A38,Invest[Amortissement HT + intérêts]))*CO38)</f>
        <v>0</v>
      </c>
      <c r="BP38" s="56">
        <f>IF($C38=Repart_lignes,0,
(SUMIF(Fonctionnement[Affectation matrice],$A38,Fonctionnement[Montant (€HT)])+SUMIF(Invest[Affectation matrice],$A38,Invest[Amortissement HT + intérêts]))*CP38)</f>
        <v>0</v>
      </c>
      <c r="BQ38" s="56">
        <f>IF($C38=Repart_lignes,0,
(SUMIF(Fonctionnement[Affectation matrice],$A38,Fonctionnement[Montant (€HT)])+SUMIF(Invest[Affectation matrice],$A38,Invest[Amortissement HT + intérêts]))*CQ38)</f>
        <v>0</v>
      </c>
      <c r="BR38" s="56">
        <f>IF($C38=Repart_lignes,0,
(SUMIF(Fonctionnement[Affectation matrice],$A38,Fonctionnement[Montant (€HT)])+SUMIF(Invest[Affectation matrice],$A38,Invest[Amortissement HT + intérêts]))*CR38)</f>
        <v>0</v>
      </c>
      <c r="BS38" s="56">
        <f>IF($C38=Repart_lignes,0,
(SUMIF(Fonctionnement[Affectation matrice],$A38,Fonctionnement[Montant (€HT)])+SUMIF(Invest[Affectation matrice],$A38,Invest[Amortissement HT + intérêts]))*CS38)</f>
        <v>0</v>
      </c>
      <c r="BT38" s="56">
        <f>IF($C38=Repart_lignes,0,
(SUMIF(Fonctionnement[Affectation matrice],$A38,Fonctionnement[Montant (€HT)])+SUMIF(Invest[Affectation matrice],$A38,Invest[Amortissement HT + intérêts]))*CT38)</f>
        <v>0</v>
      </c>
      <c r="BU38" s="56">
        <f>IF($C38=Repart_lignes,0,
(SUMIF(Fonctionnement[Affectation matrice],$A38,Fonctionnement[Montant (€HT)])+SUMIF(Invest[Affectation matrice],$A38,Invest[Amortissement HT + intérêts]))*CU38)</f>
        <v>0</v>
      </c>
      <c r="BV38" s="56">
        <f>IF($C38=Repart_lignes,0,
(SUMIF(Fonctionnement[Affectation matrice],$A38,Fonctionnement[Montant (€HT)])+SUMIF(Invest[Affectation matrice],$A38,Invest[Amortissement HT + intérêts]))*CV38)</f>
        <v>0</v>
      </c>
      <c r="BW38" s="56">
        <f>IF($C38=Repart_lignes,0,
(SUMIF(Fonctionnement[Affectation matrice],$A38,Fonctionnement[Montant (€HT)])+SUMIF(Invest[Affectation matrice],$A38,Invest[Amortissement HT + intérêts]))*CW38)</f>
        <v>0</v>
      </c>
      <c r="BX38" s="56">
        <f>IF($C38=Repart_lignes,0,
(SUMIF(Fonctionnement[Affectation matrice],$A38,Fonctionnement[Montant (€HT)])+SUMIF(Invest[Affectation matrice],$A38,Invest[Amortissement HT + intérêts]))*CX38)</f>
        <v>0</v>
      </c>
      <c r="BY38" s="56">
        <f>IF($C38=Repart_lignes,0,
(SUMIF(Fonctionnement[Affectation matrice],$A38,Fonctionnement[Montant (€HT)])+SUMIF(Invest[Affectation matrice],$A38,Invest[Amortissement HT + intérêts]))*CY38)</f>
        <v>0</v>
      </c>
      <c r="BZ38" s="56">
        <f>IF($C38=Repart_lignes,0,
(SUMIF(Fonctionnement[Affectation matrice],$A38,Fonctionnement[Montant (€HT)])+SUMIF(Invest[Affectation matrice],$A38,Invest[Amortissement HT + intérêts]))*CZ38)</f>
        <v>0</v>
      </c>
      <c r="CA38" s="56">
        <f>IF($C38=Repart_lignes,0,
(SUMIF(Fonctionnement[Affectation matrice],$A38,Fonctionnement[Montant (€HT)])+SUMIF(Invest[Affectation matrice],$A38,Invest[Amortissement HT + intérêts]))*DA38)</f>
        <v>0</v>
      </c>
      <c r="CB38" s="56">
        <f>IF($C38=Repart_lignes,0,
(SUMIF(Fonctionnement[Affectation matrice],$A38,Fonctionnement[Montant (€HT)])+SUMIF(Invest[Affectation matrice],$A38,Invest[Amortissement HT + intérêts]))*DB38)</f>
        <v>0</v>
      </c>
      <c r="CC38" s="56">
        <f>IF($C38=Repart_lignes,0,
(SUMIF(Fonctionnement[Affectation matrice],$A38,Fonctionnement[Montant (€HT)])+SUMIF(Invest[Affectation matrice],$A38,Invest[Amortissement HT + intérêts]))*DC38)</f>
        <v>0</v>
      </c>
      <c r="CD38" s="56">
        <f>IF($C38=Repart_lignes,0,
(SUMIF(Fonctionnement[Affectation matrice],$A38,Fonctionnement[Montant (€HT)])+SUMIF(Invest[Affectation matrice],$A38,Invest[Amortissement HT + intérêts]))*DD38)</f>
        <v>0</v>
      </c>
      <c r="CE38" s="59">
        <f t="shared" si="33"/>
        <v>0</v>
      </c>
      <c r="CF38" s="61">
        <f t="shared" si="34"/>
        <v>0</v>
      </c>
      <c r="CG38" s="61">
        <f t="shared" si="35"/>
        <v>0</v>
      </c>
      <c r="CH38" s="61">
        <f t="shared" si="36"/>
        <v>0</v>
      </c>
      <c r="CI38" s="61">
        <f t="shared" si="37"/>
        <v>0</v>
      </c>
      <c r="CJ38" s="61">
        <f t="shared" si="38"/>
        <v>0</v>
      </c>
      <c r="CK38" s="61">
        <f t="shared" si="39"/>
        <v>0</v>
      </c>
      <c r="CL38" s="61">
        <f t="shared" si="40"/>
        <v>0</v>
      </c>
      <c r="CM38" s="61">
        <f t="shared" si="41"/>
        <v>0</v>
      </c>
      <c r="CN38" s="61">
        <f t="shared" si="42"/>
        <v>0</v>
      </c>
      <c r="CO38" s="61">
        <f t="shared" si="43"/>
        <v>0</v>
      </c>
      <c r="CP38" s="61">
        <f t="shared" si="44"/>
        <v>0</v>
      </c>
      <c r="CQ38" s="61">
        <f t="shared" si="45"/>
        <v>0</v>
      </c>
      <c r="CR38" s="61">
        <f t="shared" si="46"/>
        <v>0</v>
      </c>
      <c r="CS38" s="61">
        <f t="shared" si="47"/>
        <v>0</v>
      </c>
      <c r="CT38" s="61">
        <f t="shared" si="48"/>
        <v>0</v>
      </c>
      <c r="CU38" s="61">
        <f t="shared" si="49"/>
        <v>0</v>
      </c>
      <c r="CV38" s="61">
        <f t="shared" si="50"/>
        <v>0</v>
      </c>
      <c r="CW38" s="61">
        <f t="shared" si="51"/>
        <v>0</v>
      </c>
      <c r="CX38" s="61">
        <f t="shared" si="52"/>
        <v>0</v>
      </c>
      <c r="CY38" s="61">
        <f t="shared" si="53"/>
        <v>0</v>
      </c>
      <c r="CZ38" s="61">
        <f t="shared" si="54"/>
        <v>0</v>
      </c>
      <c r="DA38" s="61">
        <f t="shared" si="55"/>
        <v>0</v>
      </c>
      <c r="DB38" s="61">
        <f t="shared" si="56"/>
        <v>0</v>
      </c>
      <c r="DC38" s="61">
        <f t="shared" si="57"/>
        <v>0</v>
      </c>
      <c r="DD38" s="61">
        <f t="shared" si="58"/>
        <v>0</v>
      </c>
      <c r="DE38" s="61">
        <f t="shared" si="59"/>
        <v>0</v>
      </c>
      <c r="DF38" s="7"/>
    </row>
    <row r="39" spans="1:110" s="22" customFormat="1" x14ac:dyDescent="0.25">
      <c r="A39" s="248"/>
      <c r="B39" s="248"/>
      <c r="C39" s="251"/>
      <c r="D39" s="25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1">
        <f t="shared" si="31"/>
        <v>0</v>
      </c>
      <c r="AE39" s="53" t="str">
        <f t="shared" ca="1" si="29"/>
        <v/>
      </c>
      <c r="AF39" s="56">
        <f>IF($C39=Repart_lignes,0,
(SUMIF(Fonctionnement[Affectation matrice],$A39,Fonctionnement[TVA acquittée])+SUMIF(Invest[Affectation matrice],$A39,Invest[TVA acquittée]))*CF39)</f>
        <v>0</v>
      </c>
      <c r="AG39" s="56">
        <f>IF($C39=Repart_lignes,0,
(SUMIF(Fonctionnement[Affectation matrice],$A39,Fonctionnement[TVA acquittée])+SUMIF(Invest[Affectation matrice],$A39,Invest[TVA acquittée]))*CG39)</f>
        <v>0</v>
      </c>
      <c r="AH39" s="56">
        <f>IF($C39=Repart_lignes,0,
(SUMIF(Fonctionnement[Affectation matrice],$A39,Fonctionnement[TVA acquittée])+SUMIF(Invest[Affectation matrice],$A39,Invest[TVA acquittée]))*CH39)</f>
        <v>0</v>
      </c>
      <c r="AI39" s="56">
        <f>IF($C39=Repart_lignes,0,
(SUMIF(Fonctionnement[Affectation matrice],$A39,Fonctionnement[TVA acquittée])+SUMIF(Invest[Affectation matrice],$A39,Invest[TVA acquittée]))*CI39)</f>
        <v>0</v>
      </c>
      <c r="AJ39" s="56">
        <f>IF($C39=Repart_lignes,0,
(SUMIF(Fonctionnement[Affectation matrice],$A39,Fonctionnement[TVA acquittée])+SUMIF(Invest[Affectation matrice],$A39,Invest[TVA acquittée]))*CJ39)</f>
        <v>0</v>
      </c>
      <c r="AK39" s="56">
        <f>IF($C39=Repart_lignes,0,
(SUMIF(Fonctionnement[Affectation matrice],$A39,Fonctionnement[TVA acquittée])+SUMIF(Invest[Affectation matrice],$A39,Invest[TVA acquittée]))*CK39)</f>
        <v>0</v>
      </c>
      <c r="AL39" s="56">
        <f>IF($C39=Repart_lignes,0,
(SUMIF(Fonctionnement[Affectation matrice],$A39,Fonctionnement[TVA acquittée])+SUMIF(Invest[Affectation matrice],$A39,Invest[TVA acquittée]))*CL39)</f>
        <v>0</v>
      </c>
      <c r="AM39" s="56">
        <f>IF($C39=Repart_lignes,0,
(SUMIF(Fonctionnement[Affectation matrice],$A39,Fonctionnement[TVA acquittée])+SUMIF(Invest[Affectation matrice],$A39,Invest[TVA acquittée]))*CM39)</f>
        <v>0</v>
      </c>
      <c r="AN39" s="56">
        <f>IF($C39=Repart_lignes,0,
(SUMIF(Fonctionnement[Affectation matrice],$A39,Fonctionnement[TVA acquittée])+SUMIF(Invest[Affectation matrice],$A39,Invest[TVA acquittée]))*CN39)</f>
        <v>0</v>
      </c>
      <c r="AO39" s="56">
        <f>IF($C39=Repart_lignes,0,
(SUMIF(Fonctionnement[Affectation matrice],$A39,Fonctionnement[TVA acquittée])+SUMIF(Invest[Affectation matrice],$A39,Invest[TVA acquittée]))*CO39)</f>
        <v>0</v>
      </c>
      <c r="AP39" s="56">
        <f>IF($C39=Repart_lignes,0,
(SUMIF(Fonctionnement[Affectation matrice],$A39,Fonctionnement[TVA acquittée])+SUMIF(Invest[Affectation matrice],$A39,Invest[TVA acquittée]))*CP39)</f>
        <v>0</v>
      </c>
      <c r="AQ39" s="56">
        <f>IF($C39=Repart_lignes,0,
(SUMIF(Fonctionnement[Affectation matrice],$A39,Fonctionnement[TVA acquittée])+SUMIF(Invest[Affectation matrice],$A39,Invest[TVA acquittée]))*CQ39)</f>
        <v>0</v>
      </c>
      <c r="AR39" s="56">
        <f>IF($C39=Repart_lignes,0,
(SUMIF(Fonctionnement[Affectation matrice],$A39,Fonctionnement[TVA acquittée])+SUMIF(Invest[Affectation matrice],$A39,Invest[TVA acquittée]))*CR39)</f>
        <v>0</v>
      </c>
      <c r="AS39" s="56">
        <f>IF($C39=Repart_lignes,0,
(SUMIF(Fonctionnement[Affectation matrice],$A39,Fonctionnement[TVA acquittée])+SUMIF(Invest[Affectation matrice],$A39,Invest[TVA acquittée]))*CS39)</f>
        <v>0</v>
      </c>
      <c r="AT39" s="56">
        <f>IF($C39=Repart_lignes,0,
(SUMIF(Fonctionnement[Affectation matrice],$A39,Fonctionnement[TVA acquittée])+SUMIF(Invest[Affectation matrice],$A39,Invest[TVA acquittée]))*CT39)</f>
        <v>0</v>
      </c>
      <c r="AU39" s="56">
        <f>IF($C39=Repart_lignes,0,
(SUMIF(Fonctionnement[Affectation matrice],$A39,Fonctionnement[TVA acquittée])+SUMIF(Invest[Affectation matrice],$A39,Invest[TVA acquittée]))*CU39)</f>
        <v>0</v>
      </c>
      <c r="AV39" s="56">
        <f>IF($C39=Repart_lignes,0,
(SUMIF(Fonctionnement[Affectation matrice],$A39,Fonctionnement[TVA acquittée])+SUMIF(Invest[Affectation matrice],$A39,Invest[TVA acquittée]))*CV39)</f>
        <v>0</v>
      </c>
      <c r="AW39" s="56">
        <f>IF($C39=Repart_lignes,0,
(SUMIF(Fonctionnement[Affectation matrice],$A39,Fonctionnement[TVA acquittée])+SUMIF(Invest[Affectation matrice],$A39,Invest[TVA acquittée]))*CW39)</f>
        <v>0</v>
      </c>
      <c r="AX39" s="56">
        <f>IF($C39=Repart_lignes,0,
(SUMIF(Fonctionnement[Affectation matrice],$A39,Fonctionnement[TVA acquittée])+SUMIF(Invest[Affectation matrice],$A39,Invest[TVA acquittée]))*CX39)</f>
        <v>0</v>
      </c>
      <c r="AY39" s="56">
        <f>IF($C39=Repart_lignes,0,
(SUMIF(Fonctionnement[Affectation matrice],$A39,Fonctionnement[TVA acquittée])+SUMIF(Invest[Affectation matrice],$A39,Invest[TVA acquittée]))*CY39)</f>
        <v>0</v>
      </c>
      <c r="AZ39" s="56">
        <f>IF($C39=Repart_lignes,0,
(SUMIF(Fonctionnement[Affectation matrice],$A39,Fonctionnement[TVA acquittée])+SUMIF(Invest[Affectation matrice],$A39,Invest[TVA acquittée]))*CZ39)</f>
        <v>0</v>
      </c>
      <c r="BA39" s="56">
        <f>IF($C39=Repart_lignes,0,
(SUMIF(Fonctionnement[Affectation matrice],$A39,Fonctionnement[TVA acquittée])+SUMIF(Invest[Affectation matrice],$A39,Invest[TVA acquittée]))*DA39)</f>
        <v>0</v>
      </c>
      <c r="BB39" s="56">
        <f>IF($C39=Repart_lignes,0,
(SUMIF(Fonctionnement[Affectation matrice],$A39,Fonctionnement[TVA acquittée])+SUMIF(Invest[Affectation matrice],$A39,Invest[TVA acquittée]))*DB39)</f>
        <v>0</v>
      </c>
      <c r="BC39" s="56">
        <f>IF($C39=Repart_lignes,0,
(SUMIF(Fonctionnement[Affectation matrice],$A39,Fonctionnement[TVA acquittée])+SUMIF(Invest[Affectation matrice],$A39,Invest[TVA acquittée]))*DC39)</f>
        <v>0</v>
      </c>
      <c r="BD39" s="56">
        <f>IF($C39=Repart_lignes,0,
(SUMIF(Fonctionnement[Affectation matrice],$A39,Fonctionnement[TVA acquittée])+SUMIF(Invest[Affectation matrice],$A39,Invest[TVA acquittée]))*DD39)</f>
        <v>0</v>
      </c>
      <c r="BE39" s="58">
        <f t="shared" si="32"/>
        <v>0</v>
      </c>
      <c r="BF39" s="56">
        <f>IF($C39=Repart_lignes,0,
(SUMIF(Fonctionnement[Affectation matrice],$A39,Fonctionnement[Montant (€HT)])+SUMIF(Invest[Affectation matrice],$A39,Invest[Amortissement HT + intérêts]))*CF39)</f>
        <v>0</v>
      </c>
      <c r="BG39" s="56">
        <f>IF($C39=Repart_lignes,0,
(SUMIF(Fonctionnement[Affectation matrice],$A39,Fonctionnement[Montant (€HT)])+SUMIF(Invest[Affectation matrice],$A39,Invest[Amortissement HT + intérêts]))*CG39)</f>
        <v>0</v>
      </c>
      <c r="BH39" s="56">
        <f>IF($C39=Repart_lignes,0,
(SUMIF(Fonctionnement[Affectation matrice],$A39,Fonctionnement[Montant (€HT)])+SUMIF(Invest[Affectation matrice],$A39,Invest[Amortissement HT + intérêts]))*CH39)</f>
        <v>0</v>
      </c>
      <c r="BI39" s="56">
        <f>IF($C39=Repart_lignes,0,
(SUMIF(Fonctionnement[Affectation matrice],$A39,Fonctionnement[Montant (€HT)])+SUMIF(Invest[Affectation matrice],$A39,Invest[Amortissement HT + intérêts]))*CI39)</f>
        <v>0</v>
      </c>
      <c r="BJ39" s="56">
        <f>IF($C39=Repart_lignes,0,
(SUMIF(Fonctionnement[Affectation matrice],$A39,Fonctionnement[Montant (€HT)])+SUMIF(Invest[Affectation matrice],$A39,Invest[Amortissement HT + intérêts]))*CJ39)</f>
        <v>0</v>
      </c>
      <c r="BK39" s="56">
        <f>IF($C39=Repart_lignes,0,
(SUMIF(Fonctionnement[Affectation matrice],$A39,Fonctionnement[Montant (€HT)])+SUMIF(Invest[Affectation matrice],$A39,Invest[Amortissement HT + intérêts]))*CK39)</f>
        <v>0</v>
      </c>
      <c r="BL39" s="56">
        <f>IF($C39=Repart_lignes,0,
(SUMIF(Fonctionnement[Affectation matrice],$A39,Fonctionnement[Montant (€HT)])+SUMIF(Invest[Affectation matrice],$A39,Invest[Amortissement HT + intérêts]))*CL39)</f>
        <v>0</v>
      </c>
      <c r="BM39" s="56">
        <f>IF($C39=Repart_lignes,0,
(SUMIF(Fonctionnement[Affectation matrice],$A39,Fonctionnement[Montant (€HT)])+SUMIF(Invest[Affectation matrice],$A39,Invest[Amortissement HT + intérêts]))*CM39)</f>
        <v>0</v>
      </c>
      <c r="BN39" s="56">
        <f>IF($C39=Repart_lignes,0,
(SUMIF(Fonctionnement[Affectation matrice],$A39,Fonctionnement[Montant (€HT)])+SUMIF(Invest[Affectation matrice],$A39,Invest[Amortissement HT + intérêts]))*CN39)</f>
        <v>0</v>
      </c>
      <c r="BO39" s="56">
        <f>IF($C39=Repart_lignes,0,
(SUMIF(Fonctionnement[Affectation matrice],$A39,Fonctionnement[Montant (€HT)])+SUMIF(Invest[Affectation matrice],$A39,Invest[Amortissement HT + intérêts]))*CO39)</f>
        <v>0</v>
      </c>
      <c r="BP39" s="56">
        <f>IF($C39=Repart_lignes,0,
(SUMIF(Fonctionnement[Affectation matrice],$A39,Fonctionnement[Montant (€HT)])+SUMIF(Invest[Affectation matrice],$A39,Invest[Amortissement HT + intérêts]))*CP39)</f>
        <v>0</v>
      </c>
      <c r="BQ39" s="56">
        <f>IF($C39=Repart_lignes,0,
(SUMIF(Fonctionnement[Affectation matrice],$A39,Fonctionnement[Montant (€HT)])+SUMIF(Invest[Affectation matrice],$A39,Invest[Amortissement HT + intérêts]))*CQ39)</f>
        <v>0</v>
      </c>
      <c r="BR39" s="56">
        <f>IF($C39=Repart_lignes,0,
(SUMIF(Fonctionnement[Affectation matrice],$A39,Fonctionnement[Montant (€HT)])+SUMIF(Invest[Affectation matrice],$A39,Invest[Amortissement HT + intérêts]))*CR39)</f>
        <v>0</v>
      </c>
      <c r="BS39" s="56">
        <f>IF($C39=Repart_lignes,0,
(SUMIF(Fonctionnement[Affectation matrice],$A39,Fonctionnement[Montant (€HT)])+SUMIF(Invest[Affectation matrice],$A39,Invest[Amortissement HT + intérêts]))*CS39)</f>
        <v>0</v>
      </c>
      <c r="BT39" s="56">
        <f>IF($C39=Repart_lignes,0,
(SUMIF(Fonctionnement[Affectation matrice],$A39,Fonctionnement[Montant (€HT)])+SUMIF(Invest[Affectation matrice],$A39,Invest[Amortissement HT + intérêts]))*CT39)</f>
        <v>0</v>
      </c>
      <c r="BU39" s="56">
        <f>IF($C39=Repart_lignes,0,
(SUMIF(Fonctionnement[Affectation matrice],$A39,Fonctionnement[Montant (€HT)])+SUMIF(Invest[Affectation matrice],$A39,Invest[Amortissement HT + intérêts]))*CU39)</f>
        <v>0</v>
      </c>
      <c r="BV39" s="56">
        <f>IF($C39=Repart_lignes,0,
(SUMIF(Fonctionnement[Affectation matrice],$A39,Fonctionnement[Montant (€HT)])+SUMIF(Invest[Affectation matrice],$A39,Invest[Amortissement HT + intérêts]))*CV39)</f>
        <v>0</v>
      </c>
      <c r="BW39" s="56">
        <f>IF($C39=Repart_lignes,0,
(SUMIF(Fonctionnement[Affectation matrice],$A39,Fonctionnement[Montant (€HT)])+SUMIF(Invest[Affectation matrice],$A39,Invest[Amortissement HT + intérêts]))*CW39)</f>
        <v>0</v>
      </c>
      <c r="BX39" s="56">
        <f>IF($C39=Repart_lignes,0,
(SUMIF(Fonctionnement[Affectation matrice],$A39,Fonctionnement[Montant (€HT)])+SUMIF(Invest[Affectation matrice],$A39,Invest[Amortissement HT + intérêts]))*CX39)</f>
        <v>0</v>
      </c>
      <c r="BY39" s="56">
        <f>IF($C39=Repart_lignes,0,
(SUMIF(Fonctionnement[Affectation matrice],$A39,Fonctionnement[Montant (€HT)])+SUMIF(Invest[Affectation matrice],$A39,Invest[Amortissement HT + intérêts]))*CY39)</f>
        <v>0</v>
      </c>
      <c r="BZ39" s="56">
        <f>IF($C39=Repart_lignes,0,
(SUMIF(Fonctionnement[Affectation matrice],$A39,Fonctionnement[Montant (€HT)])+SUMIF(Invest[Affectation matrice],$A39,Invest[Amortissement HT + intérêts]))*CZ39)</f>
        <v>0</v>
      </c>
      <c r="CA39" s="56">
        <f>IF($C39=Repart_lignes,0,
(SUMIF(Fonctionnement[Affectation matrice],$A39,Fonctionnement[Montant (€HT)])+SUMIF(Invest[Affectation matrice],$A39,Invest[Amortissement HT + intérêts]))*DA39)</f>
        <v>0</v>
      </c>
      <c r="CB39" s="56">
        <f>IF($C39=Repart_lignes,0,
(SUMIF(Fonctionnement[Affectation matrice],$A39,Fonctionnement[Montant (€HT)])+SUMIF(Invest[Affectation matrice],$A39,Invest[Amortissement HT + intérêts]))*DB39)</f>
        <v>0</v>
      </c>
      <c r="CC39" s="56">
        <f>IF($C39=Repart_lignes,0,
(SUMIF(Fonctionnement[Affectation matrice],$A39,Fonctionnement[Montant (€HT)])+SUMIF(Invest[Affectation matrice],$A39,Invest[Amortissement HT + intérêts]))*DC39)</f>
        <v>0</v>
      </c>
      <c r="CD39" s="56">
        <f>IF($C39=Repart_lignes,0,
(SUMIF(Fonctionnement[Affectation matrice],$A39,Fonctionnement[Montant (€HT)])+SUMIF(Invest[Affectation matrice],$A39,Invest[Amortissement HT + intérêts]))*DD39)</f>
        <v>0</v>
      </c>
      <c r="CE39" s="59">
        <f t="shared" si="33"/>
        <v>0</v>
      </c>
      <c r="CF39" s="61">
        <f t="shared" si="34"/>
        <v>0</v>
      </c>
      <c r="CG39" s="61">
        <f t="shared" si="35"/>
        <v>0</v>
      </c>
      <c r="CH39" s="61">
        <f t="shared" si="36"/>
        <v>0</v>
      </c>
      <c r="CI39" s="61">
        <f t="shared" si="37"/>
        <v>0</v>
      </c>
      <c r="CJ39" s="61">
        <f t="shared" si="38"/>
        <v>0</v>
      </c>
      <c r="CK39" s="61">
        <f t="shared" si="39"/>
        <v>0</v>
      </c>
      <c r="CL39" s="61">
        <f t="shared" si="40"/>
        <v>0</v>
      </c>
      <c r="CM39" s="61">
        <f t="shared" si="41"/>
        <v>0</v>
      </c>
      <c r="CN39" s="61">
        <f t="shared" si="42"/>
        <v>0</v>
      </c>
      <c r="CO39" s="61">
        <f t="shared" si="43"/>
        <v>0</v>
      </c>
      <c r="CP39" s="61">
        <f t="shared" si="44"/>
        <v>0</v>
      </c>
      <c r="CQ39" s="61">
        <f t="shared" si="45"/>
        <v>0</v>
      </c>
      <c r="CR39" s="61">
        <f t="shared" si="46"/>
        <v>0</v>
      </c>
      <c r="CS39" s="61">
        <f t="shared" si="47"/>
        <v>0</v>
      </c>
      <c r="CT39" s="61">
        <f t="shared" si="48"/>
        <v>0</v>
      </c>
      <c r="CU39" s="61">
        <f t="shared" si="49"/>
        <v>0</v>
      </c>
      <c r="CV39" s="61">
        <f t="shared" si="50"/>
        <v>0</v>
      </c>
      <c r="CW39" s="61">
        <f t="shared" si="51"/>
        <v>0</v>
      </c>
      <c r="CX39" s="61">
        <f t="shared" si="52"/>
        <v>0</v>
      </c>
      <c r="CY39" s="61">
        <f t="shared" si="53"/>
        <v>0</v>
      </c>
      <c r="CZ39" s="61">
        <f t="shared" si="54"/>
        <v>0</v>
      </c>
      <c r="DA39" s="61">
        <f t="shared" si="55"/>
        <v>0</v>
      </c>
      <c r="DB39" s="61">
        <f t="shared" si="56"/>
        <v>0</v>
      </c>
      <c r="DC39" s="61">
        <f t="shared" si="57"/>
        <v>0</v>
      </c>
      <c r="DD39" s="61">
        <f t="shared" si="58"/>
        <v>0</v>
      </c>
      <c r="DE39" s="61">
        <f t="shared" si="59"/>
        <v>0</v>
      </c>
      <c r="DF39" s="7"/>
    </row>
    <row r="40" spans="1:110" x14ac:dyDescent="0.25">
      <c r="A40" s="248"/>
      <c r="B40" s="248"/>
      <c r="C40" s="251"/>
      <c r="D40" s="25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1">
        <f t="shared" si="31"/>
        <v>0</v>
      </c>
      <c r="AE40" s="53" t="str">
        <f t="shared" ca="1" si="29"/>
        <v/>
      </c>
      <c r="AF40" s="56">
        <f>IF($C40=Repart_lignes,0,
(SUMIF(Fonctionnement[Affectation matrice],$A40,Fonctionnement[TVA acquittée])+SUMIF(Invest[Affectation matrice],$A40,Invest[TVA acquittée]))*CF40)</f>
        <v>0</v>
      </c>
      <c r="AG40" s="56">
        <f>IF($C40=Repart_lignes,0,
(SUMIF(Fonctionnement[Affectation matrice],$A40,Fonctionnement[TVA acquittée])+SUMIF(Invest[Affectation matrice],$A40,Invest[TVA acquittée]))*CG40)</f>
        <v>0</v>
      </c>
      <c r="AH40" s="56">
        <f>IF($C40=Repart_lignes,0,
(SUMIF(Fonctionnement[Affectation matrice],$A40,Fonctionnement[TVA acquittée])+SUMIF(Invest[Affectation matrice],$A40,Invest[TVA acquittée]))*CH40)</f>
        <v>0</v>
      </c>
      <c r="AI40" s="56">
        <f>IF($C40=Repart_lignes,0,
(SUMIF(Fonctionnement[Affectation matrice],$A40,Fonctionnement[TVA acquittée])+SUMIF(Invest[Affectation matrice],$A40,Invest[TVA acquittée]))*CI40)</f>
        <v>0</v>
      </c>
      <c r="AJ40" s="56">
        <f>IF($C40=Repart_lignes,0,
(SUMIF(Fonctionnement[Affectation matrice],$A40,Fonctionnement[TVA acquittée])+SUMIF(Invest[Affectation matrice],$A40,Invest[TVA acquittée]))*CJ40)</f>
        <v>0</v>
      </c>
      <c r="AK40" s="56">
        <f>IF($C40=Repart_lignes,0,
(SUMIF(Fonctionnement[Affectation matrice],$A40,Fonctionnement[TVA acquittée])+SUMIF(Invest[Affectation matrice],$A40,Invest[TVA acquittée]))*CK40)</f>
        <v>0</v>
      </c>
      <c r="AL40" s="56">
        <f>IF($C40=Repart_lignes,0,
(SUMIF(Fonctionnement[Affectation matrice],$A40,Fonctionnement[TVA acquittée])+SUMIF(Invest[Affectation matrice],$A40,Invest[TVA acquittée]))*CL40)</f>
        <v>0</v>
      </c>
      <c r="AM40" s="56">
        <f>IF($C40=Repart_lignes,0,
(SUMIF(Fonctionnement[Affectation matrice],$A40,Fonctionnement[TVA acquittée])+SUMIF(Invest[Affectation matrice],$A40,Invest[TVA acquittée]))*CM40)</f>
        <v>0</v>
      </c>
      <c r="AN40" s="56">
        <f>IF($C40=Repart_lignes,0,
(SUMIF(Fonctionnement[Affectation matrice],$A40,Fonctionnement[TVA acquittée])+SUMIF(Invest[Affectation matrice],$A40,Invest[TVA acquittée]))*CN40)</f>
        <v>0</v>
      </c>
      <c r="AO40" s="56">
        <f>IF($C40=Repart_lignes,0,
(SUMIF(Fonctionnement[Affectation matrice],$A40,Fonctionnement[TVA acquittée])+SUMIF(Invest[Affectation matrice],$A40,Invest[TVA acquittée]))*CO40)</f>
        <v>0</v>
      </c>
      <c r="AP40" s="56">
        <f>IF($C40=Repart_lignes,0,
(SUMIF(Fonctionnement[Affectation matrice],$A40,Fonctionnement[TVA acquittée])+SUMIF(Invest[Affectation matrice],$A40,Invest[TVA acquittée]))*CP40)</f>
        <v>0</v>
      </c>
      <c r="AQ40" s="56">
        <f>IF($C40=Repart_lignes,0,
(SUMIF(Fonctionnement[Affectation matrice],$A40,Fonctionnement[TVA acquittée])+SUMIF(Invest[Affectation matrice],$A40,Invest[TVA acquittée]))*CQ40)</f>
        <v>0</v>
      </c>
      <c r="AR40" s="56">
        <f>IF($C40=Repart_lignes,0,
(SUMIF(Fonctionnement[Affectation matrice],$A40,Fonctionnement[TVA acquittée])+SUMIF(Invest[Affectation matrice],$A40,Invest[TVA acquittée]))*CR40)</f>
        <v>0</v>
      </c>
      <c r="AS40" s="56">
        <f>IF($C40=Repart_lignes,0,
(SUMIF(Fonctionnement[Affectation matrice],$A40,Fonctionnement[TVA acquittée])+SUMIF(Invest[Affectation matrice],$A40,Invest[TVA acquittée]))*CS40)</f>
        <v>0</v>
      </c>
      <c r="AT40" s="56">
        <f>IF($C40=Repart_lignes,0,
(SUMIF(Fonctionnement[Affectation matrice],$A40,Fonctionnement[TVA acquittée])+SUMIF(Invest[Affectation matrice],$A40,Invest[TVA acquittée]))*CT40)</f>
        <v>0</v>
      </c>
      <c r="AU40" s="56">
        <f>IF($C40=Repart_lignes,0,
(SUMIF(Fonctionnement[Affectation matrice],$A40,Fonctionnement[TVA acquittée])+SUMIF(Invest[Affectation matrice],$A40,Invest[TVA acquittée]))*CU40)</f>
        <v>0</v>
      </c>
      <c r="AV40" s="56">
        <f>IF($C40=Repart_lignes,0,
(SUMIF(Fonctionnement[Affectation matrice],$A40,Fonctionnement[TVA acquittée])+SUMIF(Invest[Affectation matrice],$A40,Invest[TVA acquittée]))*CV40)</f>
        <v>0</v>
      </c>
      <c r="AW40" s="56">
        <f>IF($C40=Repart_lignes,0,
(SUMIF(Fonctionnement[Affectation matrice],$A40,Fonctionnement[TVA acquittée])+SUMIF(Invest[Affectation matrice],$A40,Invest[TVA acquittée]))*CW40)</f>
        <v>0</v>
      </c>
      <c r="AX40" s="56">
        <f>IF($C40=Repart_lignes,0,
(SUMIF(Fonctionnement[Affectation matrice],$A40,Fonctionnement[TVA acquittée])+SUMIF(Invest[Affectation matrice],$A40,Invest[TVA acquittée]))*CX40)</f>
        <v>0</v>
      </c>
      <c r="AY40" s="56">
        <f>IF($C40=Repart_lignes,0,
(SUMIF(Fonctionnement[Affectation matrice],$A40,Fonctionnement[TVA acquittée])+SUMIF(Invest[Affectation matrice],$A40,Invest[TVA acquittée]))*CY40)</f>
        <v>0</v>
      </c>
      <c r="AZ40" s="56">
        <f>IF($C40=Repart_lignes,0,
(SUMIF(Fonctionnement[Affectation matrice],$A40,Fonctionnement[TVA acquittée])+SUMIF(Invest[Affectation matrice],$A40,Invest[TVA acquittée]))*CZ40)</f>
        <v>0</v>
      </c>
      <c r="BA40" s="56">
        <f>IF($C40=Repart_lignes,0,
(SUMIF(Fonctionnement[Affectation matrice],$A40,Fonctionnement[TVA acquittée])+SUMIF(Invest[Affectation matrice],$A40,Invest[TVA acquittée]))*DA40)</f>
        <v>0</v>
      </c>
      <c r="BB40" s="56">
        <f>IF($C40=Repart_lignes,0,
(SUMIF(Fonctionnement[Affectation matrice],$A40,Fonctionnement[TVA acquittée])+SUMIF(Invest[Affectation matrice],$A40,Invest[TVA acquittée]))*DB40)</f>
        <v>0</v>
      </c>
      <c r="BC40" s="56">
        <f>IF($C40=Repart_lignes,0,
(SUMIF(Fonctionnement[Affectation matrice],$A40,Fonctionnement[TVA acquittée])+SUMIF(Invest[Affectation matrice],$A40,Invest[TVA acquittée]))*DC40)</f>
        <v>0</v>
      </c>
      <c r="BD40" s="56">
        <f>IF($C40=Repart_lignes,0,
(SUMIF(Fonctionnement[Affectation matrice],$A40,Fonctionnement[TVA acquittée])+SUMIF(Invest[Affectation matrice],$A40,Invest[TVA acquittée]))*DD40)</f>
        <v>0</v>
      </c>
      <c r="BE40" s="58">
        <f t="shared" si="32"/>
        <v>0</v>
      </c>
      <c r="BF40" s="56">
        <f>IF($C40=Repart_lignes,0,
(SUMIF(Fonctionnement[Affectation matrice],$A40,Fonctionnement[Montant (€HT)])+SUMIF(Invest[Affectation matrice],$A40,Invest[Amortissement HT + intérêts]))*CF40)</f>
        <v>0</v>
      </c>
      <c r="BG40" s="56">
        <f>IF($C40=Repart_lignes,0,
(SUMIF(Fonctionnement[Affectation matrice],$A40,Fonctionnement[Montant (€HT)])+SUMIF(Invest[Affectation matrice],$A40,Invest[Amortissement HT + intérêts]))*CG40)</f>
        <v>0</v>
      </c>
      <c r="BH40" s="56">
        <f>IF($C40=Repart_lignes,0,
(SUMIF(Fonctionnement[Affectation matrice],$A40,Fonctionnement[Montant (€HT)])+SUMIF(Invest[Affectation matrice],$A40,Invest[Amortissement HT + intérêts]))*CH40)</f>
        <v>0</v>
      </c>
      <c r="BI40" s="56">
        <f>IF($C40=Repart_lignes,0,
(SUMIF(Fonctionnement[Affectation matrice],$A40,Fonctionnement[Montant (€HT)])+SUMIF(Invest[Affectation matrice],$A40,Invest[Amortissement HT + intérêts]))*CI40)</f>
        <v>0</v>
      </c>
      <c r="BJ40" s="56">
        <f>IF($C40=Repart_lignes,0,
(SUMIF(Fonctionnement[Affectation matrice],$A40,Fonctionnement[Montant (€HT)])+SUMIF(Invest[Affectation matrice],$A40,Invest[Amortissement HT + intérêts]))*CJ40)</f>
        <v>0</v>
      </c>
      <c r="BK40" s="56">
        <f>IF($C40=Repart_lignes,0,
(SUMIF(Fonctionnement[Affectation matrice],$A40,Fonctionnement[Montant (€HT)])+SUMIF(Invest[Affectation matrice],$A40,Invest[Amortissement HT + intérêts]))*CK40)</f>
        <v>0</v>
      </c>
      <c r="BL40" s="56">
        <f>IF($C40=Repart_lignes,0,
(SUMIF(Fonctionnement[Affectation matrice],$A40,Fonctionnement[Montant (€HT)])+SUMIF(Invest[Affectation matrice],$A40,Invest[Amortissement HT + intérêts]))*CL40)</f>
        <v>0</v>
      </c>
      <c r="BM40" s="56">
        <f>IF($C40=Repart_lignes,0,
(SUMIF(Fonctionnement[Affectation matrice],$A40,Fonctionnement[Montant (€HT)])+SUMIF(Invest[Affectation matrice],$A40,Invest[Amortissement HT + intérêts]))*CM40)</f>
        <v>0</v>
      </c>
      <c r="BN40" s="56">
        <f>IF($C40=Repart_lignes,0,
(SUMIF(Fonctionnement[Affectation matrice],$A40,Fonctionnement[Montant (€HT)])+SUMIF(Invest[Affectation matrice],$A40,Invest[Amortissement HT + intérêts]))*CN40)</f>
        <v>0</v>
      </c>
      <c r="BO40" s="56">
        <f>IF($C40=Repart_lignes,0,
(SUMIF(Fonctionnement[Affectation matrice],$A40,Fonctionnement[Montant (€HT)])+SUMIF(Invest[Affectation matrice],$A40,Invest[Amortissement HT + intérêts]))*CO40)</f>
        <v>0</v>
      </c>
      <c r="BP40" s="56">
        <f>IF($C40=Repart_lignes,0,
(SUMIF(Fonctionnement[Affectation matrice],$A40,Fonctionnement[Montant (€HT)])+SUMIF(Invest[Affectation matrice],$A40,Invest[Amortissement HT + intérêts]))*CP40)</f>
        <v>0</v>
      </c>
      <c r="BQ40" s="56">
        <f>IF($C40=Repart_lignes,0,
(SUMIF(Fonctionnement[Affectation matrice],$A40,Fonctionnement[Montant (€HT)])+SUMIF(Invest[Affectation matrice],$A40,Invest[Amortissement HT + intérêts]))*CQ40)</f>
        <v>0</v>
      </c>
      <c r="BR40" s="56">
        <f>IF($C40=Repart_lignes,0,
(SUMIF(Fonctionnement[Affectation matrice],$A40,Fonctionnement[Montant (€HT)])+SUMIF(Invest[Affectation matrice],$A40,Invest[Amortissement HT + intérêts]))*CR40)</f>
        <v>0</v>
      </c>
      <c r="BS40" s="56">
        <f>IF($C40=Repart_lignes,0,
(SUMIF(Fonctionnement[Affectation matrice],$A40,Fonctionnement[Montant (€HT)])+SUMIF(Invest[Affectation matrice],$A40,Invest[Amortissement HT + intérêts]))*CS40)</f>
        <v>0</v>
      </c>
      <c r="BT40" s="56">
        <f>IF($C40=Repart_lignes,0,
(SUMIF(Fonctionnement[Affectation matrice],$A40,Fonctionnement[Montant (€HT)])+SUMIF(Invest[Affectation matrice],$A40,Invest[Amortissement HT + intérêts]))*CT40)</f>
        <v>0</v>
      </c>
      <c r="BU40" s="56">
        <f>IF($C40=Repart_lignes,0,
(SUMIF(Fonctionnement[Affectation matrice],$A40,Fonctionnement[Montant (€HT)])+SUMIF(Invest[Affectation matrice],$A40,Invest[Amortissement HT + intérêts]))*CU40)</f>
        <v>0</v>
      </c>
      <c r="BV40" s="56">
        <f>IF($C40=Repart_lignes,0,
(SUMIF(Fonctionnement[Affectation matrice],$A40,Fonctionnement[Montant (€HT)])+SUMIF(Invest[Affectation matrice],$A40,Invest[Amortissement HT + intérêts]))*CV40)</f>
        <v>0</v>
      </c>
      <c r="BW40" s="56">
        <f>IF($C40=Repart_lignes,0,
(SUMIF(Fonctionnement[Affectation matrice],$A40,Fonctionnement[Montant (€HT)])+SUMIF(Invest[Affectation matrice],$A40,Invest[Amortissement HT + intérêts]))*CW40)</f>
        <v>0</v>
      </c>
      <c r="BX40" s="56">
        <f>IF($C40=Repart_lignes,0,
(SUMIF(Fonctionnement[Affectation matrice],$A40,Fonctionnement[Montant (€HT)])+SUMIF(Invest[Affectation matrice],$A40,Invest[Amortissement HT + intérêts]))*CX40)</f>
        <v>0</v>
      </c>
      <c r="BY40" s="56">
        <f>IF($C40=Repart_lignes,0,
(SUMIF(Fonctionnement[Affectation matrice],$A40,Fonctionnement[Montant (€HT)])+SUMIF(Invest[Affectation matrice],$A40,Invest[Amortissement HT + intérêts]))*CY40)</f>
        <v>0</v>
      </c>
      <c r="BZ40" s="56">
        <f>IF($C40=Repart_lignes,0,
(SUMIF(Fonctionnement[Affectation matrice],$A40,Fonctionnement[Montant (€HT)])+SUMIF(Invest[Affectation matrice],$A40,Invest[Amortissement HT + intérêts]))*CZ40)</f>
        <v>0</v>
      </c>
      <c r="CA40" s="56">
        <f>IF($C40=Repart_lignes,0,
(SUMIF(Fonctionnement[Affectation matrice],$A40,Fonctionnement[Montant (€HT)])+SUMIF(Invest[Affectation matrice],$A40,Invest[Amortissement HT + intérêts]))*DA40)</f>
        <v>0</v>
      </c>
      <c r="CB40" s="56">
        <f>IF($C40=Repart_lignes,0,
(SUMIF(Fonctionnement[Affectation matrice],$A40,Fonctionnement[Montant (€HT)])+SUMIF(Invest[Affectation matrice],$A40,Invest[Amortissement HT + intérêts]))*DB40)</f>
        <v>0</v>
      </c>
      <c r="CC40" s="56">
        <f>IF($C40=Repart_lignes,0,
(SUMIF(Fonctionnement[Affectation matrice],$A40,Fonctionnement[Montant (€HT)])+SUMIF(Invest[Affectation matrice],$A40,Invest[Amortissement HT + intérêts]))*DC40)</f>
        <v>0</v>
      </c>
      <c r="CD40" s="56">
        <f>IF($C40=Repart_lignes,0,
(SUMIF(Fonctionnement[Affectation matrice],$A40,Fonctionnement[Montant (€HT)])+SUMIF(Invest[Affectation matrice],$A40,Invest[Amortissement HT + intérêts]))*DD40)</f>
        <v>0</v>
      </c>
      <c r="CE40" s="59">
        <f t="shared" si="33"/>
        <v>0</v>
      </c>
      <c r="CF40" s="61">
        <f t="shared" si="34"/>
        <v>0</v>
      </c>
      <c r="CG40" s="61">
        <f t="shared" si="35"/>
        <v>0</v>
      </c>
      <c r="CH40" s="61">
        <f t="shared" si="36"/>
        <v>0</v>
      </c>
      <c r="CI40" s="61">
        <f t="shared" si="37"/>
        <v>0</v>
      </c>
      <c r="CJ40" s="61">
        <f t="shared" si="38"/>
        <v>0</v>
      </c>
      <c r="CK40" s="61">
        <f t="shared" si="39"/>
        <v>0</v>
      </c>
      <c r="CL40" s="61">
        <f t="shared" si="40"/>
        <v>0</v>
      </c>
      <c r="CM40" s="61">
        <f t="shared" si="41"/>
        <v>0</v>
      </c>
      <c r="CN40" s="61">
        <f t="shared" si="42"/>
        <v>0</v>
      </c>
      <c r="CO40" s="61">
        <f t="shared" si="43"/>
        <v>0</v>
      </c>
      <c r="CP40" s="61">
        <f t="shared" si="44"/>
        <v>0</v>
      </c>
      <c r="CQ40" s="61">
        <f t="shared" si="45"/>
        <v>0</v>
      </c>
      <c r="CR40" s="61">
        <f t="shared" si="46"/>
        <v>0</v>
      </c>
      <c r="CS40" s="61">
        <f t="shared" si="47"/>
        <v>0</v>
      </c>
      <c r="CT40" s="61">
        <f t="shared" si="48"/>
        <v>0</v>
      </c>
      <c r="CU40" s="61">
        <f t="shared" si="49"/>
        <v>0</v>
      </c>
      <c r="CV40" s="61">
        <f t="shared" si="50"/>
        <v>0</v>
      </c>
      <c r="CW40" s="61">
        <f t="shared" si="51"/>
        <v>0</v>
      </c>
      <c r="CX40" s="61">
        <f t="shared" si="52"/>
        <v>0</v>
      </c>
      <c r="CY40" s="61">
        <f t="shared" si="53"/>
        <v>0</v>
      </c>
      <c r="CZ40" s="61">
        <f t="shared" si="54"/>
        <v>0</v>
      </c>
      <c r="DA40" s="61">
        <f t="shared" si="55"/>
        <v>0</v>
      </c>
      <c r="DB40" s="61">
        <f t="shared" si="56"/>
        <v>0</v>
      </c>
      <c r="DC40" s="61">
        <f t="shared" si="57"/>
        <v>0</v>
      </c>
      <c r="DD40" s="61">
        <f t="shared" si="58"/>
        <v>0</v>
      </c>
      <c r="DE40" s="61">
        <f t="shared" si="59"/>
        <v>0</v>
      </c>
    </row>
    <row r="41" spans="1:110" x14ac:dyDescent="0.25">
      <c r="A41" s="248"/>
      <c r="B41" s="248"/>
      <c r="C41" s="251"/>
      <c r="D41" s="25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1">
        <f t="shared" si="31"/>
        <v>0</v>
      </c>
      <c r="AE41" s="53" t="str">
        <f t="shared" ca="1" si="29"/>
        <v/>
      </c>
      <c r="AF41" s="56">
        <f>IF($C41=Repart_lignes,0,
(SUMIF(Fonctionnement[Affectation matrice],$A41,Fonctionnement[TVA acquittée])+SUMIF(Invest[Affectation matrice],$A41,Invest[TVA acquittée]))*CF41)</f>
        <v>0</v>
      </c>
      <c r="AG41" s="56">
        <f>IF($C41=Repart_lignes,0,
(SUMIF(Fonctionnement[Affectation matrice],$A41,Fonctionnement[TVA acquittée])+SUMIF(Invest[Affectation matrice],$A41,Invest[TVA acquittée]))*CG41)</f>
        <v>0</v>
      </c>
      <c r="AH41" s="56">
        <f>IF($C41=Repart_lignes,0,
(SUMIF(Fonctionnement[Affectation matrice],$A41,Fonctionnement[TVA acquittée])+SUMIF(Invest[Affectation matrice],$A41,Invest[TVA acquittée]))*CH41)</f>
        <v>0</v>
      </c>
      <c r="AI41" s="56">
        <f>IF($C41=Repart_lignes,0,
(SUMIF(Fonctionnement[Affectation matrice],$A41,Fonctionnement[TVA acquittée])+SUMIF(Invest[Affectation matrice],$A41,Invest[TVA acquittée]))*CI41)</f>
        <v>0</v>
      </c>
      <c r="AJ41" s="56">
        <f>IF($C41=Repart_lignes,0,
(SUMIF(Fonctionnement[Affectation matrice],$A41,Fonctionnement[TVA acquittée])+SUMIF(Invest[Affectation matrice],$A41,Invest[TVA acquittée]))*CJ41)</f>
        <v>0</v>
      </c>
      <c r="AK41" s="56">
        <f>IF($C41=Repart_lignes,0,
(SUMIF(Fonctionnement[Affectation matrice],$A41,Fonctionnement[TVA acquittée])+SUMIF(Invest[Affectation matrice],$A41,Invest[TVA acquittée]))*CK41)</f>
        <v>0</v>
      </c>
      <c r="AL41" s="56">
        <f>IF($C41=Repart_lignes,0,
(SUMIF(Fonctionnement[Affectation matrice],$A41,Fonctionnement[TVA acquittée])+SUMIF(Invest[Affectation matrice],$A41,Invest[TVA acquittée]))*CL41)</f>
        <v>0</v>
      </c>
      <c r="AM41" s="56">
        <f>IF($C41=Repart_lignes,0,
(SUMIF(Fonctionnement[Affectation matrice],$A41,Fonctionnement[TVA acquittée])+SUMIF(Invest[Affectation matrice],$A41,Invest[TVA acquittée]))*CM41)</f>
        <v>0</v>
      </c>
      <c r="AN41" s="56">
        <f>IF($C41=Repart_lignes,0,
(SUMIF(Fonctionnement[Affectation matrice],$A41,Fonctionnement[TVA acquittée])+SUMIF(Invest[Affectation matrice],$A41,Invest[TVA acquittée]))*CN41)</f>
        <v>0</v>
      </c>
      <c r="AO41" s="56">
        <f>IF($C41=Repart_lignes,0,
(SUMIF(Fonctionnement[Affectation matrice],$A41,Fonctionnement[TVA acquittée])+SUMIF(Invest[Affectation matrice],$A41,Invest[TVA acquittée]))*CO41)</f>
        <v>0</v>
      </c>
      <c r="AP41" s="56">
        <f>IF($C41=Repart_lignes,0,
(SUMIF(Fonctionnement[Affectation matrice],$A41,Fonctionnement[TVA acquittée])+SUMIF(Invest[Affectation matrice],$A41,Invest[TVA acquittée]))*CP41)</f>
        <v>0</v>
      </c>
      <c r="AQ41" s="56">
        <f>IF($C41=Repart_lignes,0,
(SUMIF(Fonctionnement[Affectation matrice],$A41,Fonctionnement[TVA acquittée])+SUMIF(Invest[Affectation matrice],$A41,Invest[TVA acquittée]))*CQ41)</f>
        <v>0</v>
      </c>
      <c r="AR41" s="56">
        <f>IF($C41=Repart_lignes,0,
(SUMIF(Fonctionnement[Affectation matrice],$A41,Fonctionnement[TVA acquittée])+SUMIF(Invest[Affectation matrice],$A41,Invest[TVA acquittée]))*CR41)</f>
        <v>0</v>
      </c>
      <c r="AS41" s="56">
        <f>IF($C41=Repart_lignes,0,
(SUMIF(Fonctionnement[Affectation matrice],$A41,Fonctionnement[TVA acquittée])+SUMIF(Invest[Affectation matrice],$A41,Invest[TVA acquittée]))*CS41)</f>
        <v>0</v>
      </c>
      <c r="AT41" s="56">
        <f>IF($C41=Repart_lignes,0,
(SUMIF(Fonctionnement[Affectation matrice],$A41,Fonctionnement[TVA acquittée])+SUMIF(Invest[Affectation matrice],$A41,Invest[TVA acquittée]))*CT41)</f>
        <v>0</v>
      </c>
      <c r="AU41" s="56">
        <f>IF($C41=Repart_lignes,0,
(SUMIF(Fonctionnement[Affectation matrice],$A41,Fonctionnement[TVA acquittée])+SUMIF(Invest[Affectation matrice],$A41,Invest[TVA acquittée]))*CU41)</f>
        <v>0</v>
      </c>
      <c r="AV41" s="56">
        <f>IF($C41=Repart_lignes,0,
(SUMIF(Fonctionnement[Affectation matrice],$A41,Fonctionnement[TVA acquittée])+SUMIF(Invest[Affectation matrice],$A41,Invest[TVA acquittée]))*CV41)</f>
        <v>0</v>
      </c>
      <c r="AW41" s="56">
        <f>IF($C41=Repart_lignes,0,
(SUMIF(Fonctionnement[Affectation matrice],$A41,Fonctionnement[TVA acquittée])+SUMIF(Invest[Affectation matrice],$A41,Invest[TVA acquittée]))*CW41)</f>
        <v>0</v>
      </c>
      <c r="AX41" s="56">
        <f>IF($C41=Repart_lignes,0,
(SUMIF(Fonctionnement[Affectation matrice],$A41,Fonctionnement[TVA acquittée])+SUMIF(Invest[Affectation matrice],$A41,Invest[TVA acquittée]))*CX41)</f>
        <v>0</v>
      </c>
      <c r="AY41" s="56">
        <f>IF($C41=Repart_lignes,0,
(SUMIF(Fonctionnement[Affectation matrice],$A41,Fonctionnement[TVA acquittée])+SUMIF(Invest[Affectation matrice],$A41,Invest[TVA acquittée]))*CY41)</f>
        <v>0</v>
      </c>
      <c r="AZ41" s="56">
        <f>IF($C41=Repart_lignes,0,
(SUMIF(Fonctionnement[Affectation matrice],$A41,Fonctionnement[TVA acquittée])+SUMIF(Invest[Affectation matrice],$A41,Invest[TVA acquittée]))*CZ41)</f>
        <v>0</v>
      </c>
      <c r="BA41" s="56">
        <f>IF($C41=Repart_lignes,0,
(SUMIF(Fonctionnement[Affectation matrice],$A41,Fonctionnement[TVA acquittée])+SUMIF(Invest[Affectation matrice],$A41,Invest[TVA acquittée]))*DA41)</f>
        <v>0</v>
      </c>
      <c r="BB41" s="56">
        <f>IF($C41=Repart_lignes,0,
(SUMIF(Fonctionnement[Affectation matrice],$A41,Fonctionnement[TVA acquittée])+SUMIF(Invest[Affectation matrice],$A41,Invest[TVA acquittée]))*DB41)</f>
        <v>0</v>
      </c>
      <c r="BC41" s="56">
        <f>IF($C41=Repart_lignes,0,
(SUMIF(Fonctionnement[Affectation matrice],$A41,Fonctionnement[TVA acquittée])+SUMIF(Invest[Affectation matrice],$A41,Invest[TVA acquittée]))*DC41)</f>
        <v>0</v>
      </c>
      <c r="BD41" s="56">
        <f>IF($C41=Repart_lignes,0,
(SUMIF(Fonctionnement[Affectation matrice],$A41,Fonctionnement[TVA acquittée])+SUMIF(Invest[Affectation matrice],$A41,Invest[TVA acquittée]))*DD41)</f>
        <v>0</v>
      </c>
      <c r="BE41" s="58">
        <f t="shared" si="32"/>
        <v>0</v>
      </c>
      <c r="BF41" s="56">
        <f>IF($C41=Repart_lignes,0,
(SUMIF(Fonctionnement[Affectation matrice],$A41,Fonctionnement[Montant (€HT)])+SUMIF(Invest[Affectation matrice],$A41,Invest[Amortissement HT + intérêts]))*CF41)</f>
        <v>0</v>
      </c>
      <c r="BG41" s="56">
        <f>IF($C41=Repart_lignes,0,
(SUMIF(Fonctionnement[Affectation matrice],$A41,Fonctionnement[Montant (€HT)])+SUMIF(Invest[Affectation matrice],$A41,Invest[Amortissement HT + intérêts]))*CG41)</f>
        <v>0</v>
      </c>
      <c r="BH41" s="56">
        <f>IF($C41=Repart_lignes,0,
(SUMIF(Fonctionnement[Affectation matrice],$A41,Fonctionnement[Montant (€HT)])+SUMIF(Invest[Affectation matrice],$A41,Invest[Amortissement HT + intérêts]))*CH41)</f>
        <v>0</v>
      </c>
      <c r="BI41" s="56">
        <f>IF($C41=Repart_lignes,0,
(SUMIF(Fonctionnement[Affectation matrice],$A41,Fonctionnement[Montant (€HT)])+SUMIF(Invest[Affectation matrice],$A41,Invest[Amortissement HT + intérêts]))*CI41)</f>
        <v>0</v>
      </c>
      <c r="BJ41" s="56">
        <f>IF($C41=Repart_lignes,0,
(SUMIF(Fonctionnement[Affectation matrice],$A41,Fonctionnement[Montant (€HT)])+SUMIF(Invest[Affectation matrice],$A41,Invest[Amortissement HT + intérêts]))*CJ41)</f>
        <v>0</v>
      </c>
      <c r="BK41" s="56">
        <f>IF($C41=Repart_lignes,0,
(SUMIF(Fonctionnement[Affectation matrice],$A41,Fonctionnement[Montant (€HT)])+SUMIF(Invest[Affectation matrice],$A41,Invest[Amortissement HT + intérêts]))*CK41)</f>
        <v>0</v>
      </c>
      <c r="BL41" s="56">
        <f>IF($C41=Repart_lignes,0,
(SUMIF(Fonctionnement[Affectation matrice],$A41,Fonctionnement[Montant (€HT)])+SUMIF(Invest[Affectation matrice],$A41,Invest[Amortissement HT + intérêts]))*CL41)</f>
        <v>0</v>
      </c>
      <c r="BM41" s="56">
        <f>IF($C41=Repart_lignes,0,
(SUMIF(Fonctionnement[Affectation matrice],$A41,Fonctionnement[Montant (€HT)])+SUMIF(Invest[Affectation matrice],$A41,Invest[Amortissement HT + intérêts]))*CM41)</f>
        <v>0</v>
      </c>
      <c r="BN41" s="56">
        <f>IF($C41=Repart_lignes,0,
(SUMIF(Fonctionnement[Affectation matrice],$A41,Fonctionnement[Montant (€HT)])+SUMIF(Invest[Affectation matrice],$A41,Invest[Amortissement HT + intérêts]))*CN41)</f>
        <v>0</v>
      </c>
      <c r="BO41" s="56">
        <f>IF($C41=Repart_lignes,0,
(SUMIF(Fonctionnement[Affectation matrice],$A41,Fonctionnement[Montant (€HT)])+SUMIF(Invest[Affectation matrice],$A41,Invest[Amortissement HT + intérêts]))*CO41)</f>
        <v>0</v>
      </c>
      <c r="BP41" s="56">
        <f>IF($C41=Repart_lignes,0,
(SUMIF(Fonctionnement[Affectation matrice],$A41,Fonctionnement[Montant (€HT)])+SUMIF(Invest[Affectation matrice],$A41,Invest[Amortissement HT + intérêts]))*CP41)</f>
        <v>0</v>
      </c>
      <c r="BQ41" s="56">
        <f>IF($C41=Repart_lignes,0,
(SUMIF(Fonctionnement[Affectation matrice],$A41,Fonctionnement[Montant (€HT)])+SUMIF(Invest[Affectation matrice],$A41,Invest[Amortissement HT + intérêts]))*CQ41)</f>
        <v>0</v>
      </c>
      <c r="BR41" s="56">
        <f>IF($C41=Repart_lignes,0,
(SUMIF(Fonctionnement[Affectation matrice],$A41,Fonctionnement[Montant (€HT)])+SUMIF(Invest[Affectation matrice],$A41,Invest[Amortissement HT + intérêts]))*CR41)</f>
        <v>0</v>
      </c>
      <c r="BS41" s="56">
        <f>IF($C41=Repart_lignes,0,
(SUMIF(Fonctionnement[Affectation matrice],$A41,Fonctionnement[Montant (€HT)])+SUMIF(Invest[Affectation matrice],$A41,Invest[Amortissement HT + intérêts]))*CS41)</f>
        <v>0</v>
      </c>
      <c r="BT41" s="56">
        <f>IF($C41=Repart_lignes,0,
(SUMIF(Fonctionnement[Affectation matrice],$A41,Fonctionnement[Montant (€HT)])+SUMIF(Invest[Affectation matrice],$A41,Invest[Amortissement HT + intérêts]))*CT41)</f>
        <v>0</v>
      </c>
      <c r="BU41" s="56">
        <f>IF($C41=Repart_lignes,0,
(SUMIF(Fonctionnement[Affectation matrice],$A41,Fonctionnement[Montant (€HT)])+SUMIF(Invest[Affectation matrice],$A41,Invest[Amortissement HT + intérêts]))*CU41)</f>
        <v>0</v>
      </c>
      <c r="BV41" s="56">
        <f>IF($C41=Repart_lignes,0,
(SUMIF(Fonctionnement[Affectation matrice],$A41,Fonctionnement[Montant (€HT)])+SUMIF(Invest[Affectation matrice],$A41,Invest[Amortissement HT + intérêts]))*CV41)</f>
        <v>0</v>
      </c>
      <c r="BW41" s="56">
        <f>IF($C41=Repart_lignes,0,
(SUMIF(Fonctionnement[Affectation matrice],$A41,Fonctionnement[Montant (€HT)])+SUMIF(Invest[Affectation matrice],$A41,Invest[Amortissement HT + intérêts]))*CW41)</f>
        <v>0</v>
      </c>
      <c r="BX41" s="56">
        <f>IF($C41=Repart_lignes,0,
(SUMIF(Fonctionnement[Affectation matrice],$A41,Fonctionnement[Montant (€HT)])+SUMIF(Invest[Affectation matrice],$A41,Invest[Amortissement HT + intérêts]))*CX41)</f>
        <v>0</v>
      </c>
      <c r="BY41" s="56">
        <f>IF($C41=Repart_lignes,0,
(SUMIF(Fonctionnement[Affectation matrice],$A41,Fonctionnement[Montant (€HT)])+SUMIF(Invest[Affectation matrice],$A41,Invest[Amortissement HT + intérêts]))*CY41)</f>
        <v>0</v>
      </c>
      <c r="BZ41" s="56">
        <f>IF($C41=Repart_lignes,0,
(SUMIF(Fonctionnement[Affectation matrice],$A41,Fonctionnement[Montant (€HT)])+SUMIF(Invest[Affectation matrice],$A41,Invest[Amortissement HT + intérêts]))*CZ41)</f>
        <v>0</v>
      </c>
      <c r="CA41" s="56">
        <f>IF($C41=Repart_lignes,0,
(SUMIF(Fonctionnement[Affectation matrice],$A41,Fonctionnement[Montant (€HT)])+SUMIF(Invest[Affectation matrice],$A41,Invest[Amortissement HT + intérêts]))*DA41)</f>
        <v>0</v>
      </c>
      <c r="CB41" s="56">
        <f>IF($C41=Repart_lignes,0,
(SUMIF(Fonctionnement[Affectation matrice],$A41,Fonctionnement[Montant (€HT)])+SUMIF(Invest[Affectation matrice],$A41,Invest[Amortissement HT + intérêts]))*DB41)</f>
        <v>0</v>
      </c>
      <c r="CC41" s="56">
        <f>IF($C41=Repart_lignes,0,
(SUMIF(Fonctionnement[Affectation matrice],$A41,Fonctionnement[Montant (€HT)])+SUMIF(Invest[Affectation matrice],$A41,Invest[Amortissement HT + intérêts]))*DC41)</f>
        <v>0</v>
      </c>
      <c r="CD41" s="56">
        <f>IF($C41=Repart_lignes,0,
(SUMIF(Fonctionnement[Affectation matrice],$A41,Fonctionnement[Montant (€HT)])+SUMIF(Invest[Affectation matrice],$A41,Invest[Amortissement HT + intérêts]))*DD41)</f>
        <v>0</v>
      </c>
      <c r="CE41" s="59">
        <f t="shared" si="33"/>
        <v>0</v>
      </c>
      <c r="CF41" s="61">
        <f t="shared" si="34"/>
        <v>0</v>
      </c>
      <c r="CG41" s="61">
        <f t="shared" si="35"/>
        <v>0</v>
      </c>
      <c r="CH41" s="61">
        <f t="shared" si="36"/>
        <v>0</v>
      </c>
      <c r="CI41" s="61">
        <f t="shared" si="37"/>
        <v>0</v>
      </c>
      <c r="CJ41" s="61">
        <f t="shared" si="38"/>
        <v>0</v>
      </c>
      <c r="CK41" s="61">
        <f t="shared" si="39"/>
        <v>0</v>
      </c>
      <c r="CL41" s="61">
        <f t="shared" si="40"/>
        <v>0</v>
      </c>
      <c r="CM41" s="61">
        <f t="shared" si="41"/>
        <v>0</v>
      </c>
      <c r="CN41" s="61">
        <f t="shared" si="42"/>
        <v>0</v>
      </c>
      <c r="CO41" s="61">
        <f t="shared" si="43"/>
        <v>0</v>
      </c>
      <c r="CP41" s="61">
        <f t="shared" si="44"/>
        <v>0</v>
      </c>
      <c r="CQ41" s="61">
        <f t="shared" si="45"/>
        <v>0</v>
      </c>
      <c r="CR41" s="61">
        <f t="shared" si="46"/>
        <v>0</v>
      </c>
      <c r="CS41" s="61">
        <f t="shared" si="47"/>
        <v>0</v>
      </c>
      <c r="CT41" s="61">
        <f t="shared" si="48"/>
        <v>0</v>
      </c>
      <c r="CU41" s="61">
        <f t="shared" si="49"/>
        <v>0</v>
      </c>
      <c r="CV41" s="61">
        <f t="shared" si="50"/>
        <v>0</v>
      </c>
      <c r="CW41" s="61">
        <f t="shared" si="51"/>
        <v>0</v>
      </c>
      <c r="CX41" s="61">
        <f t="shared" si="52"/>
        <v>0</v>
      </c>
      <c r="CY41" s="61">
        <f t="shared" si="53"/>
        <v>0</v>
      </c>
      <c r="CZ41" s="61">
        <f t="shared" si="54"/>
        <v>0</v>
      </c>
      <c r="DA41" s="61">
        <f t="shared" si="55"/>
        <v>0</v>
      </c>
      <c r="DB41" s="61">
        <f t="shared" si="56"/>
        <v>0</v>
      </c>
      <c r="DC41" s="61">
        <f t="shared" si="57"/>
        <v>0</v>
      </c>
      <c r="DD41" s="61">
        <f t="shared" si="58"/>
        <v>0</v>
      </c>
      <c r="DE41" s="61">
        <f t="shared" si="59"/>
        <v>0</v>
      </c>
    </row>
    <row r="42" spans="1:110" x14ac:dyDescent="0.25">
      <c r="A42" s="248"/>
      <c r="B42" s="248"/>
      <c r="C42" s="251"/>
      <c r="D42" s="25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1">
        <f t="shared" si="31"/>
        <v>0</v>
      </c>
      <c r="AE42" s="53" t="str">
        <f t="shared" ca="1" si="29"/>
        <v/>
      </c>
      <c r="AF42" s="56">
        <f>IF($C42=Repart_lignes,0,
(SUMIF(Fonctionnement[Affectation matrice],$A42,Fonctionnement[TVA acquittée])+SUMIF(Invest[Affectation matrice],$A42,Invest[TVA acquittée]))*CF42)</f>
        <v>0</v>
      </c>
      <c r="AG42" s="56">
        <f>IF($C42=Repart_lignes,0,
(SUMIF(Fonctionnement[Affectation matrice],$A42,Fonctionnement[TVA acquittée])+SUMIF(Invest[Affectation matrice],$A42,Invest[TVA acquittée]))*CG42)</f>
        <v>0</v>
      </c>
      <c r="AH42" s="56">
        <f>IF($C42=Repart_lignes,0,
(SUMIF(Fonctionnement[Affectation matrice],$A42,Fonctionnement[TVA acquittée])+SUMIF(Invest[Affectation matrice],$A42,Invest[TVA acquittée]))*CH42)</f>
        <v>0</v>
      </c>
      <c r="AI42" s="56">
        <f>IF($C42=Repart_lignes,0,
(SUMIF(Fonctionnement[Affectation matrice],$A42,Fonctionnement[TVA acquittée])+SUMIF(Invest[Affectation matrice],$A42,Invest[TVA acquittée]))*CI42)</f>
        <v>0</v>
      </c>
      <c r="AJ42" s="56">
        <f>IF($C42=Repart_lignes,0,
(SUMIF(Fonctionnement[Affectation matrice],$A42,Fonctionnement[TVA acquittée])+SUMIF(Invest[Affectation matrice],$A42,Invest[TVA acquittée]))*CJ42)</f>
        <v>0</v>
      </c>
      <c r="AK42" s="56">
        <f>IF($C42=Repart_lignes,0,
(SUMIF(Fonctionnement[Affectation matrice],$A42,Fonctionnement[TVA acquittée])+SUMIF(Invest[Affectation matrice],$A42,Invest[TVA acquittée]))*CK42)</f>
        <v>0</v>
      </c>
      <c r="AL42" s="56">
        <f>IF($C42=Repart_lignes,0,
(SUMIF(Fonctionnement[Affectation matrice],$A42,Fonctionnement[TVA acquittée])+SUMIF(Invest[Affectation matrice],$A42,Invest[TVA acquittée]))*CL42)</f>
        <v>0</v>
      </c>
      <c r="AM42" s="56">
        <f>IF($C42=Repart_lignes,0,
(SUMIF(Fonctionnement[Affectation matrice],$A42,Fonctionnement[TVA acquittée])+SUMIF(Invest[Affectation matrice],$A42,Invest[TVA acquittée]))*CM42)</f>
        <v>0</v>
      </c>
      <c r="AN42" s="56">
        <f>IF($C42=Repart_lignes,0,
(SUMIF(Fonctionnement[Affectation matrice],$A42,Fonctionnement[TVA acquittée])+SUMIF(Invest[Affectation matrice],$A42,Invest[TVA acquittée]))*CN42)</f>
        <v>0</v>
      </c>
      <c r="AO42" s="56">
        <f>IF($C42=Repart_lignes,0,
(SUMIF(Fonctionnement[Affectation matrice],$A42,Fonctionnement[TVA acquittée])+SUMIF(Invest[Affectation matrice],$A42,Invest[TVA acquittée]))*CO42)</f>
        <v>0</v>
      </c>
      <c r="AP42" s="56">
        <f>IF($C42=Repart_lignes,0,
(SUMIF(Fonctionnement[Affectation matrice],$A42,Fonctionnement[TVA acquittée])+SUMIF(Invest[Affectation matrice],$A42,Invest[TVA acquittée]))*CP42)</f>
        <v>0</v>
      </c>
      <c r="AQ42" s="56">
        <f>IF($C42=Repart_lignes,0,
(SUMIF(Fonctionnement[Affectation matrice],$A42,Fonctionnement[TVA acquittée])+SUMIF(Invest[Affectation matrice],$A42,Invest[TVA acquittée]))*CQ42)</f>
        <v>0</v>
      </c>
      <c r="AR42" s="56">
        <f>IF($C42=Repart_lignes,0,
(SUMIF(Fonctionnement[Affectation matrice],$A42,Fonctionnement[TVA acquittée])+SUMIF(Invest[Affectation matrice],$A42,Invest[TVA acquittée]))*CR42)</f>
        <v>0</v>
      </c>
      <c r="AS42" s="56">
        <f>IF($C42=Repart_lignes,0,
(SUMIF(Fonctionnement[Affectation matrice],$A42,Fonctionnement[TVA acquittée])+SUMIF(Invest[Affectation matrice],$A42,Invest[TVA acquittée]))*CS42)</f>
        <v>0</v>
      </c>
      <c r="AT42" s="56">
        <f>IF($C42=Repart_lignes,0,
(SUMIF(Fonctionnement[Affectation matrice],$A42,Fonctionnement[TVA acquittée])+SUMIF(Invest[Affectation matrice],$A42,Invest[TVA acquittée]))*CT42)</f>
        <v>0</v>
      </c>
      <c r="AU42" s="56">
        <f>IF($C42=Repart_lignes,0,
(SUMIF(Fonctionnement[Affectation matrice],$A42,Fonctionnement[TVA acquittée])+SUMIF(Invest[Affectation matrice],$A42,Invest[TVA acquittée]))*CU42)</f>
        <v>0</v>
      </c>
      <c r="AV42" s="56">
        <f>IF($C42=Repart_lignes,0,
(SUMIF(Fonctionnement[Affectation matrice],$A42,Fonctionnement[TVA acquittée])+SUMIF(Invest[Affectation matrice],$A42,Invest[TVA acquittée]))*CV42)</f>
        <v>0</v>
      </c>
      <c r="AW42" s="56">
        <f>IF($C42=Repart_lignes,0,
(SUMIF(Fonctionnement[Affectation matrice],$A42,Fonctionnement[TVA acquittée])+SUMIF(Invest[Affectation matrice],$A42,Invest[TVA acquittée]))*CW42)</f>
        <v>0</v>
      </c>
      <c r="AX42" s="56">
        <f>IF($C42=Repart_lignes,0,
(SUMIF(Fonctionnement[Affectation matrice],$A42,Fonctionnement[TVA acquittée])+SUMIF(Invest[Affectation matrice],$A42,Invest[TVA acquittée]))*CX42)</f>
        <v>0</v>
      </c>
      <c r="AY42" s="56">
        <f>IF($C42=Repart_lignes,0,
(SUMIF(Fonctionnement[Affectation matrice],$A42,Fonctionnement[TVA acquittée])+SUMIF(Invest[Affectation matrice],$A42,Invest[TVA acquittée]))*CY42)</f>
        <v>0</v>
      </c>
      <c r="AZ42" s="56">
        <f>IF($C42=Repart_lignes,0,
(SUMIF(Fonctionnement[Affectation matrice],$A42,Fonctionnement[TVA acquittée])+SUMIF(Invest[Affectation matrice],$A42,Invest[TVA acquittée]))*CZ42)</f>
        <v>0</v>
      </c>
      <c r="BA42" s="56">
        <f>IF($C42=Repart_lignes,0,
(SUMIF(Fonctionnement[Affectation matrice],$A42,Fonctionnement[TVA acquittée])+SUMIF(Invest[Affectation matrice],$A42,Invest[TVA acquittée]))*DA42)</f>
        <v>0</v>
      </c>
      <c r="BB42" s="56">
        <f>IF($C42=Repart_lignes,0,
(SUMIF(Fonctionnement[Affectation matrice],$A42,Fonctionnement[TVA acquittée])+SUMIF(Invest[Affectation matrice],$A42,Invest[TVA acquittée]))*DB42)</f>
        <v>0</v>
      </c>
      <c r="BC42" s="56">
        <f>IF($C42=Repart_lignes,0,
(SUMIF(Fonctionnement[Affectation matrice],$A42,Fonctionnement[TVA acquittée])+SUMIF(Invest[Affectation matrice],$A42,Invest[TVA acquittée]))*DC42)</f>
        <v>0</v>
      </c>
      <c r="BD42" s="56">
        <f>IF($C42=Repart_lignes,0,
(SUMIF(Fonctionnement[Affectation matrice],$A42,Fonctionnement[TVA acquittée])+SUMIF(Invest[Affectation matrice],$A42,Invest[TVA acquittée]))*DD42)</f>
        <v>0</v>
      </c>
      <c r="BE42" s="58">
        <f t="shared" si="32"/>
        <v>0</v>
      </c>
      <c r="BF42" s="56">
        <f>IF($C42=Repart_lignes,0,
(SUMIF(Fonctionnement[Affectation matrice],$A42,Fonctionnement[Montant (€HT)])+SUMIF(Invest[Affectation matrice],$A42,Invest[Amortissement HT + intérêts]))*CF42)</f>
        <v>0</v>
      </c>
      <c r="BG42" s="56">
        <f>IF($C42=Repart_lignes,0,
(SUMIF(Fonctionnement[Affectation matrice],$A42,Fonctionnement[Montant (€HT)])+SUMIF(Invest[Affectation matrice],$A42,Invest[Amortissement HT + intérêts]))*CG42)</f>
        <v>0</v>
      </c>
      <c r="BH42" s="56">
        <f>IF($C42=Repart_lignes,0,
(SUMIF(Fonctionnement[Affectation matrice],$A42,Fonctionnement[Montant (€HT)])+SUMIF(Invest[Affectation matrice],$A42,Invest[Amortissement HT + intérêts]))*CH42)</f>
        <v>0</v>
      </c>
      <c r="BI42" s="56">
        <f>IF($C42=Repart_lignes,0,
(SUMIF(Fonctionnement[Affectation matrice],$A42,Fonctionnement[Montant (€HT)])+SUMIF(Invest[Affectation matrice],$A42,Invest[Amortissement HT + intérêts]))*CI42)</f>
        <v>0</v>
      </c>
      <c r="BJ42" s="56">
        <f>IF($C42=Repart_lignes,0,
(SUMIF(Fonctionnement[Affectation matrice],$A42,Fonctionnement[Montant (€HT)])+SUMIF(Invest[Affectation matrice],$A42,Invest[Amortissement HT + intérêts]))*CJ42)</f>
        <v>0</v>
      </c>
      <c r="BK42" s="56">
        <f>IF($C42=Repart_lignes,0,
(SUMIF(Fonctionnement[Affectation matrice],$A42,Fonctionnement[Montant (€HT)])+SUMIF(Invest[Affectation matrice],$A42,Invest[Amortissement HT + intérêts]))*CK42)</f>
        <v>0</v>
      </c>
      <c r="BL42" s="56">
        <f>IF($C42=Repart_lignes,0,
(SUMIF(Fonctionnement[Affectation matrice],$A42,Fonctionnement[Montant (€HT)])+SUMIF(Invest[Affectation matrice],$A42,Invest[Amortissement HT + intérêts]))*CL42)</f>
        <v>0</v>
      </c>
      <c r="BM42" s="56">
        <f>IF($C42=Repart_lignes,0,
(SUMIF(Fonctionnement[Affectation matrice],$A42,Fonctionnement[Montant (€HT)])+SUMIF(Invest[Affectation matrice],$A42,Invest[Amortissement HT + intérêts]))*CM42)</f>
        <v>0</v>
      </c>
      <c r="BN42" s="56">
        <f>IF($C42=Repart_lignes,0,
(SUMIF(Fonctionnement[Affectation matrice],$A42,Fonctionnement[Montant (€HT)])+SUMIF(Invest[Affectation matrice],$A42,Invest[Amortissement HT + intérêts]))*CN42)</f>
        <v>0</v>
      </c>
      <c r="BO42" s="56">
        <f>IF($C42=Repart_lignes,0,
(SUMIF(Fonctionnement[Affectation matrice],$A42,Fonctionnement[Montant (€HT)])+SUMIF(Invest[Affectation matrice],$A42,Invest[Amortissement HT + intérêts]))*CO42)</f>
        <v>0</v>
      </c>
      <c r="BP42" s="56">
        <f>IF($C42=Repart_lignes,0,
(SUMIF(Fonctionnement[Affectation matrice],$A42,Fonctionnement[Montant (€HT)])+SUMIF(Invest[Affectation matrice],$A42,Invest[Amortissement HT + intérêts]))*CP42)</f>
        <v>0</v>
      </c>
      <c r="BQ42" s="56">
        <f>IF($C42=Repart_lignes,0,
(SUMIF(Fonctionnement[Affectation matrice],$A42,Fonctionnement[Montant (€HT)])+SUMIF(Invest[Affectation matrice],$A42,Invest[Amortissement HT + intérêts]))*CQ42)</f>
        <v>0</v>
      </c>
      <c r="BR42" s="56">
        <f>IF($C42=Repart_lignes,0,
(SUMIF(Fonctionnement[Affectation matrice],$A42,Fonctionnement[Montant (€HT)])+SUMIF(Invest[Affectation matrice],$A42,Invest[Amortissement HT + intérêts]))*CR42)</f>
        <v>0</v>
      </c>
      <c r="BS42" s="56">
        <f>IF($C42=Repart_lignes,0,
(SUMIF(Fonctionnement[Affectation matrice],$A42,Fonctionnement[Montant (€HT)])+SUMIF(Invest[Affectation matrice],$A42,Invest[Amortissement HT + intérêts]))*CS42)</f>
        <v>0</v>
      </c>
      <c r="BT42" s="56">
        <f>IF($C42=Repart_lignes,0,
(SUMIF(Fonctionnement[Affectation matrice],$A42,Fonctionnement[Montant (€HT)])+SUMIF(Invest[Affectation matrice],$A42,Invest[Amortissement HT + intérêts]))*CT42)</f>
        <v>0</v>
      </c>
      <c r="BU42" s="56">
        <f>IF($C42=Repart_lignes,0,
(SUMIF(Fonctionnement[Affectation matrice],$A42,Fonctionnement[Montant (€HT)])+SUMIF(Invest[Affectation matrice],$A42,Invest[Amortissement HT + intérêts]))*CU42)</f>
        <v>0</v>
      </c>
      <c r="BV42" s="56">
        <f>IF($C42=Repart_lignes,0,
(SUMIF(Fonctionnement[Affectation matrice],$A42,Fonctionnement[Montant (€HT)])+SUMIF(Invest[Affectation matrice],$A42,Invest[Amortissement HT + intérêts]))*CV42)</f>
        <v>0</v>
      </c>
      <c r="BW42" s="56">
        <f>IF($C42=Repart_lignes,0,
(SUMIF(Fonctionnement[Affectation matrice],$A42,Fonctionnement[Montant (€HT)])+SUMIF(Invest[Affectation matrice],$A42,Invest[Amortissement HT + intérêts]))*CW42)</f>
        <v>0</v>
      </c>
      <c r="BX42" s="56">
        <f>IF($C42=Repart_lignes,0,
(SUMIF(Fonctionnement[Affectation matrice],$A42,Fonctionnement[Montant (€HT)])+SUMIF(Invest[Affectation matrice],$A42,Invest[Amortissement HT + intérêts]))*CX42)</f>
        <v>0</v>
      </c>
      <c r="BY42" s="56">
        <f>IF($C42=Repart_lignes,0,
(SUMIF(Fonctionnement[Affectation matrice],$A42,Fonctionnement[Montant (€HT)])+SUMIF(Invest[Affectation matrice],$A42,Invest[Amortissement HT + intérêts]))*CY42)</f>
        <v>0</v>
      </c>
      <c r="BZ42" s="56">
        <f>IF($C42=Repart_lignes,0,
(SUMIF(Fonctionnement[Affectation matrice],$A42,Fonctionnement[Montant (€HT)])+SUMIF(Invest[Affectation matrice],$A42,Invest[Amortissement HT + intérêts]))*CZ42)</f>
        <v>0</v>
      </c>
      <c r="CA42" s="56">
        <f>IF($C42=Repart_lignes,0,
(SUMIF(Fonctionnement[Affectation matrice],$A42,Fonctionnement[Montant (€HT)])+SUMIF(Invest[Affectation matrice],$A42,Invest[Amortissement HT + intérêts]))*DA42)</f>
        <v>0</v>
      </c>
      <c r="CB42" s="56">
        <f>IF($C42=Repart_lignes,0,
(SUMIF(Fonctionnement[Affectation matrice],$A42,Fonctionnement[Montant (€HT)])+SUMIF(Invest[Affectation matrice],$A42,Invest[Amortissement HT + intérêts]))*DB42)</f>
        <v>0</v>
      </c>
      <c r="CC42" s="56">
        <f>IF($C42=Repart_lignes,0,
(SUMIF(Fonctionnement[Affectation matrice],$A42,Fonctionnement[Montant (€HT)])+SUMIF(Invest[Affectation matrice],$A42,Invest[Amortissement HT + intérêts]))*DC42)</f>
        <v>0</v>
      </c>
      <c r="CD42" s="56">
        <f>IF($C42=Repart_lignes,0,
(SUMIF(Fonctionnement[Affectation matrice],$A42,Fonctionnement[Montant (€HT)])+SUMIF(Invest[Affectation matrice],$A42,Invest[Amortissement HT + intérêts]))*DD42)</f>
        <v>0</v>
      </c>
      <c r="CE42" s="59">
        <f t="shared" si="33"/>
        <v>0</v>
      </c>
      <c r="CF42" s="61">
        <f t="shared" si="34"/>
        <v>0</v>
      </c>
      <c r="CG42" s="61">
        <f t="shared" si="35"/>
        <v>0</v>
      </c>
      <c r="CH42" s="61">
        <f t="shared" si="36"/>
        <v>0</v>
      </c>
      <c r="CI42" s="61">
        <f t="shared" si="37"/>
        <v>0</v>
      </c>
      <c r="CJ42" s="61">
        <f t="shared" si="38"/>
        <v>0</v>
      </c>
      <c r="CK42" s="61">
        <f t="shared" si="39"/>
        <v>0</v>
      </c>
      <c r="CL42" s="61">
        <f t="shared" si="40"/>
        <v>0</v>
      </c>
      <c r="CM42" s="61">
        <f t="shared" si="41"/>
        <v>0</v>
      </c>
      <c r="CN42" s="61">
        <f t="shared" si="42"/>
        <v>0</v>
      </c>
      <c r="CO42" s="61">
        <f t="shared" si="43"/>
        <v>0</v>
      </c>
      <c r="CP42" s="61">
        <f t="shared" si="44"/>
        <v>0</v>
      </c>
      <c r="CQ42" s="61">
        <f t="shared" si="45"/>
        <v>0</v>
      </c>
      <c r="CR42" s="61">
        <f t="shared" si="46"/>
        <v>0</v>
      </c>
      <c r="CS42" s="61">
        <f t="shared" si="47"/>
        <v>0</v>
      </c>
      <c r="CT42" s="61">
        <f t="shared" si="48"/>
        <v>0</v>
      </c>
      <c r="CU42" s="61">
        <f t="shared" si="49"/>
        <v>0</v>
      </c>
      <c r="CV42" s="61">
        <f t="shared" si="50"/>
        <v>0</v>
      </c>
      <c r="CW42" s="61">
        <f t="shared" si="51"/>
        <v>0</v>
      </c>
      <c r="CX42" s="61">
        <f t="shared" si="52"/>
        <v>0</v>
      </c>
      <c r="CY42" s="61">
        <f t="shared" si="53"/>
        <v>0</v>
      </c>
      <c r="CZ42" s="61">
        <f t="shared" si="54"/>
        <v>0</v>
      </c>
      <c r="DA42" s="61">
        <f t="shared" si="55"/>
        <v>0</v>
      </c>
      <c r="DB42" s="61">
        <f t="shared" si="56"/>
        <v>0</v>
      </c>
      <c r="DC42" s="61">
        <f t="shared" si="57"/>
        <v>0</v>
      </c>
      <c r="DD42" s="61">
        <f t="shared" si="58"/>
        <v>0</v>
      </c>
      <c r="DE42" s="61">
        <f t="shared" si="59"/>
        <v>0</v>
      </c>
    </row>
    <row r="43" spans="1:110" x14ac:dyDescent="0.25">
      <c r="A43" s="248"/>
      <c r="B43" s="248"/>
      <c r="C43" s="251"/>
      <c r="D43" s="25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1">
        <f t="shared" si="31"/>
        <v>0</v>
      </c>
      <c r="AE43" s="53" t="str">
        <f t="shared" ca="1" si="29"/>
        <v/>
      </c>
      <c r="AF43" s="56">
        <f>IF($C43=Repart_lignes,0,
(SUMIF(Fonctionnement[Affectation matrice],$A43,Fonctionnement[TVA acquittée])+SUMIF(Invest[Affectation matrice],$A43,Invest[TVA acquittée]))*CF43)</f>
        <v>0</v>
      </c>
      <c r="AG43" s="56">
        <f>IF($C43=Repart_lignes,0,
(SUMIF(Fonctionnement[Affectation matrice],$A43,Fonctionnement[TVA acquittée])+SUMIF(Invest[Affectation matrice],$A43,Invest[TVA acquittée]))*CG43)</f>
        <v>0</v>
      </c>
      <c r="AH43" s="56">
        <f>IF($C43=Repart_lignes,0,
(SUMIF(Fonctionnement[Affectation matrice],$A43,Fonctionnement[TVA acquittée])+SUMIF(Invest[Affectation matrice],$A43,Invest[TVA acquittée]))*CH43)</f>
        <v>0</v>
      </c>
      <c r="AI43" s="56">
        <f>IF($C43=Repart_lignes,0,
(SUMIF(Fonctionnement[Affectation matrice],$A43,Fonctionnement[TVA acquittée])+SUMIF(Invest[Affectation matrice],$A43,Invest[TVA acquittée]))*CI43)</f>
        <v>0</v>
      </c>
      <c r="AJ43" s="56">
        <f>IF($C43=Repart_lignes,0,
(SUMIF(Fonctionnement[Affectation matrice],$A43,Fonctionnement[TVA acquittée])+SUMIF(Invest[Affectation matrice],$A43,Invest[TVA acquittée]))*CJ43)</f>
        <v>0</v>
      </c>
      <c r="AK43" s="56">
        <f>IF($C43=Repart_lignes,0,
(SUMIF(Fonctionnement[Affectation matrice],$A43,Fonctionnement[TVA acquittée])+SUMIF(Invest[Affectation matrice],$A43,Invest[TVA acquittée]))*CK43)</f>
        <v>0</v>
      </c>
      <c r="AL43" s="56">
        <f>IF($C43=Repart_lignes,0,
(SUMIF(Fonctionnement[Affectation matrice],$A43,Fonctionnement[TVA acquittée])+SUMIF(Invest[Affectation matrice],$A43,Invest[TVA acquittée]))*CL43)</f>
        <v>0</v>
      </c>
      <c r="AM43" s="56">
        <f>IF($C43=Repart_lignes,0,
(SUMIF(Fonctionnement[Affectation matrice],$A43,Fonctionnement[TVA acquittée])+SUMIF(Invest[Affectation matrice],$A43,Invest[TVA acquittée]))*CM43)</f>
        <v>0</v>
      </c>
      <c r="AN43" s="56">
        <f>IF($C43=Repart_lignes,0,
(SUMIF(Fonctionnement[Affectation matrice],$A43,Fonctionnement[TVA acquittée])+SUMIF(Invest[Affectation matrice],$A43,Invest[TVA acquittée]))*CN43)</f>
        <v>0</v>
      </c>
      <c r="AO43" s="56">
        <f>IF($C43=Repart_lignes,0,
(SUMIF(Fonctionnement[Affectation matrice],$A43,Fonctionnement[TVA acquittée])+SUMIF(Invest[Affectation matrice],$A43,Invest[TVA acquittée]))*CO43)</f>
        <v>0</v>
      </c>
      <c r="AP43" s="56">
        <f>IF($C43=Repart_lignes,0,
(SUMIF(Fonctionnement[Affectation matrice],$A43,Fonctionnement[TVA acquittée])+SUMIF(Invest[Affectation matrice],$A43,Invest[TVA acquittée]))*CP43)</f>
        <v>0</v>
      </c>
      <c r="AQ43" s="56">
        <f>IF($C43=Repart_lignes,0,
(SUMIF(Fonctionnement[Affectation matrice],$A43,Fonctionnement[TVA acquittée])+SUMIF(Invest[Affectation matrice],$A43,Invest[TVA acquittée]))*CQ43)</f>
        <v>0</v>
      </c>
      <c r="AR43" s="56">
        <f>IF($C43=Repart_lignes,0,
(SUMIF(Fonctionnement[Affectation matrice],$A43,Fonctionnement[TVA acquittée])+SUMIF(Invest[Affectation matrice],$A43,Invest[TVA acquittée]))*CR43)</f>
        <v>0</v>
      </c>
      <c r="AS43" s="56">
        <f>IF($C43=Repart_lignes,0,
(SUMIF(Fonctionnement[Affectation matrice],$A43,Fonctionnement[TVA acquittée])+SUMIF(Invest[Affectation matrice],$A43,Invest[TVA acquittée]))*CS43)</f>
        <v>0</v>
      </c>
      <c r="AT43" s="56">
        <f>IF($C43=Repart_lignes,0,
(SUMIF(Fonctionnement[Affectation matrice],$A43,Fonctionnement[TVA acquittée])+SUMIF(Invest[Affectation matrice],$A43,Invest[TVA acquittée]))*CT43)</f>
        <v>0</v>
      </c>
      <c r="AU43" s="56">
        <f>IF($C43=Repart_lignes,0,
(SUMIF(Fonctionnement[Affectation matrice],$A43,Fonctionnement[TVA acquittée])+SUMIF(Invest[Affectation matrice],$A43,Invest[TVA acquittée]))*CU43)</f>
        <v>0</v>
      </c>
      <c r="AV43" s="56">
        <f>IF($C43=Repart_lignes,0,
(SUMIF(Fonctionnement[Affectation matrice],$A43,Fonctionnement[TVA acquittée])+SUMIF(Invest[Affectation matrice],$A43,Invest[TVA acquittée]))*CV43)</f>
        <v>0</v>
      </c>
      <c r="AW43" s="56">
        <f>IF($C43=Repart_lignes,0,
(SUMIF(Fonctionnement[Affectation matrice],$A43,Fonctionnement[TVA acquittée])+SUMIF(Invest[Affectation matrice],$A43,Invest[TVA acquittée]))*CW43)</f>
        <v>0</v>
      </c>
      <c r="AX43" s="56">
        <f>IF($C43=Repart_lignes,0,
(SUMIF(Fonctionnement[Affectation matrice],$A43,Fonctionnement[TVA acquittée])+SUMIF(Invest[Affectation matrice],$A43,Invest[TVA acquittée]))*CX43)</f>
        <v>0</v>
      </c>
      <c r="AY43" s="56">
        <f>IF($C43=Repart_lignes,0,
(SUMIF(Fonctionnement[Affectation matrice],$A43,Fonctionnement[TVA acquittée])+SUMIF(Invest[Affectation matrice],$A43,Invest[TVA acquittée]))*CY43)</f>
        <v>0</v>
      </c>
      <c r="AZ43" s="56">
        <f>IF($C43=Repart_lignes,0,
(SUMIF(Fonctionnement[Affectation matrice],$A43,Fonctionnement[TVA acquittée])+SUMIF(Invest[Affectation matrice],$A43,Invest[TVA acquittée]))*CZ43)</f>
        <v>0</v>
      </c>
      <c r="BA43" s="56">
        <f>IF($C43=Repart_lignes,0,
(SUMIF(Fonctionnement[Affectation matrice],$A43,Fonctionnement[TVA acquittée])+SUMIF(Invest[Affectation matrice],$A43,Invest[TVA acquittée]))*DA43)</f>
        <v>0</v>
      </c>
      <c r="BB43" s="56">
        <f>IF($C43=Repart_lignes,0,
(SUMIF(Fonctionnement[Affectation matrice],$A43,Fonctionnement[TVA acquittée])+SUMIF(Invest[Affectation matrice],$A43,Invest[TVA acquittée]))*DB43)</f>
        <v>0</v>
      </c>
      <c r="BC43" s="56">
        <f>IF($C43=Repart_lignes,0,
(SUMIF(Fonctionnement[Affectation matrice],$A43,Fonctionnement[TVA acquittée])+SUMIF(Invest[Affectation matrice],$A43,Invest[TVA acquittée]))*DC43)</f>
        <v>0</v>
      </c>
      <c r="BD43" s="56">
        <f>IF($C43=Repart_lignes,0,
(SUMIF(Fonctionnement[Affectation matrice],$A43,Fonctionnement[TVA acquittée])+SUMIF(Invest[Affectation matrice],$A43,Invest[TVA acquittée]))*DD43)</f>
        <v>0</v>
      </c>
      <c r="BE43" s="58">
        <f t="shared" si="32"/>
        <v>0</v>
      </c>
      <c r="BF43" s="56">
        <f>IF($C43=Repart_lignes,0,
(SUMIF(Fonctionnement[Affectation matrice],$A43,Fonctionnement[Montant (€HT)])+SUMIF(Invest[Affectation matrice],$A43,Invest[Amortissement HT + intérêts]))*CF43)</f>
        <v>0</v>
      </c>
      <c r="BG43" s="56">
        <f>IF($C43=Repart_lignes,0,
(SUMIF(Fonctionnement[Affectation matrice],$A43,Fonctionnement[Montant (€HT)])+SUMIF(Invest[Affectation matrice],$A43,Invest[Amortissement HT + intérêts]))*CG43)</f>
        <v>0</v>
      </c>
      <c r="BH43" s="56">
        <f>IF($C43=Repart_lignes,0,
(SUMIF(Fonctionnement[Affectation matrice],$A43,Fonctionnement[Montant (€HT)])+SUMIF(Invest[Affectation matrice],$A43,Invest[Amortissement HT + intérêts]))*CH43)</f>
        <v>0</v>
      </c>
      <c r="BI43" s="56">
        <f>IF($C43=Repart_lignes,0,
(SUMIF(Fonctionnement[Affectation matrice],$A43,Fonctionnement[Montant (€HT)])+SUMIF(Invest[Affectation matrice],$A43,Invest[Amortissement HT + intérêts]))*CI43)</f>
        <v>0</v>
      </c>
      <c r="BJ43" s="56">
        <f>IF($C43=Repart_lignes,0,
(SUMIF(Fonctionnement[Affectation matrice],$A43,Fonctionnement[Montant (€HT)])+SUMIF(Invest[Affectation matrice],$A43,Invest[Amortissement HT + intérêts]))*CJ43)</f>
        <v>0</v>
      </c>
      <c r="BK43" s="56">
        <f>IF($C43=Repart_lignes,0,
(SUMIF(Fonctionnement[Affectation matrice],$A43,Fonctionnement[Montant (€HT)])+SUMIF(Invest[Affectation matrice],$A43,Invest[Amortissement HT + intérêts]))*CK43)</f>
        <v>0</v>
      </c>
      <c r="BL43" s="56">
        <f>IF($C43=Repart_lignes,0,
(SUMIF(Fonctionnement[Affectation matrice],$A43,Fonctionnement[Montant (€HT)])+SUMIF(Invest[Affectation matrice],$A43,Invest[Amortissement HT + intérêts]))*CL43)</f>
        <v>0</v>
      </c>
      <c r="BM43" s="56">
        <f>IF($C43=Repart_lignes,0,
(SUMIF(Fonctionnement[Affectation matrice],$A43,Fonctionnement[Montant (€HT)])+SUMIF(Invest[Affectation matrice],$A43,Invest[Amortissement HT + intérêts]))*CM43)</f>
        <v>0</v>
      </c>
      <c r="BN43" s="56">
        <f>IF($C43=Repart_lignes,0,
(SUMIF(Fonctionnement[Affectation matrice],$A43,Fonctionnement[Montant (€HT)])+SUMIF(Invest[Affectation matrice],$A43,Invest[Amortissement HT + intérêts]))*CN43)</f>
        <v>0</v>
      </c>
      <c r="BO43" s="56">
        <f>IF($C43=Repart_lignes,0,
(SUMIF(Fonctionnement[Affectation matrice],$A43,Fonctionnement[Montant (€HT)])+SUMIF(Invest[Affectation matrice],$A43,Invest[Amortissement HT + intérêts]))*CO43)</f>
        <v>0</v>
      </c>
      <c r="BP43" s="56">
        <f>IF($C43=Repart_lignes,0,
(SUMIF(Fonctionnement[Affectation matrice],$A43,Fonctionnement[Montant (€HT)])+SUMIF(Invest[Affectation matrice],$A43,Invest[Amortissement HT + intérêts]))*CP43)</f>
        <v>0</v>
      </c>
      <c r="BQ43" s="56">
        <f>IF($C43=Repart_lignes,0,
(SUMIF(Fonctionnement[Affectation matrice],$A43,Fonctionnement[Montant (€HT)])+SUMIF(Invest[Affectation matrice],$A43,Invest[Amortissement HT + intérêts]))*CQ43)</f>
        <v>0</v>
      </c>
      <c r="BR43" s="56">
        <f>IF($C43=Repart_lignes,0,
(SUMIF(Fonctionnement[Affectation matrice],$A43,Fonctionnement[Montant (€HT)])+SUMIF(Invest[Affectation matrice],$A43,Invest[Amortissement HT + intérêts]))*CR43)</f>
        <v>0</v>
      </c>
      <c r="BS43" s="56">
        <f>IF($C43=Repart_lignes,0,
(SUMIF(Fonctionnement[Affectation matrice],$A43,Fonctionnement[Montant (€HT)])+SUMIF(Invest[Affectation matrice],$A43,Invest[Amortissement HT + intérêts]))*CS43)</f>
        <v>0</v>
      </c>
      <c r="BT43" s="56">
        <f>IF($C43=Repart_lignes,0,
(SUMIF(Fonctionnement[Affectation matrice],$A43,Fonctionnement[Montant (€HT)])+SUMIF(Invest[Affectation matrice],$A43,Invest[Amortissement HT + intérêts]))*CT43)</f>
        <v>0</v>
      </c>
      <c r="BU43" s="56">
        <f>IF($C43=Repart_lignes,0,
(SUMIF(Fonctionnement[Affectation matrice],$A43,Fonctionnement[Montant (€HT)])+SUMIF(Invest[Affectation matrice],$A43,Invest[Amortissement HT + intérêts]))*CU43)</f>
        <v>0</v>
      </c>
      <c r="BV43" s="56">
        <f>IF($C43=Repart_lignes,0,
(SUMIF(Fonctionnement[Affectation matrice],$A43,Fonctionnement[Montant (€HT)])+SUMIF(Invest[Affectation matrice],$A43,Invest[Amortissement HT + intérêts]))*CV43)</f>
        <v>0</v>
      </c>
      <c r="BW43" s="56">
        <f>IF($C43=Repart_lignes,0,
(SUMIF(Fonctionnement[Affectation matrice],$A43,Fonctionnement[Montant (€HT)])+SUMIF(Invest[Affectation matrice],$A43,Invest[Amortissement HT + intérêts]))*CW43)</f>
        <v>0</v>
      </c>
      <c r="BX43" s="56">
        <f>IF($C43=Repart_lignes,0,
(SUMIF(Fonctionnement[Affectation matrice],$A43,Fonctionnement[Montant (€HT)])+SUMIF(Invest[Affectation matrice],$A43,Invest[Amortissement HT + intérêts]))*CX43)</f>
        <v>0</v>
      </c>
      <c r="BY43" s="56">
        <f>IF($C43=Repart_lignes,0,
(SUMIF(Fonctionnement[Affectation matrice],$A43,Fonctionnement[Montant (€HT)])+SUMIF(Invest[Affectation matrice],$A43,Invest[Amortissement HT + intérêts]))*CY43)</f>
        <v>0</v>
      </c>
      <c r="BZ43" s="56">
        <f>IF($C43=Repart_lignes,0,
(SUMIF(Fonctionnement[Affectation matrice],$A43,Fonctionnement[Montant (€HT)])+SUMIF(Invest[Affectation matrice],$A43,Invest[Amortissement HT + intérêts]))*CZ43)</f>
        <v>0</v>
      </c>
      <c r="CA43" s="56">
        <f>IF($C43=Repart_lignes,0,
(SUMIF(Fonctionnement[Affectation matrice],$A43,Fonctionnement[Montant (€HT)])+SUMIF(Invest[Affectation matrice],$A43,Invest[Amortissement HT + intérêts]))*DA43)</f>
        <v>0</v>
      </c>
      <c r="CB43" s="56">
        <f>IF($C43=Repart_lignes,0,
(SUMIF(Fonctionnement[Affectation matrice],$A43,Fonctionnement[Montant (€HT)])+SUMIF(Invest[Affectation matrice],$A43,Invest[Amortissement HT + intérêts]))*DB43)</f>
        <v>0</v>
      </c>
      <c r="CC43" s="56">
        <f>IF($C43=Repart_lignes,0,
(SUMIF(Fonctionnement[Affectation matrice],$A43,Fonctionnement[Montant (€HT)])+SUMIF(Invest[Affectation matrice],$A43,Invest[Amortissement HT + intérêts]))*DC43)</f>
        <v>0</v>
      </c>
      <c r="CD43" s="56">
        <f>IF($C43=Repart_lignes,0,
(SUMIF(Fonctionnement[Affectation matrice],$A43,Fonctionnement[Montant (€HT)])+SUMIF(Invest[Affectation matrice],$A43,Invest[Amortissement HT + intérêts]))*DD43)</f>
        <v>0</v>
      </c>
      <c r="CE43" s="59">
        <f t="shared" si="33"/>
        <v>0</v>
      </c>
      <c r="CF43" s="61">
        <f t="shared" si="34"/>
        <v>0</v>
      </c>
      <c r="CG43" s="61">
        <f t="shared" si="35"/>
        <v>0</v>
      </c>
      <c r="CH43" s="61">
        <f t="shared" si="36"/>
        <v>0</v>
      </c>
      <c r="CI43" s="61">
        <f t="shared" si="37"/>
        <v>0</v>
      </c>
      <c r="CJ43" s="61">
        <f t="shared" si="38"/>
        <v>0</v>
      </c>
      <c r="CK43" s="61">
        <f t="shared" si="39"/>
        <v>0</v>
      </c>
      <c r="CL43" s="61">
        <f t="shared" si="40"/>
        <v>0</v>
      </c>
      <c r="CM43" s="61">
        <f t="shared" si="41"/>
        <v>0</v>
      </c>
      <c r="CN43" s="61">
        <f t="shared" si="42"/>
        <v>0</v>
      </c>
      <c r="CO43" s="61">
        <f t="shared" si="43"/>
        <v>0</v>
      </c>
      <c r="CP43" s="61">
        <f t="shared" si="44"/>
        <v>0</v>
      </c>
      <c r="CQ43" s="61">
        <f t="shared" si="45"/>
        <v>0</v>
      </c>
      <c r="CR43" s="61">
        <f t="shared" si="46"/>
        <v>0</v>
      </c>
      <c r="CS43" s="61">
        <f t="shared" si="47"/>
        <v>0</v>
      </c>
      <c r="CT43" s="61">
        <f t="shared" si="48"/>
        <v>0</v>
      </c>
      <c r="CU43" s="61">
        <f t="shared" si="49"/>
        <v>0</v>
      </c>
      <c r="CV43" s="61">
        <f t="shared" si="50"/>
        <v>0</v>
      </c>
      <c r="CW43" s="61">
        <f t="shared" si="51"/>
        <v>0</v>
      </c>
      <c r="CX43" s="61">
        <f t="shared" si="52"/>
        <v>0</v>
      </c>
      <c r="CY43" s="61">
        <f t="shared" si="53"/>
        <v>0</v>
      </c>
      <c r="CZ43" s="61">
        <f t="shared" si="54"/>
        <v>0</v>
      </c>
      <c r="DA43" s="61">
        <f t="shared" si="55"/>
        <v>0</v>
      </c>
      <c r="DB43" s="61">
        <f t="shared" si="56"/>
        <v>0</v>
      </c>
      <c r="DC43" s="61">
        <f t="shared" si="57"/>
        <v>0</v>
      </c>
      <c r="DD43" s="61">
        <f t="shared" si="58"/>
        <v>0</v>
      </c>
      <c r="DE43" s="61">
        <f t="shared" si="59"/>
        <v>0</v>
      </c>
    </row>
    <row r="44" spans="1:110" x14ac:dyDescent="0.25">
      <c r="A44" s="248"/>
      <c r="B44" s="248"/>
      <c r="C44" s="251"/>
      <c r="D44" s="25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1">
        <f t="shared" si="31"/>
        <v>0</v>
      </c>
      <c r="AE44" s="53" t="str">
        <f t="shared" ca="1" si="29"/>
        <v/>
      </c>
      <c r="AF44" s="56">
        <f>IF($C44=Repart_lignes,0,
(SUMIF(Fonctionnement[Affectation matrice],$A44,Fonctionnement[TVA acquittée])+SUMIF(Invest[Affectation matrice],$A44,Invest[TVA acquittée]))*CF44)</f>
        <v>0</v>
      </c>
      <c r="AG44" s="56">
        <f>IF($C44=Repart_lignes,0,
(SUMIF(Fonctionnement[Affectation matrice],$A44,Fonctionnement[TVA acquittée])+SUMIF(Invest[Affectation matrice],$A44,Invest[TVA acquittée]))*CG44)</f>
        <v>0</v>
      </c>
      <c r="AH44" s="56">
        <f>IF($C44=Repart_lignes,0,
(SUMIF(Fonctionnement[Affectation matrice],$A44,Fonctionnement[TVA acquittée])+SUMIF(Invest[Affectation matrice],$A44,Invest[TVA acquittée]))*CH44)</f>
        <v>0</v>
      </c>
      <c r="AI44" s="56">
        <f>IF($C44=Repart_lignes,0,
(SUMIF(Fonctionnement[Affectation matrice],$A44,Fonctionnement[TVA acquittée])+SUMIF(Invest[Affectation matrice],$A44,Invest[TVA acquittée]))*CI44)</f>
        <v>0</v>
      </c>
      <c r="AJ44" s="56">
        <f>IF($C44=Repart_lignes,0,
(SUMIF(Fonctionnement[Affectation matrice],$A44,Fonctionnement[TVA acquittée])+SUMIF(Invest[Affectation matrice],$A44,Invest[TVA acquittée]))*CJ44)</f>
        <v>0</v>
      </c>
      <c r="AK44" s="56">
        <f>IF($C44=Repart_lignes,0,
(SUMIF(Fonctionnement[Affectation matrice],$A44,Fonctionnement[TVA acquittée])+SUMIF(Invest[Affectation matrice],$A44,Invest[TVA acquittée]))*CK44)</f>
        <v>0</v>
      </c>
      <c r="AL44" s="56">
        <f>IF($C44=Repart_lignes,0,
(SUMIF(Fonctionnement[Affectation matrice],$A44,Fonctionnement[TVA acquittée])+SUMIF(Invest[Affectation matrice],$A44,Invest[TVA acquittée]))*CL44)</f>
        <v>0</v>
      </c>
      <c r="AM44" s="56">
        <f>IF($C44=Repart_lignes,0,
(SUMIF(Fonctionnement[Affectation matrice],$A44,Fonctionnement[TVA acquittée])+SUMIF(Invest[Affectation matrice],$A44,Invest[TVA acquittée]))*CM44)</f>
        <v>0</v>
      </c>
      <c r="AN44" s="56">
        <f>IF($C44=Repart_lignes,0,
(SUMIF(Fonctionnement[Affectation matrice],$A44,Fonctionnement[TVA acquittée])+SUMIF(Invest[Affectation matrice],$A44,Invest[TVA acquittée]))*CN44)</f>
        <v>0</v>
      </c>
      <c r="AO44" s="56">
        <f>IF($C44=Repart_lignes,0,
(SUMIF(Fonctionnement[Affectation matrice],$A44,Fonctionnement[TVA acquittée])+SUMIF(Invest[Affectation matrice],$A44,Invest[TVA acquittée]))*CO44)</f>
        <v>0</v>
      </c>
      <c r="AP44" s="56">
        <f>IF($C44=Repart_lignes,0,
(SUMIF(Fonctionnement[Affectation matrice],$A44,Fonctionnement[TVA acquittée])+SUMIF(Invest[Affectation matrice],$A44,Invest[TVA acquittée]))*CP44)</f>
        <v>0</v>
      </c>
      <c r="AQ44" s="56">
        <f>IF($C44=Repart_lignes,0,
(SUMIF(Fonctionnement[Affectation matrice],$A44,Fonctionnement[TVA acquittée])+SUMIF(Invest[Affectation matrice],$A44,Invest[TVA acquittée]))*CQ44)</f>
        <v>0</v>
      </c>
      <c r="AR44" s="56">
        <f>IF($C44=Repart_lignes,0,
(SUMIF(Fonctionnement[Affectation matrice],$A44,Fonctionnement[TVA acquittée])+SUMIF(Invest[Affectation matrice],$A44,Invest[TVA acquittée]))*CR44)</f>
        <v>0</v>
      </c>
      <c r="AS44" s="56">
        <f>IF($C44=Repart_lignes,0,
(SUMIF(Fonctionnement[Affectation matrice],$A44,Fonctionnement[TVA acquittée])+SUMIF(Invest[Affectation matrice],$A44,Invest[TVA acquittée]))*CS44)</f>
        <v>0</v>
      </c>
      <c r="AT44" s="56">
        <f>IF($C44=Repart_lignes,0,
(SUMIF(Fonctionnement[Affectation matrice],$A44,Fonctionnement[TVA acquittée])+SUMIF(Invest[Affectation matrice],$A44,Invest[TVA acquittée]))*CT44)</f>
        <v>0</v>
      </c>
      <c r="AU44" s="56">
        <f>IF($C44=Repart_lignes,0,
(SUMIF(Fonctionnement[Affectation matrice],$A44,Fonctionnement[TVA acquittée])+SUMIF(Invest[Affectation matrice],$A44,Invest[TVA acquittée]))*CU44)</f>
        <v>0</v>
      </c>
      <c r="AV44" s="56">
        <f>IF($C44=Repart_lignes,0,
(SUMIF(Fonctionnement[Affectation matrice],$A44,Fonctionnement[TVA acquittée])+SUMIF(Invest[Affectation matrice],$A44,Invest[TVA acquittée]))*CV44)</f>
        <v>0</v>
      </c>
      <c r="AW44" s="56">
        <f>IF($C44=Repart_lignes,0,
(SUMIF(Fonctionnement[Affectation matrice],$A44,Fonctionnement[TVA acquittée])+SUMIF(Invest[Affectation matrice],$A44,Invest[TVA acquittée]))*CW44)</f>
        <v>0</v>
      </c>
      <c r="AX44" s="56">
        <f>IF($C44=Repart_lignes,0,
(SUMIF(Fonctionnement[Affectation matrice],$A44,Fonctionnement[TVA acquittée])+SUMIF(Invest[Affectation matrice],$A44,Invest[TVA acquittée]))*CX44)</f>
        <v>0</v>
      </c>
      <c r="AY44" s="56">
        <f>IF($C44=Repart_lignes,0,
(SUMIF(Fonctionnement[Affectation matrice],$A44,Fonctionnement[TVA acquittée])+SUMIF(Invest[Affectation matrice],$A44,Invest[TVA acquittée]))*CY44)</f>
        <v>0</v>
      </c>
      <c r="AZ44" s="56">
        <f>IF($C44=Repart_lignes,0,
(SUMIF(Fonctionnement[Affectation matrice],$A44,Fonctionnement[TVA acquittée])+SUMIF(Invest[Affectation matrice],$A44,Invest[TVA acquittée]))*CZ44)</f>
        <v>0</v>
      </c>
      <c r="BA44" s="56">
        <f>IF($C44=Repart_lignes,0,
(SUMIF(Fonctionnement[Affectation matrice],$A44,Fonctionnement[TVA acquittée])+SUMIF(Invest[Affectation matrice],$A44,Invest[TVA acquittée]))*DA44)</f>
        <v>0</v>
      </c>
      <c r="BB44" s="56">
        <f>IF($C44=Repart_lignes,0,
(SUMIF(Fonctionnement[Affectation matrice],$A44,Fonctionnement[TVA acquittée])+SUMIF(Invest[Affectation matrice],$A44,Invest[TVA acquittée]))*DB44)</f>
        <v>0</v>
      </c>
      <c r="BC44" s="56">
        <f>IF($C44=Repart_lignes,0,
(SUMIF(Fonctionnement[Affectation matrice],$A44,Fonctionnement[TVA acquittée])+SUMIF(Invest[Affectation matrice],$A44,Invest[TVA acquittée]))*DC44)</f>
        <v>0</v>
      </c>
      <c r="BD44" s="56">
        <f>IF($C44=Repart_lignes,0,
(SUMIF(Fonctionnement[Affectation matrice],$A44,Fonctionnement[TVA acquittée])+SUMIF(Invest[Affectation matrice],$A44,Invest[TVA acquittée]))*DD44)</f>
        <v>0</v>
      </c>
      <c r="BE44" s="58">
        <f t="shared" si="32"/>
        <v>0</v>
      </c>
      <c r="BF44" s="56">
        <f>IF($C44=Repart_lignes,0,
(SUMIF(Fonctionnement[Affectation matrice],$A44,Fonctionnement[Montant (€HT)])+SUMIF(Invest[Affectation matrice],$A44,Invest[Amortissement HT + intérêts]))*CF44)</f>
        <v>0</v>
      </c>
      <c r="BG44" s="56">
        <f>IF($C44=Repart_lignes,0,
(SUMIF(Fonctionnement[Affectation matrice],$A44,Fonctionnement[Montant (€HT)])+SUMIF(Invest[Affectation matrice],$A44,Invest[Amortissement HT + intérêts]))*CG44)</f>
        <v>0</v>
      </c>
      <c r="BH44" s="56">
        <f>IF($C44=Repart_lignes,0,
(SUMIF(Fonctionnement[Affectation matrice],$A44,Fonctionnement[Montant (€HT)])+SUMIF(Invest[Affectation matrice],$A44,Invest[Amortissement HT + intérêts]))*CH44)</f>
        <v>0</v>
      </c>
      <c r="BI44" s="56">
        <f>IF($C44=Repart_lignes,0,
(SUMIF(Fonctionnement[Affectation matrice],$A44,Fonctionnement[Montant (€HT)])+SUMIF(Invest[Affectation matrice],$A44,Invest[Amortissement HT + intérêts]))*CI44)</f>
        <v>0</v>
      </c>
      <c r="BJ44" s="56">
        <f>IF($C44=Repart_lignes,0,
(SUMIF(Fonctionnement[Affectation matrice],$A44,Fonctionnement[Montant (€HT)])+SUMIF(Invest[Affectation matrice],$A44,Invest[Amortissement HT + intérêts]))*CJ44)</f>
        <v>0</v>
      </c>
      <c r="BK44" s="56">
        <f>IF($C44=Repart_lignes,0,
(SUMIF(Fonctionnement[Affectation matrice],$A44,Fonctionnement[Montant (€HT)])+SUMIF(Invest[Affectation matrice],$A44,Invest[Amortissement HT + intérêts]))*CK44)</f>
        <v>0</v>
      </c>
      <c r="BL44" s="56">
        <f>IF($C44=Repart_lignes,0,
(SUMIF(Fonctionnement[Affectation matrice],$A44,Fonctionnement[Montant (€HT)])+SUMIF(Invest[Affectation matrice],$A44,Invest[Amortissement HT + intérêts]))*CL44)</f>
        <v>0</v>
      </c>
      <c r="BM44" s="56">
        <f>IF($C44=Repart_lignes,0,
(SUMIF(Fonctionnement[Affectation matrice],$A44,Fonctionnement[Montant (€HT)])+SUMIF(Invest[Affectation matrice],$A44,Invest[Amortissement HT + intérêts]))*CM44)</f>
        <v>0</v>
      </c>
      <c r="BN44" s="56">
        <f>IF($C44=Repart_lignes,0,
(SUMIF(Fonctionnement[Affectation matrice],$A44,Fonctionnement[Montant (€HT)])+SUMIF(Invest[Affectation matrice],$A44,Invest[Amortissement HT + intérêts]))*CN44)</f>
        <v>0</v>
      </c>
      <c r="BO44" s="56">
        <f>IF($C44=Repart_lignes,0,
(SUMIF(Fonctionnement[Affectation matrice],$A44,Fonctionnement[Montant (€HT)])+SUMIF(Invest[Affectation matrice],$A44,Invest[Amortissement HT + intérêts]))*CO44)</f>
        <v>0</v>
      </c>
      <c r="BP44" s="56">
        <f>IF($C44=Repart_lignes,0,
(SUMIF(Fonctionnement[Affectation matrice],$A44,Fonctionnement[Montant (€HT)])+SUMIF(Invest[Affectation matrice],$A44,Invest[Amortissement HT + intérêts]))*CP44)</f>
        <v>0</v>
      </c>
      <c r="BQ44" s="56">
        <f>IF($C44=Repart_lignes,0,
(SUMIF(Fonctionnement[Affectation matrice],$A44,Fonctionnement[Montant (€HT)])+SUMIF(Invest[Affectation matrice],$A44,Invest[Amortissement HT + intérêts]))*CQ44)</f>
        <v>0</v>
      </c>
      <c r="BR44" s="56">
        <f>IF($C44=Repart_lignes,0,
(SUMIF(Fonctionnement[Affectation matrice],$A44,Fonctionnement[Montant (€HT)])+SUMIF(Invest[Affectation matrice],$A44,Invest[Amortissement HT + intérêts]))*CR44)</f>
        <v>0</v>
      </c>
      <c r="BS44" s="56">
        <f>IF($C44=Repart_lignes,0,
(SUMIF(Fonctionnement[Affectation matrice],$A44,Fonctionnement[Montant (€HT)])+SUMIF(Invest[Affectation matrice],$A44,Invest[Amortissement HT + intérêts]))*CS44)</f>
        <v>0</v>
      </c>
      <c r="BT44" s="56">
        <f>IF($C44=Repart_lignes,0,
(SUMIF(Fonctionnement[Affectation matrice],$A44,Fonctionnement[Montant (€HT)])+SUMIF(Invest[Affectation matrice],$A44,Invest[Amortissement HT + intérêts]))*CT44)</f>
        <v>0</v>
      </c>
      <c r="BU44" s="56">
        <f>IF($C44=Repart_lignes,0,
(SUMIF(Fonctionnement[Affectation matrice],$A44,Fonctionnement[Montant (€HT)])+SUMIF(Invest[Affectation matrice],$A44,Invest[Amortissement HT + intérêts]))*CU44)</f>
        <v>0</v>
      </c>
      <c r="BV44" s="56">
        <f>IF($C44=Repart_lignes,0,
(SUMIF(Fonctionnement[Affectation matrice],$A44,Fonctionnement[Montant (€HT)])+SUMIF(Invest[Affectation matrice],$A44,Invest[Amortissement HT + intérêts]))*CV44)</f>
        <v>0</v>
      </c>
      <c r="BW44" s="56">
        <f>IF($C44=Repart_lignes,0,
(SUMIF(Fonctionnement[Affectation matrice],$A44,Fonctionnement[Montant (€HT)])+SUMIF(Invest[Affectation matrice],$A44,Invest[Amortissement HT + intérêts]))*CW44)</f>
        <v>0</v>
      </c>
      <c r="BX44" s="56">
        <f>IF($C44=Repart_lignes,0,
(SUMIF(Fonctionnement[Affectation matrice],$A44,Fonctionnement[Montant (€HT)])+SUMIF(Invest[Affectation matrice],$A44,Invest[Amortissement HT + intérêts]))*CX44)</f>
        <v>0</v>
      </c>
      <c r="BY44" s="56">
        <f>IF($C44=Repart_lignes,0,
(SUMIF(Fonctionnement[Affectation matrice],$A44,Fonctionnement[Montant (€HT)])+SUMIF(Invest[Affectation matrice],$A44,Invest[Amortissement HT + intérêts]))*CY44)</f>
        <v>0</v>
      </c>
      <c r="BZ44" s="56">
        <f>IF($C44=Repart_lignes,0,
(SUMIF(Fonctionnement[Affectation matrice],$A44,Fonctionnement[Montant (€HT)])+SUMIF(Invest[Affectation matrice],$A44,Invest[Amortissement HT + intérêts]))*CZ44)</f>
        <v>0</v>
      </c>
      <c r="CA44" s="56">
        <f>IF($C44=Repart_lignes,0,
(SUMIF(Fonctionnement[Affectation matrice],$A44,Fonctionnement[Montant (€HT)])+SUMIF(Invest[Affectation matrice],$A44,Invest[Amortissement HT + intérêts]))*DA44)</f>
        <v>0</v>
      </c>
      <c r="CB44" s="56">
        <f>IF($C44=Repart_lignes,0,
(SUMIF(Fonctionnement[Affectation matrice],$A44,Fonctionnement[Montant (€HT)])+SUMIF(Invest[Affectation matrice],$A44,Invest[Amortissement HT + intérêts]))*DB44)</f>
        <v>0</v>
      </c>
      <c r="CC44" s="56">
        <f>IF($C44=Repart_lignes,0,
(SUMIF(Fonctionnement[Affectation matrice],$A44,Fonctionnement[Montant (€HT)])+SUMIF(Invest[Affectation matrice],$A44,Invest[Amortissement HT + intérêts]))*DC44)</f>
        <v>0</v>
      </c>
      <c r="CD44" s="56">
        <f>IF($C44=Repart_lignes,0,
(SUMIF(Fonctionnement[Affectation matrice],$A44,Fonctionnement[Montant (€HT)])+SUMIF(Invest[Affectation matrice],$A44,Invest[Amortissement HT + intérêts]))*DD44)</f>
        <v>0</v>
      </c>
      <c r="CE44" s="59">
        <f t="shared" si="33"/>
        <v>0</v>
      </c>
      <c r="CF44" s="61">
        <f t="shared" si="34"/>
        <v>0</v>
      </c>
      <c r="CG44" s="61">
        <f t="shared" si="35"/>
        <v>0</v>
      </c>
      <c r="CH44" s="61">
        <f t="shared" si="36"/>
        <v>0</v>
      </c>
      <c r="CI44" s="61">
        <f t="shared" si="37"/>
        <v>0</v>
      </c>
      <c r="CJ44" s="61">
        <f t="shared" si="38"/>
        <v>0</v>
      </c>
      <c r="CK44" s="61">
        <f t="shared" si="39"/>
        <v>0</v>
      </c>
      <c r="CL44" s="61">
        <f t="shared" si="40"/>
        <v>0</v>
      </c>
      <c r="CM44" s="61">
        <f t="shared" si="41"/>
        <v>0</v>
      </c>
      <c r="CN44" s="61">
        <f t="shared" si="42"/>
        <v>0</v>
      </c>
      <c r="CO44" s="61">
        <f t="shared" si="43"/>
        <v>0</v>
      </c>
      <c r="CP44" s="61">
        <f t="shared" si="44"/>
        <v>0</v>
      </c>
      <c r="CQ44" s="61">
        <f t="shared" si="45"/>
        <v>0</v>
      </c>
      <c r="CR44" s="61">
        <f t="shared" si="46"/>
        <v>0</v>
      </c>
      <c r="CS44" s="61">
        <f t="shared" si="47"/>
        <v>0</v>
      </c>
      <c r="CT44" s="61">
        <f t="shared" si="48"/>
        <v>0</v>
      </c>
      <c r="CU44" s="61">
        <f t="shared" si="49"/>
        <v>0</v>
      </c>
      <c r="CV44" s="61">
        <f t="shared" si="50"/>
        <v>0</v>
      </c>
      <c r="CW44" s="61">
        <f t="shared" si="51"/>
        <v>0</v>
      </c>
      <c r="CX44" s="61">
        <f t="shared" si="52"/>
        <v>0</v>
      </c>
      <c r="CY44" s="61">
        <f t="shared" si="53"/>
        <v>0</v>
      </c>
      <c r="CZ44" s="61">
        <f t="shared" si="54"/>
        <v>0</v>
      </c>
      <c r="DA44" s="61">
        <f t="shared" si="55"/>
        <v>0</v>
      </c>
      <c r="DB44" s="61">
        <f t="shared" si="56"/>
        <v>0</v>
      </c>
      <c r="DC44" s="61">
        <f t="shared" si="57"/>
        <v>0</v>
      </c>
      <c r="DD44" s="61">
        <f t="shared" si="58"/>
        <v>0</v>
      </c>
      <c r="DE44" s="61">
        <f t="shared" si="59"/>
        <v>0</v>
      </c>
    </row>
    <row r="45" spans="1:110" x14ac:dyDescent="0.25">
      <c r="A45" s="248"/>
      <c r="B45" s="248"/>
      <c r="C45" s="251"/>
      <c r="D45" s="25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1">
        <f t="shared" si="31"/>
        <v>0</v>
      </c>
      <c r="AE45" s="53" t="str">
        <f t="shared" ca="1" si="29"/>
        <v/>
      </c>
      <c r="AF45" s="56">
        <f>IF($C45=Repart_lignes,0,
(SUMIF(Fonctionnement[Affectation matrice],$A45,Fonctionnement[TVA acquittée])+SUMIF(Invest[Affectation matrice],$A45,Invest[TVA acquittée]))*CF45)</f>
        <v>0</v>
      </c>
      <c r="AG45" s="56">
        <f>IF($C45=Repart_lignes,0,
(SUMIF(Fonctionnement[Affectation matrice],$A45,Fonctionnement[TVA acquittée])+SUMIF(Invest[Affectation matrice],$A45,Invest[TVA acquittée]))*CG45)</f>
        <v>0</v>
      </c>
      <c r="AH45" s="56">
        <f>IF($C45=Repart_lignes,0,
(SUMIF(Fonctionnement[Affectation matrice],$A45,Fonctionnement[TVA acquittée])+SUMIF(Invest[Affectation matrice],$A45,Invest[TVA acquittée]))*CH45)</f>
        <v>0</v>
      </c>
      <c r="AI45" s="56">
        <f>IF($C45=Repart_lignes,0,
(SUMIF(Fonctionnement[Affectation matrice],$A45,Fonctionnement[TVA acquittée])+SUMIF(Invest[Affectation matrice],$A45,Invest[TVA acquittée]))*CI45)</f>
        <v>0</v>
      </c>
      <c r="AJ45" s="56">
        <f>IF($C45=Repart_lignes,0,
(SUMIF(Fonctionnement[Affectation matrice],$A45,Fonctionnement[TVA acquittée])+SUMIF(Invest[Affectation matrice],$A45,Invest[TVA acquittée]))*CJ45)</f>
        <v>0</v>
      </c>
      <c r="AK45" s="56">
        <f>IF($C45=Repart_lignes,0,
(SUMIF(Fonctionnement[Affectation matrice],$A45,Fonctionnement[TVA acquittée])+SUMIF(Invest[Affectation matrice],$A45,Invest[TVA acquittée]))*CK45)</f>
        <v>0</v>
      </c>
      <c r="AL45" s="56">
        <f>IF($C45=Repart_lignes,0,
(SUMIF(Fonctionnement[Affectation matrice],$A45,Fonctionnement[TVA acquittée])+SUMIF(Invest[Affectation matrice],$A45,Invest[TVA acquittée]))*CL45)</f>
        <v>0</v>
      </c>
      <c r="AM45" s="56">
        <f>IF($C45=Repart_lignes,0,
(SUMIF(Fonctionnement[Affectation matrice],$A45,Fonctionnement[TVA acquittée])+SUMIF(Invest[Affectation matrice],$A45,Invest[TVA acquittée]))*CM45)</f>
        <v>0</v>
      </c>
      <c r="AN45" s="56">
        <f>IF($C45=Repart_lignes,0,
(SUMIF(Fonctionnement[Affectation matrice],$A45,Fonctionnement[TVA acquittée])+SUMIF(Invest[Affectation matrice],$A45,Invest[TVA acquittée]))*CN45)</f>
        <v>0</v>
      </c>
      <c r="AO45" s="56">
        <f>IF($C45=Repart_lignes,0,
(SUMIF(Fonctionnement[Affectation matrice],$A45,Fonctionnement[TVA acquittée])+SUMIF(Invest[Affectation matrice],$A45,Invest[TVA acquittée]))*CO45)</f>
        <v>0</v>
      </c>
      <c r="AP45" s="56">
        <f>IF($C45=Repart_lignes,0,
(SUMIF(Fonctionnement[Affectation matrice],$A45,Fonctionnement[TVA acquittée])+SUMIF(Invest[Affectation matrice],$A45,Invest[TVA acquittée]))*CP45)</f>
        <v>0</v>
      </c>
      <c r="AQ45" s="56">
        <f>IF($C45=Repart_lignes,0,
(SUMIF(Fonctionnement[Affectation matrice],$A45,Fonctionnement[TVA acquittée])+SUMIF(Invest[Affectation matrice],$A45,Invest[TVA acquittée]))*CQ45)</f>
        <v>0</v>
      </c>
      <c r="AR45" s="56">
        <f>IF($C45=Repart_lignes,0,
(SUMIF(Fonctionnement[Affectation matrice],$A45,Fonctionnement[TVA acquittée])+SUMIF(Invest[Affectation matrice],$A45,Invest[TVA acquittée]))*CR45)</f>
        <v>0</v>
      </c>
      <c r="AS45" s="56">
        <f>IF($C45=Repart_lignes,0,
(SUMIF(Fonctionnement[Affectation matrice],$A45,Fonctionnement[TVA acquittée])+SUMIF(Invest[Affectation matrice],$A45,Invest[TVA acquittée]))*CS45)</f>
        <v>0</v>
      </c>
      <c r="AT45" s="56">
        <f>IF($C45=Repart_lignes,0,
(SUMIF(Fonctionnement[Affectation matrice],$A45,Fonctionnement[TVA acquittée])+SUMIF(Invest[Affectation matrice],$A45,Invest[TVA acquittée]))*CT45)</f>
        <v>0</v>
      </c>
      <c r="AU45" s="56">
        <f>IF($C45=Repart_lignes,0,
(SUMIF(Fonctionnement[Affectation matrice],$A45,Fonctionnement[TVA acquittée])+SUMIF(Invest[Affectation matrice],$A45,Invest[TVA acquittée]))*CU45)</f>
        <v>0</v>
      </c>
      <c r="AV45" s="56">
        <f>IF($C45=Repart_lignes,0,
(SUMIF(Fonctionnement[Affectation matrice],$A45,Fonctionnement[TVA acquittée])+SUMIF(Invest[Affectation matrice],$A45,Invest[TVA acquittée]))*CV45)</f>
        <v>0</v>
      </c>
      <c r="AW45" s="56">
        <f>IF($C45=Repart_lignes,0,
(SUMIF(Fonctionnement[Affectation matrice],$A45,Fonctionnement[TVA acquittée])+SUMIF(Invest[Affectation matrice],$A45,Invest[TVA acquittée]))*CW45)</f>
        <v>0</v>
      </c>
      <c r="AX45" s="56">
        <f>IF($C45=Repart_lignes,0,
(SUMIF(Fonctionnement[Affectation matrice],$A45,Fonctionnement[TVA acquittée])+SUMIF(Invest[Affectation matrice],$A45,Invest[TVA acquittée]))*CX45)</f>
        <v>0</v>
      </c>
      <c r="AY45" s="56">
        <f>IF($C45=Repart_lignes,0,
(SUMIF(Fonctionnement[Affectation matrice],$A45,Fonctionnement[TVA acquittée])+SUMIF(Invest[Affectation matrice],$A45,Invest[TVA acquittée]))*CY45)</f>
        <v>0</v>
      </c>
      <c r="AZ45" s="56">
        <f>IF($C45=Repart_lignes,0,
(SUMIF(Fonctionnement[Affectation matrice],$A45,Fonctionnement[TVA acquittée])+SUMIF(Invest[Affectation matrice],$A45,Invest[TVA acquittée]))*CZ45)</f>
        <v>0</v>
      </c>
      <c r="BA45" s="56">
        <f>IF($C45=Repart_lignes,0,
(SUMIF(Fonctionnement[Affectation matrice],$A45,Fonctionnement[TVA acquittée])+SUMIF(Invest[Affectation matrice],$A45,Invest[TVA acquittée]))*DA45)</f>
        <v>0</v>
      </c>
      <c r="BB45" s="56">
        <f>IF($C45=Repart_lignes,0,
(SUMIF(Fonctionnement[Affectation matrice],$A45,Fonctionnement[TVA acquittée])+SUMIF(Invest[Affectation matrice],$A45,Invest[TVA acquittée]))*DB45)</f>
        <v>0</v>
      </c>
      <c r="BC45" s="56">
        <f>IF($C45=Repart_lignes,0,
(SUMIF(Fonctionnement[Affectation matrice],$A45,Fonctionnement[TVA acquittée])+SUMIF(Invest[Affectation matrice],$A45,Invest[TVA acquittée]))*DC45)</f>
        <v>0</v>
      </c>
      <c r="BD45" s="56">
        <f>IF($C45=Repart_lignes,0,
(SUMIF(Fonctionnement[Affectation matrice],$A45,Fonctionnement[TVA acquittée])+SUMIF(Invest[Affectation matrice],$A45,Invest[TVA acquittée]))*DD45)</f>
        <v>0</v>
      </c>
      <c r="BE45" s="58">
        <f t="shared" si="32"/>
        <v>0</v>
      </c>
      <c r="BF45" s="56">
        <f>IF($C45=Repart_lignes,0,
(SUMIF(Fonctionnement[Affectation matrice],$A45,Fonctionnement[Montant (€HT)])+SUMIF(Invest[Affectation matrice],$A45,Invest[Amortissement HT + intérêts]))*CF45)</f>
        <v>0</v>
      </c>
      <c r="BG45" s="56">
        <f>IF($C45=Repart_lignes,0,
(SUMIF(Fonctionnement[Affectation matrice],$A45,Fonctionnement[Montant (€HT)])+SUMIF(Invest[Affectation matrice],$A45,Invest[Amortissement HT + intérêts]))*CG45)</f>
        <v>0</v>
      </c>
      <c r="BH45" s="56">
        <f>IF($C45=Repart_lignes,0,
(SUMIF(Fonctionnement[Affectation matrice],$A45,Fonctionnement[Montant (€HT)])+SUMIF(Invest[Affectation matrice],$A45,Invest[Amortissement HT + intérêts]))*CH45)</f>
        <v>0</v>
      </c>
      <c r="BI45" s="56">
        <f>IF($C45=Repart_lignes,0,
(SUMIF(Fonctionnement[Affectation matrice],$A45,Fonctionnement[Montant (€HT)])+SUMIF(Invest[Affectation matrice],$A45,Invest[Amortissement HT + intérêts]))*CI45)</f>
        <v>0</v>
      </c>
      <c r="BJ45" s="56">
        <f>IF($C45=Repart_lignes,0,
(SUMIF(Fonctionnement[Affectation matrice],$A45,Fonctionnement[Montant (€HT)])+SUMIF(Invest[Affectation matrice],$A45,Invest[Amortissement HT + intérêts]))*CJ45)</f>
        <v>0</v>
      </c>
      <c r="BK45" s="56">
        <f>IF($C45=Repart_lignes,0,
(SUMIF(Fonctionnement[Affectation matrice],$A45,Fonctionnement[Montant (€HT)])+SUMIF(Invest[Affectation matrice],$A45,Invest[Amortissement HT + intérêts]))*CK45)</f>
        <v>0</v>
      </c>
      <c r="BL45" s="56">
        <f>IF($C45=Repart_lignes,0,
(SUMIF(Fonctionnement[Affectation matrice],$A45,Fonctionnement[Montant (€HT)])+SUMIF(Invest[Affectation matrice],$A45,Invest[Amortissement HT + intérêts]))*CL45)</f>
        <v>0</v>
      </c>
      <c r="BM45" s="56">
        <f>IF($C45=Repart_lignes,0,
(SUMIF(Fonctionnement[Affectation matrice],$A45,Fonctionnement[Montant (€HT)])+SUMIF(Invest[Affectation matrice],$A45,Invest[Amortissement HT + intérêts]))*CM45)</f>
        <v>0</v>
      </c>
      <c r="BN45" s="56">
        <f>IF($C45=Repart_lignes,0,
(SUMIF(Fonctionnement[Affectation matrice],$A45,Fonctionnement[Montant (€HT)])+SUMIF(Invest[Affectation matrice],$A45,Invest[Amortissement HT + intérêts]))*CN45)</f>
        <v>0</v>
      </c>
      <c r="BO45" s="56">
        <f>IF($C45=Repart_lignes,0,
(SUMIF(Fonctionnement[Affectation matrice],$A45,Fonctionnement[Montant (€HT)])+SUMIF(Invest[Affectation matrice],$A45,Invest[Amortissement HT + intérêts]))*CO45)</f>
        <v>0</v>
      </c>
      <c r="BP45" s="56">
        <f>IF($C45=Repart_lignes,0,
(SUMIF(Fonctionnement[Affectation matrice],$A45,Fonctionnement[Montant (€HT)])+SUMIF(Invest[Affectation matrice],$A45,Invest[Amortissement HT + intérêts]))*CP45)</f>
        <v>0</v>
      </c>
      <c r="BQ45" s="56">
        <f>IF($C45=Repart_lignes,0,
(SUMIF(Fonctionnement[Affectation matrice],$A45,Fonctionnement[Montant (€HT)])+SUMIF(Invest[Affectation matrice],$A45,Invest[Amortissement HT + intérêts]))*CQ45)</f>
        <v>0</v>
      </c>
      <c r="BR45" s="56">
        <f>IF($C45=Repart_lignes,0,
(SUMIF(Fonctionnement[Affectation matrice],$A45,Fonctionnement[Montant (€HT)])+SUMIF(Invest[Affectation matrice],$A45,Invest[Amortissement HT + intérêts]))*CR45)</f>
        <v>0</v>
      </c>
      <c r="BS45" s="56">
        <f>IF($C45=Repart_lignes,0,
(SUMIF(Fonctionnement[Affectation matrice],$A45,Fonctionnement[Montant (€HT)])+SUMIF(Invest[Affectation matrice],$A45,Invest[Amortissement HT + intérêts]))*CS45)</f>
        <v>0</v>
      </c>
      <c r="BT45" s="56">
        <f>IF($C45=Repart_lignes,0,
(SUMIF(Fonctionnement[Affectation matrice],$A45,Fonctionnement[Montant (€HT)])+SUMIF(Invest[Affectation matrice],$A45,Invest[Amortissement HT + intérêts]))*CT45)</f>
        <v>0</v>
      </c>
      <c r="BU45" s="56">
        <f>IF($C45=Repart_lignes,0,
(SUMIF(Fonctionnement[Affectation matrice],$A45,Fonctionnement[Montant (€HT)])+SUMIF(Invest[Affectation matrice],$A45,Invest[Amortissement HT + intérêts]))*CU45)</f>
        <v>0</v>
      </c>
      <c r="BV45" s="56">
        <f>IF($C45=Repart_lignes,0,
(SUMIF(Fonctionnement[Affectation matrice],$A45,Fonctionnement[Montant (€HT)])+SUMIF(Invest[Affectation matrice],$A45,Invest[Amortissement HT + intérêts]))*CV45)</f>
        <v>0</v>
      </c>
      <c r="BW45" s="56">
        <f>IF($C45=Repart_lignes,0,
(SUMIF(Fonctionnement[Affectation matrice],$A45,Fonctionnement[Montant (€HT)])+SUMIF(Invest[Affectation matrice],$A45,Invest[Amortissement HT + intérêts]))*CW45)</f>
        <v>0</v>
      </c>
      <c r="BX45" s="56">
        <f>IF($C45=Repart_lignes,0,
(SUMIF(Fonctionnement[Affectation matrice],$A45,Fonctionnement[Montant (€HT)])+SUMIF(Invest[Affectation matrice],$A45,Invest[Amortissement HT + intérêts]))*CX45)</f>
        <v>0</v>
      </c>
      <c r="BY45" s="56">
        <f>IF($C45=Repart_lignes,0,
(SUMIF(Fonctionnement[Affectation matrice],$A45,Fonctionnement[Montant (€HT)])+SUMIF(Invest[Affectation matrice],$A45,Invest[Amortissement HT + intérêts]))*CY45)</f>
        <v>0</v>
      </c>
      <c r="BZ45" s="56">
        <f>IF($C45=Repart_lignes,0,
(SUMIF(Fonctionnement[Affectation matrice],$A45,Fonctionnement[Montant (€HT)])+SUMIF(Invest[Affectation matrice],$A45,Invest[Amortissement HT + intérêts]))*CZ45)</f>
        <v>0</v>
      </c>
      <c r="CA45" s="56">
        <f>IF($C45=Repart_lignes,0,
(SUMIF(Fonctionnement[Affectation matrice],$A45,Fonctionnement[Montant (€HT)])+SUMIF(Invest[Affectation matrice],$A45,Invest[Amortissement HT + intérêts]))*DA45)</f>
        <v>0</v>
      </c>
      <c r="CB45" s="56">
        <f>IF($C45=Repart_lignes,0,
(SUMIF(Fonctionnement[Affectation matrice],$A45,Fonctionnement[Montant (€HT)])+SUMIF(Invest[Affectation matrice],$A45,Invest[Amortissement HT + intérêts]))*DB45)</f>
        <v>0</v>
      </c>
      <c r="CC45" s="56">
        <f>IF($C45=Repart_lignes,0,
(SUMIF(Fonctionnement[Affectation matrice],$A45,Fonctionnement[Montant (€HT)])+SUMIF(Invest[Affectation matrice],$A45,Invest[Amortissement HT + intérêts]))*DC45)</f>
        <v>0</v>
      </c>
      <c r="CD45" s="56">
        <f>IF($C45=Repart_lignes,0,
(SUMIF(Fonctionnement[Affectation matrice],$A45,Fonctionnement[Montant (€HT)])+SUMIF(Invest[Affectation matrice],$A45,Invest[Amortissement HT + intérêts]))*DD45)</f>
        <v>0</v>
      </c>
      <c r="CE45" s="59">
        <f t="shared" si="33"/>
        <v>0</v>
      </c>
      <c r="CF45" s="61">
        <f t="shared" si="34"/>
        <v>0</v>
      </c>
      <c r="CG45" s="61">
        <f t="shared" si="35"/>
        <v>0</v>
      </c>
      <c r="CH45" s="61">
        <f t="shared" si="36"/>
        <v>0</v>
      </c>
      <c r="CI45" s="61">
        <f t="shared" si="37"/>
        <v>0</v>
      </c>
      <c r="CJ45" s="61">
        <f t="shared" si="38"/>
        <v>0</v>
      </c>
      <c r="CK45" s="61">
        <f t="shared" si="39"/>
        <v>0</v>
      </c>
      <c r="CL45" s="61">
        <f t="shared" si="40"/>
        <v>0</v>
      </c>
      <c r="CM45" s="61">
        <f t="shared" si="41"/>
        <v>0</v>
      </c>
      <c r="CN45" s="61">
        <f t="shared" si="42"/>
        <v>0</v>
      </c>
      <c r="CO45" s="61">
        <f t="shared" si="43"/>
        <v>0</v>
      </c>
      <c r="CP45" s="61">
        <f t="shared" si="44"/>
        <v>0</v>
      </c>
      <c r="CQ45" s="61">
        <f t="shared" si="45"/>
        <v>0</v>
      </c>
      <c r="CR45" s="61">
        <f t="shared" si="46"/>
        <v>0</v>
      </c>
      <c r="CS45" s="61">
        <f t="shared" si="47"/>
        <v>0</v>
      </c>
      <c r="CT45" s="61">
        <f t="shared" si="48"/>
        <v>0</v>
      </c>
      <c r="CU45" s="61">
        <f t="shared" si="49"/>
        <v>0</v>
      </c>
      <c r="CV45" s="61">
        <f t="shared" si="50"/>
        <v>0</v>
      </c>
      <c r="CW45" s="61">
        <f t="shared" si="51"/>
        <v>0</v>
      </c>
      <c r="CX45" s="61">
        <f t="shared" si="52"/>
        <v>0</v>
      </c>
      <c r="CY45" s="61">
        <f t="shared" si="53"/>
        <v>0</v>
      </c>
      <c r="CZ45" s="61">
        <f t="shared" si="54"/>
        <v>0</v>
      </c>
      <c r="DA45" s="61">
        <f t="shared" si="55"/>
        <v>0</v>
      </c>
      <c r="DB45" s="61">
        <f t="shared" si="56"/>
        <v>0</v>
      </c>
      <c r="DC45" s="61">
        <f t="shared" si="57"/>
        <v>0</v>
      </c>
      <c r="DD45" s="61">
        <f t="shared" si="58"/>
        <v>0</v>
      </c>
      <c r="DE45" s="61">
        <f t="shared" si="59"/>
        <v>0</v>
      </c>
    </row>
    <row r="46" spans="1:110" x14ac:dyDescent="0.25">
      <c r="A46" s="248"/>
      <c r="B46" s="248"/>
      <c r="C46" s="251"/>
      <c r="D46" s="25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1">
        <f t="shared" si="31"/>
        <v>0</v>
      </c>
      <c r="AE46" s="53" t="str">
        <f t="shared" ca="1" si="29"/>
        <v/>
      </c>
      <c r="AF46" s="56">
        <f>IF($C46=Repart_lignes,0,
(SUMIF(Fonctionnement[Affectation matrice],$A46,Fonctionnement[TVA acquittée])+SUMIF(Invest[Affectation matrice],$A46,Invest[TVA acquittée]))*CF46)</f>
        <v>0</v>
      </c>
      <c r="AG46" s="56">
        <f>IF($C46=Repart_lignes,0,
(SUMIF(Fonctionnement[Affectation matrice],$A46,Fonctionnement[TVA acquittée])+SUMIF(Invest[Affectation matrice],$A46,Invest[TVA acquittée]))*CG46)</f>
        <v>0</v>
      </c>
      <c r="AH46" s="56">
        <f>IF($C46=Repart_lignes,0,
(SUMIF(Fonctionnement[Affectation matrice],$A46,Fonctionnement[TVA acquittée])+SUMIF(Invest[Affectation matrice],$A46,Invest[TVA acquittée]))*CH46)</f>
        <v>0</v>
      </c>
      <c r="AI46" s="56">
        <f>IF($C46=Repart_lignes,0,
(SUMIF(Fonctionnement[Affectation matrice],$A46,Fonctionnement[TVA acquittée])+SUMIF(Invest[Affectation matrice],$A46,Invest[TVA acquittée]))*CI46)</f>
        <v>0</v>
      </c>
      <c r="AJ46" s="56">
        <f>IF($C46=Repart_lignes,0,
(SUMIF(Fonctionnement[Affectation matrice],$A46,Fonctionnement[TVA acquittée])+SUMIF(Invest[Affectation matrice],$A46,Invest[TVA acquittée]))*CJ46)</f>
        <v>0</v>
      </c>
      <c r="AK46" s="56">
        <f>IF($C46=Repart_lignes,0,
(SUMIF(Fonctionnement[Affectation matrice],$A46,Fonctionnement[TVA acquittée])+SUMIF(Invest[Affectation matrice],$A46,Invest[TVA acquittée]))*CK46)</f>
        <v>0</v>
      </c>
      <c r="AL46" s="56">
        <f>IF($C46=Repart_lignes,0,
(SUMIF(Fonctionnement[Affectation matrice],$A46,Fonctionnement[TVA acquittée])+SUMIF(Invest[Affectation matrice],$A46,Invest[TVA acquittée]))*CL46)</f>
        <v>0</v>
      </c>
      <c r="AM46" s="56">
        <f>IF($C46=Repart_lignes,0,
(SUMIF(Fonctionnement[Affectation matrice],$A46,Fonctionnement[TVA acquittée])+SUMIF(Invest[Affectation matrice],$A46,Invest[TVA acquittée]))*CM46)</f>
        <v>0</v>
      </c>
      <c r="AN46" s="56">
        <f>IF($C46=Repart_lignes,0,
(SUMIF(Fonctionnement[Affectation matrice],$A46,Fonctionnement[TVA acquittée])+SUMIF(Invest[Affectation matrice],$A46,Invest[TVA acquittée]))*CN46)</f>
        <v>0</v>
      </c>
      <c r="AO46" s="56">
        <f>IF($C46=Repart_lignes,0,
(SUMIF(Fonctionnement[Affectation matrice],$A46,Fonctionnement[TVA acquittée])+SUMIF(Invest[Affectation matrice],$A46,Invest[TVA acquittée]))*CO46)</f>
        <v>0</v>
      </c>
      <c r="AP46" s="56">
        <f>IF($C46=Repart_lignes,0,
(SUMIF(Fonctionnement[Affectation matrice],$A46,Fonctionnement[TVA acquittée])+SUMIF(Invest[Affectation matrice],$A46,Invest[TVA acquittée]))*CP46)</f>
        <v>0</v>
      </c>
      <c r="AQ46" s="56">
        <f>IF($C46=Repart_lignes,0,
(SUMIF(Fonctionnement[Affectation matrice],$A46,Fonctionnement[TVA acquittée])+SUMIF(Invest[Affectation matrice],$A46,Invest[TVA acquittée]))*CQ46)</f>
        <v>0</v>
      </c>
      <c r="AR46" s="56">
        <f>IF($C46=Repart_lignes,0,
(SUMIF(Fonctionnement[Affectation matrice],$A46,Fonctionnement[TVA acquittée])+SUMIF(Invest[Affectation matrice],$A46,Invest[TVA acquittée]))*CR46)</f>
        <v>0</v>
      </c>
      <c r="AS46" s="56">
        <f>IF($C46=Repart_lignes,0,
(SUMIF(Fonctionnement[Affectation matrice],$A46,Fonctionnement[TVA acquittée])+SUMIF(Invest[Affectation matrice],$A46,Invest[TVA acquittée]))*CS46)</f>
        <v>0</v>
      </c>
      <c r="AT46" s="56">
        <f>IF($C46=Repart_lignes,0,
(SUMIF(Fonctionnement[Affectation matrice],$A46,Fonctionnement[TVA acquittée])+SUMIF(Invest[Affectation matrice],$A46,Invest[TVA acquittée]))*CT46)</f>
        <v>0</v>
      </c>
      <c r="AU46" s="56">
        <f>IF($C46=Repart_lignes,0,
(SUMIF(Fonctionnement[Affectation matrice],$A46,Fonctionnement[TVA acquittée])+SUMIF(Invest[Affectation matrice],$A46,Invest[TVA acquittée]))*CU46)</f>
        <v>0</v>
      </c>
      <c r="AV46" s="56">
        <f>IF($C46=Repart_lignes,0,
(SUMIF(Fonctionnement[Affectation matrice],$A46,Fonctionnement[TVA acquittée])+SUMIF(Invest[Affectation matrice],$A46,Invest[TVA acquittée]))*CV46)</f>
        <v>0</v>
      </c>
      <c r="AW46" s="56">
        <f>IF($C46=Repart_lignes,0,
(SUMIF(Fonctionnement[Affectation matrice],$A46,Fonctionnement[TVA acquittée])+SUMIF(Invest[Affectation matrice],$A46,Invest[TVA acquittée]))*CW46)</f>
        <v>0</v>
      </c>
      <c r="AX46" s="56">
        <f>IF($C46=Repart_lignes,0,
(SUMIF(Fonctionnement[Affectation matrice],$A46,Fonctionnement[TVA acquittée])+SUMIF(Invest[Affectation matrice],$A46,Invest[TVA acquittée]))*CX46)</f>
        <v>0</v>
      </c>
      <c r="AY46" s="56">
        <f>IF($C46=Repart_lignes,0,
(SUMIF(Fonctionnement[Affectation matrice],$A46,Fonctionnement[TVA acquittée])+SUMIF(Invest[Affectation matrice],$A46,Invest[TVA acquittée]))*CY46)</f>
        <v>0</v>
      </c>
      <c r="AZ46" s="56">
        <f>IF($C46=Repart_lignes,0,
(SUMIF(Fonctionnement[Affectation matrice],$A46,Fonctionnement[TVA acquittée])+SUMIF(Invest[Affectation matrice],$A46,Invest[TVA acquittée]))*CZ46)</f>
        <v>0</v>
      </c>
      <c r="BA46" s="56">
        <f>IF($C46=Repart_lignes,0,
(SUMIF(Fonctionnement[Affectation matrice],$A46,Fonctionnement[TVA acquittée])+SUMIF(Invest[Affectation matrice],$A46,Invest[TVA acquittée]))*DA46)</f>
        <v>0</v>
      </c>
      <c r="BB46" s="56">
        <f>IF($C46=Repart_lignes,0,
(SUMIF(Fonctionnement[Affectation matrice],$A46,Fonctionnement[TVA acquittée])+SUMIF(Invest[Affectation matrice],$A46,Invest[TVA acquittée]))*DB46)</f>
        <v>0</v>
      </c>
      <c r="BC46" s="56">
        <f>IF($C46=Repart_lignes,0,
(SUMIF(Fonctionnement[Affectation matrice],$A46,Fonctionnement[TVA acquittée])+SUMIF(Invest[Affectation matrice],$A46,Invest[TVA acquittée]))*DC46)</f>
        <v>0</v>
      </c>
      <c r="BD46" s="56">
        <f>IF($C46=Repart_lignes,0,
(SUMIF(Fonctionnement[Affectation matrice],$A46,Fonctionnement[TVA acquittée])+SUMIF(Invest[Affectation matrice],$A46,Invest[TVA acquittée]))*DD46)</f>
        <v>0</v>
      </c>
      <c r="BE46" s="58">
        <f t="shared" si="32"/>
        <v>0</v>
      </c>
      <c r="BF46" s="56">
        <f>IF($C46=Repart_lignes,0,
(SUMIF(Fonctionnement[Affectation matrice],$A46,Fonctionnement[Montant (€HT)])+SUMIF(Invest[Affectation matrice],$A46,Invest[Amortissement HT + intérêts]))*CF46)</f>
        <v>0</v>
      </c>
      <c r="BG46" s="56">
        <f>IF($C46=Repart_lignes,0,
(SUMIF(Fonctionnement[Affectation matrice],$A46,Fonctionnement[Montant (€HT)])+SUMIF(Invest[Affectation matrice],$A46,Invest[Amortissement HT + intérêts]))*CG46)</f>
        <v>0</v>
      </c>
      <c r="BH46" s="56">
        <f>IF($C46=Repart_lignes,0,
(SUMIF(Fonctionnement[Affectation matrice],$A46,Fonctionnement[Montant (€HT)])+SUMIF(Invest[Affectation matrice],$A46,Invest[Amortissement HT + intérêts]))*CH46)</f>
        <v>0</v>
      </c>
      <c r="BI46" s="56">
        <f>IF($C46=Repart_lignes,0,
(SUMIF(Fonctionnement[Affectation matrice],$A46,Fonctionnement[Montant (€HT)])+SUMIF(Invest[Affectation matrice],$A46,Invest[Amortissement HT + intérêts]))*CI46)</f>
        <v>0</v>
      </c>
      <c r="BJ46" s="56">
        <f>IF($C46=Repart_lignes,0,
(SUMIF(Fonctionnement[Affectation matrice],$A46,Fonctionnement[Montant (€HT)])+SUMIF(Invest[Affectation matrice],$A46,Invest[Amortissement HT + intérêts]))*CJ46)</f>
        <v>0</v>
      </c>
      <c r="BK46" s="56">
        <f>IF($C46=Repart_lignes,0,
(SUMIF(Fonctionnement[Affectation matrice],$A46,Fonctionnement[Montant (€HT)])+SUMIF(Invest[Affectation matrice],$A46,Invest[Amortissement HT + intérêts]))*CK46)</f>
        <v>0</v>
      </c>
      <c r="BL46" s="56">
        <f>IF($C46=Repart_lignes,0,
(SUMIF(Fonctionnement[Affectation matrice],$A46,Fonctionnement[Montant (€HT)])+SUMIF(Invest[Affectation matrice],$A46,Invest[Amortissement HT + intérêts]))*CL46)</f>
        <v>0</v>
      </c>
      <c r="BM46" s="56">
        <f>IF($C46=Repart_lignes,0,
(SUMIF(Fonctionnement[Affectation matrice],$A46,Fonctionnement[Montant (€HT)])+SUMIF(Invest[Affectation matrice],$A46,Invest[Amortissement HT + intérêts]))*CM46)</f>
        <v>0</v>
      </c>
      <c r="BN46" s="56">
        <f>IF($C46=Repart_lignes,0,
(SUMIF(Fonctionnement[Affectation matrice],$A46,Fonctionnement[Montant (€HT)])+SUMIF(Invest[Affectation matrice],$A46,Invest[Amortissement HT + intérêts]))*CN46)</f>
        <v>0</v>
      </c>
      <c r="BO46" s="56">
        <f>IF($C46=Repart_lignes,0,
(SUMIF(Fonctionnement[Affectation matrice],$A46,Fonctionnement[Montant (€HT)])+SUMIF(Invest[Affectation matrice],$A46,Invest[Amortissement HT + intérêts]))*CO46)</f>
        <v>0</v>
      </c>
      <c r="BP46" s="56">
        <f>IF($C46=Repart_lignes,0,
(SUMIF(Fonctionnement[Affectation matrice],$A46,Fonctionnement[Montant (€HT)])+SUMIF(Invest[Affectation matrice],$A46,Invest[Amortissement HT + intérêts]))*CP46)</f>
        <v>0</v>
      </c>
      <c r="BQ46" s="56">
        <f>IF($C46=Repart_lignes,0,
(SUMIF(Fonctionnement[Affectation matrice],$A46,Fonctionnement[Montant (€HT)])+SUMIF(Invest[Affectation matrice],$A46,Invest[Amortissement HT + intérêts]))*CQ46)</f>
        <v>0</v>
      </c>
      <c r="BR46" s="56">
        <f>IF($C46=Repart_lignes,0,
(SUMIF(Fonctionnement[Affectation matrice],$A46,Fonctionnement[Montant (€HT)])+SUMIF(Invest[Affectation matrice],$A46,Invest[Amortissement HT + intérêts]))*CR46)</f>
        <v>0</v>
      </c>
      <c r="BS46" s="56">
        <f>IF($C46=Repart_lignes,0,
(SUMIF(Fonctionnement[Affectation matrice],$A46,Fonctionnement[Montant (€HT)])+SUMIF(Invest[Affectation matrice],$A46,Invest[Amortissement HT + intérêts]))*CS46)</f>
        <v>0</v>
      </c>
      <c r="BT46" s="56">
        <f>IF($C46=Repart_lignes,0,
(SUMIF(Fonctionnement[Affectation matrice],$A46,Fonctionnement[Montant (€HT)])+SUMIF(Invest[Affectation matrice],$A46,Invest[Amortissement HT + intérêts]))*CT46)</f>
        <v>0</v>
      </c>
      <c r="BU46" s="56">
        <f>IF($C46=Repart_lignes,0,
(SUMIF(Fonctionnement[Affectation matrice],$A46,Fonctionnement[Montant (€HT)])+SUMIF(Invest[Affectation matrice],$A46,Invest[Amortissement HT + intérêts]))*CU46)</f>
        <v>0</v>
      </c>
      <c r="BV46" s="56">
        <f>IF($C46=Repart_lignes,0,
(SUMIF(Fonctionnement[Affectation matrice],$A46,Fonctionnement[Montant (€HT)])+SUMIF(Invest[Affectation matrice],$A46,Invest[Amortissement HT + intérêts]))*CV46)</f>
        <v>0</v>
      </c>
      <c r="BW46" s="56">
        <f>IF($C46=Repart_lignes,0,
(SUMIF(Fonctionnement[Affectation matrice],$A46,Fonctionnement[Montant (€HT)])+SUMIF(Invest[Affectation matrice],$A46,Invest[Amortissement HT + intérêts]))*CW46)</f>
        <v>0</v>
      </c>
      <c r="BX46" s="56">
        <f>IF($C46=Repart_lignes,0,
(SUMIF(Fonctionnement[Affectation matrice],$A46,Fonctionnement[Montant (€HT)])+SUMIF(Invest[Affectation matrice],$A46,Invest[Amortissement HT + intérêts]))*CX46)</f>
        <v>0</v>
      </c>
      <c r="BY46" s="56">
        <f>IF($C46=Repart_lignes,0,
(SUMIF(Fonctionnement[Affectation matrice],$A46,Fonctionnement[Montant (€HT)])+SUMIF(Invest[Affectation matrice],$A46,Invest[Amortissement HT + intérêts]))*CY46)</f>
        <v>0</v>
      </c>
      <c r="BZ46" s="56">
        <f>IF($C46=Repart_lignes,0,
(SUMIF(Fonctionnement[Affectation matrice],$A46,Fonctionnement[Montant (€HT)])+SUMIF(Invest[Affectation matrice],$A46,Invest[Amortissement HT + intérêts]))*CZ46)</f>
        <v>0</v>
      </c>
      <c r="CA46" s="56">
        <f>IF($C46=Repart_lignes,0,
(SUMIF(Fonctionnement[Affectation matrice],$A46,Fonctionnement[Montant (€HT)])+SUMIF(Invest[Affectation matrice],$A46,Invest[Amortissement HT + intérêts]))*DA46)</f>
        <v>0</v>
      </c>
      <c r="CB46" s="56">
        <f>IF($C46=Repart_lignes,0,
(SUMIF(Fonctionnement[Affectation matrice],$A46,Fonctionnement[Montant (€HT)])+SUMIF(Invest[Affectation matrice],$A46,Invest[Amortissement HT + intérêts]))*DB46)</f>
        <v>0</v>
      </c>
      <c r="CC46" s="56">
        <f>IF($C46=Repart_lignes,0,
(SUMIF(Fonctionnement[Affectation matrice],$A46,Fonctionnement[Montant (€HT)])+SUMIF(Invest[Affectation matrice],$A46,Invest[Amortissement HT + intérêts]))*DC46)</f>
        <v>0</v>
      </c>
      <c r="CD46" s="56">
        <f>IF($C46=Repart_lignes,0,
(SUMIF(Fonctionnement[Affectation matrice],$A46,Fonctionnement[Montant (€HT)])+SUMIF(Invest[Affectation matrice],$A46,Invest[Amortissement HT + intérêts]))*DD46)</f>
        <v>0</v>
      </c>
      <c r="CE46" s="59">
        <f t="shared" si="33"/>
        <v>0</v>
      </c>
      <c r="CF46" s="61">
        <f t="shared" si="34"/>
        <v>0</v>
      </c>
      <c r="CG46" s="61">
        <f t="shared" si="35"/>
        <v>0</v>
      </c>
      <c r="CH46" s="61">
        <f t="shared" si="36"/>
        <v>0</v>
      </c>
      <c r="CI46" s="61">
        <f t="shared" si="37"/>
        <v>0</v>
      </c>
      <c r="CJ46" s="61">
        <f t="shared" si="38"/>
        <v>0</v>
      </c>
      <c r="CK46" s="61">
        <f t="shared" si="39"/>
        <v>0</v>
      </c>
      <c r="CL46" s="61">
        <f t="shared" si="40"/>
        <v>0</v>
      </c>
      <c r="CM46" s="61">
        <f t="shared" si="41"/>
        <v>0</v>
      </c>
      <c r="CN46" s="61">
        <f t="shared" si="42"/>
        <v>0</v>
      </c>
      <c r="CO46" s="61">
        <f t="shared" si="43"/>
        <v>0</v>
      </c>
      <c r="CP46" s="61">
        <f t="shared" si="44"/>
        <v>0</v>
      </c>
      <c r="CQ46" s="61">
        <f t="shared" si="45"/>
        <v>0</v>
      </c>
      <c r="CR46" s="61">
        <f t="shared" si="46"/>
        <v>0</v>
      </c>
      <c r="CS46" s="61">
        <f t="shared" si="47"/>
        <v>0</v>
      </c>
      <c r="CT46" s="61">
        <f t="shared" si="48"/>
        <v>0</v>
      </c>
      <c r="CU46" s="61">
        <f t="shared" si="49"/>
        <v>0</v>
      </c>
      <c r="CV46" s="61">
        <f t="shared" si="50"/>
        <v>0</v>
      </c>
      <c r="CW46" s="61">
        <f t="shared" si="51"/>
        <v>0</v>
      </c>
      <c r="CX46" s="61">
        <f t="shared" si="52"/>
        <v>0</v>
      </c>
      <c r="CY46" s="61">
        <f t="shared" si="53"/>
        <v>0</v>
      </c>
      <c r="CZ46" s="61">
        <f t="shared" si="54"/>
        <v>0</v>
      </c>
      <c r="DA46" s="61">
        <f t="shared" si="55"/>
        <v>0</v>
      </c>
      <c r="DB46" s="61">
        <f t="shared" si="56"/>
        <v>0</v>
      </c>
      <c r="DC46" s="61">
        <f t="shared" si="57"/>
        <v>0</v>
      </c>
      <c r="DD46" s="61">
        <f t="shared" si="58"/>
        <v>0</v>
      </c>
      <c r="DE46" s="61">
        <f t="shared" si="59"/>
        <v>0</v>
      </c>
    </row>
    <row r="47" spans="1:110" x14ac:dyDescent="0.25">
      <c r="A47" s="248"/>
      <c r="B47" s="248"/>
      <c r="C47" s="251"/>
      <c r="D47" s="25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1">
        <f t="shared" si="31"/>
        <v>0</v>
      </c>
      <c r="AE47" s="53" t="str">
        <f t="shared" ca="1" si="29"/>
        <v/>
      </c>
      <c r="AF47" s="56">
        <f>IF($C47=Repart_lignes,0,
(SUMIF(Fonctionnement[Affectation matrice],$A47,Fonctionnement[TVA acquittée])+SUMIF(Invest[Affectation matrice],$A47,Invest[TVA acquittée]))*CF47)</f>
        <v>0</v>
      </c>
      <c r="AG47" s="56">
        <f>IF($C47=Repart_lignes,0,
(SUMIF(Fonctionnement[Affectation matrice],$A47,Fonctionnement[TVA acquittée])+SUMIF(Invest[Affectation matrice],$A47,Invest[TVA acquittée]))*CG47)</f>
        <v>0</v>
      </c>
      <c r="AH47" s="56">
        <f>IF($C47=Repart_lignes,0,
(SUMIF(Fonctionnement[Affectation matrice],$A47,Fonctionnement[TVA acquittée])+SUMIF(Invest[Affectation matrice],$A47,Invest[TVA acquittée]))*CH47)</f>
        <v>0</v>
      </c>
      <c r="AI47" s="56">
        <f>IF($C47=Repart_lignes,0,
(SUMIF(Fonctionnement[Affectation matrice],$A47,Fonctionnement[TVA acquittée])+SUMIF(Invest[Affectation matrice],$A47,Invest[TVA acquittée]))*CI47)</f>
        <v>0</v>
      </c>
      <c r="AJ47" s="56">
        <f>IF($C47=Repart_lignes,0,
(SUMIF(Fonctionnement[Affectation matrice],$A47,Fonctionnement[TVA acquittée])+SUMIF(Invest[Affectation matrice],$A47,Invest[TVA acquittée]))*CJ47)</f>
        <v>0</v>
      </c>
      <c r="AK47" s="56">
        <f>IF($C47=Repart_lignes,0,
(SUMIF(Fonctionnement[Affectation matrice],$A47,Fonctionnement[TVA acquittée])+SUMIF(Invest[Affectation matrice],$A47,Invest[TVA acquittée]))*CK47)</f>
        <v>0</v>
      </c>
      <c r="AL47" s="56">
        <f>IF($C47=Repart_lignes,0,
(SUMIF(Fonctionnement[Affectation matrice],$A47,Fonctionnement[TVA acquittée])+SUMIF(Invest[Affectation matrice],$A47,Invest[TVA acquittée]))*CL47)</f>
        <v>0</v>
      </c>
      <c r="AM47" s="56">
        <f>IF($C47=Repart_lignes,0,
(SUMIF(Fonctionnement[Affectation matrice],$A47,Fonctionnement[TVA acquittée])+SUMIF(Invest[Affectation matrice],$A47,Invest[TVA acquittée]))*CM47)</f>
        <v>0</v>
      </c>
      <c r="AN47" s="56">
        <f>IF($C47=Repart_lignes,0,
(SUMIF(Fonctionnement[Affectation matrice],$A47,Fonctionnement[TVA acquittée])+SUMIF(Invest[Affectation matrice],$A47,Invest[TVA acquittée]))*CN47)</f>
        <v>0</v>
      </c>
      <c r="AO47" s="56">
        <f>IF($C47=Repart_lignes,0,
(SUMIF(Fonctionnement[Affectation matrice],$A47,Fonctionnement[TVA acquittée])+SUMIF(Invest[Affectation matrice],$A47,Invest[TVA acquittée]))*CO47)</f>
        <v>0</v>
      </c>
      <c r="AP47" s="56">
        <f>IF($C47=Repart_lignes,0,
(SUMIF(Fonctionnement[Affectation matrice],$A47,Fonctionnement[TVA acquittée])+SUMIF(Invest[Affectation matrice],$A47,Invest[TVA acquittée]))*CP47)</f>
        <v>0</v>
      </c>
      <c r="AQ47" s="56">
        <f>IF($C47=Repart_lignes,0,
(SUMIF(Fonctionnement[Affectation matrice],$A47,Fonctionnement[TVA acquittée])+SUMIF(Invest[Affectation matrice],$A47,Invest[TVA acquittée]))*CQ47)</f>
        <v>0</v>
      </c>
      <c r="AR47" s="56">
        <f>IF($C47=Repart_lignes,0,
(SUMIF(Fonctionnement[Affectation matrice],$A47,Fonctionnement[TVA acquittée])+SUMIF(Invest[Affectation matrice],$A47,Invest[TVA acquittée]))*CR47)</f>
        <v>0</v>
      </c>
      <c r="AS47" s="56">
        <f>IF($C47=Repart_lignes,0,
(SUMIF(Fonctionnement[Affectation matrice],$A47,Fonctionnement[TVA acquittée])+SUMIF(Invest[Affectation matrice],$A47,Invest[TVA acquittée]))*CS47)</f>
        <v>0</v>
      </c>
      <c r="AT47" s="56">
        <f>IF($C47=Repart_lignes,0,
(SUMIF(Fonctionnement[Affectation matrice],$A47,Fonctionnement[TVA acquittée])+SUMIF(Invest[Affectation matrice],$A47,Invest[TVA acquittée]))*CT47)</f>
        <v>0</v>
      </c>
      <c r="AU47" s="56">
        <f>IF($C47=Repart_lignes,0,
(SUMIF(Fonctionnement[Affectation matrice],$A47,Fonctionnement[TVA acquittée])+SUMIF(Invest[Affectation matrice],$A47,Invest[TVA acquittée]))*CU47)</f>
        <v>0</v>
      </c>
      <c r="AV47" s="56">
        <f>IF($C47=Repart_lignes,0,
(SUMIF(Fonctionnement[Affectation matrice],$A47,Fonctionnement[TVA acquittée])+SUMIF(Invest[Affectation matrice],$A47,Invest[TVA acquittée]))*CV47)</f>
        <v>0</v>
      </c>
      <c r="AW47" s="56">
        <f>IF($C47=Repart_lignes,0,
(SUMIF(Fonctionnement[Affectation matrice],$A47,Fonctionnement[TVA acquittée])+SUMIF(Invest[Affectation matrice],$A47,Invest[TVA acquittée]))*CW47)</f>
        <v>0</v>
      </c>
      <c r="AX47" s="56">
        <f>IF($C47=Repart_lignes,0,
(SUMIF(Fonctionnement[Affectation matrice],$A47,Fonctionnement[TVA acquittée])+SUMIF(Invest[Affectation matrice],$A47,Invest[TVA acquittée]))*CX47)</f>
        <v>0</v>
      </c>
      <c r="AY47" s="56">
        <f>IF($C47=Repart_lignes,0,
(SUMIF(Fonctionnement[Affectation matrice],$A47,Fonctionnement[TVA acquittée])+SUMIF(Invest[Affectation matrice],$A47,Invest[TVA acquittée]))*CY47)</f>
        <v>0</v>
      </c>
      <c r="AZ47" s="56">
        <f>IF($C47=Repart_lignes,0,
(SUMIF(Fonctionnement[Affectation matrice],$A47,Fonctionnement[TVA acquittée])+SUMIF(Invest[Affectation matrice],$A47,Invest[TVA acquittée]))*CZ47)</f>
        <v>0</v>
      </c>
      <c r="BA47" s="56">
        <f>IF($C47=Repart_lignes,0,
(SUMIF(Fonctionnement[Affectation matrice],$A47,Fonctionnement[TVA acquittée])+SUMIF(Invest[Affectation matrice],$A47,Invest[TVA acquittée]))*DA47)</f>
        <v>0</v>
      </c>
      <c r="BB47" s="56">
        <f>IF($C47=Repart_lignes,0,
(SUMIF(Fonctionnement[Affectation matrice],$A47,Fonctionnement[TVA acquittée])+SUMIF(Invest[Affectation matrice],$A47,Invest[TVA acquittée]))*DB47)</f>
        <v>0</v>
      </c>
      <c r="BC47" s="56">
        <f>IF($C47=Repart_lignes,0,
(SUMIF(Fonctionnement[Affectation matrice],$A47,Fonctionnement[TVA acquittée])+SUMIF(Invest[Affectation matrice],$A47,Invest[TVA acquittée]))*DC47)</f>
        <v>0</v>
      </c>
      <c r="BD47" s="56">
        <f>IF($C47=Repart_lignes,0,
(SUMIF(Fonctionnement[Affectation matrice],$A47,Fonctionnement[TVA acquittée])+SUMIF(Invest[Affectation matrice],$A47,Invest[TVA acquittée]))*DD47)</f>
        <v>0</v>
      </c>
      <c r="BE47" s="58">
        <f t="shared" si="32"/>
        <v>0</v>
      </c>
      <c r="BF47" s="56">
        <f>IF($C47=Repart_lignes,0,
(SUMIF(Fonctionnement[Affectation matrice],$A47,Fonctionnement[Montant (€HT)])+SUMIF(Invest[Affectation matrice],$A47,Invest[Amortissement HT + intérêts]))*CF47)</f>
        <v>0</v>
      </c>
      <c r="BG47" s="56">
        <f>IF($C47=Repart_lignes,0,
(SUMIF(Fonctionnement[Affectation matrice],$A47,Fonctionnement[Montant (€HT)])+SUMIF(Invest[Affectation matrice],$A47,Invest[Amortissement HT + intérêts]))*CG47)</f>
        <v>0</v>
      </c>
      <c r="BH47" s="56">
        <f>IF($C47=Repart_lignes,0,
(SUMIF(Fonctionnement[Affectation matrice],$A47,Fonctionnement[Montant (€HT)])+SUMIF(Invest[Affectation matrice],$A47,Invest[Amortissement HT + intérêts]))*CH47)</f>
        <v>0</v>
      </c>
      <c r="BI47" s="56">
        <f>IF($C47=Repart_lignes,0,
(SUMIF(Fonctionnement[Affectation matrice],$A47,Fonctionnement[Montant (€HT)])+SUMIF(Invest[Affectation matrice],$A47,Invest[Amortissement HT + intérêts]))*CI47)</f>
        <v>0</v>
      </c>
      <c r="BJ47" s="56">
        <f>IF($C47=Repart_lignes,0,
(SUMIF(Fonctionnement[Affectation matrice],$A47,Fonctionnement[Montant (€HT)])+SUMIF(Invest[Affectation matrice],$A47,Invest[Amortissement HT + intérêts]))*CJ47)</f>
        <v>0</v>
      </c>
      <c r="BK47" s="56">
        <f>IF($C47=Repart_lignes,0,
(SUMIF(Fonctionnement[Affectation matrice],$A47,Fonctionnement[Montant (€HT)])+SUMIF(Invest[Affectation matrice],$A47,Invest[Amortissement HT + intérêts]))*CK47)</f>
        <v>0</v>
      </c>
      <c r="BL47" s="56">
        <f>IF($C47=Repart_lignes,0,
(SUMIF(Fonctionnement[Affectation matrice],$A47,Fonctionnement[Montant (€HT)])+SUMIF(Invest[Affectation matrice],$A47,Invest[Amortissement HT + intérêts]))*CL47)</f>
        <v>0</v>
      </c>
      <c r="BM47" s="56">
        <f>IF($C47=Repart_lignes,0,
(SUMIF(Fonctionnement[Affectation matrice],$A47,Fonctionnement[Montant (€HT)])+SUMIF(Invest[Affectation matrice],$A47,Invest[Amortissement HT + intérêts]))*CM47)</f>
        <v>0</v>
      </c>
      <c r="BN47" s="56">
        <f>IF($C47=Repart_lignes,0,
(SUMIF(Fonctionnement[Affectation matrice],$A47,Fonctionnement[Montant (€HT)])+SUMIF(Invest[Affectation matrice],$A47,Invest[Amortissement HT + intérêts]))*CN47)</f>
        <v>0</v>
      </c>
      <c r="BO47" s="56">
        <f>IF($C47=Repart_lignes,0,
(SUMIF(Fonctionnement[Affectation matrice],$A47,Fonctionnement[Montant (€HT)])+SUMIF(Invest[Affectation matrice],$A47,Invest[Amortissement HT + intérêts]))*CO47)</f>
        <v>0</v>
      </c>
      <c r="BP47" s="56">
        <f>IF($C47=Repart_lignes,0,
(SUMIF(Fonctionnement[Affectation matrice],$A47,Fonctionnement[Montant (€HT)])+SUMIF(Invest[Affectation matrice],$A47,Invest[Amortissement HT + intérêts]))*CP47)</f>
        <v>0</v>
      </c>
      <c r="BQ47" s="56">
        <f>IF($C47=Repart_lignes,0,
(SUMIF(Fonctionnement[Affectation matrice],$A47,Fonctionnement[Montant (€HT)])+SUMIF(Invest[Affectation matrice],$A47,Invest[Amortissement HT + intérêts]))*CQ47)</f>
        <v>0</v>
      </c>
      <c r="BR47" s="56">
        <f>IF($C47=Repart_lignes,0,
(SUMIF(Fonctionnement[Affectation matrice],$A47,Fonctionnement[Montant (€HT)])+SUMIF(Invest[Affectation matrice],$A47,Invest[Amortissement HT + intérêts]))*CR47)</f>
        <v>0</v>
      </c>
      <c r="BS47" s="56">
        <f>IF($C47=Repart_lignes,0,
(SUMIF(Fonctionnement[Affectation matrice],$A47,Fonctionnement[Montant (€HT)])+SUMIF(Invest[Affectation matrice],$A47,Invest[Amortissement HT + intérêts]))*CS47)</f>
        <v>0</v>
      </c>
      <c r="BT47" s="56">
        <f>IF($C47=Repart_lignes,0,
(SUMIF(Fonctionnement[Affectation matrice],$A47,Fonctionnement[Montant (€HT)])+SUMIF(Invest[Affectation matrice],$A47,Invest[Amortissement HT + intérêts]))*CT47)</f>
        <v>0</v>
      </c>
      <c r="BU47" s="56">
        <f>IF($C47=Repart_lignes,0,
(SUMIF(Fonctionnement[Affectation matrice],$A47,Fonctionnement[Montant (€HT)])+SUMIF(Invest[Affectation matrice],$A47,Invest[Amortissement HT + intérêts]))*CU47)</f>
        <v>0</v>
      </c>
      <c r="BV47" s="56">
        <f>IF($C47=Repart_lignes,0,
(SUMIF(Fonctionnement[Affectation matrice],$A47,Fonctionnement[Montant (€HT)])+SUMIF(Invest[Affectation matrice],$A47,Invest[Amortissement HT + intérêts]))*CV47)</f>
        <v>0</v>
      </c>
      <c r="BW47" s="56">
        <f>IF($C47=Repart_lignes,0,
(SUMIF(Fonctionnement[Affectation matrice],$A47,Fonctionnement[Montant (€HT)])+SUMIF(Invest[Affectation matrice],$A47,Invest[Amortissement HT + intérêts]))*CW47)</f>
        <v>0</v>
      </c>
      <c r="BX47" s="56">
        <f>IF($C47=Repart_lignes,0,
(SUMIF(Fonctionnement[Affectation matrice],$A47,Fonctionnement[Montant (€HT)])+SUMIF(Invest[Affectation matrice],$A47,Invest[Amortissement HT + intérêts]))*CX47)</f>
        <v>0</v>
      </c>
      <c r="BY47" s="56">
        <f>IF($C47=Repart_lignes,0,
(SUMIF(Fonctionnement[Affectation matrice],$A47,Fonctionnement[Montant (€HT)])+SUMIF(Invest[Affectation matrice],$A47,Invest[Amortissement HT + intérêts]))*CY47)</f>
        <v>0</v>
      </c>
      <c r="BZ47" s="56">
        <f>IF($C47=Repart_lignes,0,
(SUMIF(Fonctionnement[Affectation matrice],$A47,Fonctionnement[Montant (€HT)])+SUMIF(Invest[Affectation matrice],$A47,Invest[Amortissement HT + intérêts]))*CZ47)</f>
        <v>0</v>
      </c>
      <c r="CA47" s="56">
        <f>IF($C47=Repart_lignes,0,
(SUMIF(Fonctionnement[Affectation matrice],$A47,Fonctionnement[Montant (€HT)])+SUMIF(Invest[Affectation matrice],$A47,Invest[Amortissement HT + intérêts]))*DA47)</f>
        <v>0</v>
      </c>
      <c r="CB47" s="56">
        <f>IF($C47=Repart_lignes,0,
(SUMIF(Fonctionnement[Affectation matrice],$A47,Fonctionnement[Montant (€HT)])+SUMIF(Invest[Affectation matrice],$A47,Invest[Amortissement HT + intérêts]))*DB47)</f>
        <v>0</v>
      </c>
      <c r="CC47" s="56">
        <f>IF($C47=Repart_lignes,0,
(SUMIF(Fonctionnement[Affectation matrice],$A47,Fonctionnement[Montant (€HT)])+SUMIF(Invest[Affectation matrice],$A47,Invest[Amortissement HT + intérêts]))*DC47)</f>
        <v>0</v>
      </c>
      <c r="CD47" s="56">
        <f>IF($C47=Repart_lignes,0,
(SUMIF(Fonctionnement[Affectation matrice],$A47,Fonctionnement[Montant (€HT)])+SUMIF(Invest[Affectation matrice],$A47,Invest[Amortissement HT + intérêts]))*DD47)</f>
        <v>0</v>
      </c>
      <c r="CE47" s="59">
        <f t="shared" si="33"/>
        <v>0</v>
      </c>
      <c r="CF47" s="61">
        <f t="shared" si="34"/>
        <v>0</v>
      </c>
      <c r="CG47" s="61">
        <f t="shared" si="35"/>
        <v>0</v>
      </c>
      <c r="CH47" s="61">
        <f t="shared" si="36"/>
        <v>0</v>
      </c>
      <c r="CI47" s="61">
        <f t="shared" si="37"/>
        <v>0</v>
      </c>
      <c r="CJ47" s="61">
        <f t="shared" si="38"/>
        <v>0</v>
      </c>
      <c r="CK47" s="61">
        <f t="shared" si="39"/>
        <v>0</v>
      </c>
      <c r="CL47" s="61">
        <f t="shared" si="40"/>
        <v>0</v>
      </c>
      <c r="CM47" s="61">
        <f t="shared" si="41"/>
        <v>0</v>
      </c>
      <c r="CN47" s="61">
        <f t="shared" si="42"/>
        <v>0</v>
      </c>
      <c r="CO47" s="61">
        <f t="shared" si="43"/>
        <v>0</v>
      </c>
      <c r="CP47" s="61">
        <f t="shared" si="44"/>
        <v>0</v>
      </c>
      <c r="CQ47" s="61">
        <f t="shared" si="45"/>
        <v>0</v>
      </c>
      <c r="CR47" s="61">
        <f t="shared" si="46"/>
        <v>0</v>
      </c>
      <c r="CS47" s="61">
        <f t="shared" si="47"/>
        <v>0</v>
      </c>
      <c r="CT47" s="61">
        <f t="shared" si="48"/>
        <v>0</v>
      </c>
      <c r="CU47" s="61">
        <f t="shared" si="49"/>
        <v>0</v>
      </c>
      <c r="CV47" s="61">
        <f t="shared" si="50"/>
        <v>0</v>
      </c>
      <c r="CW47" s="61">
        <f t="shared" si="51"/>
        <v>0</v>
      </c>
      <c r="CX47" s="61">
        <f t="shared" si="52"/>
        <v>0</v>
      </c>
      <c r="CY47" s="61">
        <f t="shared" si="53"/>
        <v>0</v>
      </c>
      <c r="CZ47" s="61">
        <f t="shared" si="54"/>
        <v>0</v>
      </c>
      <c r="DA47" s="61">
        <f t="shared" si="55"/>
        <v>0</v>
      </c>
      <c r="DB47" s="61">
        <f t="shared" si="56"/>
        <v>0</v>
      </c>
      <c r="DC47" s="61">
        <f t="shared" si="57"/>
        <v>0</v>
      </c>
      <c r="DD47" s="61">
        <f t="shared" si="58"/>
        <v>0</v>
      </c>
      <c r="DE47" s="61">
        <f t="shared" si="59"/>
        <v>0</v>
      </c>
    </row>
    <row r="48" spans="1:110" x14ac:dyDescent="0.25">
      <c r="A48" s="248"/>
      <c r="B48" s="248"/>
      <c r="C48" s="251"/>
      <c r="D48" s="25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1">
        <f t="shared" si="31"/>
        <v>0</v>
      </c>
      <c r="AE48" s="53" t="str">
        <f t="shared" ca="1" si="29"/>
        <v/>
      </c>
      <c r="AF48" s="56">
        <f>IF($C48=Repart_lignes,0,
(SUMIF(Fonctionnement[Affectation matrice],$A48,Fonctionnement[TVA acquittée])+SUMIF(Invest[Affectation matrice],$A48,Invest[TVA acquittée]))*CF48)</f>
        <v>0</v>
      </c>
      <c r="AG48" s="56">
        <f>IF($C48=Repart_lignes,0,
(SUMIF(Fonctionnement[Affectation matrice],$A48,Fonctionnement[TVA acquittée])+SUMIF(Invest[Affectation matrice],$A48,Invest[TVA acquittée]))*CG48)</f>
        <v>0</v>
      </c>
      <c r="AH48" s="56">
        <f>IF($C48=Repart_lignes,0,
(SUMIF(Fonctionnement[Affectation matrice],$A48,Fonctionnement[TVA acquittée])+SUMIF(Invest[Affectation matrice],$A48,Invest[TVA acquittée]))*CH48)</f>
        <v>0</v>
      </c>
      <c r="AI48" s="56">
        <f>IF($C48=Repart_lignes,0,
(SUMIF(Fonctionnement[Affectation matrice],$A48,Fonctionnement[TVA acquittée])+SUMIF(Invest[Affectation matrice],$A48,Invest[TVA acquittée]))*CI48)</f>
        <v>0</v>
      </c>
      <c r="AJ48" s="56">
        <f>IF($C48=Repart_lignes,0,
(SUMIF(Fonctionnement[Affectation matrice],$A48,Fonctionnement[TVA acquittée])+SUMIF(Invest[Affectation matrice],$A48,Invest[TVA acquittée]))*CJ48)</f>
        <v>0</v>
      </c>
      <c r="AK48" s="56">
        <f>IF($C48=Repart_lignes,0,
(SUMIF(Fonctionnement[Affectation matrice],$A48,Fonctionnement[TVA acquittée])+SUMIF(Invest[Affectation matrice],$A48,Invest[TVA acquittée]))*CK48)</f>
        <v>0</v>
      </c>
      <c r="AL48" s="56">
        <f>IF($C48=Repart_lignes,0,
(SUMIF(Fonctionnement[Affectation matrice],$A48,Fonctionnement[TVA acquittée])+SUMIF(Invest[Affectation matrice],$A48,Invest[TVA acquittée]))*CL48)</f>
        <v>0</v>
      </c>
      <c r="AM48" s="56">
        <f>IF($C48=Repart_lignes,0,
(SUMIF(Fonctionnement[Affectation matrice],$A48,Fonctionnement[TVA acquittée])+SUMIF(Invest[Affectation matrice],$A48,Invest[TVA acquittée]))*CM48)</f>
        <v>0</v>
      </c>
      <c r="AN48" s="56">
        <f>IF($C48=Repart_lignes,0,
(SUMIF(Fonctionnement[Affectation matrice],$A48,Fonctionnement[TVA acquittée])+SUMIF(Invest[Affectation matrice],$A48,Invest[TVA acquittée]))*CN48)</f>
        <v>0</v>
      </c>
      <c r="AO48" s="56">
        <f>IF($C48=Repart_lignes,0,
(SUMIF(Fonctionnement[Affectation matrice],$A48,Fonctionnement[TVA acquittée])+SUMIF(Invest[Affectation matrice],$A48,Invest[TVA acquittée]))*CO48)</f>
        <v>0</v>
      </c>
      <c r="AP48" s="56">
        <f>IF($C48=Repart_lignes,0,
(SUMIF(Fonctionnement[Affectation matrice],$A48,Fonctionnement[TVA acquittée])+SUMIF(Invest[Affectation matrice],$A48,Invest[TVA acquittée]))*CP48)</f>
        <v>0</v>
      </c>
      <c r="AQ48" s="56">
        <f>IF($C48=Repart_lignes,0,
(SUMIF(Fonctionnement[Affectation matrice],$A48,Fonctionnement[TVA acquittée])+SUMIF(Invest[Affectation matrice],$A48,Invest[TVA acquittée]))*CQ48)</f>
        <v>0</v>
      </c>
      <c r="AR48" s="56">
        <f>IF($C48=Repart_lignes,0,
(SUMIF(Fonctionnement[Affectation matrice],$A48,Fonctionnement[TVA acquittée])+SUMIF(Invest[Affectation matrice],$A48,Invest[TVA acquittée]))*CR48)</f>
        <v>0</v>
      </c>
      <c r="AS48" s="56">
        <f>IF($C48=Repart_lignes,0,
(SUMIF(Fonctionnement[Affectation matrice],$A48,Fonctionnement[TVA acquittée])+SUMIF(Invest[Affectation matrice],$A48,Invest[TVA acquittée]))*CS48)</f>
        <v>0</v>
      </c>
      <c r="AT48" s="56">
        <f>IF($C48=Repart_lignes,0,
(SUMIF(Fonctionnement[Affectation matrice],$A48,Fonctionnement[TVA acquittée])+SUMIF(Invest[Affectation matrice],$A48,Invest[TVA acquittée]))*CT48)</f>
        <v>0</v>
      </c>
      <c r="AU48" s="56">
        <f>IF($C48=Repart_lignes,0,
(SUMIF(Fonctionnement[Affectation matrice],$A48,Fonctionnement[TVA acquittée])+SUMIF(Invest[Affectation matrice],$A48,Invest[TVA acquittée]))*CU48)</f>
        <v>0</v>
      </c>
      <c r="AV48" s="56">
        <f>IF($C48=Repart_lignes,0,
(SUMIF(Fonctionnement[Affectation matrice],$A48,Fonctionnement[TVA acquittée])+SUMIF(Invest[Affectation matrice],$A48,Invest[TVA acquittée]))*CV48)</f>
        <v>0</v>
      </c>
      <c r="AW48" s="56">
        <f>IF($C48=Repart_lignes,0,
(SUMIF(Fonctionnement[Affectation matrice],$A48,Fonctionnement[TVA acquittée])+SUMIF(Invest[Affectation matrice],$A48,Invest[TVA acquittée]))*CW48)</f>
        <v>0</v>
      </c>
      <c r="AX48" s="56">
        <f>IF($C48=Repart_lignes,0,
(SUMIF(Fonctionnement[Affectation matrice],$A48,Fonctionnement[TVA acquittée])+SUMIF(Invest[Affectation matrice],$A48,Invest[TVA acquittée]))*CX48)</f>
        <v>0</v>
      </c>
      <c r="AY48" s="56">
        <f>IF($C48=Repart_lignes,0,
(SUMIF(Fonctionnement[Affectation matrice],$A48,Fonctionnement[TVA acquittée])+SUMIF(Invest[Affectation matrice],$A48,Invest[TVA acquittée]))*CY48)</f>
        <v>0</v>
      </c>
      <c r="AZ48" s="56">
        <f>IF($C48=Repart_lignes,0,
(SUMIF(Fonctionnement[Affectation matrice],$A48,Fonctionnement[TVA acquittée])+SUMIF(Invest[Affectation matrice],$A48,Invest[TVA acquittée]))*CZ48)</f>
        <v>0</v>
      </c>
      <c r="BA48" s="56">
        <f>IF($C48=Repart_lignes,0,
(SUMIF(Fonctionnement[Affectation matrice],$A48,Fonctionnement[TVA acquittée])+SUMIF(Invest[Affectation matrice],$A48,Invest[TVA acquittée]))*DA48)</f>
        <v>0</v>
      </c>
      <c r="BB48" s="56">
        <f>IF($C48=Repart_lignes,0,
(SUMIF(Fonctionnement[Affectation matrice],$A48,Fonctionnement[TVA acquittée])+SUMIF(Invest[Affectation matrice],$A48,Invest[TVA acquittée]))*DB48)</f>
        <v>0</v>
      </c>
      <c r="BC48" s="56">
        <f>IF($C48=Repart_lignes,0,
(SUMIF(Fonctionnement[Affectation matrice],$A48,Fonctionnement[TVA acquittée])+SUMIF(Invest[Affectation matrice],$A48,Invest[TVA acquittée]))*DC48)</f>
        <v>0</v>
      </c>
      <c r="BD48" s="56">
        <f>IF($C48=Repart_lignes,0,
(SUMIF(Fonctionnement[Affectation matrice],$A48,Fonctionnement[TVA acquittée])+SUMIF(Invest[Affectation matrice],$A48,Invest[TVA acquittée]))*DD48)</f>
        <v>0</v>
      </c>
      <c r="BE48" s="58">
        <f t="shared" si="32"/>
        <v>0</v>
      </c>
      <c r="BF48" s="56">
        <f>IF($C48=Repart_lignes,0,
(SUMIF(Fonctionnement[Affectation matrice],$A48,Fonctionnement[Montant (€HT)])+SUMIF(Invest[Affectation matrice],$A48,Invest[Amortissement HT + intérêts]))*CF48)</f>
        <v>0</v>
      </c>
      <c r="BG48" s="56">
        <f>IF($C48=Repart_lignes,0,
(SUMIF(Fonctionnement[Affectation matrice],$A48,Fonctionnement[Montant (€HT)])+SUMIF(Invest[Affectation matrice],$A48,Invest[Amortissement HT + intérêts]))*CG48)</f>
        <v>0</v>
      </c>
      <c r="BH48" s="56">
        <f>IF($C48=Repart_lignes,0,
(SUMIF(Fonctionnement[Affectation matrice],$A48,Fonctionnement[Montant (€HT)])+SUMIF(Invest[Affectation matrice],$A48,Invest[Amortissement HT + intérêts]))*CH48)</f>
        <v>0</v>
      </c>
      <c r="BI48" s="56">
        <f>IF($C48=Repart_lignes,0,
(SUMIF(Fonctionnement[Affectation matrice],$A48,Fonctionnement[Montant (€HT)])+SUMIF(Invest[Affectation matrice],$A48,Invest[Amortissement HT + intérêts]))*CI48)</f>
        <v>0</v>
      </c>
      <c r="BJ48" s="56">
        <f>IF($C48=Repart_lignes,0,
(SUMIF(Fonctionnement[Affectation matrice],$A48,Fonctionnement[Montant (€HT)])+SUMIF(Invest[Affectation matrice],$A48,Invest[Amortissement HT + intérêts]))*CJ48)</f>
        <v>0</v>
      </c>
      <c r="BK48" s="56">
        <f>IF($C48=Repart_lignes,0,
(SUMIF(Fonctionnement[Affectation matrice],$A48,Fonctionnement[Montant (€HT)])+SUMIF(Invest[Affectation matrice],$A48,Invest[Amortissement HT + intérêts]))*CK48)</f>
        <v>0</v>
      </c>
      <c r="BL48" s="56">
        <f>IF($C48=Repart_lignes,0,
(SUMIF(Fonctionnement[Affectation matrice],$A48,Fonctionnement[Montant (€HT)])+SUMIF(Invest[Affectation matrice],$A48,Invest[Amortissement HT + intérêts]))*CL48)</f>
        <v>0</v>
      </c>
      <c r="BM48" s="56">
        <f>IF($C48=Repart_lignes,0,
(SUMIF(Fonctionnement[Affectation matrice],$A48,Fonctionnement[Montant (€HT)])+SUMIF(Invest[Affectation matrice],$A48,Invest[Amortissement HT + intérêts]))*CM48)</f>
        <v>0</v>
      </c>
      <c r="BN48" s="56">
        <f>IF($C48=Repart_lignes,0,
(SUMIF(Fonctionnement[Affectation matrice],$A48,Fonctionnement[Montant (€HT)])+SUMIF(Invest[Affectation matrice],$A48,Invest[Amortissement HT + intérêts]))*CN48)</f>
        <v>0</v>
      </c>
      <c r="BO48" s="56">
        <f>IF($C48=Repart_lignes,0,
(SUMIF(Fonctionnement[Affectation matrice],$A48,Fonctionnement[Montant (€HT)])+SUMIF(Invest[Affectation matrice],$A48,Invest[Amortissement HT + intérêts]))*CO48)</f>
        <v>0</v>
      </c>
      <c r="BP48" s="56">
        <f>IF($C48=Repart_lignes,0,
(SUMIF(Fonctionnement[Affectation matrice],$A48,Fonctionnement[Montant (€HT)])+SUMIF(Invest[Affectation matrice],$A48,Invest[Amortissement HT + intérêts]))*CP48)</f>
        <v>0</v>
      </c>
      <c r="BQ48" s="56">
        <f>IF($C48=Repart_lignes,0,
(SUMIF(Fonctionnement[Affectation matrice],$A48,Fonctionnement[Montant (€HT)])+SUMIF(Invest[Affectation matrice],$A48,Invest[Amortissement HT + intérêts]))*CQ48)</f>
        <v>0</v>
      </c>
      <c r="BR48" s="56">
        <f>IF($C48=Repart_lignes,0,
(SUMIF(Fonctionnement[Affectation matrice],$A48,Fonctionnement[Montant (€HT)])+SUMIF(Invest[Affectation matrice],$A48,Invest[Amortissement HT + intérêts]))*CR48)</f>
        <v>0</v>
      </c>
      <c r="BS48" s="56">
        <f>IF($C48=Repart_lignes,0,
(SUMIF(Fonctionnement[Affectation matrice],$A48,Fonctionnement[Montant (€HT)])+SUMIF(Invest[Affectation matrice],$A48,Invest[Amortissement HT + intérêts]))*CS48)</f>
        <v>0</v>
      </c>
      <c r="BT48" s="56">
        <f>IF($C48=Repart_lignes,0,
(SUMIF(Fonctionnement[Affectation matrice],$A48,Fonctionnement[Montant (€HT)])+SUMIF(Invest[Affectation matrice],$A48,Invest[Amortissement HT + intérêts]))*CT48)</f>
        <v>0</v>
      </c>
      <c r="BU48" s="56">
        <f>IF($C48=Repart_lignes,0,
(SUMIF(Fonctionnement[Affectation matrice],$A48,Fonctionnement[Montant (€HT)])+SUMIF(Invest[Affectation matrice],$A48,Invest[Amortissement HT + intérêts]))*CU48)</f>
        <v>0</v>
      </c>
      <c r="BV48" s="56">
        <f>IF($C48=Repart_lignes,0,
(SUMIF(Fonctionnement[Affectation matrice],$A48,Fonctionnement[Montant (€HT)])+SUMIF(Invest[Affectation matrice],$A48,Invest[Amortissement HT + intérêts]))*CV48)</f>
        <v>0</v>
      </c>
      <c r="BW48" s="56">
        <f>IF($C48=Repart_lignes,0,
(SUMIF(Fonctionnement[Affectation matrice],$A48,Fonctionnement[Montant (€HT)])+SUMIF(Invest[Affectation matrice],$A48,Invest[Amortissement HT + intérêts]))*CW48)</f>
        <v>0</v>
      </c>
      <c r="BX48" s="56">
        <f>IF($C48=Repart_lignes,0,
(SUMIF(Fonctionnement[Affectation matrice],$A48,Fonctionnement[Montant (€HT)])+SUMIF(Invest[Affectation matrice],$A48,Invest[Amortissement HT + intérêts]))*CX48)</f>
        <v>0</v>
      </c>
      <c r="BY48" s="56">
        <f>IF($C48=Repart_lignes,0,
(SUMIF(Fonctionnement[Affectation matrice],$A48,Fonctionnement[Montant (€HT)])+SUMIF(Invest[Affectation matrice],$A48,Invest[Amortissement HT + intérêts]))*CY48)</f>
        <v>0</v>
      </c>
      <c r="BZ48" s="56">
        <f>IF($C48=Repart_lignes,0,
(SUMIF(Fonctionnement[Affectation matrice],$A48,Fonctionnement[Montant (€HT)])+SUMIF(Invest[Affectation matrice],$A48,Invest[Amortissement HT + intérêts]))*CZ48)</f>
        <v>0</v>
      </c>
      <c r="CA48" s="56">
        <f>IF($C48=Repart_lignes,0,
(SUMIF(Fonctionnement[Affectation matrice],$A48,Fonctionnement[Montant (€HT)])+SUMIF(Invest[Affectation matrice],$A48,Invest[Amortissement HT + intérêts]))*DA48)</f>
        <v>0</v>
      </c>
      <c r="CB48" s="56">
        <f>IF($C48=Repart_lignes,0,
(SUMIF(Fonctionnement[Affectation matrice],$A48,Fonctionnement[Montant (€HT)])+SUMIF(Invest[Affectation matrice],$A48,Invest[Amortissement HT + intérêts]))*DB48)</f>
        <v>0</v>
      </c>
      <c r="CC48" s="56">
        <f>IF($C48=Repart_lignes,0,
(SUMIF(Fonctionnement[Affectation matrice],$A48,Fonctionnement[Montant (€HT)])+SUMIF(Invest[Affectation matrice],$A48,Invest[Amortissement HT + intérêts]))*DC48)</f>
        <v>0</v>
      </c>
      <c r="CD48" s="56">
        <f>IF($C48=Repart_lignes,0,
(SUMIF(Fonctionnement[Affectation matrice],$A48,Fonctionnement[Montant (€HT)])+SUMIF(Invest[Affectation matrice],$A48,Invest[Amortissement HT + intérêts]))*DD48)</f>
        <v>0</v>
      </c>
      <c r="CE48" s="59">
        <f t="shared" si="33"/>
        <v>0</v>
      </c>
      <c r="CF48" s="61">
        <f t="shared" si="34"/>
        <v>0</v>
      </c>
      <c r="CG48" s="61">
        <f t="shared" si="35"/>
        <v>0</v>
      </c>
      <c r="CH48" s="61">
        <f t="shared" si="36"/>
        <v>0</v>
      </c>
      <c r="CI48" s="61">
        <f t="shared" si="37"/>
        <v>0</v>
      </c>
      <c r="CJ48" s="61">
        <f t="shared" si="38"/>
        <v>0</v>
      </c>
      <c r="CK48" s="61">
        <f t="shared" si="39"/>
        <v>0</v>
      </c>
      <c r="CL48" s="61">
        <f t="shared" si="40"/>
        <v>0</v>
      </c>
      <c r="CM48" s="61">
        <f t="shared" si="41"/>
        <v>0</v>
      </c>
      <c r="CN48" s="61">
        <f t="shared" si="42"/>
        <v>0</v>
      </c>
      <c r="CO48" s="61">
        <f t="shared" si="43"/>
        <v>0</v>
      </c>
      <c r="CP48" s="61">
        <f t="shared" si="44"/>
        <v>0</v>
      </c>
      <c r="CQ48" s="61">
        <f t="shared" si="45"/>
        <v>0</v>
      </c>
      <c r="CR48" s="61">
        <f t="shared" si="46"/>
        <v>0</v>
      </c>
      <c r="CS48" s="61">
        <f t="shared" si="47"/>
        <v>0</v>
      </c>
      <c r="CT48" s="61">
        <f t="shared" si="48"/>
        <v>0</v>
      </c>
      <c r="CU48" s="61">
        <f t="shared" si="49"/>
        <v>0</v>
      </c>
      <c r="CV48" s="61">
        <f t="shared" si="50"/>
        <v>0</v>
      </c>
      <c r="CW48" s="61">
        <f t="shared" si="51"/>
        <v>0</v>
      </c>
      <c r="CX48" s="61">
        <f t="shared" si="52"/>
        <v>0</v>
      </c>
      <c r="CY48" s="61">
        <f t="shared" si="53"/>
        <v>0</v>
      </c>
      <c r="CZ48" s="61">
        <f t="shared" si="54"/>
        <v>0</v>
      </c>
      <c r="DA48" s="61">
        <f t="shared" si="55"/>
        <v>0</v>
      </c>
      <c r="DB48" s="61">
        <f t="shared" si="56"/>
        <v>0</v>
      </c>
      <c r="DC48" s="61">
        <f t="shared" si="57"/>
        <v>0</v>
      </c>
      <c r="DD48" s="61">
        <f t="shared" si="58"/>
        <v>0</v>
      </c>
      <c r="DE48" s="61">
        <f t="shared" si="59"/>
        <v>0</v>
      </c>
    </row>
    <row r="49" spans="1:109" x14ac:dyDescent="0.25">
      <c r="A49" s="248"/>
      <c r="B49" s="248"/>
      <c r="C49" s="251"/>
      <c r="D49" s="25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1">
        <f t="shared" si="31"/>
        <v>0</v>
      </c>
      <c r="AE49" s="53" t="str">
        <f t="shared" ca="1" si="29"/>
        <v/>
      </c>
      <c r="AF49" s="56">
        <f>IF($C49=Repart_lignes,0,
(SUMIF(Fonctionnement[Affectation matrice],$A49,Fonctionnement[TVA acquittée])+SUMIF(Invest[Affectation matrice],$A49,Invest[TVA acquittée]))*CF49)</f>
        <v>0</v>
      </c>
      <c r="AG49" s="56">
        <f>IF($C49=Repart_lignes,0,
(SUMIF(Fonctionnement[Affectation matrice],$A49,Fonctionnement[TVA acquittée])+SUMIF(Invest[Affectation matrice],$A49,Invest[TVA acquittée]))*CG49)</f>
        <v>0</v>
      </c>
      <c r="AH49" s="56">
        <f>IF($C49=Repart_lignes,0,
(SUMIF(Fonctionnement[Affectation matrice],$A49,Fonctionnement[TVA acquittée])+SUMIF(Invest[Affectation matrice],$A49,Invest[TVA acquittée]))*CH49)</f>
        <v>0</v>
      </c>
      <c r="AI49" s="56">
        <f>IF($C49=Repart_lignes,0,
(SUMIF(Fonctionnement[Affectation matrice],$A49,Fonctionnement[TVA acquittée])+SUMIF(Invest[Affectation matrice],$A49,Invest[TVA acquittée]))*CI49)</f>
        <v>0</v>
      </c>
      <c r="AJ49" s="56">
        <f>IF($C49=Repart_lignes,0,
(SUMIF(Fonctionnement[Affectation matrice],$A49,Fonctionnement[TVA acquittée])+SUMIF(Invest[Affectation matrice],$A49,Invest[TVA acquittée]))*CJ49)</f>
        <v>0</v>
      </c>
      <c r="AK49" s="56">
        <f>IF($C49=Repart_lignes,0,
(SUMIF(Fonctionnement[Affectation matrice],$A49,Fonctionnement[TVA acquittée])+SUMIF(Invest[Affectation matrice],$A49,Invest[TVA acquittée]))*CK49)</f>
        <v>0</v>
      </c>
      <c r="AL49" s="56">
        <f>IF($C49=Repart_lignes,0,
(SUMIF(Fonctionnement[Affectation matrice],$A49,Fonctionnement[TVA acquittée])+SUMIF(Invest[Affectation matrice],$A49,Invest[TVA acquittée]))*CL49)</f>
        <v>0</v>
      </c>
      <c r="AM49" s="56">
        <f>IF($C49=Repart_lignes,0,
(SUMIF(Fonctionnement[Affectation matrice],$A49,Fonctionnement[TVA acquittée])+SUMIF(Invest[Affectation matrice],$A49,Invest[TVA acquittée]))*CM49)</f>
        <v>0</v>
      </c>
      <c r="AN49" s="56">
        <f>IF($C49=Repart_lignes,0,
(SUMIF(Fonctionnement[Affectation matrice],$A49,Fonctionnement[TVA acquittée])+SUMIF(Invest[Affectation matrice],$A49,Invest[TVA acquittée]))*CN49)</f>
        <v>0</v>
      </c>
      <c r="AO49" s="56">
        <f>IF($C49=Repart_lignes,0,
(SUMIF(Fonctionnement[Affectation matrice],$A49,Fonctionnement[TVA acquittée])+SUMIF(Invest[Affectation matrice],$A49,Invest[TVA acquittée]))*CO49)</f>
        <v>0</v>
      </c>
      <c r="AP49" s="56">
        <f>IF($C49=Repart_lignes,0,
(SUMIF(Fonctionnement[Affectation matrice],$A49,Fonctionnement[TVA acquittée])+SUMIF(Invest[Affectation matrice],$A49,Invest[TVA acquittée]))*CP49)</f>
        <v>0</v>
      </c>
      <c r="AQ49" s="56">
        <f>IF($C49=Repart_lignes,0,
(SUMIF(Fonctionnement[Affectation matrice],$A49,Fonctionnement[TVA acquittée])+SUMIF(Invest[Affectation matrice],$A49,Invest[TVA acquittée]))*CQ49)</f>
        <v>0</v>
      </c>
      <c r="AR49" s="56">
        <f>IF($C49=Repart_lignes,0,
(SUMIF(Fonctionnement[Affectation matrice],$A49,Fonctionnement[TVA acquittée])+SUMIF(Invest[Affectation matrice],$A49,Invest[TVA acquittée]))*CR49)</f>
        <v>0</v>
      </c>
      <c r="AS49" s="56">
        <f>IF($C49=Repart_lignes,0,
(SUMIF(Fonctionnement[Affectation matrice],$A49,Fonctionnement[TVA acquittée])+SUMIF(Invest[Affectation matrice],$A49,Invest[TVA acquittée]))*CS49)</f>
        <v>0</v>
      </c>
      <c r="AT49" s="56">
        <f>IF($C49=Repart_lignes,0,
(SUMIF(Fonctionnement[Affectation matrice],$A49,Fonctionnement[TVA acquittée])+SUMIF(Invest[Affectation matrice],$A49,Invest[TVA acquittée]))*CT49)</f>
        <v>0</v>
      </c>
      <c r="AU49" s="56">
        <f>IF($C49=Repart_lignes,0,
(SUMIF(Fonctionnement[Affectation matrice],$A49,Fonctionnement[TVA acquittée])+SUMIF(Invest[Affectation matrice],$A49,Invest[TVA acquittée]))*CU49)</f>
        <v>0</v>
      </c>
      <c r="AV49" s="56">
        <f>IF($C49=Repart_lignes,0,
(SUMIF(Fonctionnement[Affectation matrice],$A49,Fonctionnement[TVA acquittée])+SUMIF(Invest[Affectation matrice],$A49,Invest[TVA acquittée]))*CV49)</f>
        <v>0</v>
      </c>
      <c r="AW49" s="56">
        <f>IF($C49=Repart_lignes,0,
(SUMIF(Fonctionnement[Affectation matrice],$A49,Fonctionnement[TVA acquittée])+SUMIF(Invest[Affectation matrice],$A49,Invest[TVA acquittée]))*CW49)</f>
        <v>0</v>
      </c>
      <c r="AX49" s="56">
        <f>IF($C49=Repart_lignes,0,
(SUMIF(Fonctionnement[Affectation matrice],$A49,Fonctionnement[TVA acquittée])+SUMIF(Invest[Affectation matrice],$A49,Invest[TVA acquittée]))*CX49)</f>
        <v>0</v>
      </c>
      <c r="AY49" s="56">
        <f>IF($C49=Repart_lignes,0,
(SUMIF(Fonctionnement[Affectation matrice],$A49,Fonctionnement[TVA acquittée])+SUMIF(Invest[Affectation matrice],$A49,Invest[TVA acquittée]))*CY49)</f>
        <v>0</v>
      </c>
      <c r="AZ49" s="56">
        <f>IF($C49=Repart_lignes,0,
(SUMIF(Fonctionnement[Affectation matrice],$A49,Fonctionnement[TVA acquittée])+SUMIF(Invest[Affectation matrice],$A49,Invest[TVA acquittée]))*CZ49)</f>
        <v>0</v>
      </c>
      <c r="BA49" s="56">
        <f>IF($C49=Repart_lignes,0,
(SUMIF(Fonctionnement[Affectation matrice],$A49,Fonctionnement[TVA acquittée])+SUMIF(Invest[Affectation matrice],$A49,Invest[TVA acquittée]))*DA49)</f>
        <v>0</v>
      </c>
      <c r="BB49" s="56">
        <f>IF($C49=Repart_lignes,0,
(SUMIF(Fonctionnement[Affectation matrice],$A49,Fonctionnement[TVA acquittée])+SUMIF(Invest[Affectation matrice],$A49,Invest[TVA acquittée]))*DB49)</f>
        <v>0</v>
      </c>
      <c r="BC49" s="56">
        <f>IF($C49=Repart_lignes,0,
(SUMIF(Fonctionnement[Affectation matrice],$A49,Fonctionnement[TVA acquittée])+SUMIF(Invest[Affectation matrice],$A49,Invest[TVA acquittée]))*DC49)</f>
        <v>0</v>
      </c>
      <c r="BD49" s="56">
        <f>IF($C49=Repart_lignes,0,
(SUMIF(Fonctionnement[Affectation matrice],$A49,Fonctionnement[TVA acquittée])+SUMIF(Invest[Affectation matrice],$A49,Invest[TVA acquittée]))*DD49)</f>
        <v>0</v>
      </c>
      <c r="BE49" s="58">
        <f t="shared" si="32"/>
        <v>0</v>
      </c>
      <c r="BF49" s="56">
        <f>IF($C49=Repart_lignes,0,
(SUMIF(Fonctionnement[Affectation matrice],$A49,Fonctionnement[Montant (€HT)])+SUMIF(Invest[Affectation matrice],$A49,Invest[Amortissement HT + intérêts]))*CF49)</f>
        <v>0</v>
      </c>
      <c r="BG49" s="56">
        <f>IF($C49=Repart_lignes,0,
(SUMIF(Fonctionnement[Affectation matrice],$A49,Fonctionnement[Montant (€HT)])+SUMIF(Invest[Affectation matrice],$A49,Invest[Amortissement HT + intérêts]))*CG49)</f>
        <v>0</v>
      </c>
      <c r="BH49" s="56">
        <f>IF($C49=Repart_lignes,0,
(SUMIF(Fonctionnement[Affectation matrice],$A49,Fonctionnement[Montant (€HT)])+SUMIF(Invest[Affectation matrice],$A49,Invest[Amortissement HT + intérêts]))*CH49)</f>
        <v>0</v>
      </c>
      <c r="BI49" s="56">
        <f>IF($C49=Repart_lignes,0,
(SUMIF(Fonctionnement[Affectation matrice],$A49,Fonctionnement[Montant (€HT)])+SUMIF(Invest[Affectation matrice],$A49,Invest[Amortissement HT + intérêts]))*CI49)</f>
        <v>0</v>
      </c>
      <c r="BJ49" s="56">
        <f>IF($C49=Repart_lignes,0,
(SUMIF(Fonctionnement[Affectation matrice],$A49,Fonctionnement[Montant (€HT)])+SUMIF(Invest[Affectation matrice],$A49,Invest[Amortissement HT + intérêts]))*CJ49)</f>
        <v>0</v>
      </c>
      <c r="BK49" s="56">
        <f>IF($C49=Repart_lignes,0,
(SUMIF(Fonctionnement[Affectation matrice],$A49,Fonctionnement[Montant (€HT)])+SUMIF(Invest[Affectation matrice],$A49,Invest[Amortissement HT + intérêts]))*CK49)</f>
        <v>0</v>
      </c>
      <c r="BL49" s="56">
        <f>IF($C49=Repart_lignes,0,
(SUMIF(Fonctionnement[Affectation matrice],$A49,Fonctionnement[Montant (€HT)])+SUMIF(Invest[Affectation matrice],$A49,Invest[Amortissement HT + intérêts]))*CL49)</f>
        <v>0</v>
      </c>
      <c r="BM49" s="56">
        <f>IF($C49=Repart_lignes,0,
(SUMIF(Fonctionnement[Affectation matrice],$A49,Fonctionnement[Montant (€HT)])+SUMIF(Invest[Affectation matrice],$A49,Invest[Amortissement HT + intérêts]))*CM49)</f>
        <v>0</v>
      </c>
      <c r="BN49" s="56">
        <f>IF($C49=Repart_lignes,0,
(SUMIF(Fonctionnement[Affectation matrice],$A49,Fonctionnement[Montant (€HT)])+SUMIF(Invest[Affectation matrice],$A49,Invest[Amortissement HT + intérêts]))*CN49)</f>
        <v>0</v>
      </c>
      <c r="BO49" s="56">
        <f>IF($C49=Repart_lignes,0,
(SUMIF(Fonctionnement[Affectation matrice],$A49,Fonctionnement[Montant (€HT)])+SUMIF(Invest[Affectation matrice],$A49,Invest[Amortissement HT + intérêts]))*CO49)</f>
        <v>0</v>
      </c>
      <c r="BP49" s="56">
        <f>IF($C49=Repart_lignes,0,
(SUMIF(Fonctionnement[Affectation matrice],$A49,Fonctionnement[Montant (€HT)])+SUMIF(Invest[Affectation matrice],$A49,Invest[Amortissement HT + intérêts]))*CP49)</f>
        <v>0</v>
      </c>
      <c r="BQ49" s="56">
        <f>IF($C49=Repart_lignes,0,
(SUMIF(Fonctionnement[Affectation matrice],$A49,Fonctionnement[Montant (€HT)])+SUMIF(Invest[Affectation matrice],$A49,Invest[Amortissement HT + intérêts]))*CQ49)</f>
        <v>0</v>
      </c>
      <c r="BR49" s="56">
        <f>IF($C49=Repart_lignes,0,
(SUMIF(Fonctionnement[Affectation matrice],$A49,Fonctionnement[Montant (€HT)])+SUMIF(Invest[Affectation matrice],$A49,Invest[Amortissement HT + intérêts]))*CR49)</f>
        <v>0</v>
      </c>
      <c r="BS49" s="56">
        <f>IF($C49=Repart_lignes,0,
(SUMIF(Fonctionnement[Affectation matrice],$A49,Fonctionnement[Montant (€HT)])+SUMIF(Invest[Affectation matrice],$A49,Invest[Amortissement HT + intérêts]))*CS49)</f>
        <v>0</v>
      </c>
      <c r="BT49" s="56">
        <f>IF($C49=Repart_lignes,0,
(SUMIF(Fonctionnement[Affectation matrice],$A49,Fonctionnement[Montant (€HT)])+SUMIF(Invest[Affectation matrice],$A49,Invest[Amortissement HT + intérêts]))*CT49)</f>
        <v>0</v>
      </c>
      <c r="BU49" s="56">
        <f>IF($C49=Repart_lignes,0,
(SUMIF(Fonctionnement[Affectation matrice],$A49,Fonctionnement[Montant (€HT)])+SUMIF(Invest[Affectation matrice],$A49,Invest[Amortissement HT + intérêts]))*CU49)</f>
        <v>0</v>
      </c>
      <c r="BV49" s="56">
        <f>IF($C49=Repart_lignes,0,
(SUMIF(Fonctionnement[Affectation matrice],$A49,Fonctionnement[Montant (€HT)])+SUMIF(Invest[Affectation matrice],$A49,Invest[Amortissement HT + intérêts]))*CV49)</f>
        <v>0</v>
      </c>
      <c r="BW49" s="56">
        <f>IF($C49=Repart_lignes,0,
(SUMIF(Fonctionnement[Affectation matrice],$A49,Fonctionnement[Montant (€HT)])+SUMIF(Invest[Affectation matrice],$A49,Invest[Amortissement HT + intérêts]))*CW49)</f>
        <v>0</v>
      </c>
      <c r="BX49" s="56">
        <f>IF($C49=Repart_lignes,0,
(SUMIF(Fonctionnement[Affectation matrice],$A49,Fonctionnement[Montant (€HT)])+SUMIF(Invest[Affectation matrice],$A49,Invest[Amortissement HT + intérêts]))*CX49)</f>
        <v>0</v>
      </c>
      <c r="BY49" s="56">
        <f>IF($C49=Repart_lignes,0,
(SUMIF(Fonctionnement[Affectation matrice],$A49,Fonctionnement[Montant (€HT)])+SUMIF(Invest[Affectation matrice],$A49,Invest[Amortissement HT + intérêts]))*CY49)</f>
        <v>0</v>
      </c>
      <c r="BZ49" s="56">
        <f>IF($C49=Repart_lignes,0,
(SUMIF(Fonctionnement[Affectation matrice],$A49,Fonctionnement[Montant (€HT)])+SUMIF(Invest[Affectation matrice],$A49,Invest[Amortissement HT + intérêts]))*CZ49)</f>
        <v>0</v>
      </c>
      <c r="CA49" s="56">
        <f>IF($C49=Repart_lignes,0,
(SUMIF(Fonctionnement[Affectation matrice],$A49,Fonctionnement[Montant (€HT)])+SUMIF(Invest[Affectation matrice],$A49,Invest[Amortissement HT + intérêts]))*DA49)</f>
        <v>0</v>
      </c>
      <c r="CB49" s="56">
        <f>IF($C49=Repart_lignes,0,
(SUMIF(Fonctionnement[Affectation matrice],$A49,Fonctionnement[Montant (€HT)])+SUMIF(Invest[Affectation matrice],$A49,Invest[Amortissement HT + intérêts]))*DB49)</f>
        <v>0</v>
      </c>
      <c r="CC49" s="56">
        <f>IF($C49=Repart_lignes,0,
(SUMIF(Fonctionnement[Affectation matrice],$A49,Fonctionnement[Montant (€HT)])+SUMIF(Invest[Affectation matrice],$A49,Invest[Amortissement HT + intérêts]))*DC49)</f>
        <v>0</v>
      </c>
      <c r="CD49" s="56">
        <f>IF($C49=Repart_lignes,0,
(SUMIF(Fonctionnement[Affectation matrice],$A49,Fonctionnement[Montant (€HT)])+SUMIF(Invest[Affectation matrice],$A49,Invest[Amortissement HT + intérêts]))*DD49)</f>
        <v>0</v>
      </c>
      <c r="CE49" s="59">
        <f t="shared" si="33"/>
        <v>0</v>
      </c>
      <c r="CF49" s="61">
        <f t="shared" si="34"/>
        <v>0</v>
      </c>
      <c r="CG49" s="61">
        <f t="shared" si="35"/>
        <v>0</v>
      </c>
      <c r="CH49" s="61">
        <f t="shared" si="36"/>
        <v>0</v>
      </c>
      <c r="CI49" s="61">
        <f t="shared" si="37"/>
        <v>0</v>
      </c>
      <c r="CJ49" s="61">
        <f t="shared" si="38"/>
        <v>0</v>
      </c>
      <c r="CK49" s="61">
        <f t="shared" si="39"/>
        <v>0</v>
      </c>
      <c r="CL49" s="61">
        <f t="shared" si="40"/>
        <v>0</v>
      </c>
      <c r="CM49" s="61">
        <f t="shared" si="41"/>
        <v>0</v>
      </c>
      <c r="CN49" s="61">
        <f t="shared" si="42"/>
        <v>0</v>
      </c>
      <c r="CO49" s="61">
        <f t="shared" si="43"/>
        <v>0</v>
      </c>
      <c r="CP49" s="61">
        <f t="shared" si="44"/>
        <v>0</v>
      </c>
      <c r="CQ49" s="61">
        <f t="shared" si="45"/>
        <v>0</v>
      </c>
      <c r="CR49" s="61">
        <f t="shared" si="46"/>
        <v>0</v>
      </c>
      <c r="CS49" s="61">
        <f t="shared" si="47"/>
        <v>0</v>
      </c>
      <c r="CT49" s="61">
        <f t="shared" si="48"/>
        <v>0</v>
      </c>
      <c r="CU49" s="61">
        <f t="shared" si="49"/>
        <v>0</v>
      </c>
      <c r="CV49" s="61">
        <f t="shared" si="50"/>
        <v>0</v>
      </c>
      <c r="CW49" s="61">
        <f t="shared" si="51"/>
        <v>0</v>
      </c>
      <c r="CX49" s="61">
        <f t="shared" si="52"/>
        <v>0</v>
      </c>
      <c r="CY49" s="61">
        <f t="shared" si="53"/>
        <v>0</v>
      </c>
      <c r="CZ49" s="61">
        <f t="shared" si="54"/>
        <v>0</v>
      </c>
      <c r="DA49" s="61">
        <f t="shared" si="55"/>
        <v>0</v>
      </c>
      <c r="DB49" s="61">
        <f t="shared" si="56"/>
        <v>0</v>
      </c>
      <c r="DC49" s="61">
        <f t="shared" si="57"/>
        <v>0</v>
      </c>
      <c r="DD49" s="61">
        <f t="shared" si="58"/>
        <v>0</v>
      </c>
      <c r="DE49" s="61">
        <f t="shared" si="59"/>
        <v>0</v>
      </c>
    </row>
    <row r="50" spans="1:109" x14ac:dyDescent="0.25">
      <c r="A50" s="248"/>
      <c r="B50" s="248"/>
      <c r="C50" s="251"/>
      <c r="D50" s="25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1">
        <f t="shared" si="31"/>
        <v>0</v>
      </c>
      <c r="AE50" s="53" t="str">
        <f t="shared" ca="1" si="29"/>
        <v/>
      </c>
      <c r="AF50" s="56">
        <f>IF($C50=Repart_lignes,0,
(SUMIF(Fonctionnement[Affectation matrice],$A50,Fonctionnement[TVA acquittée])+SUMIF(Invest[Affectation matrice],$A50,Invest[TVA acquittée]))*CF50)</f>
        <v>0</v>
      </c>
      <c r="AG50" s="56">
        <f>IF($C50=Repart_lignes,0,
(SUMIF(Fonctionnement[Affectation matrice],$A50,Fonctionnement[TVA acquittée])+SUMIF(Invest[Affectation matrice],$A50,Invest[TVA acquittée]))*CG50)</f>
        <v>0</v>
      </c>
      <c r="AH50" s="56">
        <f>IF($C50=Repart_lignes,0,
(SUMIF(Fonctionnement[Affectation matrice],$A50,Fonctionnement[TVA acquittée])+SUMIF(Invest[Affectation matrice],$A50,Invest[TVA acquittée]))*CH50)</f>
        <v>0</v>
      </c>
      <c r="AI50" s="56">
        <f>IF($C50=Repart_lignes,0,
(SUMIF(Fonctionnement[Affectation matrice],$A50,Fonctionnement[TVA acquittée])+SUMIF(Invest[Affectation matrice],$A50,Invest[TVA acquittée]))*CI50)</f>
        <v>0</v>
      </c>
      <c r="AJ50" s="56">
        <f>IF($C50=Repart_lignes,0,
(SUMIF(Fonctionnement[Affectation matrice],$A50,Fonctionnement[TVA acquittée])+SUMIF(Invest[Affectation matrice],$A50,Invest[TVA acquittée]))*CJ50)</f>
        <v>0</v>
      </c>
      <c r="AK50" s="56">
        <f>IF($C50=Repart_lignes,0,
(SUMIF(Fonctionnement[Affectation matrice],$A50,Fonctionnement[TVA acquittée])+SUMIF(Invest[Affectation matrice],$A50,Invest[TVA acquittée]))*CK50)</f>
        <v>0</v>
      </c>
      <c r="AL50" s="56">
        <f>IF($C50=Repart_lignes,0,
(SUMIF(Fonctionnement[Affectation matrice],$A50,Fonctionnement[TVA acquittée])+SUMIF(Invest[Affectation matrice],$A50,Invest[TVA acquittée]))*CL50)</f>
        <v>0</v>
      </c>
      <c r="AM50" s="56">
        <f>IF($C50=Repart_lignes,0,
(SUMIF(Fonctionnement[Affectation matrice],$A50,Fonctionnement[TVA acquittée])+SUMIF(Invest[Affectation matrice],$A50,Invest[TVA acquittée]))*CM50)</f>
        <v>0</v>
      </c>
      <c r="AN50" s="56">
        <f>IF($C50=Repart_lignes,0,
(SUMIF(Fonctionnement[Affectation matrice],$A50,Fonctionnement[TVA acquittée])+SUMIF(Invest[Affectation matrice],$A50,Invest[TVA acquittée]))*CN50)</f>
        <v>0</v>
      </c>
      <c r="AO50" s="56">
        <f>IF($C50=Repart_lignes,0,
(SUMIF(Fonctionnement[Affectation matrice],$A50,Fonctionnement[TVA acquittée])+SUMIF(Invest[Affectation matrice],$A50,Invest[TVA acquittée]))*CO50)</f>
        <v>0</v>
      </c>
      <c r="AP50" s="56">
        <f>IF($C50=Repart_lignes,0,
(SUMIF(Fonctionnement[Affectation matrice],$A50,Fonctionnement[TVA acquittée])+SUMIF(Invest[Affectation matrice],$A50,Invest[TVA acquittée]))*CP50)</f>
        <v>0</v>
      </c>
      <c r="AQ50" s="56">
        <f>IF($C50=Repart_lignes,0,
(SUMIF(Fonctionnement[Affectation matrice],$A50,Fonctionnement[TVA acquittée])+SUMIF(Invest[Affectation matrice],$A50,Invest[TVA acquittée]))*CQ50)</f>
        <v>0</v>
      </c>
      <c r="AR50" s="56">
        <f>IF($C50=Repart_lignes,0,
(SUMIF(Fonctionnement[Affectation matrice],$A50,Fonctionnement[TVA acquittée])+SUMIF(Invest[Affectation matrice],$A50,Invest[TVA acquittée]))*CR50)</f>
        <v>0</v>
      </c>
      <c r="AS50" s="56">
        <f>IF($C50=Repart_lignes,0,
(SUMIF(Fonctionnement[Affectation matrice],$A50,Fonctionnement[TVA acquittée])+SUMIF(Invest[Affectation matrice],$A50,Invest[TVA acquittée]))*CS50)</f>
        <v>0</v>
      </c>
      <c r="AT50" s="56">
        <f>IF($C50=Repart_lignes,0,
(SUMIF(Fonctionnement[Affectation matrice],$A50,Fonctionnement[TVA acquittée])+SUMIF(Invest[Affectation matrice],$A50,Invest[TVA acquittée]))*CT50)</f>
        <v>0</v>
      </c>
      <c r="AU50" s="56">
        <f>IF($C50=Repart_lignes,0,
(SUMIF(Fonctionnement[Affectation matrice],$A50,Fonctionnement[TVA acquittée])+SUMIF(Invest[Affectation matrice],$A50,Invest[TVA acquittée]))*CU50)</f>
        <v>0</v>
      </c>
      <c r="AV50" s="56">
        <f>IF($C50=Repart_lignes,0,
(SUMIF(Fonctionnement[Affectation matrice],$A50,Fonctionnement[TVA acquittée])+SUMIF(Invest[Affectation matrice],$A50,Invest[TVA acquittée]))*CV50)</f>
        <v>0</v>
      </c>
      <c r="AW50" s="56">
        <f>IF($C50=Repart_lignes,0,
(SUMIF(Fonctionnement[Affectation matrice],$A50,Fonctionnement[TVA acquittée])+SUMIF(Invest[Affectation matrice],$A50,Invest[TVA acquittée]))*CW50)</f>
        <v>0</v>
      </c>
      <c r="AX50" s="56">
        <f>IF($C50=Repart_lignes,0,
(SUMIF(Fonctionnement[Affectation matrice],$A50,Fonctionnement[TVA acquittée])+SUMIF(Invest[Affectation matrice],$A50,Invest[TVA acquittée]))*CX50)</f>
        <v>0</v>
      </c>
      <c r="AY50" s="56">
        <f>IF($C50=Repart_lignes,0,
(SUMIF(Fonctionnement[Affectation matrice],$A50,Fonctionnement[TVA acquittée])+SUMIF(Invest[Affectation matrice],$A50,Invest[TVA acquittée]))*CY50)</f>
        <v>0</v>
      </c>
      <c r="AZ50" s="56">
        <f>IF($C50=Repart_lignes,0,
(SUMIF(Fonctionnement[Affectation matrice],$A50,Fonctionnement[TVA acquittée])+SUMIF(Invest[Affectation matrice],$A50,Invest[TVA acquittée]))*CZ50)</f>
        <v>0</v>
      </c>
      <c r="BA50" s="56">
        <f>IF($C50=Repart_lignes,0,
(SUMIF(Fonctionnement[Affectation matrice],$A50,Fonctionnement[TVA acquittée])+SUMIF(Invest[Affectation matrice],$A50,Invest[TVA acquittée]))*DA50)</f>
        <v>0</v>
      </c>
      <c r="BB50" s="56">
        <f>IF($C50=Repart_lignes,0,
(SUMIF(Fonctionnement[Affectation matrice],$A50,Fonctionnement[TVA acquittée])+SUMIF(Invest[Affectation matrice],$A50,Invest[TVA acquittée]))*DB50)</f>
        <v>0</v>
      </c>
      <c r="BC50" s="56">
        <f>IF($C50=Repart_lignes,0,
(SUMIF(Fonctionnement[Affectation matrice],$A50,Fonctionnement[TVA acquittée])+SUMIF(Invest[Affectation matrice],$A50,Invest[TVA acquittée]))*DC50)</f>
        <v>0</v>
      </c>
      <c r="BD50" s="56">
        <f>IF($C50=Repart_lignes,0,
(SUMIF(Fonctionnement[Affectation matrice],$A50,Fonctionnement[TVA acquittée])+SUMIF(Invest[Affectation matrice],$A50,Invest[TVA acquittée]))*DD50)</f>
        <v>0</v>
      </c>
      <c r="BE50" s="58">
        <f t="shared" si="32"/>
        <v>0</v>
      </c>
      <c r="BF50" s="56">
        <f>IF($C50=Repart_lignes,0,
(SUMIF(Fonctionnement[Affectation matrice],$A50,Fonctionnement[Montant (€HT)])+SUMIF(Invest[Affectation matrice],$A50,Invest[Amortissement HT + intérêts]))*CF50)</f>
        <v>0</v>
      </c>
      <c r="BG50" s="56">
        <f>IF($C50=Repart_lignes,0,
(SUMIF(Fonctionnement[Affectation matrice],$A50,Fonctionnement[Montant (€HT)])+SUMIF(Invest[Affectation matrice],$A50,Invest[Amortissement HT + intérêts]))*CG50)</f>
        <v>0</v>
      </c>
      <c r="BH50" s="56">
        <f>IF($C50=Repart_lignes,0,
(SUMIF(Fonctionnement[Affectation matrice],$A50,Fonctionnement[Montant (€HT)])+SUMIF(Invest[Affectation matrice],$A50,Invest[Amortissement HT + intérêts]))*CH50)</f>
        <v>0</v>
      </c>
      <c r="BI50" s="56">
        <f>IF($C50=Repart_lignes,0,
(SUMIF(Fonctionnement[Affectation matrice],$A50,Fonctionnement[Montant (€HT)])+SUMIF(Invest[Affectation matrice],$A50,Invest[Amortissement HT + intérêts]))*CI50)</f>
        <v>0</v>
      </c>
      <c r="BJ50" s="56">
        <f>IF($C50=Repart_lignes,0,
(SUMIF(Fonctionnement[Affectation matrice],$A50,Fonctionnement[Montant (€HT)])+SUMIF(Invest[Affectation matrice],$A50,Invest[Amortissement HT + intérêts]))*CJ50)</f>
        <v>0</v>
      </c>
      <c r="BK50" s="56">
        <f>IF($C50=Repart_lignes,0,
(SUMIF(Fonctionnement[Affectation matrice],$A50,Fonctionnement[Montant (€HT)])+SUMIF(Invest[Affectation matrice],$A50,Invest[Amortissement HT + intérêts]))*CK50)</f>
        <v>0</v>
      </c>
      <c r="BL50" s="56">
        <f>IF($C50=Repart_lignes,0,
(SUMIF(Fonctionnement[Affectation matrice],$A50,Fonctionnement[Montant (€HT)])+SUMIF(Invest[Affectation matrice],$A50,Invest[Amortissement HT + intérêts]))*CL50)</f>
        <v>0</v>
      </c>
      <c r="BM50" s="56">
        <f>IF($C50=Repart_lignes,0,
(SUMIF(Fonctionnement[Affectation matrice],$A50,Fonctionnement[Montant (€HT)])+SUMIF(Invest[Affectation matrice],$A50,Invest[Amortissement HT + intérêts]))*CM50)</f>
        <v>0</v>
      </c>
      <c r="BN50" s="56">
        <f>IF($C50=Repart_lignes,0,
(SUMIF(Fonctionnement[Affectation matrice],$A50,Fonctionnement[Montant (€HT)])+SUMIF(Invest[Affectation matrice],$A50,Invest[Amortissement HT + intérêts]))*CN50)</f>
        <v>0</v>
      </c>
      <c r="BO50" s="56">
        <f>IF($C50=Repart_lignes,0,
(SUMIF(Fonctionnement[Affectation matrice],$A50,Fonctionnement[Montant (€HT)])+SUMIF(Invest[Affectation matrice],$A50,Invest[Amortissement HT + intérêts]))*CO50)</f>
        <v>0</v>
      </c>
      <c r="BP50" s="56">
        <f>IF($C50=Repart_lignes,0,
(SUMIF(Fonctionnement[Affectation matrice],$A50,Fonctionnement[Montant (€HT)])+SUMIF(Invest[Affectation matrice],$A50,Invest[Amortissement HT + intérêts]))*CP50)</f>
        <v>0</v>
      </c>
      <c r="BQ50" s="56">
        <f>IF($C50=Repart_lignes,0,
(SUMIF(Fonctionnement[Affectation matrice],$A50,Fonctionnement[Montant (€HT)])+SUMIF(Invest[Affectation matrice],$A50,Invest[Amortissement HT + intérêts]))*CQ50)</f>
        <v>0</v>
      </c>
      <c r="BR50" s="56">
        <f>IF($C50=Repart_lignes,0,
(SUMIF(Fonctionnement[Affectation matrice],$A50,Fonctionnement[Montant (€HT)])+SUMIF(Invest[Affectation matrice],$A50,Invest[Amortissement HT + intérêts]))*CR50)</f>
        <v>0</v>
      </c>
      <c r="BS50" s="56">
        <f>IF($C50=Repart_lignes,0,
(SUMIF(Fonctionnement[Affectation matrice],$A50,Fonctionnement[Montant (€HT)])+SUMIF(Invest[Affectation matrice],$A50,Invest[Amortissement HT + intérêts]))*CS50)</f>
        <v>0</v>
      </c>
      <c r="BT50" s="56">
        <f>IF($C50=Repart_lignes,0,
(SUMIF(Fonctionnement[Affectation matrice],$A50,Fonctionnement[Montant (€HT)])+SUMIF(Invest[Affectation matrice],$A50,Invest[Amortissement HT + intérêts]))*CT50)</f>
        <v>0</v>
      </c>
      <c r="BU50" s="56">
        <f>IF($C50=Repart_lignes,0,
(SUMIF(Fonctionnement[Affectation matrice],$A50,Fonctionnement[Montant (€HT)])+SUMIF(Invest[Affectation matrice],$A50,Invest[Amortissement HT + intérêts]))*CU50)</f>
        <v>0</v>
      </c>
      <c r="BV50" s="56">
        <f>IF($C50=Repart_lignes,0,
(SUMIF(Fonctionnement[Affectation matrice],$A50,Fonctionnement[Montant (€HT)])+SUMIF(Invest[Affectation matrice],$A50,Invest[Amortissement HT + intérêts]))*CV50)</f>
        <v>0</v>
      </c>
      <c r="BW50" s="56">
        <f>IF($C50=Repart_lignes,0,
(SUMIF(Fonctionnement[Affectation matrice],$A50,Fonctionnement[Montant (€HT)])+SUMIF(Invest[Affectation matrice],$A50,Invest[Amortissement HT + intérêts]))*CW50)</f>
        <v>0</v>
      </c>
      <c r="BX50" s="56">
        <f>IF($C50=Repart_lignes,0,
(SUMIF(Fonctionnement[Affectation matrice],$A50,Fonctionnement[Montant (€HT)])+SUMIF(Invest[Affectation matrice],$A50,Invest[Amortissement HT + intérêts]))*CX50)</f>
        <v>0</v>
      </c>
      <c r="BY50" s="56">
        <f>IF($C50=Repart_lignes,0,
(SUMIF(Fonctionnement[Affectation matrice],$A50,Fonctionnement[Montant (€HT)])+SUMIF(Invest[Affectation matrice],$A50,Invest[Amortissement HT + intérêts]))*CY50)</f>
        <v>0</v>
      </c>
      <c r="BZ50" s="56">
        <f>IF($C50=Repart_lignes,0,
(SUMIF(Fonctionnement[Affectation matrice],$A50,Fonctionnement[Montant (€HT)])+SUMIF(Invest[Affectation matrice],$A50,Invest[Amortissement HT + intérêts]))*CZ50)</f>
        <v>0</v>
      </c>
      <c r="CA50" s="56">
        <f>IF($C50=Repart_lignes,0,
(SUMIF(Fonctionnement[Affectation matrice],$A50,Fonctionnement[Montant (€HT)])+SUMIF(Invest[Affectation matrice],$A50,Invest[Amortissement HT + intérêts]))*DA50)</f>
        <v>0</v>
      </c>
      <c r="CB50" s="56">
        <f>IF($C50=Repart_lignes,0,
(SUMIF(Fonctionnement[Affectation matrice],$A50,Fonctionnement[Montant (€HT)])+SUMIF(Invest[Affectation matrice],$A50,Invest[Amortissement HT + intérêts]))*DB50)</f>
        <v>0</v>
      </c>
      <c r="CC50" s="56">
        <f>IF($C50=Repart_lignes,0,
(SUMIF(Fonctionnement[Affectation matrice],$A50,Fonctionnement[Montant (€HT)])+SUMIF(Invest[Affectation matrice],$A50,Invest[Amortissement HT + intérêts]))*DC50)</f>
        <v>0</v>
      </c>
      <c r="CD50" s="56">
        <f>IF($C50=Repart_lignes,0,
(SUMIF(Fonctionnement[Affectation matrice],$A50,Fonctionnement[Montant (€HT)])+SUMIF(Invest[Affectation matrice],$A50,Invest[Amortissement HT + intérêts]))*DD50)</f>
        <v>0</v>
      </c>
      <c r="CE50" s="59">
        <f t="shared" si="33"/>
        <v>0</v>
      </c>
      <c r="CF50" s="61">
        <f t="shared" si="34"/>
        <v>0</v>
      </c>
      <c r="CG50" s="61">
        <f t="shared" si="35"/>
        <v>0</v>
      </c>
      <c r="CH50" s="61">
        <f t="shared" si="36"/>
        <v>0</v>
      </c>
      <c r="CI50" s="61">
        <f t="shared" si="37"/>
        <v>0</v>
      </c>
      <c r="CJ50" s="61">
        <f t="shared" si="38"/>
        <v>0</v>
      </c>
      <c r="CK50" s="61">
        <f t="shared" si="39"/>
        <v>0</v>
      </c>
      <c r="CL50" s="61">
        <f t="shared" si="40"/>
        <v>0</v>
      </c>
      <c r="CM50" s="61">
        <f t="shared" si="41"/>
        <v>0</v>
      </c>
      <c r="CN50" s="61">
        <f t="shared" si="42"/>
        <v>0</v>
      </c>
      <c r="CO50" s="61">
        <f t="shared" si="43"/>
        <v>0</v>
      </c>
      <c r="CP50" s="61">
        <f t="shared" si="44"/>
        <v>0</v>
      </c>
      <c r="CQ50" s="61">
        <f t="shared" si="45"/>
        <v>0</v>
      </c>
      <c r="CR50" s="61">
        <f t="shared" si="46"/>
        <v>0</v>
      </c>
      <c r="CS50" s="61">
        <f t="shared" si="47"/>
        <v>0</v>
      </c>
      <c r="CT50" s="61">
        <f t="shared" si="48"/>
        <v>0</v>
      </c>
      <c r="CU50" s="61">
        <f t="shared" si="49"/>
        <v>0</v>
      </c>
      <c r="CV50" s="61">
        <f t="shared" si="50"/>
        <v>0</v>
      </c>
      <c r="CW50" s="61">
        <f t="shared" si="51"/>
        <v>0</v>
      </c>
      <c r="CX50" s="61">
        <f t="shared" si="52"/>
        <v>0</v>
      </c>
      <c r="CY50" s="61">
        <f t="shared" si="53"/>
        <v>0</v>
      </c>
      <c r="CZ50" s="61">
        <f t="shared" si="54"/>
        <v>0</v>
      </c>
      <c r="DA50" s="61">
        <f t="shared" si="55"/>
        <v>0</v>
      </c>
      <c r="DB50" s="61">
        <f t="shared" si="56"/>
        <v>0</v>
      </c>
      <c r="DC50" s="61">
        <f t="shared" si="57"/>
        <v>0</v>
      </c>
      <c r="DD50" s="61">
        <f t="shared" si="58"/>
        <v>0</v>
      </c>
      <c r="DE50" s="61">
        <f t="shared" si="59"/>
        <v>0</v>
      </c>
    </row>
    <row r="51" spans="1:109" x14ac:dyDescent="0.25">
      <c r="A51" s="248"/>
      <c r="B51" s="248"/>
      <c r="C51" s="251"/>
      <c r="D51" s="25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1">
        <f t="shared" si="31"/>
        <v>0</v>
      </c>
      <c r="AE51" s="53" t="str">
        <f t="shared" ca="1" si="29"/>
        <v/>
      </c>
      <c r="AF51" s="56">
        <f>IF($C51=Repart_lignes,0,
(SUMIF(Fonctionnement[Affectation matrice],$A51,Fonctionnement[TVA acquittée])+SUMIF(Invest[Affectation matrice],$A51,Invest[TVA acquittée]))*CF51)</f>
        <v>0</v>
      </c>
      <c r="AG51" s="56">
        <f>IF($C51=Repart_lignes,0,
(SUMIF(Fonctionnement[Affectation matrice],$A51,Fonctionnement[TVA acquittée])+SUMIF(Invest[Affectation matrice],$A51,Invest[TVA acquittée]))*CG51)</f>
        <v>0</v>
      </c>
      <c r="AH51" s="56">
        <f>IF($C51=Repart_lignes,0,
(SUMIF(Fonctionnement[Affectation matrice],$A51,Fonctionnement[TVA acquittée])+SUMIF(Invest[Affectation matrice],$A51,Invest[TVA acquittée]))*CH51)</f>
        <v>0</v>
      </c>
      <c r="AI51" s="56">
        <f>IF($C51=Repart_lignes,0,
(SUMIF(Fonctionnement[Affectation matrice],$A51,Fonctionnement[TVA acquittée])+SUMIF(Invest[Affectation matrice],$A51,Invest[TVA acquittée]))*CI51)</f>
        <v>0</v>
      </c>
      <c r="AJ51" s="56">
        <f>IF($C51=Repart_lignes,0,
(SUMIF(Fonctionnement[Affectation matrice],$A51,Fonctionnement[TVA acquittée])+SUMIF(Invest[Affectation matrice],$A51,Invest[TVA acquittée]))*CJ51)</f>
        <v>0</v>
      </c>
      <c r="AK51" s="56">
        <f>IF($C51=Repart_lignes,0,
(SUMIF(Fonctionnement[Affectation matrice],$A51,Fonctionnement[TVA acquittée])+SUMIF(Invest[Affectation matrice],$A51,Invest[TVA acquittée]))*CK51)</f>
        <v>0</v>
      </c>
      <c r="AL51" s="56">
        <f>IF($C51=Repart_lignes,0,
(SUMIF(Fonctionnement[Affectation matrice],$A51,Fonctionnement[TVA acquittée])+SUMIF(Invest[Affectation matrice],$A51,Invest[TVA acquittée]))*CL51)</f>
        <v>0</v>
      </c>
      <c r="AM51" s="56">
        <f>IF($C51=Repart_lignes,0,
(SUMIF(Fonctionnement[Affectation matrice],$A51,Fonctionnement[TVA acquittée])+SUMIF(Invest[Affectation matrice],$A51,Invest[TVA acquittée]))*CM51)</f>
        <v>0</v>
      </c>
      <c r="AN51" s="56">
        <f>IF($C51=Repart_lignes,0,
(SUMIF(Fonctionnement[Affectation matrice],$A51,Fonctionnement[TVA acquittée])+SUMIF(Invest[Affectation matrice],$A51,Invest[TVA acquittée]))*CN51)</f>
        <v>0</v>
      </c>
      <c r="AO51" s="56">
        <f>IF($C51=Repart_lignes,0,
(SUMIF(Fonctionnement[Affectation matrice],$A51,Fonctionnement[TVA acquittée])+SUMIF(Invest[Affectation matrice],$A51,Invest[TVA acquittée]))*CO51)</f>
        <v>0</v>
      </c>
      <c r="AP51" s="56">
        <f>IF($C51=Repart_lignes,0,
(SUMIF(Fonctionnement[Affectation matrice],$A51,Fonctionnement[TVA acquittée])+SUMIF(Invest[Affectation matrice],$A51,Invest[TVA acquittée]))*CP51)</f>
        <v>0</v>
      </c>
      <c r="AQ51" s="56">
        <f>IF($C51=Repart_lignes,0,
(SUMIF(Fonctionnement[Affectation matrice],$A51,Fonctionnement[TVA acquittée])+SUMIF(Invest[Affectation matrice],$A51,Invest[TVA acquittée]))*CQ51)</f>
        <v>0</v>
      </c>
      <c r="AR51" s="56">
        <f>IF($C51=Repart_lignes,0,
(SUMIF(Fonctionnement[Affectation matrice],$A51,Fonctionnement[TVA acquittée])+SUMIF(Invest[Affectation matrice],$A51,Invest[TVA acquittée]))*CR51)</f>
        <v>0</v>
      </c>
      <c r="AS51" s="56">
        <f>IF($C51=Repart_lignes,0,
(SUMIF(Fonctionnement[Affectation matrice],$A51,Fonctionnement[TVA acquittée])+SUMIF(Invest[Affectation matrice],$A51,Invest[TVA acquittée]))*CS51)</f>
        <v>0</v>
      </c>
      <c r="AT51" s="56">
        <f>IF($C51=Repart_lignes,0,
(SUMIF(Fonctionnement[Affectation matrice],$A51,Fonctionnement[TVA acquittée])+SUMIF(Invest[Affectation matrice],$A51,Invest[TVA acquittée]))*CT51)</f>
        <v>0</v>
      </c>
      <c r="AU51" s="56">
        <f>IF($C51=Repart_lignes,0,
(SUMIF(Fonctionnement[Affectation matrice],$A51,Fonctionnement[TVA acquittée])+SUMIF(Invest[Affectation matrice],$A51,Invest[TVA acquittée]))*CU51)</f>
        <v>0</v>
      </c>
      <c r="AV51" s="56">
        <f>IF($C51=Repart_lignes,0,
(SUMIF(Fonctionnement[Affectation matrice],$A51,Fonctionnement[TVA acquittée])+SUMIF(Invest[Affectation matrice],$A51,Invest[TVA acquittée]))*CV51)</f>
        <v>0</v>
      </c>
      <c r="AW51" s="56">
        <f>IF($C51=Repart_lignes,0,
(SUMIF(Fonctionnement[Affectation matrice],$A51,Fonctionnement[TVA acquittée])+SUMIF(Invest[Affectation matrice],$A51,Invest[TVA acquittée]))*CW51)</f>
        <v>0</v>
      </c>
      <c r="AX51" s="56">
        <f>IF($C51=Repart_lignes,0,
(SUMIF(Fonctionnement[Affectation matrice],$A51,Fonctionnement[TVA acquittée])+SUMIF(Invest[Affectation matrice],$A51,Invest[TVA acquittée]))*CX51)</f>
        <v>0</v>
      </c>
      <c r="AY51" s="56">
        <f>IF($C51=Repart_lignes,0,
(SUMIF(Fonctionnement[Affectation matrice],$A51,Fonctionnement[TVA acquittée])+SUMIF(Invest[Affectation matrice],$A51,Invest[TVA acquittée]))*CY51)</f>
        <v>0</v>
      </c>
      <c r="AZ51" s="56">
        <f>IF($C51=Repart_lignes,0,
(SUMIF(Fonctionnement[Affectation matrice],$A51,Fonctionnement[TVA acquittée])+SUMIF(Invest[Affectation matrice],$A51,Invest[TVA acquittée]))*CZ51)</f>
        <v>0</v>
      </c>
      <c r="BA51" s="56">
        <f>IF($C51=Repart_lignes,0,
(SUMIF(Fonctionnement[Affectation matrice],$A51,Fonctionnement[TVA acquittée])+SUMIF(Invest[Affectation matrice],$A51,Invest[TVA acquittée]))*DA51)</f>
        <v>0</v>
      </c>
      <c r="BB51" s="56">
        <f>IF($C51=Repart_lignes,0,
(SUMIF(Fonctionnement[Affectation matrice],$A51,Fonctionnement[TVA acquittée])+SUMIF(Invest[Affectation matrice],$A51,Invest[TVA acquittée]))*DB51)</f>
        <v>0</v>
      </c>
      <c r="BC51" s="56">
        <f>IF($C51=Repart_lignes,0,
(SUMIF(Fonctionnement[Affectation matrice],$A51,Fonctionnement[TVA acquittée])+SUMIF(Invest[Affectation matrice],$A51,Invest[TVA acquittée]))*DC51)</f>
        <v>0</v>
      </c>
      <c r="BD51" s="56">
        <f>IF($C51=Repart_lignes,0,
(SUMIF(Fonctionnement[Affectation matrice],$A51,Fonctionnement[TVA acquittée])+SUMIF(Invest[Affectation matrice],$A51,Invest[TVA acquittée]))*DD51)</f>
        <v>0</v>
      </c>
      <c r="BE51" s="58">
        <f t="shared" si="32"/>
        <v>0</v>
      </c>
      <c r="BF51" s="56">
        <f>IF($C51=Repart_lignes,0,
(SUMIF(Fonctionnement[Affectation matrice],$A51,Fonctionnement[Montant (€HT)])+SUMIF(Invest[Affectation matrice],$A51,Invest[Amortissement HT + intérêts]))*CF51)</f>
        <v>0</v>
      </c>
      <c r="BG51" s="56">
        <f>IF($C51=Repart_lignes,0,
(SUMIF(Fonctionnement[Affectation matrice],$A51,Fonctionnement[Montant (€HT)])+SUMIF(Invest[Affectation matrice],$A51,Invest[Amortissement HT + intérêts]))*CG51)</f>
        <v>0</v>
      </c>
      <c r="BH51" s="56">
        <f>IF($C51=Repart_lignes,0,
(SUMIF(Fonctionnement[Affectation matrice],$A51,Fonctionnement[Montant (€HT)])+SUMIF(Invest[Affectation matrice],$A51,Invest[Amortissement HT + intérêts]))*CH51)</f>
        <v>0</v>
      </c>
      <c r="BI51" s="56">
        <f>IF($C51=Repart_lignes,0,
(SUMIF(Fonctionnement[Affectation matrice],$A51,Fonctionnement[Montant (€HT)])+SUMIF(Invest[Affectation matrice],$A51,Invest[Amortissement HT + intérêts]))*CI51)</f>
        <v>0</v>
      </c>
      <c r="BJ51" s="56">
        <f>IF($C51=Repart_lignes,0,
(SUMIF(Fonctionnement[Affectation matrice],$A51,Fonctionnement[Montant (€HT)])+SUMIF(Invest[Affectation matrice],$A51,Invest[Amortissement HT + intérêts]))*CJ51)</f>
        <v>0</v>
      </c>
      <c r="BK51" s="56">
        <f>IF($C51=Repart_lignes,0,
(SUMIF(Fonctionnement[Affectation matrice],$A51,Fonctionnement[Montant (€HT)])+SUMIF(Invest[Affectation matrice],$A51,Invest[Amortissement HT + intérêts]))*CK51)</f>
        <v>0</v>
      </c>
      <c r="BL51" s="56">
        <f>IF($C51=Repart_lignes,0,
(SUMIF(Fonctionnement[Affectation matrice],$A51,Fonctionnement[Montant (€HT)])+SUMIF(Invest[Affectation matrice],$A51,Invest[Amortissement HT + intérêts]))*CL51)</f>
        <v>0</v>
      </c>
      <c r="BM51" s="56">
        <f>IF($C51=Repart_lignes,0,
(SUMIF(Fonctionnement[Affectation matrice],$A51,Fonctionnement[Montant (€HT)])+SUMIF(Invest[Affectation matrice],$A51,Invest[Amortissement HT + intérêts]))*CM51)</f>
        <v>0</v>
      </c>
      <c r="BN51" s="56">
        <f>IF($C51=Repart_lignes,0,
(SUMIF(Fonctionnement[Affectation matrice],$A51,Fonctionnement[Montant (€HT)])+SUMIF(Invest[Affectation matrice],$A51,Invest[Amortissement HT + intérêts]))*CN51)</f>
        <v>0</v>
      </c>
      <c r="BO51" s="56">
        <f>IF($C51=Repart_lignes,0,
(SUMIF(Fonctionnement[Affectation matrice],$A51,Fonctionnement[Montant (€HT)])+SUMIF(Invest[Affectation matrice],$A51,Invest[Amortissement HT + intérêts]))*CO51)</f>
        <v>0</v>
      </c>
      <c r="BP51" s="56">
        <f>IF($C51=Repart_lignes,0,
(SUMIF(Fonctionnement[Affectation matrice],$A51,Fonctionnement[Montant (€HT)])+SUMIF(Invest[Affectation matrice],$A51,Invest[Amortissement HT + intérêts]))*CP51)</f>
        <v>0</v>
      </c>
      <c r="BQ51" s="56">
        <f>IF($C51=Repart_lignes,0,
(SUMIF(Fonctionnement[Affectation matrice],$A51,Fonctionnement[Montant (€HT)])+SUMIF(Invest[Affectation matrice],$A51,Invest[Amortissement HT + intérêts]))*CQ51)</f>
        <v>0</v>
      </c>
      <c r="BR51" s="56">
        <f>IF($C51=Repart_lignes,0,
(SUMIF(Fonctionnement[Affectation matrice],$A51,Fonctionnement[Montant (€HT)])+SUMIF(Invest[Affectation matrice],$A51,Invest[Amortissement HT + intérêts]))*CR51)</f>
        <v>0</v>
      </c>
      <c r="BS51" s="56">
        <f>IF($C51=Repart_lignes,0,
(SUMIF(Fonctionnement[Affectation matrice],$A51,Fonctionnement[Montant (€HT)])+SUMIF(Invest[Affectation matrice],$A51,Invest[Amortissement HT + intérêts]))*CS51)</f>
        <v>0</v>
      </c>
      <c r="BT51" s="56">
        <f>IF($C51=Repart_lignes,0,
(SUMIF(Fonctionnement[Affectation matrice],$A51,Fonctionnement[Montant (€HT)])+SUMIF(Invest[Affectation matrice],$A51,Invest[Amortissement HT + intérêts]))*CT51)</f>
        <v>0</v>
      </c>
      <c r="BU51" s="56">
        <f>IF($C51=Repart_lignes,0,
(SUMIF(Fonctionnement[Affectation matrice],$A51,Fonctionnement[Montant (€HT)])+SUMIF(Invest[Affectation matrice],$A51,Invest[Amortissement HT + intérêts]))*CU51)</f>
        <v>0</v>
      </c>
      <c r="BV51" s="56">
        <f>IF($C51=Repart_lignes,0,
(SUMIF(Fonctionnement[Affectation matrice],$A51,Fonctionnement[Montant (€HT)])+SUMIF(Invest[Affectation matrice],$A51,Invest[Amortissement HT + intérêts]))*CV51)</f>
        <v>0</v>
      </c>
      <c r="BW51" s="56">
        <f>IF($C51=Repart_lignes,0,
(SUMIF(Fonctionnement[Affectation matrice],$A51,Fonctionnement[Montant (€HT)])+SUMIF(Invest[Affectation matrice],$A51,Invest[Amortissement HT + intérêts]))*CW51)</f>
        <v>0</v>
      </c>
      <c r="BX51" s="56">
        <f>IF($C51=Repart_lignes,0,
(SUMIF(Fonctionnement[Affectation matrice],$A51,Fonctionnement[Montant (€HT)])+SUMIF(Invest[Affectation matrice],$A51,Invest[Amortissement HT + intérêts]))*CX51)</f>
        <v>0</v>
      </c>
      <c r="BY51" s="56">
        <f>IF($C51=Repart_lignes,0,
(SUMIF(Fonctionnement[Affectation matrice],$A51,Fonctionnement[Montant (€HT)])+SUMIF(Invest[Affectation matrice],$A51,Invest[Amortissement HT + intérêts]))*CY51)</f>
        <v>0</v>
      </c>
      <c r="BZ51" s="56">
        <f>IF($C51=Repart_lignes,0,
(SUMIF(Fonctionnement[Affectation matrice],$A51,Fonctionnement[Montant (€HT)])+SUMIF(Invest[Affectation matrice],$A51,Invest[Amortissement HT + intérêts]))*CZ51)</f>
        <v>0</v>
      </c>
      <c r="CA51" s="56">
        <f>IF($C51=Repart_lignes,0,
(SUMIF(Fonctionnement[Affectation matrice],$A51,Fonctionnement[Montant (€HT)])+SUMIF(Invest[Affectation matrice],$A51,Invest[Amortissement HT + intérêts]))*DA51)</f>
        <v>0</v>
      </c>
      <c r="CB51" s="56">
        <f>IF($C51=Repart_lignes,0,
(SUMIF(Fonctionnement[Affectation matrice],$A51,Fonctionnement[Montant (€HT)])+SUMIF(Invest[Affectation matrice],$A51,Invest[Amortissement HT + intérêts]))*DB51)</f>
        <v>0</v>
      </c>
      <c r="CC51" s="56">
        <f>IF($C51=Repart_lignes,0,
(SUMIF(Fonctionnement[Affectation matrice],$A51,Fonctionnement[Montant (€HT)])+SUMIF(Invest[Affectation matrice],$A51,Invest[Amortissement HT + intérêts]))*DC51)</f>
        <v>0</v>
      </c>
      <c r="CD51" s="56">
        <f>IF($C51=Repart_lignes,0,
(SUMIF(Fonctionnement[Affectation matrice],$A51,Fonctionnement[Montant (€HT)])+SUMIF(Invest[Affectation matrice],$A51,Invest[Amortissement HT + intérêts]))*DD51)</f>
        <v>0</v>
      </c>
      <c r="CE51" s="59">
        <f t="shared" si="33"/>
        <v>0</v>
      </c>
      <c r="CF51" s="61">
        <f t="shared" si="34"/>
        <v>0</v>
      </c>
      <c r="CG51" s="61">
        <f t="shared" si="35"/>
        <v>0</v>
      </c>
      <c r="CH51" s="61">
        <f t="shared" si="36"/>
        <v>0</v>
      </c>
      <c r="CI51" s="61">
        <f t="shared" si="37"/>
        <v>0</v>
      </c>
      <c r="CJ51" s="61">
        <f t="shared" si="38"/>
        <v>0</v>
      </c>
      <c r="CK51" s="61">
        <f t="shared" si="39"/>
        <v>0</v>
      </c>
      <c r="CL51" s="61">
        <f t="shared" si="40"/>
        <v>0</v>
      </c>
      <c r="CM51" s="61">
        <f t="shared" si="41"/>
        <v>0</v>
      </c>
      <c r="CN51" s="61">
        <f t="shared" si="42"/>
        <v>0</v>
      </c>
      <c r="CO51" s="61">
        <f t="shared" si="43"/>
        <v>0</v>
      </c>
      <c r="CP51" s="61">
        <f t="shared" si="44"/>
        <v>0</v>
      </c>
      <c r="CQ51" s="61">
        <f t="shared" si="45"/>
        <v>0</v>
      </c>
      <c r="CR51" s="61">
        <f t="shared" si="46"/>
        <v>0</v>
      </c>
      <c r="CS51" s="61">
        <f t="shared" si="47"/>
        <v>0</v>
      </c>
      <c r="CT51" s="61">
        <f t="shared" si="48"/>
        <v>0</v>
      </c>
      <c r="CU51" s="61">
        <f t="shared" si="49"/>
        <v>0</v>
      </c>
      <c r="CV51" s="61">
        <f t="shared" si="50"/>
        <v>0</v>
      </c>
      <c r="CW51" s="61">
        <f t="shared" si="51"/>
        <v>0</v>
      </c>
      <c r="CX51" s="61">
        <f t="shared" si="52"/>
        <v>0</v>
      </c>
      <c r="CY51" s="61">
        <f t="shared" si="53"/>
        <v>0</v>
      </c>
      <c r="CZ51" s="61">
        <f t="shared" si="54"/>
        <v>0</v>
      </c>
      <c r="DA51" s="61">
        <f t="shared" si="55"/>
        <v>0</v>
      </c>
      <c r="DB51" s="61">
        <f t="shared" si="56"/>
        <v>0</v>
      </c>
      <c r="DC51" s="61">
        <f t="shared" si="57"/>
        <v>0</v>
      </c>
      <c r="DD51" s="61">
        <f t="shared" si="58"/>
        <v>0</v>
      </c>
      <c r="DE51" s="61">
        <f t="shared" si="59"/>
        <v>0</v>
      </c>
    </row>
    <row r="52" spans="1:109" x14ac:dyDescent="0.25">
      <c r="A52" s="248"/>
      <c r="B52" s="248"/>
      <c r="C52" s="251"/>
      <c r="D52" s="25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1">
        <f t="shared" si="31"/>
        <v>0</v>
      </c>
      <c r="AE52" s="53" t="str">
        <f t="shared" ca="1" si="29"/>
        <v/>
      </c>
      <c r="AF52" s="56">
        <f>IF($C52=Repart_lignes,0,
(SUMIF(Fonctionnement[Affectation matrice],$A52,Fonctionnement[TVA acquittée])+SUMIF(Invest[Affectation matrice],$A52,Invest[TVA acquittée]))*CF52)</f>
        <v>0</v>
      </c>
      <c r="AG52" s="56">
        <f>IF($C52=Repart_lignes,0,
(SUMIF(Fonctionnement[Affectation matrice],$A52,Fonctionnement[TVA acquittée])+SUMIF(Invest[Affectation matrice],$A52,Invest[TVA acquittée]))*CG52)</f>
        <v>0</v>
      </c>
      <c r="AH52" s="56">
        <f>IF($C52=Repart_lignes,0,
(SUMIF(Fonctionnement[Affectation matrice],$A52,Fonctionnement[TVA acquittée])+SUMIF(Invest[Affectation matrice],$A52,Invest[TVA acquittée]))*CH52)</f>
        <v>0</v>
      </c>
      <c r="AI52" s="56">
        <f>IF($C52=Repart_lignes,0,
(SUMIF(Fonctionnement[Affectation matrice],$A52,Fonctionnement[TVA acquittée])+SUMIF(Invest[Affectation matrice],$A52,Invest[TVA acquittée]))*CI52)</f>
        <v>0</v>
      </c>
      <c r="AJ52" s="56">
        <f>IF($C52=Repart_lignes,0,
(SUMIF(Fonctionnement[Affectation matrice],$A52,Fonctionnement[TVA acquittée])+SUMIF(Invest[Affectation matrice],$A52,Invest[TVA acquittée]))*CJ52)</f>
        <v>0</v>
      </c>
      <c r="AK52" s="56">
        <f>IF($C52=Repart_lignes,0,
(SUMIF(Fonctionnement[Affectation matrice],$A52,Fonctionnement[TVA acquittée])+SUMIF(Invest[Affectation matrice],$A52,Invest[TVA acquittée]))*CK52)</f>
        <v>0</v>
      </c>
      <c r="AL52" s="56">
        <f>IF($C52=Repart_lignes,0,
(SUMIF(Fonctionnement[Affectation matrice],$A52,Fonctionnement[TVA acquittée])+SUMIF(Invest[Affectation matrice],$A52,Invest[TVA acquittée]))*CL52)</f>
        <v>0</v>
      </c>
      <c r="AM52" s="56">
        <f>IF($C52=Repart_lignes,0,
(SUMIF(Fonctionnement[Affectation matrice],$A52,Fonctionnement[TVA acquittée])+SUMIF(Invest[Affectation matrice],$A52,Invest[TVA acquittée]))*CM52)</f>
        <v>0</v>
      </c>
      <c r="AN52" s="56">
        <f>IF($C52=Repart_lignes,0,
(SUMIF(Fonctionnement[Affectation matrice],$A52,Fonctionnement[TVA acquittée])+SUMIF(Invest[Affectation matrice],$A52,Invest[TVA acquittée]))*CN52)</f>
        <v>0</v>
      </c>
      <c r="AO52" s="56">
        <f>IF($C52=Repart_lignes,0,
(SUMIF(Fonctionnement[Affectation matrice],$A52,Fonctionnement[TVA acquittée])+SUMIF(Invest[Affectation matrice],$A52,Invest[TVA acquittée]))*CO52)</f>
        <v>0</v>
      </c>
      <c r="AP52" s="56">
        <f>IF($C52=Repart_lignes,0,
(SUMIF(Fonctionnement[Affectation matrice],$A52,Fonctionnement[TVA acquittée])+SUMIF(Invest[Affectation matrice],$A52,Invest[TVA acquittée]))*CP52)</f>
        <v>0</v>
      </c>
      <c r="AQ52" s="56">
        <f>IF($C52=Repart_lignes,0,
(SUMIF(Fonctionnement[Affectation matrice],$A52,Fonctionnement[TVA acquittée])+SUMIF(Invest[Affectation matrice],$A52,Invest[TVA acquittée]))*CQ52)</f>
        <v>0</v>
      </c>
      <c r="AR52" s="56">
        <f>IF($C52=Repart_lignes,0,
(SUMIF(Fonctionnement[Affectation matrice],$A52,Fonctionnement[TVA acquittée])+SUMIF(Invest[Affectation matrice],$A52,Invest[TVA acquittée]))*CR52)</f>
        <v>0</v>
      </c>
      <c r="AS52" s="56">
        <f>IF($C52=Repart_lignes,0,
(SUMIF(Fonctionnement[Affectation matrice],$A52,Fonctionnement[TVA acquittée])+SUMIF(Invest[Affectation matrice],$A52,Invest[TVA acquittée]))*CS52)</f>
        <v>0</v>
      </c>
      <c r="AT52" s="56">
        <f>IF($C52=Repart_lignes,0,
(SUMIF(Fonctionnement[Affectation matrice],$A52,Fonctionnement[TVA acquittée])+SUMIF(Invest[Affectation matrice],$A52,Invest[TVA acquittée]))*CT52)</f>
        <v>0</v>
      </c>
      <c r="AU52" s="56">
        <f>IF($C52=Repart_lignes,0,
(SUMIF(Fonctionnement[Affectation matrice],$A52,Fonctionnement[TVA acquittée])+SUMIF(Invest[Affectation matrice],$A52,Invest[TVA acquittée]))*CU52)</f>
        <v>0</v>
      </c>
      <c r="AV52" s="56">
        <f>IF($C52=Repart_lignes,0,
(SUMIF(Fonctionnement[Affectation matrice],$A52,Fonctionnement[TVA acquittée])+SUMIF(Invest[Affectation matrice],$A52,Invest[TVA acquittée]))*CV52)</f>
        <v>0</v>
      </c>
      <c r="AW52" s="56">
        <f>IF($C52=Repart_lignes,0,
(SUMIF(Fonctionnement[Affectation matrice],$A52,Fonctionnement[TVA acquittée])+SUMIF(Invest[Affectation matrice],$A52,Invest[TVA acquittée]))*CW52)</f>
        <v>0</v>
      </c>
      <c r="AX52" s="56">
        <f>IF($C52=Repart_lignes,0,
(SUMIF(Fonctionnement[Affectation matrice],$A52,Fonctionnement[TVA acquittée])+SUMIF(Invest[Affectation matrice],$A52,Invest[TVA acquittée]))*CX52)</f>
        <v>0</v>
      </c>
      <c r="AY52" s="56">
        <f>IF($C52=Repart_lignes,0,
(SUMIF(Fonctionnement[Affectation matrice],$A52,Fonctionnement[TVA acquittée])+SUMIF(Invest[Affectation matrice],$A52,Invest[TVA acquittée]))*CY52)</f>
        <v>0</v>
      </c>
      <c r="AZ52" s="56">
        <f>IF($C52=Repart_lignes,0,
(SUMIF(Fonctionnement[Affectation matrice],$A52,Fonctionnement[TVA acquittée])+SUMIF(Invest[Affectation matrice],$A52,Invest[TVA acquittée]))*CZ52)</f>
        <v>0</v>
      </c>
      <c r="BA52" s="56">
        <f>IF($C52=Repart_lignes,0,
(SUMIF(Fonctionnement[Affectation matrice],$A52,Fonctionnement[TVA acquittée])+SUMIF(Invest[Affectation matrice],$A52,Invest[TVA acquittée]))*DA52)</f>
        <v>0</v>
      </c>
      <c r="BB52" s="56">
        <f>IF($C52=Repart_lignes,0,
(SUMIF(Fonctionnement[Affectation matrice],$A52,Fonctionnement[TVA acquittée])+SUMIF(Invest[Affectation matrice],$A52,Invest[TVA acquittée]))*DB52)</f>
        <v>0</v>
      </c>
      <c r="BC52" s="56">
        <f>IF($C52=Repart_lignes,0,
(SUMIF(Fonctionnement[Affectation matrice],$A52,Fonctionnement[TVA acquittée])+SUMIF(Invest[Affectation matrice],$A52,Invest[TVA acquittée]))*DC52)</f>
        <v>0</v>
      </c>
      <c r="BD52" s="56">
        <f>IF($C52=Repart_lignes,0,
(SUMIF(Fonctionnement[Affectation matrice],$A52,Fonctionnement[TVA acquittée])+SUMIF(Invest[Affectation matrice],$A52,Invest[TVA acquittée]))*DD52)</f>
        <v>0</v>
      </c>
      <c r="BE52" s="58">
        <f t="shared" si="32"/>
        <v>0</v>
      </c>
      <c r="BF52" s="56">
        <f>IF($C52=Repart_lignes,0,
(SUMIF(Fonctionnement[Affectation matrice],$A52,Fonctionnement[Montant (€HT)])+SUMIF(Invest[Affectation matrice],$A52,Invest[Amortissement HT + intérêts]))*CF52)</f>
        <v>0</v>
      </c>
      <c r="BG52" s="56">
        <f>IF($C52=Repart_lignes,0,
(SUMIF(Fonctionnement[Affectation matrice],$A52,Fonctionnement[Montant (€HT)])+SUMIF(Invest[Affectation matrice],$A52,Invest[Amortissement HT + intérêts]))*CG52)</f>
        <v>0</v>
      </c>
      <c r="BH52" s="56">
        <f>IF($C52=Repart_lignes,0,
(SUMIF(Fonctionnement[Affectation matrice],$A52,Fonctionnement[Montant (€HT)])+SUMIF(Invest[Affectation matrice],$A52,Invest[Amortissement HT + intérêts]))*CH52)</f>
        <v>0</v>
      </c>
      <c r="BI52" s="56">
        <f>IF($C52=Repart_lignes,0,
(SUMIF(Fonctionnement[Affectation matrice],$A52,Fonctionnement[Montant (€HT)])+SUMIF(Invest[Affectation matrice],$A52,Invest[Amortissement HT + intérêts]))*CI52)</f>
        <v>0</v>
      </c>
      <c r="BJ52" s="56">
        <f>IF($C52=Repart_lignes,0,
(SUMIF(Fonctionnement[Affectation matrice],$A52,Fonctionnement[Montant (€HT)])+SUMIF(Invest[Affectation matrice],$A52,Invest[Amortissement HT + intérêts]))*CJ52)</f>
        <v>0</v>
      </c>
      <c r="BK52" s="56">
        <f>IF($C52=Repart_lignes,0,
(SUMIF(Fonctionnement[Affectation matrice],$A52,Fonctionnement[Montant (€HT)])+SUMIF(Invest[Affectation matrice],$A52,Invest[Amortissement HT + intérêts]))*CK52)</f>
        <v>0</v>
      </c>
      <c r="BL52" s="56">
        <f>IF($C52=Repart_lignes,0,
(SUMIF(Fonctionnement[Affectation matrice],$A52,Fonctionnement[Montant (€HT)])+SUMIF(Invest[Affectation matrice],$A52,Invest[Amortissement HT + intérêts]))*CL52)</f>
        <v>0</v>
      </c>
      <c r="BM52" s="56">
        <f>IF($C52=Repart_lignes,0,
(SUMIF(Fonctionnement[Affectation matrice],$A52,Fonctionnement[Montant (€HT)])+SUMIF(Invest[Affectation matrice],$A52,Invest[Amortissement HT + intérêts]))*CM52)</f>
        <v>0</v>
      </c>
      <c r="BN52" s="56">
        <f>IF($C52=Repart_lignes,0,
(SUMIF(Fonctionnement[Affectation matrice],$A52,Fonctionnement[Montant (€HT)])+SUMIF(Invest[Affectation matrice],$A52,Invest[Amortissement HT + intérêts]))*CN52)</f>
        <v>0</v>
      </c>
      <c r="BO52" s="56">
        <f>IF($C52=Repart_lignes,0,
(SUMIF(Fonctionnement[Affectation matrice],$A52,Fonctionnement[Montant (€HT)])+SUMIF(Invest[Affectation matrice],$A52,Invest[Amortissement HT + intérêts]))*CO52)</f>
        <v>0</v>
      </c>
      <c r="BP52" s="56">
        <f>IF($C52=Repart_lignes,0,
(SUMIF(Fonctionnement[Affectation matrice],$A52,Fonctionnement[Montant (€HT)])+SUMIF(Invest[Affectation matrice],$A52,Invest[Amortissement HT + intérêts]))*CP52)</f>
        <v>0</v>
      </c>
      <c r="BQ52" s="56">
        <f>IF($C52=Repart_lignes,0,
(SUMIF(Fonctionnement[Affectation matrice],$A52,Fonctionnement[Montant (€HT)])+SUMIF(Invest[Affectation matrice],$A52,Invest[Amortissement HT + intérêts]))*CQ52)</f>
        <v>0</v>
      </c>
      <c r="BR52" s="56">
        <f>IF($C52=Repart_lignes,0,
(SUMIF(Fonctionnement[Affectation matrice],$A52,Fonctionnement[Montant (€HT)])+SUMIF(Invest[Affectation matrice],$A52,Invest[Amortissement HT + intérêts]))*CR52)</f>
        <v>0</v>
      </c>
      <c r="BS52" s="56">
        <f>IF($C52=Repart_lignes,0,
(SUMIF(Fonctionnement[Affectation matrice],$A52,Fonctionnement[Montant (€HT)])+SUMIF(Invest[Affectation matrice],$A52,Invest[Amortissement HT + intérêts]))*CS52)</f>
        <v>0</v>
      </c>
      <c r="BT52" s="56">
        <f>IF($C52=Repart_lignes,0,
(SUMIF(Fonctionnement[Affectation matrice],$A52,Fonctionnement[Montant (€HT)])+SUMIF(Invest[Affectation matrice],$A52,Invest[Amortissement HT + intérêts]))*CT52)</f>
        <v>0</v>
      </c>
      <c r="BU52" s="56">
        <f>IF($C52=Repart_lignes,0,
(SUMIF(Fonctionnement[Affectation matrice],$A52,Fonctionnement[Montant (€HT)])+SUMIF(Invest[Affectation matrice],$A52,Invest[Amortissement HT + intérêts]))*CU52)</f>
        <v>0</v>
      </c>
      <c r="BV52" s="56">
        <f>IF($C52=Repart_lignes,0,
(SUMIF(Fonctionnement[Affectation matrice],$A52,Fonctionnement[Montant (€HT)])+SUMIF(Invest[Affectation matrice],$A52,Invest[Amortissement HT + intérêts]))*CV52)</f>
        <v>0</v>
      </c>
      <c r="BW52" s="56">
        <f>IF($C52=Repart_lignes,0,
(SUMIF(Fonctionnement[Affectation matrice],$A52,Fonctionnement[Montant (€HT)])+SUMIF(Invest[Affectation matrice],$A52,Invest[Amortissement HT + intérêts]))*CW52)</f>
        <v>0</v>
      </c>
      <c r="BX52" s="56">
        <f>IF($C52=Repart_lignes,0,
(SUMIF(Fonctionnement[Affectation matrice],$A52,Fonctionnement[Montant (€HT)])+SUMIF(Invest[Affectation matrice],$A52,Invest[Amortissement HT + intérêts]))*CX52)</f>
        <v>0</v>
      </c>
      <c r="BY52" s="56">
        <f>IF($C52=Repart_lignes,0,
(SUMIF(Fonctionnement[Affectation matrice],$A52,Fonctionnement[Montant (€HT)])+SUMIF(Invest[Affectation matrice],$A52,Invest[Amortissement HT + intérêts]))*CY52)</f>
        <v>0</v>
      </c>
      <c r="BZ52" s="56">
        <f>IF($C52=Repart_lignes,0,
(SUMIF(Fonctionnement[Affectation matrice],$A52,Fonctionnement[Montant (€HT)])+SUMIF(Invest[Affectation matrice],$A52,Invest[Amortissement HT + intérêts]))*CZ52)</f>
        <v>0</v>
      </c>
      <c r="CA52" s="56">
        <f>IF($C52=Repart_lignes,0,
(SUMIF(Fonctionnement[Affectation matrice],$A52,Fonctionnement[Montant (€HT)])+SUMIF(Invest[Affectation matrice],$A52,Invest[Amortissement HT + intérêts]))*DA52)</f>
        <v>0</v>
      </c>
      <c r="CB52" s="56">
        <f>IF($C52=Repart_lignes,0,
(SUMIF(Fonctionnement[Affectation matrice],$A52,Fonctionnement[Montant (€HT)])+SUMIF(Invest[Affectation matrice],$A52,Invest[Amortissement HT + intérêts]))*DB52)</f>
        <v>0</v>
      </c>
      <c r="CC52" s="56">
        <f>IF($C52=Repart_lignes,0,
(SUMIF(Fonctionnement[Affectation matrice],$A52,Fonctionnement[Montant (€HT)])+SUMIF(Invest[Affectation matrice],$A52,Invest[Amortissement HT + intérêts]))*DC52)</f>
        <v>0</v>
      </c>
      <c r="CD52" s="56">
        <f>IF($C52=Repart_lignes,0,
(SUMIF(Fonctionnement[Affectation matrice],$A52,Fonctionnement[Montant (€HT)])+SUMIF(Invest[Affectation matrice],$A52,Invest[Amortissement HT + intérêts]))*DD52)</f>
        <v>0</v>
      </c>
      <c r="CE52" s="59">
        <f t="shared" si="33"/>
        <v>0</v>
      </c>
      <c r="CF52" s="61">
        <f t="shared" si="34"/>
        <v>0</v>
      </c>
      <c r="CG52" s="61">
        <f t="shared" si="35"/>
        <v>0</v>
      </c>
      <c r="CH52" s="61">
        <f t="shared" si="36"/>
        <v>0</v>
      </c>
      <c r="CI52" s="61">
        <f t="shared" si="37"/>
        <v>0</v>
      </c>
      <c r="CJ52" s="61">
        <f t="shared" si="38"/>
        <v>0</v>
      </c>
      <c r="CK52" s="61">
        <f t="shared" si="39"/>
        <v>0</v>
      </c>
      <c r="CL52" s="61">
        <f t="shared" si="40"/>
        <v>0</v>
      </c>
      <c r="CM52" s="61">
        <f t="shared" si="41"/>
        <v>0</v>
      </c>
      <c r="CN52" s="61">
        <f t="shared" si="42"/>
        <v>0</v>
      </c>
      <c r="CO52" s="61">
        <f t="shared" si="43"/>
        <v>0</v>
      </c>
      <c r="CP52" s="61">
        <f t="shared" si="44"/>
        <v>0</v>
      </c>
      <c r="CQ52" s="61">
        <f t="shared" si="45"/>
        <v>0</v>
      </c>
      <c r="CR52" s="61">
        <f t="shared" si="46"/>
        <v>0</v>
      </c>
      <c r="CS52" s="61">
        <f t="shared" si="47"/>
        <v>0</v>
      </c>
      <c r="CT52" s="61">
        <f t="shared" si="48"/>
        <v>0</v>
      </c>
      <c r="CU52" s="61">
        <f t="shared" si="49"/>
        <v>0</v>
      </c>
      <c r="CV52" s="61">
        <f t="shared" si="50"/>
        <v>0</v>
      </c>
      <c r="CW52" s="61">
        <f t="shared" si="51"/>
        <v>0</v>
      </c>
      <c r="CX52" s="61">
        <f t="shared" si="52"/>
        <v>0</v>
      </c>
      <c r="CY52" s="61">
        <f t="shared" si="53"/>
        <v>0</v>
      </c>
      <c r="CZ52" s="61">
        <f t="shared" si="54"/>
        <v>0</v>
      </c>
      <c r="DA52" s="61">
        <f t="shared" si="55"/>
        <v>0</v>
      </c>
      <c r="DB52" s="61">
        <f t="shared" si="56"/>
        <v>0</v>
      </c>
      <c r="DC52" s="61">
        <f t="shared" si="57"/>
        <v>0</v>
      </c>
      <c r="DD52" s="61">
        <f t="shared" si="58"/>
        <v>0</v>
      </c>
      <c r="DE52" s="61">
        <f t="shared" si="59"/>
        <v>0</v>
      </c>
    </row>
    <row r="53" spans="1:109" x14ac:dyDescent="0.25">
      <c r="A53" s="248"/>
      <c r="B53" s="248"/>
      <c r="C53" s="251"/>
      <c r="D53" s="25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1">
        <f t="shared" si="31"/>
        <v>0</v>
      </c>
      <c r="AE53" s="53" t="str">
        <f t="shared" ca="1" si="29"/>
        <v/>
      </c>
      <c r="AF53" s="56">
        <f>IF($C53=Repart_lignes,0,
(SUMIF(Fonctionnement[Affectation matrice],$A53,Fonctionnement[TVA acquittée])+SUMIF(Invest[Affectation matrice],$A53,Invest[TVA acquittée]))*CF53)</f>
        <v>0</v>
      </c>
      <c r="AG53" s="56">
        <f>IF($C53=Repart_lignes,0,
(SUMIF(Fonctionnement[Affectation matrice],$A53,Fonctionnement[TVA acquittée])+SUMIF(Invest[Affectation matrice],$A53,Invest[TVA acquittée]))*CG53)</f>
        <v>0</v>
      </c>
      <c r="AH53" s="56">
        <f>IF($C53=Repart_lignes,0,
(SUMIF(Fonctionnement[Affectation matrice],$A53,Fonctionnement[TVA acquittée])+SUMIF(Invest[Affectation matrice],$A53,Invest[TVA acquittée]))*CH53)</f>
        <v>0</v>
      </c>
      <c r="AI53" s="56">
        <f>IF($C53=Repart_lignes,0,
(SUMIF(Fonctionnement[Affectation matrice],$A53,Fonctionnement[TVA acquittée])+SUMIF(Invest[Affectation matrice],$A53,Invest[TVA acquittée]))*CI53)</f>
        <v>0</v>
      </c>
      <c r="AJ53" s="56">
        <f>IF($C53=Repart_lignes,0,
(SUMIF(Fonctionnement[Affectation matrice],$A53,Fonctionnement[TVA acquittée])+SUMIF(Invest[Affectation matrice],$A53,Invest[TVA acquittée]))*CJ53)</f>
        <v>0</v>
      </c>
      <c r="AK53" s="56">
        <f>IF($C53=Repart_lignes,0,
(SUMIF(Fonctionnement[Affectation matrice],$A53,Fonctionnement[TVA acquittée])+SUMIF(Invest[Affectation matrice],$A53,Invest[TVA acquittée]))*CK53)</f>
        <v>0</v>
      </c>
      <c r="AL53" s="56">
        <f>IF($C53=Repart_lignes,0,
(SUMIF(Fonctionnement[Affectation matrice],$A53,Fonctionnement[TVA acquittée])+SUMIF(Invest[Affectation matrice],$A53,Invest[TVA acquittée]))*CL53)</f>
        <v>0</v>
      </c>
      <c r="AM53" s="56">
        <f>IF($C53=Repart_lignes,0,
(SUMIF(Fonctionnement[Affectation matrice],$A53,Fonctionnement[TVA acquittée])+SUMIF(Invest[Affectation matrice],$A53,Invest[TVA acquittée]))*CM53)</f>
        <v>0</v>
      </c>
      <c r="AN53" s="56">
        <f>IF($C53=Repart_lignes,0,
(SUMIF(Fonctionnement[Affectation matrice],$A53,Fonctionnement[TVA acquittée])+SUMIF(Invest[Affectation matrice],$A53,Invest[TVA acquittée]))*CN53)</f>
        <v>0</v>
      </c>
      <c r="AO53" s="56">
        <f>IF($C53=Repart_lignes,0,
(SUMIF(Fonctionnement[Affectation matrice],$A53,Fonctionnement[TVA acquittée])+SUMIF(Invest[Affectation matrice],$A53,Invest[TVA acquittée]))*CO53)</f>
        <v>0</v>
      </c>
      <c r="AP53" s="56">
        <f>IF($C53=Repart_lignes,0,
(SUMIF(Fonctionnement[Affectation matrice],$A53,Fonctionnement[TVA acquittée])+SUMIF(Invest[Affectation matrice],$A53,Invest[TVA acquittée]))*CP53)</f>
        <v>0</v>
      </c>
      <c r="AQ53" s="56">
        <f>IF($C53=Repart_lignes,0,
(SUMIF(Fonctionnement[Affectation matrice],$A53,Fonctionnement[TVA acquittée])+SUMIF(Invest[Affectation matrice],$A53,Invest[TVA acquittée]))*CQ53)</f>
        <v>0</v>
      </c>
      <c r="AR53" s="56">
        <f>IF($C53=Repart_lignes,0,
(SUMIF(Fonctionnement[Affectation matrice],$A53,Fonctionnement[TVA acquittée])+SUMIF(Invest[Affectation matrice],$A53,Invest[TVA acquittée]))*CR53)</f>
        <v>0</v>
      </c>
      <c r="AS53" s="56">
        <f>IF($C53=Repart_lignes,0,
(SUMIF(Fonctionnement[Affectation matrice],$A53,Fonctionnement[TVA acquittée])+SUMIF(Invest[Affectation matrice],$A53,Invest[TVA acquittée]))*CS53)</f>
        <v>0</v>
      </c>
      <c r="AT53" s="56">
        <f>IF($C53=Repart_lignes,0,
(SUMIF(Fonctionnement[Affectation matrice],$A53,Fonctionnement[TVA acquittée])+SUMIF(Invest[Affectation matrice],$A53,Invest[TVA acquittée]))*CT53)</f>
        <v>0</v>
      </c>
      <c r="AU53" s="56">
        <f>IF($C53=Repart_lignes,0,
(SUMIF(Fonctionnement[Affectation matrice],$A53,Fonctionnement[TVA acquittée])+SUMIF(Invest[Affectation matrice],$A53,Invest[TVA acquittée]))*CU53)</f>
        <v>0</v>
      </c>
      <c r="AV53" s="56">
        <f>IF($C53=Repart_lignes,0,
(SUMIF(Fonctionnement[Affectation matrice],$A53,Fonctionnement[TVA acquittée])+SUMIF(Invest[Affectation matrice],$A53,Invest[TVA acquittée]))*CV53)</f>
        <v>0</v>
      </c>
      <c r="AW53" s="56">
        <f>IF($C53=Repart_lignes,0,
(SUMIF(Fonctionnement[Affectation matrice],$A53,Fonctionnement[TVA acquittée])+SUMIF(Invest[Affectation matrice],$A53,Invest[TVA acquittée]))*CW53)</f>
        <v>0</v>
      </c>
      <c r="AX53" s="56">
        <f>IF($C53=Repart_lignes,0,
(SUMIF(Fonctionnement[Affectation matrice],$A53,Fonctionnement[TVA acquittée])+SUMIF(Invest[Affectation matrice],$A53,Invest[TVA acquittée]))*CX53)</f>
        <v>0</v>
      </c>
      <c r="AY53" s="56">
        <f>IF($C53=Repart_lignes,0,
(SUMIF(Fonctionnement[Affectation matrice],$A53,Fonctionnement[TVA acquittée])+SUMIF(Invest[Affectation matrice],$A53,Invest[TVA acquittée]))*CY53)</f>
        <v>0</v>
      </c>
      <c r="AZ53" s="56">
        <f>IF($C53=Repart_lignes,0,
(SUMIF(Fonctionnement[Affectation matrice],$A53,Fonctionnement[TVA acquittée])+SUMIF(Invest[Affectation matrice],$A53,Invest[TVA acquittée]))*CZ53)</f>
        <v>0</v>
      </c>
      <c r="BA53" s="56">
        <f>IF($C53=Repart_lignes,0,
(SUMIF(Fonctionnement[Affectation matrice],$A53,Fonctionnement[TVA acquittée])+SUMIF(Invest[Affectation matrice],$A53,Invest[TVA acquittée]))*DA53)</f>
        <v>0</v>
      </c>
      <c r="BB53" s="56">
        <f>IF($C53=Repart_lignes,0,
(SUMIF(Fonctionnement[Affectation matrice],$A53,Fonctionnement[TVA acquittée])+SUMIF(Invest[Affectation matrice],$A53,Invest[TVA acquittée]))*DB53)</f>
        <v>0</v>
      </c>
      <c r="BC53" s="56">
        <f>IF($C53=Repart_lignes,0,
(SUMIF(Fonctionnement[Affectation matrice],$A53,Fonctionnement[TVA acquittée])+SUMIF(Invest[Affectation matrice],$A53,Invest[TVA acquittée]))*DC53)</f>
        <v>0</v>
      </c>
      <c r="BD53" s="56">
        <f>IF($C53=Repart_lignes,0,
(SUMIF(Fonctionnement[Affectation matrice],$A53,Fonctionnement[TVA acquittée])+SUMIF(Invest[Affectation matrice],$A53,Invest[TVA acquittée]))*DD53)</f>
        <v>0</v>
      </c>
      <c r="BE53" s="58">
        <f t="shared" si="32"/>
        <v>0</v>
      </c>
      <c r="BF53" s="56">
        <f>IF($C53=Repart_lignes,0,
(SUMIF(Fonctionnement[Affectation matrice],$A53,Fonctionnement[Montant (€HT)])+SUMIF(Invest[Affectation matrice],$A53,Invest[Amortissement HT + intérêts]))*CF53)</f>
        <v>0</v>
      </c>
      <c r="BG53" s="56">
        <f>IF($C53=Repart_lignes,0,
(SUMIF(Fonctionnement[Affectation matrice],$A53,Fonctionnement[Montant (€HT)])+SUMIF(Invest[Affectation matrice],$A53,Invest[Amortissement HT + intérêts]))*CG53)</f>
        <v>0</v>
      </c>
      <c r="BH53" s="56">
        <f>IF($C53=Repart_lignes,0,
(SUMIF(Fonctionnement[Affectation matrice],$A53,Fonctionnement[Montant (€HT)])+SUMIF(Invest[Affectation matrice],$A53,Invest[Amortissement HT + intérêts]))*CH53)</f>
        <v>0</v>
      </c>
      <c r="BI53" s="56">
        <f>IF($C53=Repart_lignes,0,
(SUMIF(Fonctionnement[Affectation matrice],$A53,Fonctionnement[Montant (€HT)])+SUMIF(Invest[Affectation matrice],$A53,Invest[Amortissement HT + intérêts]))*CI53)</f>
        <v>0</v>
      </c>
      <c r="BJ53" s="56">
        <f>IF($C53=Repart_lignes,0,
(SUMIF(Fonctionnement[Affectation matrice],$A53,Fonctionnement[Montant (€HT)])+SUMIF(Invest[Affectation matrice],$A53,Invest[Amortissement HT + intérêts]))*CJ53)</f>
        <v>0</v>
      </c>
      <c r="BK53" s="56">
        <f>IF($C53=Repart_lignes,0,
(SUMIF(Fonctionnement[Affectation matrice],$A53,Fonctionnement[Montant (€HT)])+SUMIF(Invest[Affectation matrice],$A53,Invest[Amortissement HT + intérêts]))*CK53)</f>
        <v>0</v>
      </c>
      <c r="BL53" s="56">
        <f>IF($C53=Repart_lignes,0,
(SUMIF(Fonctionnement[Affectation matrice],$A53,Fonctionnement[Montant (€HT)])+SUMIF(Invest[Affectation matrice],$A53,Invest[Amortissement HT + intérêts]))*CL53)</f>
        <v>0</v>
      </c>
      <c r="BM53" s="56">
        <f>IF($C53=Repart_lignes,0,
(SUMIF(Fonctionnement[Affectation matrice],$A53,Fonctionnement[Montant (€HT)])+SUMIF(Invest[Affectation matrice],$A53,Invest[Amortissement HT + intérêts]))*CM53)</f>
        <v>0</v>
      </c>
      <c r="BN53" s="56">
        <f>IF($C53=Repart_lignes,0,
(SUMIF(Fonctionnement[Affectation matrice],$A53,Fonctionnement[Montant (€HT)])+SUMIF(Invest[Affectation matrice],$A53,Invest[Amortissement HT + intérêts]))*CN53)</f>
        <v>0</v>
      </c>
      <c r="BO53" s="56">
        <f>IF($C53=Repart_lignes,0,
(SUMIF(Fonctionnement[Affectation matrice],$A53,Fonctionnement[Montant (€HT)])+SUMIF(Invest[Affectation matrice],$A53,Invest[Amortissement HT + intérêts]))*CO53)</f>
        <v>0</v>
      </c>
      <c r="BP53" s="56">
        <f>IF($C53=Repart_lignes,0,
(SUMIF(Fonctionnement[Affectation matrice],$A53,Fonctionnement[Montant (€HT)])+SUMIF(Invest[Affectation matrice],$A53,Invest[Amortissement HT + intérêts]))*CP53)</f>
        <v>0</v>
      </c>
      <c r="BQ53" s="56">
        <f>IF($C53=Repart_lignes,0,
(SUMIF(Fonctionnement[Affectation matrice],$A53,Fonctionnement[Montant (€HT)])+SUMIF(Invest[Affectation matrice],$A53,Invest[Amortissement HT + intérêts]))*CQ53)</f>
        <v>0</v>
      </c>
      <c r="BR53" s="56">
        <f>IF($C53=Repart_lignes,0,
(SUMIF(Fonctionnement[Affectation matrice],$A53,Fonctionnement[Montant (€HT)])+SUMIF(Invest[Affectation matrice],$A53,Invest[Amortissement HT + intérêts]))*CR53)</f>
        <v>0</v>
      </c>
      <c r="BS53" s="56">
        <f>IF($C53=Repart_lignes,0,
(SUMIF(Fonctionnement[Affectation matrice],$A53,Fonctionnement[Montant (€HT)])+SUMIF(Invest[Affectation matrice],$A53,Invest[Amortissement HT + intérêts]))*CS53)</f>
        <v>0</v>
      </c>
      <c r="BT53" s="56">
        <f>IF($C53=Repart_lignes,0,
(SUMIF(Fonctionnement[Affectation matrice],$A53,Fonctionnement[Montant (€HT)])+SUMIF(Invest[Affectation matrice],$A53,Invest[Amortissement HT + intérêts]))*CT53)</f>
        <v>0</v>
      </c>
      <c r="BU53" s="56">
        <f>IF($C53=Repart_lignes,0,
(SUMIF(Fonctionnement[Affectation matrice],$A53,Fonctionnement[Montant (€HT)])+SUMIF(Invest[Affectation matrice],$A53,Invest[Amortissement HT + intérêts]))*CU53)</f>
        <v>0</v>
      </c>
      <c r="BV53" s="56">
        <f>IF($C53=Repart_lignes,0,
(SUMIF(Fonctionnement[Affectation matrice],$A53,Fonctionnement[Montant (€HT)])+SUMIF(Invest[Affectation matrice],$A53,Invest[Amortissement HT + intérêts]))*CV53)</f>
        <v>0</v>
      </c>
      <c r="BW53" s="56">
        <f>IF($C53=Repart_lignes,0,
(SUMIF(Fonctionnement[Affectation matrice],$A53,Fonctionnement[Montant (€HT)])+SUMIF(Invest[Affectation matrice],$A53,Invest[Amortissement HT + intérêts]))*CW53)</f>
        <v>0</v>
      </c>
      <c r="BX53" s="56">
        <f>IF($C53=Repart_lignes,0,
(SUMIF(Fonctionnement[Affectation matrice],$A53,Fonctionnement[Montant (€HT)])+SUMIF(Invest[Affectation matrice],$A53,Invest[Amortissement HT + intérêts]))*CX53)</f>
        <v>0</v>
      </c>
      <c r="BY53" s="56">
        <f>IF($C53=Repart_lignes,0,
(SUMIF(Fonctionnement[Affectation matrice],$A53,Fonctionnement[Montant (€HT)])+SUMIF(Invest[Affectation matrice],$A53,Invest[Amortissement HT + intérêts]))*CY53)</f>
        <v>0</v>
      </c>
      <c r="BZ53" s="56">
        <f>IF($C53=Repart_lignes,0,
(SUMIF(Fonctionnement[Affectation matrice],$A53,Fonctionnement[Montant (€HT)])+SUMIF(Invest[Affectation matrice],$A53,Invest[Amortissement HT + intérêts]))*CZ53)</f>
        <v>0</v>
      </c>
      <c r="CA53" s="56">
        <f>IF($C53=Repart_lignes,0,
(SUMIF(Fonctionnement[Affectation matrice],$A53,Fonctionnement[Montant (€HT)])+SUMIF(Invest[Affectation matrice],$A53,Invest[Amortissement HT + intérêts]))*DA53)</f>
        <v>0</v>
      </c>
      <c r="CB53" s="56">
        <f>IF($C53=Repart_lignes,0,
(SUMIF(Fonctionnement[Affectation matrice],$A53,Fonctionnement[Montant (€HT)])+SUMIF(Invest[Affectation matrice],$A53,Invest[Amortissement HT + intérêts]))*DB53)</f>
        <v>0</v>
      </c>
      <c r="CC53" s="56">
        <f>IF($C53=Repart_lignes,0,
(SUMIF(Fonctionnement[Affectation matrice],$A53,Fonctionnement[Montant (€HT)])+SUMIF(Invest[Affectation matrice],$A53,Invest[Amortissement HT + intérêts]))*DC53)</f>
        <v>0</v>
      </c>
      <c r="CD53" s="56">
        <f>IF($C53=Repart_lignes,0,
(SUMIF(Fonctionnement[Affectation matrice],$A53,Fonctionnement[Montant (€HT)])+SUMIF(Invest[Affectation matrice],$A53,Invest[Amortissement HT + intérêts]))*DD53)</f>
        <v>0</v>
      </c>
      <c r="CE53" s="59">
        <f t="shared" si="33"/>
        <v>0</v>
      </c>
      <c r="CF53" s="61">
        <f t="shared" si="34"/>
        <v>0</v>
      </c>
      <c r="CG53" s="61">
        <f t="shared" si="35"/>
        <v>0</v>
      </c>
      <c r="CH53" s="61">
        <f t="shared" si="36"/>
        <v>0</v>
      </c>
      <c r="CI53" s="61">
        <f t="shared" si="37"/>
        <v>0</v>
      </c>
      <c r="CJ53" s="61">
        <f t="shared" si="38"/>
        <v>0</v>
      </c>
      <c r="CK53" s="61">
        <f t="shared" si="39"/>
        <v>0</v>
      </c>
      <c r="CL53" s="61">
        <f t="shared" si="40"/>
        <v>0</v>
      </c>
      <c r="CM53" s="61">
        <f t="shared" si="41"/>
        <v>0</v>
      </c>
      <c r="CN53" s="61">
        <f t="shared" si="42"/>
        <v>0</v>
      </c>
      <c r="CO53" s="61">
        <f t="shared" si="43"/>
        <v>0</v>
      </c>
      <c r="CP53" s="61">
        <f t="shared" si="44"/>
        <v>0</v>
      </c>
      <c r="CQ53" s="61">
        <f t="shared" si="45"/>
        <v>0</v>
      </c>
      <c r="CR53" s="61">
        <f t="shared" si="46"/>
        <v>0</v>
      </c>
      <c r="CS53" s="61">
        <f t="shared" si="47"/>
        <v>0</v>
      </c>
      <c r="CT53" s="61">
        <f t="shared" si="48"/>
        <v>0</v>
      </c>
      <c r="CU53" s="61">
        <f t="shared" si="49"/>
        <v>0</v>
      </c>
      <c r="CV53" s="61">
        <f t="shared" si="50"/>
        <v>0</v>
      </c>
      <c r="CW53" s="61">
        <f t="shared" si="51"/>
        <v>0</v>
      </c>
      <c r="CX53" s="61">
        <f t="shared" si="52"/>
        <v>0</v>
      </c>
      <c r="CY53" s="61">
        <f t="shared" si="53"/>
        <v>0</v>
      </c>
      <c r="CZ53" s="61">
        <f t="shared" si="54"/>
        <v>0</v>
      </c>
      <c r="DA53" s="61">
        <f t="shared" si="55"/>
        <v>0</v>
      </c>
      <c r="DB53" s="61">
        <f t="shared" si="56"/>
        <v>0</v>
      </c>
      <c r="DC53" s="61">
        <f t="shared" si="57"/>
        <v>0</v>
      </c>
      <c r="DD53" s="61">
        <f t="shared" si="58"/>
        <v>0</v>
      </c>
      <c r="DE53" s="61">
        <f t="shared" si="59"/>
        <v>0</v>
      </c>
    </row>
    <row r="54" spans="1:109" x14ac:dyDescent="0.25">
      <c r="A54" s="248"/>
      <c r="B54" s="248"/>
      <c r="C54" s="251"/>
      <c r="D54" s="25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1">
        <f t="shared" si="31"/>
        <v>0</v>
      </c>
      <c r="AE54" s="53" t="str">
        <f t="shared" ca="1" si="29"/>
        <v/>
      </c>
      <c r="AF54" s="56">
        <f>IF($C54=Repart_lignes,0,
(SUMIF(Fonctionnement[Affectation matrice],$A54,Fonctionnement[TVA acquittée])+SUMIF(Invest[Affectation matrice],$A54,Invest[TVA acquittée]))*CF54)</f>
        <v>0</v>
      </c>
      <c r="AG54" s="56">
        <f>IF($C54=Repart_lignes,0,
(SUMIF(Fonctionnement[Affectation matrice],$A54,Fonctionnement[TVA acquittée])+SUMIF(Invest[Affectation matrice],$A54,Invest[TVA acquittée]))*CG54)</f>
        <v>0</v>
      </c>
      <c r="AH54" s="56">
        <f>IF($C54=Repart_lignes,0,
(SUMIF(Fonctionnement[Affectation matrice],$A54,Fonctionnement[TVA acquittée])+SUMIF(Invest[Affectation matrice],$A54,Invest[TVA acquittée]))*CH54)</f>
        <v>0</v>
      </c>
      <c r="AI54" s="56">
        <f>IF($C54=Repart_lignes,0,
(SUMIF(Fonctionnement[Affectation matrice],$A54,Fonctionnement[TVA acquittée])+SUMIF(Invest[Affectation matrice],$A54,Invest[TVA acquittée]))*CI54)</f>
        <v>0</v>
      </c>
      <c r="AJ54" s="56">
        <f>IF($C54=Repart_lignes,0,
(SUMIF(Fonctionnement[Affectation matrice],$A54,Fonctionnement[TVA acquittée])+SUMIF(Invest[Affectation matrice],$A54,Invest[TVA acquittée]))*CJ54)</f>
        <v>0</v>
      </c>
      <c r="AK54" s="56">
        <f>IF($C54=Repart_lignes,0,
(SUMIF(Fonctionnement[Affectation matrice],$A54,Fonctionnement[TVA acquittée])+SUMIF(Invest[Affectation matrice],$A54,Invest[TVA acquittée]))*CK54)</f>
        <v>0</v>
      </c>
      <c r="AL54" s="56">
        <f>IF($C54=Repart_lignes,0,
(SUMIF(Fonctionnement[Affectation matrice],$A54,Fonctionnement[TVA acquittée])+SUMIF(Invest[Affectation matrice],$A54,Invest[TVA acquittée]))*CL54)</f>
        <v>0</v>
      </c>
      <c r="AM54" s="56">
        <f>IF($C54=Repart_lignes,0,
(SUMIF(Fonctionnement[Affectation matrice],$A54,Fonctionnement[TVA acquittée])+SUMIF(Invest[Affectation matrice],$A54,Invest[TVA acquittée]))*CM54)</f>
        <v>0</v>
      </c>
      <c r="AN54" s="56">
        <f>IF($C54=Repart_lignes,0,
(SUMIF(Fonctionnement[Affectation matrice],$A54,Fonctionnement[TVA acquittée])+SUMIF(Invest[Affectation matrice],$A54,Invest[TVA acquittée]))*CN54)</f>
        <v>0</v>
      </c>
      <c r="AO54" s="56">
        <f>IF($C54=Repart_lignes,0,
(SUMIF(Fonctionnement[Affectation matrice],$A54,Fonctionnement[TVA acquittée])+SUMIF(Invest[Affectation matrice],$A54,Invest[TVA acquittée]))*CO54)</f>
        <v>0</v>
      </c>
      <c r="AP54" s="56">
        <f>IF($C54=Repart_lignes,0,
(SUMIF(Fonctionnement[Affectation matrice],$A54,Fonctionnement[TVA acquittée])+SUMIF(Invest[Affectation matrice],$A54,Invest[TVA acquittée]))*CP54)</f>
        <v>0</v>
      </c>
      <c r="AQ54" s="56">
        <f>IF($C54=Repart_lignes,0,
(SUMIF(Fonctionnement[Affectation matrice],$A54,Fonctionnement[TVA acquittée])+SUMIF(Invest[Affectation matrice],$A54,Invest[TVA acquittée]))*CQ54)</f>
        <v>0</v>
      </c>
      <c r="AR54" s="56">
        <f>IF($C54=Repart_lignes,0,
(SUMIF(Fonctionnement[Affectation matrice],$A54,Fonctionnement[TVA acquittée])+SUMIF(Invest[Affectation matrice],$A54,Invest[TVA acquittée]))*CR54)</f>
        <v>0</v>
      </c>
      <c r="AS54" s="56">
        <f>IF($C54=Repart_lignes,0,
(SUMIF(Fonctionnement[Affectation matrice],$A54,Fonctionnement[TVA acquittée])+SUMIF(Invest[Affectation matrice],$A54,Invest[TVA acquittée]))*CS54)</f>
        <v>0</v>
      </c>
      <c r="AT54" s="56">
        <f>IF($C54=Repart_lignes,0,
(SUMIF(Fonctionnement[Affectation matrice],$A54,Fonctionnement[TVA acquittée])+SUMIF(Invest[Affectation matrice],$A54,Invest[TVA acquittée]))*CT54)</f>
        <v>0</v>
      </c>
      <c r="AU54" s="56">
        <f>IF($C54=Repart_lignes,0,
(SUMIF(Fonctionnement[Affectation matrice],$A54,Fonctionnement[TVA acquittée])+SUMIF(Invest[Affectation matrice],$A54,Invest[TVA acquittée]))*CU54)</f>
        <v>0</v>
      </c>
      <c r="AV54" s="56">
        <f>IF($C54=Repart_lignes,0,
(SUMIF(Fonctionnement[Affectation matrice],$A54,Fonctionnement[TVA acquittée])+SUMIF(Invest[Affectation matrice],$A54,Invest[TVA acquittée]))*CV54)</f>
        <v>0</v>
      </c>
      <c r="AW54" s="56">
        <f>IF($C54=Repart_lignes,0,
(SUMIF(Fonctionnement[Affectation matrice],$A54,Fonctionnement[TVA acquittée])+SUMIF(Invest[Affectation matrice],$A54,Invest[TVA acquittée]))*CW54)</f>
        <v>0</v>
      </c>
      <c r="AX54" s="56">
        <f>IF($C54=Repart_lignes,0,
(SUMIF(Fonctionnement[Affectation matrice],$A54,Fonctionnement[TVA acquittée])+SUMIF(Invest[Affectation matrice],$A54,Invest[TVA acquittée]))*CX54)</f>
        <v>0</v>
      </c>
      <c r="AY54" s="56">
        <f>IF($C54=Repart_lignes,0,
(SUMIF(Fonctionnement[Affectation matrice],$A54,Fonctionnement[TVA acquittée])+SUMIF(Invest[Affectation matrice],$A54,Invest[TVA acquittée]))*CY54)</f>
        <v>0</v>
      </c>
      <c r="AZ54" s="56">
        <f>IF($C54=Repart_lignes,0,
(SUMIF(Fonctionnement[Affectation matrice],$A54,Fonctionnement[TVA acquittée])+SUMIF(Invest[Affectation matrice],$A54,Invest[TVA acquittée]))*CZ54)</f>
        <v>0</v>
      </c>
      <c r="BA54" s="56">
        <f>IF($C54=Repart_lignes,0,
(SUMIF(Fonctionnement[Affectation matrice],$A54,Fonctionnement[TVA acquittée])+SUMIF(Invest[Affectation matrice],$A54,Invest[TVA acquittée]))*DA54)</f>
        <v>0</v>
      </c>
      <c r="BB54" s="56">
        <f>IF($C54=Repart_lignes,0,
(SUMIF(Fonctionnement[Affectation matrice],$A54,Fonctionnement[TVA acquittée])+SUMIF(Invest[Affectation matrice],$A54,Invest[TVA acquittée]))*DB54)</f>
        <v>0</v>
      </c>
      <c r="BC54" s="56">
        <f>IF($C54=Repart_lignes,0,
(SUMIF(Fonctionnement[Affectation matrice],$A54,Fonctionnement[TVA acquittée])+SUMIF(Invest[Affectation matrice],$A54,Invest[TVA acquittée]))*DC54)</f>
        <v>0</v>
      </c>
      <c r="BD54" s="56">
        <f>IF($C54=Repart_lignes,0,
(SUMIF(Fonctionnement[Affectation matrice],$A54,Fonctionnement[TVA acquittée])+SUMIF(Invest[Affectation matrice],$A54,Invest[TVA acquittée]))*DD54)</f>
        <v>0</v>
      </c>
      <c r="BE54" s="58">
        <f t="shared" si="32"/>
        <v>0</v>
      </c>
      <c r="BF54" s="56">
        <f>IF($C54=Repart_lignes,0,
(SUMIF(Fonctionnement[Affectation matrice],$A54,Fonctionnement[Montant (€HT)])+SUMIF(Invest[Affectation matrice],$A54,Invest[Amortissement HT + intérêts]))*CF54)</f>
        <v>0</v>
      </c>
      <c r="BG54" s="56">
        <f>IF($C54=Repart_lignes,0,
(SUMIF(Fonctionnement[Affectation matrice],$A54,Fonctionnement[Montant (€HT)])+SUMIF(Invest[Affectation matrice],$A54,Invest[Amortissement HT + intérêts]))*CG54)</f>
        <v>0</v>
      </c>
      <c r="BH54" s="56">
        <f>IF($C54=Repart_lignes,0,
(SUMIF(Fonctionnement[Affectation matrice],$A54,Fonctionnement[Montant (€HT)])+SUMIF(Invest[Affectation matrice],$A54,Invest[Amortissement HT + intérêts]))*CH54)</f>
        <v>0</v>
      </c>
      <c r="BI54" s="56">
        <f>IF($C54=Repart_lignes,0,
(SUMIF(Fonctionnement[Affectation matrice],$A54,Fonctionnement[Montant (€HT)])+SUMIF(Invest[Affectation matrice],$A54,Invest[Amortissement HT + intérêts]))*CI54)</f>
        <v>0</v>
      </c>
      <c r="BJ54" s="56">
        <f>IF($C54=Repart_lignes,0,
(SUMIF(Fonctionnement[Affectation matrice],$A54,Fonctionnement[Montant (€HT)])+SUMIF(Invest[Affectation matrice],$A54,Invest[Amortissement HT + intérêts]))*CJ54)</f>
        <v>0</v>
      </c>
      <c r="BK54" s="56">
        <f>IF($C54=Repart_lignes,0,
(SUMIF(Fonctionnement[Affectation matrice],$A54,Fonctionnement[Montant (€HT)])+SUMIF(Invest[Affectation matrice],$A54,Invest[Amortissement HT + intérêts]))*CK54)</f>
        <v>0</v>
      </c>
      <c r="BL54" s="56">
        <f>IF($C54=Repart_lignes,0,
(SUMIF(Fonctionnement[Affectation matrice],$A54,Fonctionnement[Montant (€HT)])+SUMIF(Invest[Affectation matrice],$A54,Invest[Amortissement HT + intérêts]))*CL54)</f>
        <v>0</v>
      </c>
      <c r="BM54" s="56">
        <f>IF($C54=Repart_lignes,0,
(SUMIF(Fonctionnement[Affectation matrice],$A54,Fonctionnement[Montant (€HT)])+SUMIF(Invest[Affectation matrice],$A54,Invest[Amortissement HT + intérêts]))*CM54)</f>
        <v>0</v>
      </c>
      <c r="BN54" s="56">
        <f>IF($C54=Repart_lignes,0,
(SUMIF(Fonctionnement[Affectation matrice],$A54,Fonctionnement[Montant (€HT)])+SUMIF(Invest[Affectation matrice],$A54,Invest[Amortissement HT + intérêts]))*CN54)</f>
        <v>0</v>
      </c>
      <c r="BO54" s="56">
        <f>IF($C54=Repart_lignes,0,
(SUMIF(Fonctionnement[Affectation matrice],$A54,Fonctionnement[Montant (€HT)])+SUMIF(Invest[Affectation matrice],$A54,Invest[Amortissement HT + intérêts]))*CO54)</f>
        <v>0</v>
      </c>
      <c r="BP54" s="56">
        <f>IF($C54=Repart_lignes,0,
(SUMIF(Fonctionnement[Affectation matrice],$A54,Fonctionnement[Montant (€HT)])+SUMIF(Invest[Affectation matrice],$A54,Invest[Amortissement HT + intérêts]))*CP54)</f>
        <v>0</v>
      </c>
      <c r="BQ54" s="56">
        <f>IF($C54=Repart_lignes,0,
(SUMIF(Fonctionnement[Affectation matrice],$A54,Fonctionnement[Montant (€HT)])+SUMIF(Invest[Affectation matrice],$A54,Invest[Amortissement HT + intérêts]))*CQ54)</f>
        <v>0</v>
      </c>
      <c r="BR54" s="56">
        <f>IF($C54=Repart_lignes,0,
(SUMIF(Fonctionnement[Affectation matrice],$A54,Fonctionnement[Montant (€HT)])+SUMIF(Invest[Affectation matrice],$A54,Invest[Amortissement HT + intérêts]))*CR54)</f>
        <v>0</v>
      </c>
      <c r="BS54" s="56">
        <f>IF($C54=Repart_lignes,0,
(SUMIF(Fonctionnement[Affectation matrice],$A54,Fonctionnement[Montant (€HT)])+SUMIF(Invest[Affectation matrice],$A54,Invest[Amortissement HT + intérêts]))*CS54)</f>
        <v>0</v>
      </c>
      <c r="BT54" s="56">
        <f>IF($C54=Repart_lignes,0,
(SUMIF(Fonctionnement[Affectation matrice],$A54,Fonctionnement[Montant (€HT)])+SUMIF(Invest[Affectation matrice],$A54,Invest[Amortissement HT + intérêts]))*CT54)</f>
        <v>0</v>
      </c>
      <c r="BU54" s="56">
        <f>IF($C54=Repart_lignes,0,
(SUMIF(Fonctionnement[Affectation matrice],$A54,Fonctionnement[Montant (€HT)])+SUMIF(Invest[Affectation matrice],$A54,Invest[Amortissement HT + intérêts]))*CU54)</f>
        <v>0</v>
      </c>
      <c r="BV54" s="56">
        <f>IF($C54=Repart_lignes,0,
(SUMIF(Fonctionnement[Affectation matrice],$A54,Fonctionnement[Montant (€HT)])+SUMIF(Invest[Affectation matrice],$A54,Invest[Amortissement HT + intérêts]))*CV54)</f>
        <v>0</v>
      </c>
      <c r="BW54" s="56">
        <f>IF($C54=Repart_lignes,0,
(SUMIF(Fonctionnement[Affectation matrice],$A54,Fonctionnement[Montant (€HT)])+SUMIF(Invest[Affectation matrice],$A54,Invest[Amortissement HT + intérêts]))*CW54)</f>
        <v>0</v>
      </c>
      <c r="BX54" s="56">
        <f>IF($C54=Repart_lignes,0,
(SUMIF(Fonctionnement[Affectation matrice],$A54,Fonctionnement[Montant (€HT)])+SUMIF(Invest[Affectation matrice],$A54,Invest[Amortissement HT + intérêts]))*CX54)</f>
        <v>0</v>
      </c>
      <c r="BY54" s="56">
        <f>IF($C54=Repart_lignes,0,
(SUMIF(Fonctionnement[Affectation matrice],$A54,Fonctionnement[Montant (€HT)])+SUMIF(Invest[Affectation matrice],$A54,Invest[Amortissement HT + intérêts]))*CY54)</f>
        <v>0</v>
      </c>
      <c r="BZ54" s="56">
        <f>IF($C54=Repart_lignes,0,
(SUMIF(Fonctionnement[Affectation matrice],$A54,Fonctionnement[Montant (€HT)])+SUMIF(Invest[Affectation matrice],$A54,Invest[Amortissement HT + intérêts]))*CZ54)</f>
        <v>0</v>
      </c>
      <c r="CA54" s="56">
        <f>IF($C54=Repart_lignes,0,
(SUMIF(Fonctionnement[Affectation matrice],$A54,Fonctionnement[Montant (€HT)])+SUMIF(Invest[Affectation matrice],$A54,Invest[Amortissement HT + intérêts]))*DA54)</f>
        <v>0</v>
      </c>
      <c r="CB54" s="56">
        <f>IF($C54=Repart_lignes,0,
(SUMIF(Fonctionnement[Affectation matrice],$A54,Fonctionnement[Montant (€HT)])+SUMIF(Invest[Affectation matrice],$A54,Invest[Amortissement HT + intérêts]))*DB54)</f>
        <v>0</v>
      </c>
      <c r="CC54" s="56">
        <f>IF($C54=Repart_lignes,0,
(SUMIF(Fonctionnement[Affectation matrice],$A54,Fonctionnement[Montant (€HT)])+SUMIF(Invest[Affectation matrice],$A54,Invest[Amortissement HT + intérêts]))*DC54)</f>
        <v>0</v>
      </c>
      <c r="CD54" s="56">
        <f>IF($C54=Repart_lignes,0,
(SUMIF(Fonctionnement[Affectation matrice],$A54,Fonctionnement[Montant (€HT)])+SUMIF(Invest[Affectation matrice],$A54,Invest[Amortissement HT + intérêts]))*DD54)</f>
        <v>0</v>
      </c>
      <c r="CE54" s="59">
        <f t="shared" si="33"/>
        <v>0</v>
      </c>
      <c r="CF54" s="61">
        <f t="shared" si="34"/>
        <v>0</v>
      </c>
      <c r="CG54" s="61">
        <f t="shared" si="35"/>
        <v>0</v>
      </c>
      <c r="CH54" s="61">
        <f t="shared" si="36"/>
        <v>0</v>
      </c>
      <c r="CI54" s="61">
        <f t="shared" si="37"/>
        <v>0</v>
      </c>
      <c r="CJ54" s="61">
        <f t="shared" si="38"/>
        <v>0</v>
      </c>
      <c r="CK54" s="61">
        <f t="shared" si="39"/>
        <v>0</v>
      </c>
      <c r="CL54" s="61">
        <f t="shared" si="40"/>
        <v>0</v>
      </c>
      <c r="CM54" s="61">
        <f t="shared" si="41"/>
        <v>0</v>
      </c>
      <c r="CN54" s="61">
        <f t="shared" si="42"/>
        <v>0</v>
      </c>
      <c r="CO54" s="61">
        <f t="shared" si="43"/>
        <v>0</v>
      </c>
      <c r="CP54" s="61">
        <f t="shared" si="44"/>
        <v>0</v>
      </c>
      <c r="CQ54" s="61">
        <f t="shared" si="45"/>
        <v>0</v>
      </c>
      <c r="CR54" s="61">
        <f t="shared" si="46"/>
        <v>0</v>
      </c>
      <c r="CS54" s="61">
        <f t="shared" si="47"/>
        <v>0</v>
      </c>
      <c r="CT54" s="61">
        <f t="shared" si="48"/>
        <v>0</v>
      </c>
      <c r="CU54" s="61">
        <f t="shared" si="49"/>
        <v>0</v>
      </c>
      <c r="CV54" s="61">
        <f t="shared" si="50"/>
        <v>0</v>
      </c>
      <c r="CW54" s="61">
        <f t="shared" si="51"/>
        <v>0</v>
      </c>
      <c r="CX54" s="61">
        <f t="shared" si="52"/>
        <v>0</v>
      </c>
      <c r="CY54" s="61">
        <f t="shared" si="53"/>
        <v>0</v>
      </c>
      <c r="CZ54" s="61">
        <f t="shared" si="54"/>
        <v>0</v>
      </c>
      <c r="DA54" s="61">
        <f t="shared" si="55"/>
        <v>0</v>
      </c>
      <c r="DB54" s="61">
        <f t="shared" si="56"/>
        <v>0</v>
      </c>
      <c r="DC54" s="61">
        <f t="shared" si="57"/>
        <v>0</v>
      </c>
      <c r="DD54" s="61">
        <f t="shared" si="58"/>
        <v>0</v>
      </c>
      <c r="DE54" s="61">
        <f t="shared" si="59"/>
        <v>0</v>
      </c>
    </row>
    <row r="55" spans="1:109" x14ac:dyDescent="0.25">
      <c r="A55" s="248"/>
      <c r="B55" s="248"/>
      <c r="C55" s="251"/>
      <c r="D55" s="25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1">
        <f t="shared" si="31"/>
        <v>0</v>
      </c>
      <c r="AE55" s="53" t="str">
        <f t="shared" ca="1" si="29"/>
        <v/>
      </c>
      <c r="AF55" s="56">
        <f>IF($C55=Repart_lignes,0,
(SUMIF(Fonctionnement[Affectation matrice],$A55,Fonctionnement[TVA acquittée])+SUMIF(Invest[Affectation matrice],$A55,Invest[TVA acquittée]))*CF55)</f>
        <v>0</v>
      </c>
      <c r="AG55" s="56">
        <f>IF($C55=Repart_lignes,0,
(SUMIF(Fonctionnement[Affectation matrice],$A55,Fonctionnement[TVA acquittée])+SUMIF(Invest[Affectation matrice],$A55,Invest[TVA acquittée]))*CG55)</f>
        <v>0</v>
      </c>
      <c r="AH55" s="56">
        <f>IF($C55=Repart_lignes,0,
(SUMIF(Fonctionnement[Affectation matrice],$A55,Fonctionnement[TVA acquittée])+SUMIF(Invest[Affectation matrice],$A55,Invest[TVA acquittée]))*CH55)</f>
        <v>0</v>
      </c>
      <c r="AI55" s="56">
        <f>IF($C55=Repart_lignes,0,
(SUMIF(Fonctionnement[Affectation matrice],$A55,Fonctionnement[TVA acquittée])+SUMIF(Invest[Affectation matrice],$A55,Invest[TVA acquittée]))*CI55)</f>
        <v>0</v>
      </c>
      <c r="AJ55" s="56">
        <f>IF($C55=Repart_lignes,0,
(SUMIF(Fonctionnement[Affectation matrice],$A55,Fonctionnement[TVA acquittée])+SUMIF(Invest[Affectation matrice],$A55,Invest[TVA acquittée]))*CJ55)</f>
        <v>0</v>
      </c>
      <c r="AK55" s="56">
        <f>IF($C55=Repart_lignes,0,
(SUMIF(Fonctionnement[Affectation matrice],$A55,Fonctionnement[TVA acquittée])+SUMIF(Invest[Affectation matrice],$A55,Invest[TVA acquittée]))*CK55)</f>
        <v>0</v>
      </c>
      <c r="AL55" s="56">
        <f>IF($C55=Repart_lignes,0,
(SUMIF(Fonctionnement[Affectation matrice],$A55,Fonctionnement[TVA acquittée])+SUMIF(Invest[Affectation matrice],$A55,Invest[TVA acquittée]))*CL55)</f>
        <v>0</v>
      </c>
      <c r="AM55" s="56">
        <f>IF($C55=Repart_lignes,0,
(SUMIF(Fonctionnement[Affectation matrice],$A55,Fonctionnement[TVA acquittée])+SUMIF(Invest[Affectation matrice],$A55,Invest[TVA acquittée]))*CM55)</f>
        <v>0</v>
      </c>
      <c r="AN55" s="56">
        <f>IF($C55=Repart_lignes,0,
(SUMIF(Fonctionnement[Affectation matrice],$A55,Fonctionnement[TVA acquittée])+SUMIF(Invest[Affectation matrice],$A55,Invest[TVA acquittée]))*CN55)</f>
        <v>0</v>
      </c>
      <c r="AO55" s="56">
        <f>IF($C55=Repart_lignes,0,
(SUMIF(Fonctionnement[Affectation matrice],$A55,Fonctionnement[TVA acquittée])+SUMIF(Invest[Affectation matrice],$A55,Invest[TVA acquittée]))*CO55)</f>
        <v>0</v>
      </c>
      <c r="AP55" s="56">
        <f>IF($C55=Repart_lignes,0,
(SUMIF(Fonctionnement[Affectation matrice],$A55,Fonctionnement[TVA acquittée])+SUMIF(Invest[Affectation matrice],$A55,Invest[TVA acquittée]))*CP55)</f>
        <v>0</v>
      </c>
      <c r="AQ55" s="56">
        <f>IF($C55=Repart_lignes,0,
(SUMIF(Fonctionnement[Affectation matrice],$A55,Fonctionnement[TVA acquittée])+SUMIF(Invest[Affectation matrice],$A55,Invest[TVA acquittée]))*CQ55)</f>
        <v>0</v>
      </c>
      <c r="AR55" s="56">
        <f>IF($C55=Repart_lignes,0,
(SUMIF(Fonctionnement[Affectation matrice],$A55,Fonctionnement[TVA acquittée])+SUMIF(Invest[Affectation matrice],$A55,Invest[TVA acquittée]))*CR55)</f>
        <v>0</v>
      </c>
      <c r="AS55" s="56">
        <f>IF($C55=Repart_lignes,0,
(SUMIF(Fonctionnement[Affectation matrice],$A55,Fonctionnement[TVA acquittée])+SUMIF(Invest[Affectation matrice],$A55,Invest[TVA acquittée]))*CS55)</f>
        <v>0</v>
      </c>
      <c r="AT55" s="56">
        <f>IF($C55=Repart_lignes,0,
(SUMIF(Fonctionnement[Affectation matrice],$A55,Fonctionnement[TVA acquittée])+SUMIF(Invest[Affectation matrice],$A55,Invest[TVA acquittée]))*CT55)</f>
        <v>0</v>
      </c>
      <c r="AU55" s="56">
        <f>IF($C55=Repart_lignes,0,
(SUMIF(Fonctionnement[Affectation matrice],$A55,Fonctionnement[TVA acquittée])+SUMIF(Invest[Affectation matrice],$A55,Invest[TVA acquittée]))*CU55)</f>
        <v>0</v>
      </c>
      <c r="AV55" s="56">
        <f>IF($C55=Repart_lignes,0,
(SUMIF(Fonctionnement[Affectation matrice],$A55,Fonctionnement[TVA acquittée])+SUMIF(Invest[Affectation matrice],$A55,Invest[TVA acquittée]))*CV55)</f>
        <v>0</v>
      </c>
      <c r="AW55" s="56">
        <f>IF($C55=Repart_lignes,0,
(SUMIF(Fonctionnement[Affectation matrice],$A55,Fonctionnement[TVA acquittée])+SUMIF(Invest[Affectation matrice],$A55,Invest[TVA acquittée]))*CW55)</f>
        <v>0</v>
      </c>
      <c r="AX55" s="56">
        <f>IF($C55=Repart_lignes,0,
(SUMIF(Fonctionnement[Affectation matrice],$A55,Fonctionnement[TVA acquittée])+SUMIF(Invest[Affectation matrice],$A55,Invest[TVA acquittée]))*CX55)</f>
        <v>0</v>
      </c>
      <c r="AY55" s="56">
        <f>IF($C55=Repart_lignes,0,
(SUMIF(Fonctionnement[Affectation matrice],$A55,Fonctionnement[TVA acquittée])+SUMIF(Invest[Affectation matrice],$A55,Invest[TVA acquittée]))*CY55)</f>
        <v>0</v>
      </c>
      <c r="AZ55" s="56">
        <f>IF($C55=Repart_lignes,0,
(SUMIF(Fonctionnement[Affectation matrice],$A55,Fonctionnement[TVA acquittée])+SUMIF(Invest[Affectation matrice],$A55,Invest[TVA acquittée]))*CZ55)</f>
        <v>0</v>
      </c>
      <c r="BA55" s="56">
        <f>IF($C55=Repart_lignes,0,
(SUMIF(Fonctionnement[Affectation matrice],$A55,Fonctionnement[TVA acquittée])+SUMIF(Invest[Affectation matrice],$A55,Invest[TVA acquittée]))*DA55)</f>
        <v>0</v>
      </c>
      <c r="BB55" s="56">
        <f>IF($C55=Repart_lignes,0,
(SUMIF(Fonctionnement[Affectation matrice],$A55,Fonctionnement[TVA acquittée])+SUMIF(Invest[Affectation matrice],$A55,Invest[TVA acquittée]))*DB55)</f>
        <v>0</v>
      </c>
      <c r="BC55" s="56">
        <f>IF($C55=Repart_lignes,0,
(SUMIF(Fonctionnement[Affectation matrice],$A55,Fonctionnement[TVA acquittée])+SUMIF(Invest[Affectation matrice],$A55,Invest[TVA acquittée]))*DC55)</f>
        <v>0</v>
      </c>
      <c r="BD55" s="56">
        <f>IF($C55=Repart_lignes,0,
(SUMIF(Fonctionnement[Affectation matrice],$A55,Fonctionnement[TVA acquittée])+SUMIF(Invest[Affectation matrice],$A55,Invest[TVA acquittée]))*DD55)</f>
        <v>0</v>
      </c>
      <c r="BE55" s="58">
        <f t="shared" si="32"/>
        <v>0</v>
      </c>
      <c r="BF55" s="56">
        <f>IF($C55=Repart_lignes,0,
(SUMIF(Fonctionnement[Affectation matrice],$A55,Fonctionnement[Montant (€HT)])+SUMIF(Invest[Affectation matrice],$A55,Invest[Amortissement HT + intérêts]))*CF55)</f>
        <v>0</v>
      </c>
      <c r="BG55" s="56">
        <f>IF($C55=Repart_lignes,0,
(SUMIF(Fonctionnement[Affectation matrice],$A55,Fonctionnement[Montant (€HT)])+SUMIF(Invest[Affectation matrice],$A55,Invest[Amortissement HT + intérêts]))*CG55)</f>
        <v>0</v>
      </c>
      <c r="BH55" s="56">
        <f>IF($C55=Repart_lignes,0,
(SUMIF(Fonctionnement[Affectation matrice],$A55,Fonctionnement[Montant (€HT)])+SUMIF(Invest[Affectation matrice],$A55,Invest[Amortissement HT + intérêts]))*CH55)</f>
        <v>0</v>
      </c>
      <c r="BI55" s="56">
        <f>IF($C55=Repart_lignes,0,
(SUMIF(Fonctionnement[Affectation matrice],$A55,Fonctionnement[Montant (€HT)])+SUMIF(Invest[Affectation matrice],$A55,Invest[Amortissement HT + intérêts]))*CI55)</f>
        <v>0</v>
      </c>
      <c r="BJ55" s="56">
        <f>IF($C55=Repart_lignes,0,
(SUMIF(Fonctionnement[Affectation matrice],$A55,Fonctionnement[Montant (€HT)])+SUMIF(Invest[Affectation matrice],$A55,Invest[Amortissement HT + intérêts]))*CJ55)</f>
        <v>0</v>
      </c>
      <c r="BK55" s="56">
        <f>IF($C55=Repart_lignes,0,
(SUMIF(Fonctionnement[Affectation matrice],$A55,Fonctionnement[Montant (€HT)])+SUMIF(Invest[Affectation matrice],$A55,Invest[Amortissement HT + intérêts]))*CK55)</f>
        <v>0</v>
      </c>
      <c r="BL55" s="56">
        <f>IF($C55=Repart_lignes,0,
(SUMIF(Fonctionnement[Affectation matrice],$A55,Fonctionnement[Montant (€HT)])+SUMIF(Invest[Affectation matrice],$A55,Invest[Amortissement HT + intérêts]))*CL55)</f>
        <v>0</v>
      </c>
      <c r="BM55" s="56">
        <f>IF($C55=Repart_lignes,0,
(SUMIF(Fonctionnement[Affectation matrice],$A55,Fonctionnement[Montant (€HT)])+SUMIF(Invest[Affectation matrice],$A55,Invest[Amortissement HT + intérêts]))*CM55)</f>
        <v>0</v>
      </c>
      <c r="BN55" s="56">
        <f>IF($C55=Repart_lignes,0,
(SUMIF(Fonctionnement[Affectation matrice],$A55,Fonctionnement[Montant (€HT)])+SUMIF(Invest[Affectation matrice],$A55,Invest[Amortissement HT + intérêts]))*CN55)</f>
        <v>0</v>
      </c>
      <c r="BO55" s="56">
        <f>IF($C55=Repart_lignes,0,
(SUMIF(Fonctionnement[Affectation matrice],$A55,Fonctionnement[Montant (€HT)])+SUMIF(Invest[Affectation matrice],$A55,Invest[Amortissement HT + intérêts]))*CO55)</f>
        <v>0</v>
      </c>
      <c r="BP55" s="56">
        <f>IF($C55=Repart_lignes,0,
(SUMIF(Fonctionnement[Affectation matrice],$A55,Fonctionnement[Montant (€HT)])+SUMIF(Invest[Affectation matrice],$A55,Invest[Amortissement HT + intérêts]))*CP55)</f>
        <v>0</v>
      </c>
      <c r="BQ55" s="56">
        <f>IF($C55=Repart_lignes,0,
(SUMIF(Fonctionnement[Affectation matrice],$A55,Fonctionnement[Montant (€HT)])+SUMIF(Invest[Affectation matrice],$A55,Invest[Amortissement HT + intérêts]))*CQ55)</f>
        <v>0</v>
      </c>
      <c r="BR55" s="56">
        <f>IF($C55=Repart_lignes,0,
(SUMIF(Fonctionnement[Affectation matrice],$A55,Fonctionnement[Montant (€HT)])+SUMIF(Invest[Affectation matrice],$A55,Invest[Amortissement HT + intérêts]))*CR55)</f>
        <v>0</v>
      </c>
      <c r="BS55" s="56">
        <f>IF($C55=Repart_lignes,0,
(SUMIF(Fonctionnement[Affectation matrice],$A55,Fonctionnement[Montant (€HT)])+SUMIF(Invest[Affectation matrice],$A55,Invest[Amortissement HT + intérêts]))*CS55)</f>
        <v>0</v>
      </c>
      <c r="BT55" s="56">
        <f>IF($C55=Repart_lignes,0,
(SUMIF(Fonctionnement[Affectation matrice],$A55,Fonctionnement[Montant (€HT)])+SUMIF(Invest[Affectation matrice],$A55,Invest[Amortissement HT + intérêts]))*CT55)</f>
        <v>0</v>
      </c>
      <c r="BU55" s="56">
        <f>IF($C55=Repart_lignes,0,
(SUMIF(Fonctionnement[Affectation matrice],$A55,Fonctionnement[Montant (€HT)])+SUMIF(Invest[Affectation matrice],$A55,Invest[Amortissement HT + intérêts]))*CU55)</f>
        <v>0</v>
      </c>
      <c r="BV55" s="56">
        <f>IF($C55=Repart_lignes,0,
(SUMIF(Fonctionnement[Affectation matrice],$A55,Fonctionnement[Montant (€HT)])+SUMIF(Invest[Affectation matrice],$A55,Invest[Amortissement HT + intérêts]))*CV55)</f>
        <v>0</v>
      </c>
      <c r="BW55" s="56">
        <f>IF($C55=Repart_lignes,0,
(SUMIF(Fonctionnement[Affectation matrice],$A55,Fonctionnement[Montant (€HT)])+SUMIF(Invest[Affectation matrice],$A55,Invest[Amortissement HT + intérêts]))*CW55)</f>
        <v>0</v>
      </c>
      <c r="BX55" s="56">
        <f>IF($C55=Repart_lignes,0,
(SUMIF(Fonctionnement[Affectation matrice],$A55,Fonctionnement[Montant (€HT)])+SUMIF(Invest[Affectation matrice],$A55,Invest[Amortissement HT + intérêts]))*CX55)</f>
        <v>0</v>
      </c>
      <c r="BY55" s="56">
        <f>IF($C55=Repart_lignes,0,
(SUMIF(Fonctionnement[Affectation matrice],$A55,Fonctionnement[Montant (€HT)])+SUMIF(Invest[Affectation matrice],$A55,Invest[Amortissement HT + intérêts]))*CY55)</f>
        <v>0</v>
      </c>
      <c r="BZ55" s="56">
        <f>IF($C55=Repart_lignes,0,
(SUMIF(Fonctionnement[Affectation matrice],$A55,Fonctionnement[Montant (€HT)])+SUMIF(Invest[Affectation matrice],$A55,Invest[Amortissement HT + intérêts]))*CZ55)</f>
        <v>0</v>
      </c>
      <c r="CA55" s="56">
        <f>IF($C55=Repart_lignes,0,
(SUMIF(Fonctionnement[Affectation matrice],$A55,Fonctionnement[Montant (€HT)])+SUMIF(Invest[Affectation matrice],$A55,Invest[Amortissement HT + intérêts]))*DA55)</f>
        <v>0</v>
      </c>
      <c r="CB55" s="56">
        <f>IF($C55=Repart_lignes,0,
(SUMIF(Fonctionnement[Affectation matrice],$A55,Fonctionnement[Montant (€HT)])+SUMIF(Invest[Affectation matrice],$A55,Invest[Amortissement HT + intérêts]))*DB55)</f>
        <v>0</v>
      </c>
      <c r="CC55" s="56">
        <f>IF($C55=Repart_lignes,0,
(SUMIF(Fonctionnement[Affectation matrice],$A55,Fonctionnement[Montant (€HT)])+SUMIF(Invest[Affectation matrice],$A55,Invest[Amortissement HT + intérêts]))*DC55)</f>
        <v>0</v>
      </c>
      <c r="CD55" s="56">
        <f>IF($C55=Repart_lignes,0,
(SUMIF(Fonctionnement[Affectation matrice],$A55,Fonctionnement[Montant (€HT)])+SUMIF(Invest[Affectation matrice],$A55,Invest[Amortissement HT + intérêts]))*DD55)</f>
        <v>0</v>
      </c>
      <c r="CE55" s="59">
        <f t="shared" si="33"/>
        <v>0</v>
      </c>
      <c r="CF55" s="61">
        <f t="shared" si="34"/>
        <v>0</v>
      </c>
      <c r="CG55" s="61">
        <f t="shared" si="35"/>
        <v>0</v>
      </c>
      <c r="CH55" s="61">
        <f t="shared" si="36"/>
        <v>0</v>
      </c>
      <c r="CI55" s="61">
        <f t="shared" si="37"/>
        <v>0</v>
      </c>
      <c r="CJ55" s="61">
        <f t="shared" si="38"/>
        <v>0</v>
      </c>
      <c r="CK55" s="61">
        <f t="shared" si="39"/>
        <v>0</v>
      </c>
      <c r="CL55" s="61">
        <f t="shared" si="40"/>
        <v>0</v>
      </c>
      <c r="CM55" s="61">
        <f t="shared" si="41"/>
        <v>0</v>
      </c>
      <c r="CN55" s="61">
        <f t="shared" si="42"/>
        <v>0</v>
      </c>
      <c r="CO55" s="61">
        <f t="shared" si="43"/>
        <v>0</v>
      </c>
      <c r="CP55" s="61">
        <f t="shared" si="44"/>
        <v>0</v>
      </c>
      <c r="CQ55" s="61">
        <f t="shared" si="45"/>
        <v>0</v>
      </c>
      <c r="CR55" s="61">
        <f t="shared" si="46"/>
        <v>0</v>
      </c>
      <c r="CS55" s="61">
        <f t="shared" si="47"/>
        <v>0</v>
      </c>
      <c r="CT55" s="61">
        <f t="shared" si="48"/>
        <v>0</v>
      </c>
      <c r="CU55" s="61">
        <f t="shared" si="49"/>
        <v>0</v>
      </c>
      <c r="CV55" s="61">
        <f t="shared" si="50"/>
        <v>0</v>
      </c>
      <c r="CW55" s="61">
        <f t="shared" si="51"/>
        <v>0</v>
      </c>
      <c r="CX55" s="61">
        <f t="shared" si="52"/>
        <v>0</v>
      </c>
      <c r="CY55" s="61">
        <f t="shared" si="53"/>
        <v>0</v>
      </c>
      <c r="CZ55" s="61">
        <f t="shared" si="54"/>
        <v>0</v>
      </c>
      <c r="DA55" s="61">
        <f t="shared" si="55"/>
        <v>0</v>
      </c>
      <c r="DB55" s="61">
        <f t="shared" si="56"/>
        <v>0</v>
      </c>
      <c r="DC55" s="61">
        <f t="shared" si="57"/>
        <v>0</v>
      </c>
      <c r="DD55" s="61">
        <f t="shared" si="58"/>
        <v>0</v>
      </c>
      <c r="DE55" s="61">
        <f t="shared" si="59"/>
        <v>0</v>
      </c>
    </row>
    <row r="56" spans="1:109" x14ac:dyDescent="0.25">
      <c r="A56" s="248"/>
      <c r="B56" s="248"/>
      <c r="C56" s="251"/>
      <c r="D56" s="25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1">
        <f t="shared" si="31"/>
        <v>0</v>
      </c>
      <c r="AE56" s="53" t="str">
        <f t="shared" ca="1" si="29"/>
        <v/>
      </c>
      <c r="AF56" s="56">
        <f>IF($C56=Repart_lignes,0,
(SUMIF(Fonctionnement[Affectation matrice],$A56,Fonctionnement[TVA acquittée])+SUMIF(Invest[Affectation matrice],$A56,Invest[TVA acquittée]))*CF56)</f>
        <v>0</v>
      </c>
      <c r="AG56" s="56">
        <f>IF($C56=Repart_lignes,0,
(SUMIF(Fonctionnement[Affectation matrice],$A56,Fonctionnement[TVA acquittée])+SUMIF(Invest[Affectation matrice],$A56,Invest[TVA acquittée]))*CG56)</f>
        <v>0</v>
      </c>
      <c r="AH56" s="56">
        <f>IF($C56=Repart_lignes,0,
(SUMIF(Fonctionnement[Affectation matrice],$A56,Fonctionnement[TVA acquittée])+SUMIF(Invest[Affectation matrice],$A56,Invest[TVA acquittée]))*CH56)</f>
        <v>0</v>
      </c>
      <c r="AI56" s="56">
        <f>IF($C56=Repart_lignes,0,
(SUMIF(Fonctionnement[Affectation matrice],$A56,Fonctionnement[TVA acquittée])+SUMIF(Invest[Affectation matrice],$A56,Invest[TVA acquittée]))*CI56)</f>
        <v>0</v>
      </c>
      <c r="AJ56" s="56">
        <f>IF($C56=Repart_lignes,0,
(SUMIF(Fonctionnement[Affectation matrice],$A56,Fonctionnement[TVA acquittée])+SUMIF(Invest[Affectation matrice],$A56,Invest[TVA acquittée]))*CJ56)</f>
        <v>0</v>
      </c>
      <c r="AK56" s="56">
        <f>IF($C56=Repart_lignes,0,
(SUMIF(Fonctionnement[Affectation matrice],$A56,Fonctionnement[TVA acquittée])+SUMIF(Invest[Affectation matrice],$A56,Invest[TVA acquittée]))*CK56)</f>
        <v>0</v>
      </c>
      <c r="AL56" s="56">
        <f>IF($C56=Repart_lignes,0,
(SUMIF(Fonctionnement[Affectation matrice],$A56,Fonctionnement[TVA acquittée])+SUMIF(Invest[Affectation matrice],$A56,Invest[TVA acquittée]))*CL56)</f>
        <v>0</v>
      </c>
      <c r="AM56" s="56">
        <f>IF($C56=Repart_lignes,0,
(SUMIF(Fonctionnement[Affectation matrice],$A56,Fonctionnement[TVA acquittée])+SUMIF(Invest[Affectation matrice],$A56,Invest[TVA acquittée]))*CM56)</f>
        <v>0</v>
      </c>
      <c r="AN56" s="56">
        <f>IF($C56=Repart_lignes,0,
(SUMIF(Fonctionnement[Affectation matrice],$A56,Fonctionnement[TVA acquittée])+SUMIF(Invest[Affectation matrice],$A56,Invest[TVA acquittée]))*CN56)</f>
        <v>0</v>
      </c>
      <c r="AO56" s="56">
        <f>IF($C56=Repart_lignes,0,
(SUMIF(Fonctionnement[Affectation matrice],$A56,Fonctionnement[TVA acquittée])+SUMIF(Invest[Affectation matrice],$A56,Invest[TVA acquittée]))*CO56)</f>
        <v>0</v>
      </c>
      <c r="AP56" s="56">
        <f>IF($C56=Repart_lignes,0,
(SUMIF(Fonctionnement[Affectation matrice],$A56,Fonctionnement[TVA acquittée])+SUMIF(Invest[Affectation matrice],$A56,Invest[TVA acquittée]))*CP56)</f>
        <v>0</v>
      </c>
      <c r="AQ56" s="56">
        <f>IF($C56=Repart_lignes,0,
(SUMIF(Fonctionnement[Affectation matrice],$A56,Fonctionnement[TVA acquittée])+SUMIF(Invest[Affectation matrice],$A56,Invest[TVA acquittée]))*CQ56)</f>
        <v>0</v>
      </c>
      <c r="AR56" s="56">
        <f>IF($C56=Repart_lignes,0,
(SUMIF(Fonctionnement[Affectation matrice],$A56,Fonctionnement[TVA acquittée])+SUMIF(Invest[Affectation matrice],$A56,Invest[TVA acquittée]))*CR56)</f>
        <v>0</v>
      </c>
      <c r="AS56" s="56">
        <f>IF($C56=Repart_lignes,0,
(SUMIF(Fonctionnement[Affectation matrice],$A56,Fonctionnement[TVA acquittée])+SUMIF(Invest[Affectation matrice],$A56,Invest[TVA acquittée]))*CS56)</f>
        <v>0</v>
      </c>
      <c r="AT56" s="56">
        <f>IF($C56=Repart_lignes,0,
(SUMIF(Fonctionnement[Affectation matrice],$A56,Fonctionnement[TVA acquittée])+SUMIF(Invest[Affectation matrice],$A56,Invest[TVA acquittée]))*CT56)</f>
        <v>0</v>
      </c>
      <c r="AU56" s="56">
        <f>IF($C56=Repart_lignes,0,
(SUMIF(Fonctionnement[Affectation matrice],$A56,Fonctionnement[TVA acquittée])+SUMIF(Invest[Affectation matrice],$A56,Invest[TVA acquittée]))*CU56)</f>
        <v>0</v>
      </c>
      <c r="AV56" s="56">
        <f>IF($C56=Repart_lignes,0,
(SUMIF(Fonctionnement[Affectation matrice],$A56,Fonctionnement[TVA acquittée])+SUMIF(Invest[Affectation matrice],$A56,Invest[TVA acquittée]))*CV56)</f>
        <v>0</v>
      </c>
      <c r="AW56" s="56">
        <f>IF($C56=Repart_lignes,0,
(SUMIF(Fonctionnement[Affectation matrice],$A56,Fonctionnement[TVA acquittée])+SUMIF(Invest[Affectation matrice],$A56,Invest[TVA acquittée]))*CW56)</f>
        <v>0</v>
      </c>
      <c r="AX56" s="56">
        <f>IF($C56=Repart_lignes,0,
(SUMIF(Fonctionnement[Affectation matrice],$A56,Fonctionnement[TVA acquittée])+SUMIF(Invest[Affectation matrice],$A56,Invest[TVA acquittée]))*CX56)</f>
        <v>0</v>
      </c>
      <c r="AY56" s="56">
        <f>IF($C56=Repart_lignes,0,
(SUMIF(Fonctionnement[Affectation matrice],$A56,Fonctionnement[TVA acquittée])+SUMIF(Invest[Affectation matrice],$A56,Invest[TVA acquittée]))*CY56)</f>
        <v>0</v>
      </c>
      <c r="AZ56" s="56">
        <f>IF($C56=Repart_lignes,0,
(SUMIF(Fonctionnement[Affectation matrice],$A56,Fonctionnement[TVA acquittée])+SUMIF(Invest[Affectation matrice],$A56,Invest[TVA acquittée]))*CZ56)</f>
        <v>0</v>
      </c>
      <c r="BA56" s="56">
        <f>IF($C56=Repart_lignes,0,
(SUMIF(Fonctionnement[Affectation matrice],$A56,Fonctionnement[TVA acquittée])+SUMIF(Invest[Affectation matrice],$A56,Invest[TVA acquittée]))*DA56)</f>
        <v>0</v>
      </c>
      <c r="BB56" s="56">
        <f>IF($C56=Repart_lignes,0,
(SUMIF(Fonctionnement[Affectation matrice],$A56,Fonctionnement[TVA acquittée])+SUMIF(Invest[Affectation matrice],$A56,Invest[TVA acquittée]))*DB56)</f>
        <v>0</v>
      </c>
      <c r="BC56" s="56">
        <f>IF($C56=Repart_lignes,0,
(SUMIF(Fonctionnement[Affectation matrice],$A56,Fonctionnement[TVA acquittée])+SUMIF(Invest[Affectation matrice],$A56,Invest[TVA acquittée]))*DC56)</f>
        <v>0</v>
      </c>
      <c r="BD56" s="56">
        <f>IF($C56=Repart_lignes,0,
(SUMIF(Fonctionnement[Affectation matrice],$A56,Fonctionnement[TVA acquittée])+SUMIF(Invest[Affectation matrice],$A56,Invest[TVA acquittée]))*DD56)</f>
        <v>0</v>
      </c>
      <c r="BE56" s="58">
        <f t="shared" si="32"/>
        <v>0</v>
      </c>
      <c r="BF56" s="56">
        <f>IF($C56=Repart_lignes,0,
(SUMIF(Fonctionnement[Affectation matrice],$A56,Fonctionnement[Montant (€HT)])+SUMIF(Invest[Affectation matrice],$A56,Invest[Amortissement HT + intérêts]))*CF56)</f>
        <v>0</v>
      </c>
      <c r="BG56" s="56">
        <f>IF($C56=Repart_lignes,0,
(SUMIF(Fonctionnement[Affectation matrice],$A56,Fonctionnement[Montant (€HT)])+SUMIF(Invest[Affectation matrice],$A56,Invest[Amortissement HT + intérêts]))*CG56)</f>
        <v>0</v>
      </c>
      <c r="BH56" s="56">
        <f>IF($C56=Repart_lignes,0,
(SUMIF(Fonctionnement[Affectation matrice],$A56,Fonctionnement[Montant (€HT)])+SUMIF(Invest[Affectation matrice],$A56,Invest[Amortissement HT + intérêts]))*CH56)</f>
        <v>0</v>
      </c>
      <c r="BI56" s="56">
        <f>IF($C56=Repart_lignes,0,
(SUMIF(Fonctionnement[Affectation matrice],$A56,Fonctionnement[Montant (€HT)])+SUMIF(Invest[Affectation matrice],$A56,Invest[Amortissement HT + intérêts]))*CI56)</f>
        <v>0</v>
      </c>
      <c r="BJ56" s="56">
        <f>IF($C56=Repart_lignes,0,
(SUMIF(Fonctionnement[Affectation matrice],$A56,Fonctionnement[Montant (€HT)])+SUMIF(Invest[Affectation matrice],$A56,Invest[Amortissement HT + intérêts]))*CJ56)</f>
        <v>0</v>
      </c>
      <c r="BK56" s="56">
        <f>IF($C56=Repart_lignes,0,
(SUMIF(Fonctionnement[Affectation matrice],$A56,Fonctionnement[Montant (€HT)])+SUMIF(Invest[Affectation matrice],$A56,Invest[Amortissement HT + intérêts]))*CK56)</f>
        <v>0</v>
      </c>
      <c r="BL56" s="56">
        <f>IF($C56=Repart_lignes,0,
(SUMIF(Fonctionnement[Affectation matrice],$A56,Fonctionnement[Montant (€HT)])+SUMIF(Invest[Affectation matrice],$A56,Invest[Amortissement HT + intérêts]))*CL56)</f>
        <v>0</v>
      </c>
      <c r="BM56" s="56">
        <f>IF($C56=Repart_lignes,0,
(SUMIF(Fonctionnement[Affectation matrice],$A56,Fonctionnement[Montant (€HT)])+SUMIF(Invest[Affectation matrice],$A56,Invest[Amortissement HT + intérêts]))*CM56)</f>
        <v>0</v>
      </c>
      <c r="BN56" s="56">
        <f>IF($C56=Repart_lignes,0,
(SUMIF(Fonctionnement[Affectation matrice],$A56,Fonctionnement[Montant (€HT)])+SUMIF(Invest[Affectation matrice],$A56,Invest[Amortissement HT + intérêts]))*CN56)</f>
        <v>0</v>
      </c>
      <c r="BO56" s="56">
        <f>IF($C56=Repart_lignes,0,
(SUMIF(Fonctionnement[Affectation matrice],$A56,Fonctionnement[Montant (€HT)])+SUMIF(Invest[Affectation matrice],$A56,Invest[Amortissement HT + intérêts]))*CO56)</f>
        <v>0</v>
      </c>
      <c r="BP56" s="56">
        <f>IF($C56=Repart_lignes,0,
(SUMIF(Fonctionnement[Affectation matrice],$A56,Fonctionnement[Montant (€HT)])+SUMIF(Invest[Affectation matrice],$A56,Invest[Amortissement HT + intérêts]))*CP56)</f>
        <v>0</v>
      </c>
      <c r="BQ56" s="56">
        <f>IF($C56=Repart_lignes,0,
(SUMIF(Fonctionnement[Affectation matrice],$A56,Fonctionnement[Montant (€HT)])+SUMIF(Invest[Affectation matrice],$A56,Invest[Amortissement HT + intérêts]))*CQ56)</f>
        <v>0</v>
      </c>
      <c r="BR56" s="56">
        <f>IF($C56=Repart_lignes,0,
(SUMIF(Fonctionnement[Affectation matrice],$A56,Fonctionnement[Montant (€HT)])+SUMIF(Invest[Affectation matrice],$A56,Invest[Amortissement HT + intérêts]))*CR56)</f>
        <v>0</v>
      </c>
      <c r="BS56" s="56">
        <f>IF($C56=Repart_lignes,0,
(SUMIF(Fonctionnement[Affectation matrice],$A56,Fonctionnement[Montant (€HT)])+SUMIF(Invest[Affectation matrice],$A56,Invest[Amortissement HT + intérêts]))*CS56)</f>
        <v>0</v>
      </c>
      <c r="BT56" s="56">
        <f>IF($C56=Repart_lignes,0,
(SUMIF(Fonctionnement[Affectation matrice],$A56,Fonctionnement[Montant (€HT)])+SUMIF(Invest[Affectation matrice],$A56,Invest[Amortissement HT + intérêts]))*CT56)</f>
        <v>0</v>
      </c>
      <c r="BU56" s="56">
        <f>IF($C56=Repart_lignes,0,
(SUMIF(Fonctionnement[Affectation matrice],$A56,Fonctionnement[Montant (€HT)])+SUMIF(Invest[Affectation matrice],$A56,Invest[Amortissement HT + intérêts]))*CU56)</f>
        <v>0</v>
      </c>
      <c r="BV56" s="56">
        <f>IF($C56=Repart_lignes,0,
(SUMIF(Fonctionnement[Affectation matrice],$A56,Fonctionnement[Montant (€HT)])+SUMIF(Invest[Affectation matrice],$A56,Invest[Amortissement HT + intérêts]))*CV56)</f>
        <v>0</v>
      </c>
      <c r="BW56" s="56">
        <f>IF($C56=Repart_lignes,0,
(SUMIF(Fonctionnement[Affectation matrice],$A56,Fonctionnement[Montant (€HT)])+SUMIF(Invest[Affectation matrice],$A56,Invest[Amortissement HT + intérêts]))*CW56)</f>
        <v>0</v>
      </c>
      <c r="BX56" s="56">
        <f>IF($C56=Repart_lignes,0,
(SUMIF(Fonctionnement[Affectation matrice],$A56,Fonctionnement[Montant (€HT)])+SUMIF(Invest[Affectation matrice],$A56,Invest[Amortissement HT + intérêts]))*CX56)</f>
        <v>0</v>
      </c>
      <c r="BY56" s="56">
        <f>IF($C56=Repart_lignes,0,
(SUMIF(Fonctionnement[Affectation matrice],$A56,Fonctionnement[Montant (€HT)])+SUMIF(Invest[Affectation matrice],$A56,Invest[Amortissement HT + intérêts]))*CY56)</f>
        <v>0</v>
      </c>
      <c r="BZ56" s="56">
        <f>IF($C56=Repart_lignes,0,
(SUMIF(Fonctionnement[Affectation matrice],$A56,Fonctionnement[Montant (€HT)])+SUMIF(Invest[Affectation matrice],$A56,Invest[Amortissement HT + intérêts]))*CZ56)</f>
        <v>0</v>
      </c>
      <c r="CA56" s="56">
        <f>IF($C56=Repart_lignes,0,
(SUMIF(Fonctionnement[Affectation matrice],$A56,Fonctionnement[Montant (€HT)])+SUMIF(Invest[Affectation matrice],$A56,Invest[Amortissement HT + intérêts]))*DA56)</f>
        <v>0</v>
      </c>
      <c r="CB56" s="56">
        <f>IF($C56=Repart_lignes,0,
(SUMIF(Fonctionnement[Affectation matrice],$A56,Fonctionnement[Montant (€HT)])+SUMIF(Invest[Affectation matrice],$A56,Invest[Amortissement HT + intérêts]))*DB56)</f>
        <v>0</v>
      </c>
      <c r="CC56" s="56">
        <f>IF($C56=Repart_lignes,0,
(SUMIF(Fonctionnement[Affectation matrice],$A56,Fonctionnement[Montant (€HT)])+SUMIF(Invest[Affectation matrice],$A56,Invest[Amortissement HT + intérêts]))*DC56)</f>
        <v>0</v>
      </c>
      <c r="CD56" s="56">
        <f>IF($C56=Repart_lignes,0,
(SUMIF(Fonctionnement[Affectation matrice],$A56,Fonctionnement[Montant (€HT)])+SUMIF(Invest[Affectation matrice],$A56,Invest[Amortissement HT + intérêts]))*DD56)</f>
        <v>0</v>
      </c>
      <c r="CE56" s="59">
        <f t="shared" si="33"/>
        <v>0</v>
      </c>
      <c r="CF56" s="61">
        <f t="shared" si="34"/>
        <v>0</v>
      </c>
      <c r="CG56" s="61">
        <f t="shared" si="35"/>
        <v>0</v>
      </c>
      <c r="CH56" s="61">
        <f t="shared" si="36"/>
        <v>0</v>
      </c>
      <c r="CI56" s="61">
        <f t="shared" si="37"/>
        <v>0</v>
      </c>
      <c r="CJ56" s="61">
        <f t="shared" si="38"/>
        <v>0</v>
      </c>
      <c r="CK56" s="61">
        <f t="shared" si="39"/>
        <v>0</v>
      </c>
      <c r="CL56" s="61">
        <f t="shared" si="40"/>
        <v>0</v>
      </c>
      <c r="CM56" s="61">
        <f t="shared" si="41"/>
        <v>0</v>
      </c>
      <c r="CN56" s="61">
        <f t="shared" si="42"/>
        <v>0</v>
      </c>
      <c r="CO56" s="61">
        <f t="shared" si="43"/>
        <v>0</v>
      </c>
      <c r="CP56" s="61">
        <f t="shared" si="44"/>
        <v>0</v>
      </c>
      <c r="CQ56" s="61">
        <f t="shared" si="45"/>
        <v>0</v>
      </c>
      <c r="CR56" s="61">
        <f t="shared" si="46"/>
        <v>0</v>
      </c>
      <c r="CS56" s="61">
        <f t="shared" si="47"/>
        <v>0</v>
      </c>
      <c r="CT56" s="61">
        <f t="shared" si="48"/>
        <v>0</v>
      </c>
      <c r="CU56" s="61">
        <f t="shared" si="49"/>
        <v>0</v>
      </c>
      <c r="CV56" s="61">
        <f t="shared" si="50"/>
        <v>0</v>
      </c>
      <c r="CW56" s="61">
        <f t="shared" si="51"/>
        <v>0</v>
      </c>
      <c r="CX56" s="61">
        <f t="shared" si="52"/>
        <v>0</v>
      </c>
      <c r="CY56" s="61">
        <f t="shared" si="53"/>
        <v>0</v>
      </c>
      <c r="CZ56" s="61">
        <f t="shared" si="54"/>
        <v>0</v>
      </c>
      <c r="DA56" s="61">
        <f t="shared" si="55"/>
        <v>0</v>
      </c>
      <c r="DB56" s="61">
        <f t="shared" si="56"/>
        <v>0</v>
      </c>
      <c r="DC56" s="61">
        <f t="shared" si="57"/>
        <v>0</v>
      </c>
      <c r="DD56" s="61">
        <f t="shared" si="58"/>
        <v>0</v>
      </c>
      <c r="DE56" s="61">
        <f t="shared" si="59"/>
        <v>0</v>
      </c>
    </row>
    <row r="57" spans="1:109" x14ac:dyDescent="0.25">
      <c r="A57" s="248"/>
      <c r="B57" s="248"/>
      <c r="C57" s="251"/>
      <c r="D57" s="25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1">
        <f t="shared" si="31"/>
        <v>0</v>
      </c>
      <c r="AE57" s="53" t="str">
        <f t="shared" ca="1" si="29"/>
        <v/>
      </c>
      <c r="AF57" s="56">
        <f>IF($C57=Repart_lignes,0,
(SUMIF(Fonctionnement[Affectation matrice],$A57,Fonctionnement[TVA acquittée])+SUMIF(Invest[Affectation matrice],$A57,Invest[TVA acquittée]))*CF57)</f>
        <v>0</v>
      </c>
      <c r="AG57" s="56">
        <f>IF($C57=Repart_lignes,0,
(SUMIF(Fonctionnement[Affectation matrice],$A57,Fonctionnement[TVA acquittée])+SUMIF(Invest[Affectation matrice],$A57,Invest[TVA acquittée]))*CG57)</f>
        <v>0</v>
      </c>
      <c r="AH57" s="56">
        <f>IF($C57=Repart_lignes,0,
(SUMIF(Fonctionnement[Affectation matrice],$A57,Fonctionnement[TVA acquittée])+SUMIF(Invest[Affectation matrice],$A57,Invest[TVA acquittée]))*CH57)</f>
        <v>0</v>
      </c>
      <c r="AI57" s="56">
        <f>IF($C57=Repart_lignes,0,
(SUMIF(Fonctionnement[Affectation matrice],$A57,Fonctionnement[TVA acquittée])+SUMIF(Invest[Affectation matrice],$A57,Invest[TVA acquittée]))*CI57)</f>
        <v>0</v>
      </c>
      <c r="AJ57" s="56">
        <f>IF($C57=Repart_lignes,0,
(SUMIF(Fonctionnement[Affectation matrice],$A57,Fonctionnement[TVA acquittée])+SUMIF(Invest[Affectation matrice],$A57,Invest[TVA acquittée]))*CJ57)</f>
        <v>0</v>
      </c>
      <c r="AK57" s="56">
        <f>IF($C57=Repart_lignes,0,
(SUMIF(Fonctionnement[Affectation matrice],$A57,Fonctionnement[TVA acquittée])+SUMIF(Invest[Affectation matrice],$A57,Invest[TVA acquittée]))*CK57)</f>
        <v>0</v>
      </c>
      <c r="AL57" s="56">
        <f>IF($C57=Repart_lignes,0,
(SUMIF(Fonctionnement[Affectation matrice],$A57,Fonctionnement[TVA acquittée])+SUMIF(Invest[Affectation matrice],$A57,Invest[TVA acquittée]))*CL57)</f>
        <v>0</v>
      </c>
      <c r="AM57" s="56">
        <f>IF($C57=Repart_lignes,0,
(SUMIF(Fonctionnement[Affectation matrice],$A57,Fonctionnement[TVA acquittée])+SUMIF(Invest[Affectation matrice],$A57,Invest[TVA acquittée]))*CM57)</f>
        <v>0</v>
      </c>
      <c r="AN57" s="56">
        <f>IF($C57=Repart_lignes,0,
(SUMIF(Fonctionnement[Affectation matrice],$A57,Fonctionnement[TVA acquittée])+SUMIF(Invest[Affectation matrice],$A57,Invest[TVA acquittée]))*CN57)</f>
        <v>0</v>
      </c>
      <c r="AO57" s="56">
        <f>IF($C57=Repart_lignes,0,
(SUMIF(Fonctionnement[Affectation matrice],$A57,Fonctionnement[TVA acquittée])+SUMIF(Invest[Affectation matrice],$A57,Invest[TVA acquittée]))*CO57)</f>
        <v>0</v>
      </c>
      <c r="AP57" s="56">
        <f>IF($C57=Repart_lignes,0,
(SUMIF(Fonctionnement[Affectation matrice],$A57,Fonctionnement[TVA acquittée])+SUMIF(Invest[Affectation matrice],$A57,Invest[TVA acquittée]))*CP57)</f>
        <v>0</v>
      </c>
      <c r="AQ57" s="56">
        <f>IF($C57=Repart_lignes,0,
(SUMIF(Fonctionnement[Affectation matrice],$A57,Fonctionnement[TVA acquittée])+SUMIF(Invest[Affectation matrice],$A57,Invest[TVA acquittée]))*CQ57)</f>
        <v>0</v>
      </c>
      <c r="AR57" s="56">
        <f>IF($C57=Repart_lignes,0,
(SUMIF(Fonctionnement[Affectation matrice],$A57,Fonctionnement[TVA acquittée])+SUMIF(Invest[Affectation matrice],$A57,Invest[TVA acquittée]))*CR57)</f>
        <v>0</v>
      </c>
      <c r="AS57" s="56">
        <f>IF($C57=Repart_lignes,0,
(SUMIF(Fonctionnement[Affectation matrice],$A57,Fonctionnement[TVA acquittée])+SUMIF(Invest[Affectation matrice],$A57,Invest[TVA acquittée]))*CS57)</f>
        <v>0</v>
      </c>
      <c r="AT57" s="56">
        <f>IF($C57=Repart_lignes,0,
(SUMIF(Fonctionnement[Affectation matrice],$A57,Fonctionnement[TVA acquittée])+SUMIF(Invest[Affectation matrice],$A57,Invest[TVA acquittée]))*CT57)</f>
        <v>0</v>
      </c>
      <c r="AU57" s="56">
        <f>IF($C57=Repart_lignes,0,
(SUMIF(Fonctionnement[Affectation matrice],$A57,Fonctionnement[TVA acquittée])+SUMIF(Invest[Affectation matrice],$A57,Invest[TVA acquittée]))*CU57)</f>
        <v>0</v>
      </c>
      <c r="AV57" s="56">
        <f>IF($C57=Repart_lignes,0,
(SUMIF(Fonctionnement[Affectation matrice],$A57,Fonctionnement[TVA acquittée])+SUMIF(Invest[Affectation matrice],$A57,Invest[TVA acquittée]))*CV57)</f>
        <v>0</v>
      </c>
      <c r="AW57" s="56">
        <f>IF($C57=Repart_lignes,0,
(SUMIF(Fonctionnement[Affectation matrice],$A57,Fonctionnement[TVA acquittée])+SUMIF(Invest[Affectation matrice],$A57,Invest[TVA acquittée]))*CW57)</f>
        <v>0</v>
      </c>
      <c r="AX57" s="56">
        <f>IF($C57=Repart_lignes,0,
(SUMIF(Fonctionnement[Affectation matrice],$A57,Fonctionnement[TVA acquittée])+SUMIF(Invest[Affectation matrice],$A57,Invest[TVA acquittée]))*CX57)</f>
        <v>0</v>
      </c>
      <c r="AY57" s="56">
        <f>IF($C57=Repart_lignes,0,
(SUMIF(Fonctionnement[Affectation matrice],$A57,Fonctionnement[TVA acquittée])+SUMIF(Invest[Affectation matrice],$A57,Invest[TVA acquittée]))*CY57)</f>
        <v>0</v>
      </c>
      <c r="AZ57" s="56">
        <f>IF($C57=Repart_lignes,0,
(SUMIF(Fonctionnement[Affectation matrice],$A57,Fonctionnement[TVA acquittée])+SUMIF(Invest[Affectation matrice],$A57,Invest[TVA acquittée]))*CZ57)</f>
        <v>0</v>
      </c>
      <c r="BA57" s="56">
        <f>IF($C57=Repart_lignes,0,
(SUMIF(Fonctionnement[Affectation matrice],$A57,Fonctionnement[TVA acquittée])+SUMIF(Invest[Affectation matrice],$A57,Invest[TVA acquittée]))*DA57)</f>
        <v>0</v>
      </c>
      <c r="BB57" s="56">
        <f>IF($C57=Repart_lignes,0,
(SUMIF(Fonctionnement[Affectation matrice],$A57,Fonctionnement[TVA acquittée])+SUMIF(Invest[Affectation matrice],$A57,Invest[TVA acquittée]))*DB57)</f>
        <v>0</v>
      </c>
      <c r="BC57" s="56">
        <f>IF($C57=Repart_lignes,0,
(SUMIF(Fonctionnement[Affectation matrice],$A57,Fonctionnement[TVA acquittée])+SUMIF(Invest[Affectation matrice],$A57,Invest[TVA acquittée]))*DC57)</f>
        <v>0</v>
      </c>
      <c r="BD57" s="56">
        <f>IF($C57=Repart_lignes,0,
(SUMIF(Fonctionnement[Affectation matrice],$A57,Fonctionnement[TVA acquittée])+SUMIF(Invest[Affectation matrice],$A57,Invest[TVA acquittée]))*DD57)</f>
        <v>0</v>
      </c>
      <c r="BE57" s="58">
        <f t="shared" si="32"/>
        <v>0</v>
      </c>
      <c r="BF57" s="56">
        <f>IF($C57=Repart_lignes,0,
(SUMIF(Fonctionnement[Affectation matrice],$A57,Fonctionnement[Montant (€HT)])+SUMIF(Invest[Affectation matrice],$A57,Invest[Amortissement HT + intérêts]))*CF57)</f>
        <v>0</v>
      </c>
      <c r="BG57" s="56">
        <f>IF($C57=Repart_lignes,0,
(SUMIF(Fonctionnement[Affectation matrice],$A57,Fonctionnement[Montant (€HT)])+SUMIF(Invest[Affectation matrice],$A57,Invest[Amortissement HT + intérêts]))*CG57)</f>
        <v>0</v>
      </c>
      <c r="BH57" s="56">
        <f>IF($C57=Repart_lignes,0,
(SUMIF(Fonctionnement[Affectation matrice],$A57,Fonctionnement[Montant (€HT)])+SUMIF(Invest[Affectation matrice],$A57,Invest[Amortissement HT + intérêts]))*CH57)</f>
        <v>0</v>
      </c>
      <c r="BI57" s="56">
        <f>IF($C57=Repart_lignes,0,
(SUMIF(Fonctionnement[Affectation matrice],$A57,Fonctionnement[Montant (€HT)])+SUMIF(Invest[Affectation matrice],$A57,Invest[Amortissement HT + intérêts]))*CI57)</f>
        <v>0</v>
      </c>
      <c r="BJ57" s="56">
        <f>IF($C57=Repart_lignes,0,
(SUMIF(Fonctionnement[Affectation matrice],$A57,Fonctionnement[Montant (€HT)])+SUMIF(Invest[Affectation matrice],$A57,Invest[Amortissement HT + intérêts]))*CJ57)</f>
        <v>0</v>
      </c>
      <c r="BK57" s="56">
        <f>IF($C57=Repart_lignes,0,
(SUMIF(Fonctionnement[Affectation matrice],$A57,Fonctionnement[Montant (€HT)])+SUMIF(Invest[Affectation matrice],$A57,Invest[Amortissement HT + intérêts]))*CK57)</f>
        <v>0</v>
      </c>
      <c r="BL57" s="56">
        <f>IF($C57=Repart_lignes,0,
(SUMIF(Fonctionnement[Affectation matrice],$A57,Fonctionnement[Montant (€HT)])+SUMIF(Invest[Affectation matrice],$A57,Invest[Amortissement HT + intérêts]))*CL57)</f>
        <v>0</v>
      </c>
      <c r="BM57" s="56">
        <f>IF($C57=Repart_lignes,0,
(SUMIF(Fonctionnement[Affectation matrice],$A57,Fonctionnement[Montant (€HT)])+SUMIF(Invest[Affectation matrice],$A57,Invest[Amortissement HT + intérêts]))*CM57)</f>
        <v>0</v>
      </c>
      <c r="BN57" s="56">
        <f>IF($C57=Repart_lignes,0,
(SUMIF(Fonctionnement[Affectation matrice],$A57,Fonctionnement[Montant (€HT)])+SUMIF(Invest[Affectation matrice],$A57,Invest[Amortissement HT + intérêts]))*CN57)</f>
        <v>0</v>
      </c>
      <c r="BO57" s="56">
        <f>IF($C57=Repart_lignes,0,
(SUMIF(Fonctionnement[Affectation matrice],$A57,Fonctionnement[Montant (€HT)])+SUMIF(Invest[Affectation matrice],$A57,Invest[Amortissement HT + intérêts]))*CO57)</f>
        <v>0</v>
      </c>
      <c r="BP57" s="56">
        <f>IF($C57=Repart_lignes,0,
(SUMIF(Fonctionnement[Affectation matrice],$A57,Fonctionnement[Montant (€HT)])+SUMIF(Invest[Affectation matrice],$A57,Invest[Amortissement HT + intérêts]))*CP57)</f>
        <v>0</v>
      </c>
      <c r="BQ57" s="56">
        <f>IF($C57=Repart_lignes,0,
(SUMIF(Fonctionnement[Affectation matrice],$A57,Fonctionnement[Montant (€HT)])+SUMIF(Invest[Affectation matrice],$A57,Invest[Amortissement HT + intérêts]))*CQ57)</f>
        <v>0</v>
      </c>
      <c r="BR57" s="56">
        <f>IF($C57=Repart_lignes,0,
(SUMIF(Fonctionnement[Affectation matrice],$A57,Fonctionnement[Montant (€HT)])+SUMIF(Invest[Affectation matrice],$A57,Invest[Amortissement HT + intérêts]))*CR57)</f>
        <v>0</v>
      </c>
      <c r="BS57" s="56">
        <f>IF($C57=Repart_lignes,0,
(SUMIF(Fonctionnement[Affectation matrice],$A57,Fonctionnement[Montant (€HT)])+SUMIF(Invest[Affectation matrice],$A57,Invest[Amortissement HT + intérêts]))*CS57)</f>
        <v>0</v>
      </c>
      <c r="BT57" s="56">
        <f>IF($C57=Repart_lignes,0,
(SUMIF(Fonctionnement[Affectation matrice],$A57,Fonctionnement[Montant (€HT)])+SUMIF(Invest[Affectation matrice],$A57,Invest[Amortissement HT + intérêts]))*CT57)</f>
        <v>0</v>
      </c>
      <c r="BU57" s="56">
        <f>IF($C57=Repart_lignes,0,
(SUMIF(Fonctionnement[Affectation matrice],$A57,Fonctionnement[Montant (€HT)])+SUMIF(Invest[Affectation matrice],$A57,Invest[Amortissement HT + intérêts]))*CU57)</f>
        <v>0</v>
      </c>
      <c r="BV57" s="56">
        <f>IF($C57=Repart_lignes,0,
(SUMIF(Fonctionnement[Affectation matrice],$A57,Fonctionnement[Montant (€HT)])+SUMIF(Invest[Affectation matrice],$A57,Invest[Amortissement HT + intérêts]))*CV57)</f>
        <v>0</v>
      </c>
      <c r="BW57" s="56">
        <f>IF($C57=Repart_lignes,0,
(SUMIF(Fonctionnement[Affectation matrice],$A57,Fonctionnement[Montant (€HT)])+SUMIF(Invest[Affectation matrice],$A57,Invest[Amortissement HT + intérêts]))*CW57)</f>
        <v>0</v>
      </c>
      <c r="BX57" s="56">
        <f>IF($C57=Repart_lignes,0,
(SUMIF(Fonctionnement[Affectation matrice],$A57,Fonctionnement[Montant (€HT)])+SUMIF(Invest[Affectation matrice],$A57,Invest[Amortissement HT + intérêts]))*CX57)</f>
        <v>0</v>
      </c>
      <c r="BY57" s="56">
        <f>IF($C57=Repart_lignes,0,
(SUMIF(Fonctionnement[Affectation matrice],$A57,Fonctionnement[Montant (€HT)])+SUMIF(Invest[Affectation matrice],$A57,Invest[Amortissement HT + intérêts]))*CY57)</f>
        <v>0</v>
      </c>
      <c r="BZ57" s="56">
        <f>IF($C57=Repart_lignes,0,
(SUMIF(Fonctionnement[Affectation matrice],$A57,Fonctionnement[Montant (€HT)])+SUMIF(Invest[Affectation matrice],$A57,Invest[Amortissement HT + intérêts]))*CZ57)</f>
        <v>0</v>
      </c>
      <c r="CA57" s="56">
        <f>IF($C57=Repart_lignes,0,
(SUMIF(Fonctionnement[Affectation matrice],$A57,Fonctionnement[Montant (€HT)])+SUMIF(Invest[Affectation matrice],$A57,Invest[Amortissement HT + intérêts]))*DA57)</f>
        <v>0</v>
      </c>
      <c r="CB57" s="56">
        <f>IF($C57=Repart_lignes,0,
(SUMIF(Fonctionnement[Affectation matrice],$A57,Fonctionnement[Montant (€HT)])+SUMIF(Invest[Affectation matrice],$A57,Invest[Amortissement HT + intérêts]))*DB57)</f>
        <v>0</v>
      </c>
      <c r="CC57" s="56">
        <f>IF($C57=Repart_lignes,0,
(SUMIF(Fonctionnement[Affectation matrice],$A57,Fonctionnement[Montant (€HT)])+SUMIF(Invest[Affectation matrice],$A57,Invest[Amortissement HT + intérêts]))*DC57)</f>
        <v>0</v>
      </c>
      <c r="CD57" s="56">
        <f>IF($C57=Repart_lignes,0,
(SUMIF(Fonctionnement[Affectation matrice],$A57,Fonctionnement[Montant (€HT)])+SUMIF(Invest[Affectation matrice],$A57,Invest[Amortissement HT + intérêts]))*DD57)</f>
        <v>0</v>
      </c>
      <c r="CE57" s="59">
        <f t="shared" si="33"/>
        <v>0</v>
      </c>
      <c r="CF57" s="61">
        <f t="shared" si="34"/>
        <v>0</v>
      </c>
      <c r="CG57" s="61">
        <f t="shared" si="35"/>
        <v>0</v>
      </c>
      <c r="CH57" s="61">
        <f t="shared" si="36"/>
        <v>0</v>
      </c>
      <c r="CI57" s="61">
        <f t="shared" si="37"/>
        <v>0</v>
      </c>
      <c r="CJ57" s="61">
        <f t="shared" si="38"/>
        <v>0</v>
      </c>
      <c r="CK57" s="61">
        <f t="shared" si="39"/>
        <v>0</v>
      </c>
      <c r="CL57" s="61">
        <f t="shared" si="40"/>
        <v>0</v>
      </c>
      <c r="CM57" s="61">
        <f t="shared" si="41"/>
        <v>0</v>
      </c>
      <c r="CN57" s="61">
        <f t="shared" si="42"/>
        <v>0</v>
      </c>
      <c r="CO57" s="61">
        <f t="shared" si="43"/>
        <v>0</v>
      </c>
      <c r="CP57" s="61">
        <f t="shared" si="44"/>
        <v>0</v>
      </c>
      <c r="CQ57" s="61">
        <f t="shared" si="45"/>
        <v>0</v>
      </c>
      <c r="CR57" s="61">
        <f t="shared" si="46"/>
        <v>0</v>
      </c>
      <c r="CS57" s="61">
        <f t="shared" si="47"/>
        <v>0</v>
      </c>
      <c r="CT57" s="61">
        <f t="shared" si="48"/>
        <v>0</v>
      </c>
      <c r="CU57" s="61">
        <f t="shared" si="49"/>
        <v>0</v>
      </c>
      <c r="CV57" s="61">
        <f t="shared" si="50"/>
        <v>0</v>
      </c>
      <c r="CW57" s="61">
        <f t="shared" si="51"/>
        <v>0</v>
      </c>
      <c r="CX57" s="61">
        <f t="shared" si="52"/>
        <v>0</v>
      </c>
      <c r="CY57" s="61">
        <f t="shared" si="53"/>
        <v>0</v>
      </c>
      <c r="CZ57" s="61">
        <f t="shared" si="54"/>
        <v>0</v>
      </c>
      <c r="DA57" s="61">
        <f t="shared" si="55"/>
        <v>0</v>
      </c>
      <c r="DB57" s="61">
        <f t="shared" si="56"/>
        <v>0</v>
      </c>
      <c r="DC57" s="61">
        <f t="shared" si="57"/>
        <v>0</v>
      </c>
      <c r="DD57" s="61">
        <f t="shared" si="58"/>
        <v>0</v>
      </c>
      <c r="DE57" s="61">
        <f t="shared" si="59"/>
        <v>0</v>
      </c>
    </row>
    <row r="58" spans="1:109" x14ac:dyDescent="0.25">
      <c r="A58" s="248"/>
      <c r="B58" s="248"/>
      <c r="C58" s="251"/>
      <c r="D58" s="25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1">
        <f t="shared" si="31"/>
        <v>0</v>
      </c>
      <c r="AE58" s="53" t="str">
        <f t="shared" ca="1" si="29"/>
        <v/>
      </c>
      <c r="AF58" s="56">
        <f>IF($C58=Repart_lignes,0,
(SUMIF(Fonctionnement[Affectation matrice],$A58,Fonctionnement[TVA acquittée])+SUMIF(Invest[Affectation matrice],$A58,Invest[TVA acquittée]))*CF58)</f>
        <v>0</v>
      </c>
      <c r="AG58" s="56">
        <f>IF($C58=Repart_lignes,0,
(SUMIF(Fonctionnement[Affectation matrice],$A58,Fonctionnement[TVA acquittée])+SUMIF(Invest[Affectation matrice],$A58,Invest[TVA acquittée]))*CG58)</f>
        <v>0</v>
      </c>
      <c r="AH58" s="56">
        <f>IF($C58=Repart_lignes,0,
(SUMIF(Fonctionnement[Affectation matrice],$A58,Fonctionnement[TVA acquittée])+SUMIF(Invest[Affectation matrice],$A58,Invest[TVA acquittée]))*CH58)</f>
        <v>0</v>
      </c>
      <c r="AI58" s="56">
        <f>IF($C58=Repart_lignes,0,
(SUMIF(Fonctionnement[Affectation matrice],$A58,Fonctionnement[TVA acquittée])+SUMIF(Invest[Affectation matrice],$A58,Invest[TVA acquittée]))*CI58)</f>
        <v>0</v>
      </c>
      <c r="AJ58" s="56">
        <f>IF($C58=Repart_lignes,0,
(SUMIF(Fonctionnement[Affectation matrice],$A58,Fonctionnement[TVA acquittée])+SUMIF(Invest[Affectation matrice],$A58,Invest[TVA acquittée]))*CJ58)</f>
        <v>0</v>
      </c>
      <c r="AK58" s="56">
        <f>IF($C58=Repart_lignes,0,
(SUMIF(Fonctionnement[Affectation matrice],$A58,Fonctionnement[TVA acquittée])+SUMIF(Invest[Affectation matrice],$A58,Invest[TVA acquittée]))*CK58)</f>
        <v>0</v>
      </c>
      <c r="AL58" s="56">
        <f>IF($C58=Repart_lignes,0,
(SUMIF(Fonctionnement[Affectation matrice],$A58,Fonctionnement[TVA acquittée])+SUMIF(Invest[Affectation matrice],$A58,Invest[TVA acquittée]))*CL58)</f>
        <v>0</v>
      </c>
      <c r="AM58" s="56">
        <f>IF($C58=Repart_lignes,0,
(SUMIF(Fonctionnement[Affectation matrice],$A58,Fonctionnement[TVA acquittée])+SUMIF(Invest[Affectation matrice],$A58,Invest[TVA acquittée]))*CM58)</f>
        <v>0</v>
      </c>
      <c r="AN58" s="56">
        <f>IF($C58=Repart_lignes,0,
(SUMIF(Fonctionnement[Affectation matrice],$A58,Fonctionnement[TVA acquittée])+SUMIF(Invest[Affectation matrice],$A58,Invest[TVA acquittée]))*CN58)</f>
        <v>0</v>
      </c>
      <c r="AO58" s="56">
        <f>IF($C58=Repart_lignes,0,
(SUMIF(Fonctionnement[Affectation matrice],$A58,Fonctionnement[TVA acquittée])+SUMIF(Invest[Affectation matrice],$A58,Invest[TVA acquittée]))*CO58)</f>
        <v>0</v>
      </c>
      <c r="AP58" s="56">
        <f>IF($C58=Repart_lignes,0,
(SUMIF(Fonctionnement[Affectation matrice],$A58,Fonctionnement[TVA acquittée])+SUMIF(Invest[Affectation matrice],$A58,Invest[TVA acquittée]))*CP58)</f>
        <v>0</v>
      </c>
      <c r="AQ58" s="56">
        <f>IF($C58=Repart_lignes,0,
(SUMIF(Fonctionnement[Affectation matrice],$A58,Fonctionnement[TVA acquittée])+SUMIF(Invest[Affectation matrice],$A58,Invest[TVA acquittée]))*CQ58)</f>
        <v>0</v>
      </c>
      <c r="AR58" s="56">
        <f>IF($C58=Repart_lignes,0,
(SUMIF(Fonctionnement[Affectation matrice],$A58,Fonctionnement[TVA acquittée])+SUMIF(Invest[Affectation matrice],$A58,Invest[TVA acquittée]))*CR58)</f>
        <v>0</v>
      </c>
      <c r="AS58" s="56">
        <f>IF($C58=Repart_lignes,0,
(SUMIF(Fonctionnement[Affectation matrice],$A58,Fonctionnement[TVA acquittée])+SUMIF(Invest[Affectation matrice],$A58,Invest[TVA acquittée]))*CS58)</f>
        <v>0</v>
      </c>
      <c r="AT58" s="56">
        <f>IF($C58=Repart_lignes,0,
(SUMIF(Fonctionnement[Affectation matrice],$A58,Fonctionnement[TVA acquittée])+SUMIF(Invest[Affectation matrice],$A58,Invest[TVA acquittée]))*CT58)</f>
        <v>0</v>
      </c>
      <c r="AU58" s="56">
        <f>IF($C58=Repart_lignes,0,
(SUMIF(Fonctionnement[Affectation matrice],$A58,Fonctionnement[TVA acquittée])+SUMIF(Invest[Affectation matrice],$A58,Invest[TVA acquittée]))*CU58)</f>
        <v>0</v>
      </c>
      <c r="AV58" s="56">
        <f>IF($C58=Repart_lignes,0,
(SUMIF(Fonctionnement[Affectation matrice],$A58,Fonctionnement[TVA acquittée])+SUMIF(Invest[Affectation matrice],$A58,Invest[TVA acquittée]))*CV58)</f>
        <v>0</v>
      </c>
      <c r="AW58" s="56">
        <f>IF($C58=Repart_lignes,0,
(SUMIF(Fonctionnement[Affectation matrice],$A58,Fonctionnement[TVA acquittée])+SUMIF(Invest[Affectation matrice],$A58,Invest[TVA acquittée]))*CW58)</f>
        <v>0</v>
      </c>
      <c r="AX58" s="56">
        <f>IF($C58=Repart_lignes,0,
(SUMIF(Fonctionnement[Affectation matrice],$A58,Fonctionnement[TVA acquittée])+SUMIF(Invest[Affectation matrice],$A58,Invest[TVA acquittée]))*CX58)</f>
        <v>0</v>
      </c>
      <c r="AY58" s="56">
        <f>IF($C58=Repart_lignes,0,
(SUMIF(Fonctionnement[Affectation matrice],$A58,Fonctionnement[TVA acquittée])+SUMIF(Invest[Affectation matrice],$A58,Invest[TVA acquittée]))*CY58)</f>
        <v>0</v>
      </c>
      <c r="AZ58" s="56">
        <f>IF($C58=Repart_lignes,0,
(SUMIF(Fonctionnement[Affectation matrice],$A58,Fonctionnement[TVA acquittée])+SUMIF(Invest[Affectation matrice],$A58,Invest[TVA acquittée]))*CZ58)</f>
        <v>0</v>
      </c>
      <c r="BA58" s="56">
        <f>IF($C58=Repart_lignes,0,
(SUMIF(Fonctionnement[Affectation matrice],$A58,Fonctionnement[TVA acquittée])+SUMIF(Invest[Affectation matrice],$A58,Invest[TVA acquittée]))*DA58)</f>
        <v>0</v>
      </c>
      <c r="BB58" s="56">
        <f>IF($C58=Repart_lignes,0,
(SUMIF(Fonctionnement[Affectation matrice],$A58,Fonctionnement[TVA acquittée])+SUMIF(Invest[Affectation matrice],$A58,Invest[TVA acquittée]))*DB58)</f>
        <v>0</v>
      </c>
      <c r="BC58" s="56">
        <f>IF($C58=Repart_lignes,0,
(SUMIF(Fonctionnement[Affectation matrice],$A58,Fonctionnement[TVA acquittée])+SUMIF(Invest[Affectation matrice],$A58,Invest[TVA acquittée]))*DC58)</f>
        <v>0</v>
      </c>
      <c r="BD58" s="56">
        <f>IF($C58=Repart_lignes,0,
(SUMIF(Fonctionnement[Affectation matrice],$A58,Fonctionnement[TVA acquittée])+SUMIF(Invest[Affectation matrice],$A58,Invest[TVA acquittée]))*DD58)</f>
        <v>0</v>
      </c>
      <c r="BE58" s="58">
        <f t="shared" si="32"/>
        <v>0</v>
      </c>
      <c r="BF58" s="56">
        <f>IF($C58=Repart_lignes,0,
(SUMIF(Fonctionnement[Affectation matrice],$A58,Fonctionnement[Montant (€HT)])+SUMIF(Invest[Affectation matrice],$A58,Invest[Amortissement HT + intérêts]))*CF58)</f>
        <v>0</v>
      </c>
      <c r="BG58" s="56">
        <f>IF($C58=Repart_lignes,0,
(SUMIF(Fonctionnement[Affectation matrice],$A58,Fonctionnement[Montant (€HT)])+SUMIF(Invest[Affectation matrice],$A58,Invest[Amortissement HT + intérêts]))*CG58)</f>
        <v>0</v>
      </c>
      <c r="BH58" s="56">
        <f>IF($C58=Repart_lignes,0,
(SUMIF(Fonctionnement[Affectation matrice],$A58,Fonctionnement[Montant (€HT)])+SUMIF(Invest[Affectation matrice],$A58,Invest[Amortissement HT + intérêts]))*CH58)</f>
        <v>0</v>
      </c>
      <c r="BI58" s="56">
        <f>IF($C58=Repart_lignes,0,
(SUMIF(Fonctionnement[Affectation matrice],$A58,Fonctionnement[Montant (€HT)])+SUMIF(Invest[Affectation matrice],$A58,Invest[Amortissement HT + intérêts]))*CI58)</f>
        <v>0</v>
      </c>
      <c r="BJ58" s="56">
        <f>IF($C58=Repart_lignes,0,
(SUMIF(Fonctionnement[Affectation matrice],$A58,Fonctionnement[Montant (€HT)])+SUMIF(Invest[Affectation matrice],$A58,Invest[Amortissement HT + intérêts]))*CJ58)</f>
        <v>0</v>
      </c>
      <c r="BK58" s="56">
        <f>IF($C58=Repart_lignes,0,
(SUMIF(Fonctionnement[Affectation matrice],$A58,Fonctionnement[Montant (€HT)])+SUMIF(Invest[Affectation matrice],$A58,Invest[Amortissement HT + intérêts]))*CK58)</f>
        <v>0</v>
      </c>
      <c r="BL58" s="56">
        <f>IF($C58=Repart_lignes,0,
(SUMIF(Fonctionnement[Affectation matrice],$A58,Fonctionnement[Montant (€HT)])+SUMIF(Invest[Affectation matrice],$A58,Invest[Amortissement HT + intérêts]))*CL58)</f>
        <v>0</v>
      </c>
      <c r="BM58" s="56">
        <f>IF($C58=Repart_lignes,0,
(SUMIF(Fonctionnement[Affectation matrice],$A58,Fonctionnement[Montant (€HT)])+SUMIF(Invest[Affectation matrice],$A58,Invest[Amortissement HT + intérêts]))*CM58)</f>
        <v>0</v>
      </c>
      <c r="BN58" s="56">
        <f>IF($C58=Repart_lignes,0,
(SUMIF(Fonctionnement[Affectation matrice],$A58,Fonctionnement[Montant (€HT)])+SUMIF(Invest[Affectation matrice],$A58,Invest[Amortissement HT + intérêts]))*CN58)</f>
        <v>0</v>
      </c>
      <c r="BO58" s="56">
        <f>IF($C58=Repart_lignes,0,
(SUMIF(Fonctionnement[Affectation matrice],$A58,Fonctionnement[Montant (€HT)])+SUMIF(Invest[Affectation matrice],$A58,Invest[Amortissement HT + intérêts]))*CO58)</f>
        <v>0</v>
      </c>
      <c r="BP58" s="56">
        <f>IF($C58=Repart_lignes,0,
(SUMIF(Fonctionnement[Affectation matrice],$A58,Fonctionnement[Montant (€HT)])+SUMIF(Invest[Affectation matrice],$A58,Invest[Amortissement HT + intérêts]))*CP58)</f>
        <v>0</v>
      </c>
      <c r="BQ58" s="56">
        <f>IF($C58=Repart_lignes,0,
(SUMIF(Fonctionnement[Affectation matrice],$A58,Fonctionnement[Montant (€HT)])+SUMIF(Invest[Affectation matrice],$A58,Invest[Amortissement HT + intérêts]))*CQ58)</f>
        <v>0</v>
      </c>
      <c r="BR58" s="56">
        <f>IF($C58=Repart_lignes,0,
(SUMIF(Fonctionnement[Affectation matrice],$A58,Fonctionnement[Montant (€HT)])+SUMIF(Invest[Affectation matrice],$A58,Invest[Amortissement HT + intérêts]))*CR58)</f>
        <v>0</v>
      </c>
      <c r="BS58" s="56">
        <f>IF($C58=Repart_lignes,0,
(SUMIF(Fonctionnement[Affectation matrice],$A58,Fonctionnement[Montant (€HT)])+SUMIF(Invest[Affectation matrice],$A58,Invest[Amortissement HT + intérêts]))*CS58)</f>
        <v>0</v>
      </c>
      <c r="BT58" s="56">
        <f>IF($C58=Repart_lignes,0,
(SUMIF(Fonctionnement[Affectation matrice],$A58,Fonctionnement[Montant (€HT)])+SUMIF(Invest[Affectation matrice],$A58,Invest[Amortissement HT + intérêts]))*CT58)</f>
        <v>0</v>
      </c>
      <c r="BU58" s="56">
        <f>IF($C58=Repart_lignes,0,
(SUMIF(Fonctionnement[Affectation matrice],$A58,Fonctionnement[Montant (€HT)])+SUMIF(Invest[Affectation matrice],$A58,Invest[Amortissement HT + intérêts]))*CU58)</f>
        <v>0</v>
      </c>
      <c r="BV58" s="56">
        <f>IF($C58=Repart_lignes,0,
(SUMIF(Fonctionnement[Affectation matrice],$A58,Fonctionnement[Montant (€HT)])+SUMIF(Invest[Affectation matrice],$A58,Invest[Amortissement HT + intérêts]))*CV58)</f>
        <v>0</v>
      </c>
      <c r="BW58" s="56">
        <f>IF($C58=Repart_lignes,0,
(SUMIF(Fonctionnement[Affectation matrice],$A58,Fonctionnement[Montant (€HT)])+SUMIF(Invest[Affectation matrice],$A58,Invest[Amortissement HT + intérêts]))*CW58)</f>
        <v>0</v>
      </c>
      <c r="BX58" s="56">
        <f>IF($C58=Repart_lignes,0,
(SUMIF(Fonctionnement[Affectation matrice],$A58,Fonctionnement[Montant (€HT)])+SUMIF(Invest[Affectation matrice],$A58,Invest[Amortissement HT + intérêts]))*CX58)</f>
        <v>0</v>
      </c>
      <c r="BY58" s="56">
        <f>IF($C58=Repart_lignes,0,
(SUMIF(Fonctionnement[Affectation matrice],$A58,Fonctionnement[Montant (€HT)])+SUMIF(Invest[Affectation matrice],$A58,Invest[Amortissement HT + intérêts]))*CY58)</f>
        <v>0</v>
      </c>
      <c r="BZ58" s="56">
        <f>IF($C58=Repart_lignes,0,
(SUMIF(Fonctionnement[Affectation matrice],$A58,Fonctionnement[Montant (€HT)])+SUMIF(Invest[Affectation matrice],$A58,Invest[Amortissement HT + intérêts]))*CZ58)</f>
        <v>0</v>
      </c>
      <c r="CA58" s="56">
        <f>IF($C58=Repart_lignes,0,
(SUMIF(Fonctionnement[Affectation matrice],$A58,Fonctionnement[Montant (€HT)])+SUMIF(Invest[Affectation matrice],$A58,Invest[Amortissement HT + intérêts]))*DA58)</f>
        <v>0</v>
      </c>
      <c r="CB58" s="56">
        <f>IF($C58=Repart_lignes,0,
(SUMIF(Fonctionnement[Affectation matrice],$A58,Fonctionnement[Montant (€HT)])+SUMIF(Invest[Affectation matrice],$A58,Invest[Amortissement HT + intérêts]))*DB58)</f>
        <v>0</v>
      </c>
      <c r="CC58" s="56">
        <f>IF($C58=Repart_lignes,0,
(SUMIF(Fonctionnement[Affectation matrice],$A58,Fonctionnement[Montant (€HT)])+SUMIF(Invest[Affectation matrice],$A58,Invest[Amortissement HT + intérêts]))*DC58)</f>
        <v>0</v>
      </c>
      <c r="CD58" s="56">
        <f>IF($C58=Repart_lignes,0,
(SUMIF(Fonctionnement[Affectation matrice],$A58,Fonctionnement[Montant (€HT)])+SUMIF(Invest[Affectation matrice],$A58,Invest[Amortissement HT + intérêts]))*DD58)</f>
        <v>0</v>
      </c>
      <c r="CE58" s="59">
        <f t="shared" si="33"/>
        <v>0</v>
      </c>
      <c r="CF58" s="61">
        <f t="shared" si="34"/>
        <v>0</v>
      </c>
      <c r="CG58" s="61">
        <f t="shared" si="35"/>
        <v>0</v>
      </c>
      <c r="CH58" s="61">
        <f t="shared" si="36"/>
        <v>0</v>
      </c>
      <c r="CI58" s="61">
        <f t="shared" si="37"/>
        <v>0</v>
      </c>
      <c r="CJ58" s="61">
        <f t="shared" si="38"/>
        <v>0</v>
      </c>
      <c r="CK58" s="61">
        <f t="shared" si="39"/>
        <v>0</v>
      </c>
      <c r="CL58" s="61">
        <f t="shared" si="40"/>
        <v>0</v>
      </c>
      <c r="CM58" s="61">
        <f t="shared" si="41"/>
        <v>0</v>
      </c>
      <c r="CN58" s="61">
        <f t="shared" si="42"/>
        <v>0</v>
      </c>
      <c r="CO58" s="61">
        <f t="shared" si="43"/>
        <v>0</v>
      </c>
      <c r="CP58" s="61">
        <f t="shared" si="44"/>
        <v>0</v>
      </c>
      <c r="CQ58" s="61">
        <f t="shared" si="45"/>
        <v>0</v>
      </c>
      <c r="CR58" s="61">
        <f t="shared" si="46"/>
        <v>0</v>
      </c>
      <c r="CS58" s="61">
        <f t="shared" si="47"/>
        <v>0</v>
      </c>
      <c r="CT58" s="61">
        <f t="shared" si="48"/>
        <v>0</v>
      </c>
      <c r="CU58" s="61">
        <f t="shared" si="49"/>
        <v>0</v>
      </c>
      <c r="CV58" s="61">
        <f t="shared" si="50"/>
        <v>0</v>
      </c>
      <c r="CW58" s="61">
        <f t="shared" si="51"/>
        <v>0</v>
      </c>
      <c r="CX58" s="61">
        <f t="shared" si="52"/>
        <v>0</v>
      </c>
      <c r="CY58" s="61">
        <f t="shared" si="53"/>
        <v>0</v>
      </c>
      <c r="CZ58" s="61">
        <f t="shared" si="54"/>
        <v>0</v>
      </c>
      <c r="DA58" s="61">
        <f t="shared" si="55"/>
        <v>0</v>
      </c>
      <c r="DB58" s="61">
        <f t="shared" si="56"/>
        <v>0</v>
      </c>
      <c r="DC58" s="61">
        <f t="shared" si="57"/>
        <v>0</v>
      </c>
      <c r="DD58" s="61">
        <f t="shared" si="58"/>
        <v>0</v>
      </c>
      <c r="DE58" s="61">
        <f t="shared" si="59"/>
        <v>0</v>
      </c>
    </row>
    <row r="59" spans="1:109" x14ac:dyDescent="0.25">
      <c r="A59" s="248"/>
      <c r="B59" s="248"/>
      <c r="C59" s="251"/>
      <c r="D59" s="25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1">
        <f t="shared" si="31"/>
        <v>0</v>
      </c>
      <c r="AE59" s="53" t="str">
        <f t="shared" ca="1" si="29"/>
        <v/>
      </c>
      <c r="AF59" s="56">
        <f>IF($C59=Repart_lignes,0,
(SUMIF(Fonctionnement[Affectation matrice],$A59,Fonctionnement[TVA acquittée])+SUMIF(Invest[Affectation matrice],$A59,Invest[TVA acquittée]))*CF59)</f>
        <v>0</v>
      </c>
      <c r="AG59" s="56">
        <f>IF($C59=Repart_lignes,0,
(SUMIF(Fonctionnement[Affectation matrice],$A59,Fonctionnement[TVA acquittée])+SUMIF(Invest[Affectation matrice],$A59,Invest[TVA acquittée]))*CG59)</f>
        <v>0</v>
      </c>
      <c r="AH59" s="56">
        <f>IF($C59=Repart_lignes,0,
(SUMIF(Fonctionnement[Affectation matrice],$A59,Fonctionnement[TVA acquittée])+SUMIF(Invest[Affectation matrice],$A59,Invest[TVA acquittée]))*CH59)</f>
        <v>0</v>
      </c>
      <c r="AI59" s="56">
        <f>IF($C59=Repart_lignes,0,
(SUMIF(Fonctionnement[Affectation matrice],$A59,Fonctionnement[TVA acquittée])+SUMIF(Invest[Affectation matrice],$A59,Invest[TVA acquittée]))*CI59)</f>
        <v>0</v>
      </c>
      <c r="AJ59" s="56">
        <f>IF($C59=Repart_lignes,0,
(SUMIF(Fonctionnement[Affectation matrice],$A59,Fonctionnement[TVA acquittée])+SUMIF(Invest[Affectation matrice],$A59,Invest[TVA acquittée]))*CJ59)</f>
        <v>0</v>
      </c>
      <c r="AK59" s="56">
        <f>IF($C59=Repart_lignes,0,
(SUMIF(Fonctionnement[Affectation matrice],$A59,Fonctionnement[TVA acquittée])+SUMIF(Invest[Affectation matrice],$A59,Invest[TVA acquittée]))*CK59)</f>
        <v>0</v>
      </c>
      <c r="AL59" s="56">
        <f>IF($C59=Repart_lignes,0,
(SUMIF(Fonctionnement[Affectation matrice],$A59,Fonctionnement[TVA acquittée])+SUMIF(Invest[Affectation matrice],$A59,Invest[TVA acquittée]))*CL59)</f>
        <v>0</v>
      </c>
      <c r="AM59" s="56">
        <f>IF($C59=Repart_lignes,0,
(SUMIF(Fonctionnement[Affectation matrice],$A59,Fonctionnement[TVA acquittée])+SUMIF(Invest[Affectation matrice],$A59,Invest[TVA acquittée]))*CM59)</f>
        <v>0</v>
      </c>
      <c r="AN59" s="56">
        <f>IF($C59=Repart_lignes,0,
(SUMIF(Fonctionnement[Affectation matrice],$A59,Fonctionnement[TVA acquittée])+SUMIF(Invest[Affectation matrice],$A59,Invest[TVA acquittée]))*CN59)</f>
        <v>0</v>
      </c>
      <c r="AO59" s="56">
        <f>IF($C59=Repart_lignes,0,
(SUMIF(Fonctionnement[Affectation matrice],$A59,Fonctionnement[TVA acquittée])+SUMIF(Invest[Affectation matrice],$A59,Invest[TVA acquittée]))*CO59)</f>
        <v>0</v>
      </c>
      <c r="AP59" s="56">
        <f>IF($C59=Repart_lignes,0,
(SUMIF(Fonctionnement[Affectation matrice],$A59,Fonctionnement[TVA acquittée])+SUMIF(Invest[Affectation matrice],$A59,Invest[TVA acquittée]))*CP59)</f>
        <v>0</v>
      </c>
      <c r="AQ59" s="56">
        <f>IF($C59=Repart_lignes,0,
(SUMIF(Fonctionnement[Affectation matrice],$A59,Fonctionnement[TVA acquittée])+SUMIF(Invest[Affectation matrice],$A59,Invest[TVA acquittée]))*CQ59)</f>
        <v>0</v>
      </c>
      <c r="AR59" s="56">
        <f>IF($C59=Repart_lignes,0,
(SUMIF(Fonctionnement[Affectation matrice],$A59,Fonctionnement[TVA acquittée])+SUMIF(Invest[Affectation matrice],$A59,Invest[TVA acquittée]))*CR59)</f>
        <v>0</v>
      </c>
      <c r="AS59" s="56">
        <f>IF($C59=Repart_lignes,0,
(SUMIF(Fonctionnement[Affectation matrice],$A59,Fonctionnement[TVA acquittée])+SUMIF(Invest[Affectation matrice],$A59,Invest[TVA acquittée]))*CS59)</f>
        <v>0</v>
      </c>
      <c r="AT59" s="56">
        <f>IF($C59=Repart_lignes,0,
(SUMIF(Fonctionnement[Affectation matrice],$A59,Fonctionnement[TVA acquittée])+SUMIF(Invest[Affectation matrice],$A59,Invest[TVA acquittée]))*CT59)</f>
        <v>0</v>
      </c>
      <c r="AU59" s="56">
        <f>IF($C59=Repart_lignes,0,
(SUMIF(Fonctionnement[Affectation matrice],$A59,Fonctionnement[TVA acquittée])+SUMIF(Invest[Affectation matrice],$A59,Invest[TVA acquittée]))*CU59)</f>
        <v>0</v>
      </c>
      <c r="AV59" s="56">
        <f>IF($C59=Repart_lignes,0,
(SUMIF(Fonctionnement[Affectation matrice],$A59,Fonctionnement[TVA acquittée])+SUMIF(Invest[Affectation matrice],$A59,Invest[TVA acquittée]))*CV59)</f>
        <v>0</v>
      </c>
      <c r="AW59" s="56">
        <f>IF($C59=Repart_lignes,0,
(SUMIF(Fonctionnement[Affectation matrice],$A59,Fonctionnement[TVA acquittée])+SUMIF(Invest[Affectation matrice],$A59,Invest[TVA acquittée]))*CW59)</f>
        <v>0</v>
      </c>
      <c r="AX59" s="56">
        <f>IF($C59=Repart_lignes,0,
(SUMIF(Fonctionnement[Affectation matrice],$A59,Fonctionnement[TVA acquittée])+SUMIF(Invest[Affectation matrice],$A59,Invest[TVA acquittée]))*CX59)</f>
        <v>0</v>
      </c>
      <c r="AY59" s="56">
        <f>IF($C59=Repart_lignes,0,
(SUMIF(Fonctionnement[Affectation matrice],$A59,Fonctionnement[TVA acquittée])+SUMIF(Invest[Affectation matrice],$A59,Invest[TVA acquittée]))*CY59)</f>
        <v>0</v>
      </c>
      <c r="AZ59" s="56">
        <f>IF($C59=Repart_lignes,0,
(SUMIF(Fonctionnement[Affectation matrice],$A59,Fonctionnement[TVA acquittée])+SUMIF(Invest[Affectation matrice],$A59,Invest[TVA acquittée]))*CZ59)</f>
        <v>0</v>
      </c>
      <c r="BA59" s="56">
        <f>IF($C59=Repart_lignes,0,
(SUMIF(Fonctionnement[Affectation matrice],$A59,Fonctionnement[TVA acquittée])+SUMIF(Invest[Affectation matrice],$A59,Invest[TVA acquittée]))*DA59)</f>
        <v>0</v>
      </c>
      <c r="BB59" s="56">
        <f>IF($C59=Repart_lignes,0,
(SUMIF(Fonctionnement[Affectation matrice],$A59,Fonctionnement[TVA acquittée])+SUMIF(Invest[Affectation matrice],$A59,Invest[TVA acquittée]))*DB59)</f>
        <v>0</v>
      </c>
      <c r="BC59" s="56">
        <f>IF($C59=Repart_lignes,0,
(SUMIF(Fonctionnement[Affectation matrice],$A59,Fonctionnement[TVA acquittée])+SUMIF(Invest[Affectation matrice],$A59,Invest[TVA acquittée]))*DC59)</f>
        <v>0</v>
      </c>
      <c r="BD59" s="56">
        <f>IF($C59=Repart_lignes,0,
(SUMIF(Fonctionnement[Affectation matrice],$A59,Fonctionnement[TVA acquittée])+SUMIF(Invest[Affectation matrice],$A59,Invest[TVA acquittée]))*DD59)</f>
        <v>0</v>
      </c>
      <c r="BE59" s="58">
        <f t="shared" si="32"/>
        <v>0</v>
      </c>
      <c r="BF59" s="56">
        <f>IF($C59=Repart_lignes,0,
(SUMIF(Fonctionnement[Affectation matrice],$A59,Fonctionnement[Montant (€HT)])+SUMIF(Invest[Affectation matrice],$A59,Invest[Amortissement HT + intérêts]))*CF59)</f>
        <v>0</v>
      </c>
      <c r="BG59" s="56">
        <f>IF($C59=Repart_lignes,0,
(SUMIF(Fonctionnement[Affectation matrice],$A59,Fonctionnement[Montant (€HT)])+SUMIF(Invest[Affectation matrice],$A59,Invest[Amortissement HT + intérêts]))*CG59)</f>
        <v>0</v>
      </c>
      <c r="BH59" s="56">
        <f>IF($C59=Repart_lignes,0,
(SUMIF(Fonctionnement[Affectation matrice],$A59,Fonctionnement[Montant (€HT)])+SUMIF(Invest[Affectation matrice],$A59,Invest[Amortissement HT + intérêts]))*CH59)</f>
        <v>0</v>
      </c>
      <c r="BI59" s="56">
        <f>IF($C59=Repart_lignes,0,
(SUMIF(Fonctionnement[Affectation matrice],$A59,Fonctionnement[Montant (€HT)])+SUMIF(Invest[Affectation matrice],$A59,Invest[Amortissement HT + intérêts]))*CI59)</f>
        <v>0</v>
      </c>
      <c r="BJ59" s="56">
        <f>IF($C59=Repart_lignes,0,
(SUMIF(Fonctionnement[Affectation matrice],$A59,Fonctionnement[Montant (€HT)])+SUMIF(Invest[Affectation matrice],$A59,Invest[Amortissement HT + intérêts]))*CJ59)</f>
        <v>0</v>
      </c>
      <c r="BK59" s="56">
        <f>IF($C59=Repart_lignes,0,
(SUMIF(Fonctionnement[Affectation matrice],$A59,Fonctionnement[Montant (€HT)])+SUMIF(Invest[Affectation matrice],$A59,Invest[Amortissement HT + intérêts]))*CK59)</f>
        <v>0</v>
      </c>
      <c r="BL59" s="56">
        <f>IF($C59=Repart_lignes,0,
(SUMIF(Fonctionnement[Affectation matrice],$A59,Fonctionnement[Montant (€HT)])+SUMIF(Invest[Affectation matrice],$A59,Invest[Amortissement HT + intérêts]))*CL59)</f>
        <v>0</v>
      </c>
      <c r="BM59" s="56">
        <f>IF($C59=Repart_lignes,0,
(SUMIF(Fonctionnement[Affectation matrice],$A59,Fonctionnement[Montant (€HT)])+SUMIF(Invest[Affectation matrice],$A59,Invest[Amortissement HT + intérêts]))*CM59)</f>
        <v>0</v>
      </c>
      <c r="BN59" s="56">
        <f>IF($C59=Repart_lignes,0,
(SUMIF(Fonctionnement[Affectation matrice],$A59,Fonctionnement[Montant (€HT)])+SUMIF(Invest[Affectation matrice],$A59,Invest[Amortissement HT + intérêts]))*CN59)</f>
        <v>0</v>
      </c>
      <c r="BO59" s="56">
        <f>IF($C59=Repart_lignes,0,
(SUMIF(Fonctionnement[Affectation matrice],$A59,Fonctionnement[Montant (€HT)])+SUMIF(Invest[Affectation matrice],$A59,Invest[Amortissement HT + intérêts]))*CO59)</f>
        <v>0</v>
      </c>
      <c r="BP59" s="56">
        <f>IF($C59=Repart_lignes,0,
(SUMIF(Fonctionnement[Affectation matrice],$A59,Fonctionnement[Montant (€HT)])+SUMIF(Invest[Affectation matrice],$A59,Invest[Amortissement HT + intérêts]))*CP59)</f>
        <v>0</v>
      </c>
      <c r="BQ59" s="56">
        <f>IF($C59=Repart_lignes,0,
(SUMIF(Fonctionnement[Affectation matrice],$A59,Fonctionnement[Montant (€HT)])+SUMIF(Invest[Affectation matrice],$A59,Invest[Amortissement HT + intérêts]))*CQ59)</f>
        <v>0</v>
      </c>
      <c r="BR59" s="56">
        <f>IF($C59=Repart_lignes,0,
(SUMIF(Fonctionnement[Affectation matrice],$A59,Fonctionnement[Montant (€HT)])+SUMIF(Invest[Affectation matrice],$A59,Invest[Amortissement HT + intérêts]))*CR59)</f>
        <v>0</v>
      </c>
      <c r="BS59" s="56">
        <f>IF($C59=Repart_lignes,0,
(SUMIF(Fonctionnement[Affectation matrice],$A59,Fonctionnement[Montant (€HT)])+SUMIF(Invest[Affectation matrice],$A59,Invest[Amortissement HT + intérêts]))*CS59)</f>
        <v>0</v>
      </c>
      <c r="BT59" s="56">
        <f>IF($C59=Repart_lignes,0,
(SUMIF(Fonctionnement[Affectation matrice],$A59,Fonctionnement[Montant (€HT)])+SUMIF(Invest[Affectation matrice],$A59,Invest[Amortissement HT + intérêts]))*CT59)</f>
        <v>0</v>
      </c>
      <c r="BU59" s="56">
        <f>IF($C59=Repart_lignes,0,
(SUMIF(Fonctionnement[Affectation matrice],$A59,Fonctionnement[Montant (€HT)])+SUMIF(Invest[Affectation matrice],$A59,Invest[Amortissement HT + intérêts]))*CU59)</f>
        <v>0</v>
      </c>
      <c r="BV59" s="56">
        <f>IF($C59=Repart_lignes,0,
(SUMIF(Fonctionnement[Affectation matrice],$A59,Fonctionnement[Montant (€HT)])+SUMIF(Invest[Affectation matrice],$A59,Invest[Amortissement HT + intérêts]))*CV59)</f>
        <v>0</v>
      </c>
      <c r="BW59" s="56">
        <f>IF($C59=Repart_lignes,0,
(SUMIF(Fonctionnement[Affectation matrice],$A59,Fonctionnement[Montant (€HT)])+SUMIF(Invest[Affectation matrice],$A59,Invest[Amortissement HT + intérêts]))*CW59)</f>
        <v>0</v>
      </c>
      <c r="BX59" s="56">
        <f>IF($C59=Repart_lignes,0,
(SUMIF(Fonctionnement[Affectation matrice],$A59,Fonctionnement[Montant (€HT)])+SUMIF(Invest[Affectation matrice],$A59,Invest[Amortissement HT + intérêts]))*CX59)</f>
        <v>0</v>
      </c>
      <c r="BY59" s="56">
        <f>IF($C59=Repart_lignes,0,
(SUMIF(Fonctionnement[Affectation matrice],$A59,Fonctionnement[Montant (€HT)])+SUMIF(Invest[Affectation matrice],$A59,Invest[Amortissement HT + intérêts]))*CY59)</f>
        <v>0</v>
      </c>
      <c r="BZ59" s="56">
        <f>IF($C59=Repart_lignes,0,
(SUMIF(Fonctionnement[Affectation matrice],$A59,Fonctionnement[Montant (€HT)])+SUMIF(Invest[Affectation matrice],$A59,Invest[Amortissement HT + intérêts]))*CZ59)</f>
        <v>0</v>
      </c>
      <c r="CA59" s="56">
        <f>IF($C59=Repart_lignes,0,
(SUMIF(Fonctionnement[Affectation matrice],$A59,Fonctionnement[Montant (€HT)])+SUMIF(Invest[Affectation matrice],$A59,Invest[Amortissement HT + intérêts]))*DA59)</f>
        <v>0</v>
      </c>
      <c r="CB59" s="56">
        <f>IF($C59=Repart_lignes,0,
(SUMIF(Fonctionnement[Affectation matrice],$A59,Fonctionnement[Montant (€HT)])+SUMIF(Invest[Affectation matrice],$A59,Invest[Amortissement HT + intérêts]))*DB59)</f>
        <v>0</v>
      </c>
      <c r="CC59" s="56">
        <f>IF($C59=Repart_lignes,0,
(SUMIF(Fonctionnement[Affectation matrice],$A59,Fonctionnement[Montant (€HT)])+SUMIF(Invest[Affectation matrice],$A59,Invest[Amortissement HT + intérêts]))*DC59)</f>
        <v>0</v>
      </c>
      <c r="CD59" s="56">
        <f>IF($C59=Repart_lignes,0,
(SUMIF(Fonctionnement[Affectation matrice],$A59,Fonctionnement[Montant (€HT)])+SUMIF(Invest[Affectation matrice],$A59,Invest[Amortissement HT + intérêts]))*DD59)</f>
        <v>0</v>
      </c>
      <c r="CE59" s="59">
        <f t="shared" si="33"/>
        <v>0</v>
      </c>
      <c r="CF59" s="61">
        <f t="shared" si="34"/>
        <v>0</v>
      </c>
      <c r="CG59" s="61">
        <f t="shared" si="35"/>
        <v>0</v>
      </c>
      <c r="CH59" s="61">
        <f t="shared" si="36"/>
        <v>0</v>
      </c>
      <c r="CI59" s="61">
        <f t="shared" si="37"/>
        <v>0</v>
      </c>
      <c r="CJ59" s="61">
        <f t="shared" si="38"/>
        <v>0</v>
      </c>
      <c r="CK59" s="61">
        <f t="shared" si="39"/>
        <v>0</v>
      </c>
      <c r="CL59" s="61">
        <f t="shared" si="40"/>
        <v>0</v>
      </c>
      <c r="CM59" s="61">
        <f t="shared" si="41"/>
        <v>0</v>
      </c>
      <c r="CN59" s="61">
        <f t="shared" si="42"/>
        <v>0</v>
      </c>
      <c r="CO59" s="61">
        <f t="shared" si="43"/>
        <v>0</v>
      </c>
      <c r="CP59" s="61">
        <f t="shared" si="44"/>
        <v>0</v>
      </c>
      <c r="CQ59" s="61">
        <f t="shared" si="45"/>
        <v>0</v>
      </c>
      <c r="CR59" s="61">
        <f t="shared" si="46"/>
        <v>0</v>
      </c>
      <c r="CS59" s="61">
        <f t="shared" si="47"/>
        <v>0</v>
      </c>
      <c r="CT59" s="61">
        <f t="shared" si="48"/>
        <v>0</v>
      </c>
      <c r="CU59" s="61">
        <f t="shared" si="49"/>
        <v>0</v>
      </c>
      <c r="CV59" s="61">
        <f t="shared" si="50"/>
        <v>0</v>
      </c>
      <c r="CW59" s="61">
        <f t="shared" si="51"/>
        <v>0</v>
      </c>
      <c r="CX59" s="61">
        <f t="shared" si="52"/>
        <v>0</v>
      </c>
      <c r="CY59" s="61">
        <f t="shared" si="53"/>
        <v>0</v>
      </c>
      <c r="CZ59" s="61">
        <f t="shared" si="54"/>
        <v>0</v>
      </c>
      <c r="DA59" s="61">
        <f t="shared" si="55"/>
        <v>0</v>
      </c>
      <c r="DB59" s="61">
        <f t="shared" si="56"/>
        <v>0</v>
      </c>
      <c r="DC59" s="61">
        <f t="shared" si="57"/>
        <v>0</v>
      </c>
      <c r="DD59" s="61">
        <f t="shared" si="58"/>
        <v>0</v>
      </c>
      <c r="DE59" s="61">
        <f t="shared" si="59"/>
        <v>0</v>
      </c>
    </row>
    <row r="60" spans="1:109" x14ac:dyDescent="0.25">
      <c r="A60" s="248"/>
      <c r="B60" s="248"/>
      <c r="C60" s="251"/>
      <c r="D60" s="25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1">
        <f t="shared" si="31"/>
        <v>0</v>
      </c>
      <c r="AE60" s="53" t="str">
        <f t="shared" ca="1" si="29"/>
        <v/>
      </c>
      <c r="AF60" s="56">
        <f>IF($C60=Repart_lignes,0,
(SUMIF(Fonctionnement[Affectation matrice],$A60,Fonctionnement[TVA acquittée])+SUMIF(Invest[Affectation matrice],$A60,Invest[TVA acquittée]))*CF60)</f>
        <v>0</v>
      </c>
      <c r="AG60" s="56">
        <f>IF($C60=Repart_lignes,0,
(SUMIF(Fonctionnement[Affectation matrice],$A60,Fonctionnement[TVA acquittée])+SUMIF(Invest[Affectation matrice],$A60,Invest[TVA acquittée]))*CG60)</f>
        <v>0</v>
      </c>
      <c r="AH60" s="56">
        <f>IF($C60=Repart_lignes,0,
(SUMIF(Fonctionnement[Affectation matrice],$A60,Fonctionnement[TVA acquittée])+SUMIF(Invest[Affectation matrice],$A60,Invest[TVA acquittée]))*CH60)</f>
        <v>0</v>
      </c>
      <c r="AI60" s="56">
        <f>IF($C60=Repart_lignes,0,
(SUMIF(Fonctionnement[Affectation matrice],$A60,Fonctionnement[TVA acquittée])+SUMIF(Invest[Affectation matrice],$A60,Invest[TVA acquittée]))*CI60)</f>
        <v>0</v>
      </c>
      <c r="AJ60" s="56">
        <f>IF($C60=Repart_lignes,0,
(SUMIF(Fonctionnement[Affectation matrice],$A60,Fonctionnement[TVA acquittée])+SUMIF(Invest[Affectation matrice],$A60,Invest[TVA acquittée]))*CJ60)</f>
        <v>0</v>
      </c>
      <c r="AK60" s="56">
        <f>IF($C60=Repart_lignes,0,
(SUMIF(Fonctionnement[Affectation matrice],$A60,Fonctionnement[TVA acquittée])+SUMIF(Invest[Affectation matrice],$A60,Invest[TVA acquittée]))*CK60)</f>
        <v>0</v>
      </c>
      <c r="AL60" s="56">
        <f>IF($C60=Repart_lignes,0,
(SUMIF(Fonctionnement[Affectation matrice],$A60,Fonctionnement[TVA acquittée])+SUMIF(Invest[Affectation matrice],$A60,Invest[TVA acquittée]))*CL60)</f>
        <v>0</v>
      </c>
      <c r="AM60" s="56">
        <f>IF($C60=Repart_lignes,0,
(SUMIF(Fonctionnement[Affectation matrice],$A60,Fonctionnement[TVA acquittée])+SUMIF(Invest[Affectation matrice],$A60,Invest[TVA acquittée]))*CM60)</f>
        <v>0</v>
      </c>
      <c r="AN60" s="56">
        <f>IF($C60=Repart_lignes,0,
(SUMIF(Fonctionnement[Affectation matrice],$A60,Fonctionnement[TVA acquittée])+SUMIF(Invest[Affectation matrice],$A60,Invest[TVA acquittée]))*CN60)</f>
        <v>0</v>
      </c>
      <c r="AO60" s="56">
        <f>IF($C60=Repart_lignes,0,
(SUMIF(Fonctionnement[Affectation matrice],$A60,Fonctionnement[TVA acquittée])+SUMIF(Invest[Affectation matrice],$A60,Invest[TVA acquittée]))*CO60)</f>
        <v>0</v>
      </c>
      <c r="AP60" s="56">
        <f>IF($C60=Repart_lignes,0,
(SUMIF(Fonctionnement[Affectation matrice],$A60,Fonctionnement[TVA acquittée])+SUMIF(Invest[Affectation matrice],$A60,Invest[TVA acquittée]))*CP60)</f>
        <v>0</v>
      </c>
      <c r="AQ60" s="56">
        <f>IF($C60=Repart_lignes,0,
(SUMIF(Fonctionnement[Affectation matrice],$A60,Fonctionnement[TVA acquittée])+SUMIF(Invest[Affectation matrice],$A60,Invest[TVA acquittée]))*CQ60)</f>
        <v>0</v>
      </c>
      <c r="AR60" s="56">
        <f>IF($C60=Repart_lignes,0,
(SUMIF(Fonctionnement[Affectation matrice],$A60,Fonctionnement[TVA acquittée])+SUMIF(Invest[Affectation matrice],$A60,Invest[TVA acquittée]))*CR60)</f>
        <v>0</v>
      </c>
      <c r="AS60" s="56">
        <f>IF($C60=Repart_lignes,0,
(SUMIF(Fonctionnement[Affectation matrice],$A60,Fonctionnement[TVA acquittée])+SUMIF(Invest[Affectation matrice],$A60,Invest[TVA acquittée]))*CS60)</f>
        <v>0</v>
      </c>
      <c r="AT60" s="56">
        <f>IF($C60=Repart_lignes,0,
(SUMIF(Fonctionnement[Affectation matrice],$A60,Fonctionnement[TVA acquittée])+SUMIF(Invest[Affectation matrice],$A60,Invest[TVA acquittée]))*CT60)</f>
        <v>0</v>
      </c>
      <c r="AU60" s="56">
        <f>IF($C60=Repart_lignes,0,
(SUMIF(Fonctionnement[Affectation matrice],$A60,Fonctionnement[TVA acquittée])+SUMIF(Invest[Affectation matrice],$A60,Invest[TVA acquittée]))*CU60)</f>
        <v>0</v>
      </c>
      <c r="AV60" s="56">
        <f>IF($C60=Repart_lignes,0,
(SUMIF(Fonctionnement[Affectation matrice],$A60,Fonctionnement[TVA acquittée])+SUMIF(Invest[Affectation matrice],$A60,Invest[TVA acquittée]))*CV60)</f>
        <v>0</v>
      </c>
      <c r="AW60" s="56">
        <f>IF($C60=Repart_lignes,0,
(SUMIF(Fonctionnement[Affectation matrice],$A60,Fonctionnement[TVA acquittée])+SUMIF(Invest[Affectation matrice],$A60,Invest[TVA acquittée]))*CW60)</f>
        <v>0</v>
      </c>
      <c r="AX60" s="56">
        <f>IF($C60=Repart_lignes,0,
(SUMIF(Fonctionnement[Affectation matrice],$A60,Fonctionnement[TVA acquittée])+SUMIF(Invest[Affectation matrice],$A60,Invest[TVA acquittée]))*CX60)</f>
        <v>0</v>
      </c>
      <c r="AY60" s="56">
        <f>IF($C60=Repart_lignes,0,
(SUMIF(Fonctionnement[Affectation matrice],$A60,Fonctionnement[TVA acquittée])+SUMIF(Invest[Affectation matrice],$A60,Invest[TVA acquittée]))*CY60)</f>
        <v>0</v>
      </c>
      <c r="AZ60" s="56">
        <f>IF($C60=Repart_lignes,0,
(SUMIF(Fonctionnement[Affectation matrice],$A60,Fonctionnement[TVA acquittée])+SUMIF(Invest[Affectation matrice],$A60,Invest[TVA acquittée]))*CZ60)</f>
        <v>0</v>
      </c>
      <c r="BA60" s="56">
        <f>IF($C60=Repart_lignes,0,
(SUMIF(Fonctionnement[Affectation matrice],$A60,Fonctionnement[TVA acquittée])+SUMIF(Invest[Affectation matrice],$A60,Invest[TVA acquittée]))*DA60)</f>
        <v>0</v>
      </c>
      <c r="BB60" s="56">
        <f>IF($C60=Repart_lignes,0,
(SUMIF(Fonctionnement[Affectation matrice],$A60,Fonctionnement[TVA acquittée])+SUMIF(Invest[Affectation matrice],$A60,Invest[TVA acquittée]))*DB60)</f>
        <v>0</v>
      </c>
      <c r="BC60" s="56">
        <f>IF($C60=Repart_lignes,0,
(SUMIF(Fonctionnement[Affectation matrice],$A60,Fonctionnement[TVA acquittée])+SUMIF(Invest[Affectation matrice],$A60,Invest[TVA acquittée]))*DC60)</f>
        <v>0</v>
      </c>
      <c r="BD60" s="56">
        <f>IF($C60=Repart_lignes,0,
(SUMIF(Fonctionnement[Affectation matrice],$A60,Fonctionnement[TVA acquittée])+SUMIF(Invest[Affectation matrice],$A60,Invest[TVA acquittée]))*DD60)</f>
        <v>0</v>
      </c>
      <c r="BE60" s="58">
        <f t="shared" si="32"/>
        <v>0</v>
      </c>
      <c r="BF60" s="56">
        <f>IF($C60=Repart_lignes,0,
(SUMIF(Fonctionnement[Affectation matrice],$A60,Fonctionnement[Montant (€HT)])+SUMIF(Invest[Affectation matrice],$A60,Invest[Amortissement HT + intérêts]))*CF60)</f>
        <v>0</v>
      </c>
      <c r="BG60" s="56">
        <f>IF($C60=Repart_lignes,0,
(SUMIF(Fonctionnement[Affectation matrice],$A60,Fonctionnement[Montant (€HT)])+SUMIF(Invest[Affectation matrice],$A60,Invest[Amortissement HT + intérêts]))*CG60)</f>
        <v>0</v>
      </c>
      <c r="BH60" s="56">
        <f>IF($C60=Repart_lignes,0,
(SUMIF(Fonctionnement[Affectation matrice],$A60,Fonctionnement[Montant (€HT)])+SUMIF(Invest[Affectation matrice],$A60,Invest[Amortissement HT + intérêts]))*CH60)</f>
        <v>0</v>
      </c>
      <c r="BI60" s="56">
        <f>IF($C60=Repart_lignes,0,
(SUMIF(Fonctionnement[Affectation matrice],$A60,Fonctionnement[Montant (€HT)])+SUMIF(Invest[Affectation matrice],$A60,Invest[Amortissement HT + intérêts]))*CI60)</f>
        <v>0</v>
      </c>
      <c r="BJ60" s="56">
        <f>IF($C60=Repart_lignes,0,
(SUMIF(Fonctionnement[Affectation matrice],$A60,Fonctionnement[Montant (€HT)])+SUMIF(Invest[Affectation matrice],$A60,Invest[Amortissement HT + intérêts]))*CJ60)</f>
        <v>0</v>
      </c>
      <c r="BK60" s="56">
        <f>IF($C60=Repart_lignes,0,
(SUMIF(Fonctionnement[Affectation matrice],$A60,Fonctionnement[Montant (€HT)])+SUMIF(Invest[Affectation matrice],$A60,Invest[Amortissement HT + intérêts]))*CK60)</f>
        <v>0</v>
      </c>
      <c r="BL60" s="56">
        <f>IF($C60=Repart_lignes,0,
(SUMIF(Fonctionnement[Affectation matrice],$A60,Fonctionnement[Montant (€HT)])+SUMIF(Invest[Affectation matrice],$A60,Invest[Amortissement HT + intérêts]))*CL60)</f>
        <v>0</v>
      </c>
      <c r="BM60" s="56">
        <f>IF($C60=Repart_lignes,0,
(SUMIF(Fonctionnement[Affectation matrice],$A60,Fonctionnement[Montant (€HT)])+SUMIF(Invest[Affectation matrice],$A60,Invest[Amortissement HT + intérêts]))*CM60)</f>
        <v>0</v>
      </c>
      <c r="BN60" s="56">
        <f>IF($C60=Repart_lignes,0,
(SUMIF(Fonctionnement[Affectation matrice],$A60,Fonctionnement[Montant (€HT)])+SUMIF(Invest[Affectation matrice],$A60,Invest[Amortissement HT + intérêts]))*CN60)</f>
        <v>0</v>
      </c>
      <c r="BO60" s="56">
        <f>IF($C60=Repart_lignes,0,
(SUMIF(Fonctionnement[Affectation matrice],$A60,Fonctionnement[Montant (€HT)])+SUMIF(Invest[Affectation matrice],$A60,Invest[Amortissement HT + intérêts]))*CO60)</f>
        <v>0</v>
      </c>
      <c r="BP60" s="56">
        <f>IF($C60=Repart_lignes,0,
(SUMIF(Fonctionnement[Affectation matrice],$A60,Fonctionnement[Montant (€HT)])+SUMIF(Invest[Affectation matrice],$A60,Invest[Amortissement HT + intérêts]))*CP60)</f>
        <v>0</v>
      </c>
      <c r="BQ60" s="56">
        <f>IF($C60=Repart_lignes,0,
(SUMIF(Fonctionnement[Affectation matrice],$A60,Fonctionnement[Montant (€HT)])+SUMIF(Invest[Affectation matrice],$A60,Invest[Amortissement HT + intérêts]))*CQ60)</f>
        <v>0</v>
      </c>
      <c r="BR60" s="56">
        <f>IF($C60=Repart_lignes,0,
(SUMIF(Fonctionnement[Affectation matrice],$A60,Fonctionnement[Montant (€HT)])+SUMIF(Invest[Affectation matrice],$A60,Invest[Amortissement HT + intérêts]))*CR60)</f>
        <v>0</v>
      </c>
      <c r="BS60" s="56">
        <f>IF($C60=Repart_lignes,0,
(SUMIF(Fonctionnement[Affectation matrice],$A60,Fonctionnement[Montant (€HT)])+SUMIF(Invest[Affectation matrice],$A60,Invest[Amortissement HT + intérêts]))*CS60)</f>
        <v>0</v>
      </c>
      <c r="BT60" s="56">
        <f>IF($C60=Repart_lignes,0,
(SUMIF(Fonctionnement[Affectation matrice],$A60,Fonctionnement[Montant (€HT)])+SUMIF(Invest[Affectation matrice],$A60,Invest[Amortissement HT + intérêts]))*CT60)</f>
        <v>0</v>
      </c>
      <c r="BU60" s="56">
        <f>IF($C60=Repart_lignes,0,
(SUMIF(Fonctionnement[Affectation matrice],$A60,Fonctionnement[Montant (€HT)])+SUMIF(Invest[Affectation matrice],$A60,Invest[Amortissement HT + intérêts]))*CU60)</f>
        <v>0</v>
      </c>
      <c r="BV60" s="56">
        <f>IF($C60=Repart_lignes,0,
(SUMIF(Fonctionnement[Affectation matrice],$A60,Fonctionnement[Montant (€HT)])+SUMIF(Invest[Affectation matrice],$A60,Invest[Amortissement HT + intérêts]))*CV60)</f>
        <v>0</v>
      </c>
      <c r="BW60" s="56">
        <f>IF($C60=Repart_lignes,0,
(SUMIF(Fonctionnement[Affectation matrice],$A60,Fonctionnement[Montant (€HT)])+SUMIF(Invest[Affectation matrice],$A60,Invest[Amortissement HT + intérêts]))*CW60)</f>
        <v>0</v>
      </c>
      <c r="BX60" s="56">
        <f>IF($C60=Repart_lignes,0,
(SUMIF(Fonctionnement[Affectation matrice],$A60,Fonctionnement[Montant (€HT)])+SUMIF(Invest[Affectation matrice],$A60,Invest[Amortissement HT + intérêts]))*CX60)</f>
        <v>0</v>
      </c>
      <c r="BY60" s="56">
        <f>IF($C60=Repart_lignes,0,
(SUMIF(Fonctionnement[Affectation matrice],$A60,Fonctionnement[Montant (€HT)])+SUMIF(Invest[Affectation matrice],$A60,Invest[Amortissement HT + intérêts]))*CY60)</f>
        <v>0</v>
      </c>
      <c r="BZ60" s="56">
        <f>IF($C60=Repart_lignes,0,
(SUMIF(Fonctionnement[Affectation matrice],$A60,Fonctionnement[Montant (€HT)])+SUMIF(Invest[Affectation matrice],$A60,Invest[Amortissement HT + intérêts]))*CZ60)</f>
        <v>0</v>
      </c>
      <c r="CA60" s="56">
        <f>IF($C60=Repart_lignes,0,
(SUMIF(Fonctionnement[Affectation matrice],$A60,Fonctionnement[Montant (€HT)])+SUMIF(Invest[Affectation matrice],$A60,Invest[Amortissement HT + intérêts]))*DA60)</f>
        <v>0</v>
      </c>
      <c r="CB60" s="56">
        <f>IF($C60=Repart_lignes,0,
(SUMIF(Fonctionnement[Affectation matrice],$A60,Fonctionnement[Montant (€HT)])+SUMIF(Invest[Affectation matrice],$A60,Invest[Amortissement HT + intérêts]))*DB60)</f>
        <v>0</v>
      </c>
      <c r="CC60" s="56">
        <f>IF($C60=Repart_lignes,0,
(SUMIF(Fonctionnement[Affectation matrice],$A60,Fonctionnement[Montant (€HT)])+SUMIF(Invest[Affectation matrice],$A60,Invest[Amortissement HT + intérêts]))*DC60)</f>
        <v>0</v>
      </c>
      <c r="CD60" s="56">
        <f>IF($C60=Repart_lignes,0,
(SUMIF(Fonctionnement[Affectation matrice],$A60,Fonctionnement[Montant (€HT)])+SUMIF(Invest[Affectation matrice],$A60,Invest[Amortissement HT + intérêts]))*DD60)</f>
        <v>0</v>
      </c>
      <c r="CE60" s="59">
        <f t="shared" si="33"/>
        <v>0</v>
      </c>
      <c r="CF60" s="61">
        <f t="shared" si="34"/>
        <v>0</v>
      </c>
      <c r="CG60" s="61">
        <f t="shared" si="35"/>
        <v>0</v>
      </c>
      <c r="CH60" s="61">
        <f t="shared" si="36"/>
        <v>0</v>
      </c>
      <c r="CI60" s="61">
        <f t="shared" si="37"/>
        <v>0</v>
      </c>
      <c r="CJ60" s="61">
        <f t="shared" si="38"/>
        <v>0</v>
      </c>
      <c r="CK60" s="61">
        <f t="shared" si="39"/>
        <v>0</v>
      </c>
      <c r="CL60" s="61">
        <f t="shared" si="40"/>
        <v>0</v>
      </c>
      <c r="CM60" s="61">
        <f t="shared" si="41"/>
        <v>0</v>
      </c>
      <c r="CN60" s="61">
        <f t="shared" si="42"/>
        <v>0</v>
      </c>
      <c r="CO60" s="61">
        <f t="shared" si="43"/>
        <v>0</v>
      </c>
      <c r="CP60" s="61">
        <f t="shared" si="44"/>
        <v>0</v>
      </c>
      <c r="CQ60" s="61">
        <f t="shared" si="45"/>
        <v>0</v>
      </c>
      <c r="CR60" s="61">
        <f t="shared" si="46"/>
        <v>0</v>
      </c>
      <c r="CS60" s="61">
        <f t="shared" si="47"/>
        <v>0</v>
      </c>
      <c r="CT60" s="61">
        <f t="shared" si="48"/>
        <v>0</v>
      </c>
      <c r="CU60" s="61">
        <f t="shared" si="49"/>
        <v>0</v>
      </c>
      <c r="CV60" s="61">
        <f t="shared" si="50"/>
        <v>0</v>
      </c>
      <c r="CW60" s="61">
        <f t="shared" si="51"/>
        <v>0</v>
      </c>
      <c r="CX60" s="61">
        <f t="shared" si="52"/>
        <v>0</v>
      </c>
      <c r="CY60" s="61">
        <f t="shared" si="53"/>
        <v>0</v>
      </c>
      <c r="CZ60" s="61">
        <f t="shared" si="54"/>
        <v>0</v>
      </c>
      <c r="DA60" s="61">
        <f t="shared" si="55"/>
        <v>0</v>
      </c>
      <c r="DB60" s="61">
        <f t="shared" si="56"/>
        <v>0</v>
      </c>
      <c r="DC60" s="61">
        <f t="shared" si="57"/>
        <v>0</v>
      </c>
      <c r="DD60" s="61">
        <f t="shared" si="58"/>
        <v>0</v>
      </c>
      <c r="DE60" s="61">
        <f t="shared" si="59"/>
        <v>0</v>
      </c>
    </row>
    <row r="61" spans="1:109" x14ac:dyDescent="0.25">
      <c r="A61" s="248"/>
      <c r="B61" s="248"/>
      <c r="C61" s="251"/>
      <c r="D61" s="25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1">
        <f t="shared" si="31"/>
        <v>0</v>
      </c>
      <c r="AE61" s="53" t="str">
        <f t="shared" ca="1" si="29"/>
        <v/>
      </c>
      <c r="AF61" s="56">
        <f>IF($C61=Repart_lignes,0,
(SUMIF(Fonctionnement[Affectation matrice],$A61,Fonctionnement[TVA acquittée])+SUMIF(Invest[Affectation matrice],$A61,Invest[TVA acquittée]))*CF61)</f>
        <v>0</v>
      </c>
      <c r="AG61" s="56">
        <f>IF($C61=Repart_lignes,0,
(SUMIF(Fonctionnement[Affectation matrice],$A61,Fonctionnement[TVA acquittée])+SUMIF(Invest[Affectation matrice],$A61,Invest[TVA acquittée]))*CG61)</f>
        <v>0</v>
      </c>
      <c r="AH61" s="56">
        <f>IF($C61=Repart_lignes,0,
(SUMIF(Fonctionnement[Affectation matrice],$A61,Fonctionnement[TVA acquittée])+SUMIF(Invest[Affectation matrice],$A61,Invest[TVA acquittée]))*CH61)</f>
        <v>0</v>
      </c>
      <c r="AI61" s="56">
        <f>IF($C61=Repart_lignes,0,
(SUMIF(Fonctionnement[Affectation matrice],$A61,Fonctionnement[TVA acquittée])+SUMIF(Invest[Affectation matrice],$A61,Invest[TVA acquittée]))*CI61)</f>
        <v>0</v>
      </c>
      <c r="AJ61" s="56">
        <f>IF($C61=Repart_lignes,0,
(SUMIF(Fonctionnement[Affectation matrice],$A61,Fonctionnement[TVA acquittée])+SUMIF(Invest[Affectation matrice],$A61,Invest[TVA acquittée]))*CJ61)</f>
        <v>0</v>
      </c>
      <c r="AK61" s="56">
        <f>IF($C61=Repart_lignes,0,
(SUMIF(Fonctionnement[Affectation matrice],$A61,Fonctionnement[TVA acquittée])+SUMIF(Invest[Affectation matrice],$A61,Invest[TVA acquittée]))*CK61)</f>
        <v>0</v>
      </c>
      <c r="AL61" s="56">
        <f>IF($C61=Repart_lignes,0,
(SUMIF(Fonctionnement[Affectation matrice],$A61,Fonctionnement[TVA acquittée])+SUMIF(Invest[Affectation matrice],$A61,Invest[TVA acquittée]))*CL61)</f>
        <v>0</v>
      </c>
      <c r="AM61" s="56">
        <f>IF($C61=Repart_lignes,0,
(SUMIF(Fonctionnement[Affectation matrice],$A61,Fonctionnement[TVA acquittée])+SUMIF(Invest[Affectation matrice],$A61,Invest[TVA acquittée]))*CM61)</f>
        <v>0</v>
      </c>
      <c r="AN61" s="56">
        <f>IF($C61=Repart_lignes,0,
(SUMIF(Fonctionnement[Affectation matrice],$A61,Fonctionnement[TVA acquittée])+SUMIF(Invest[Affectation matrice],$A61,Invest[TVA acquittée]))*CN61)</f>
        <v>0</v>
      </c>
      <c r="AO61" s="56">
        <f>IF($C61=Repart_lignes,0,
(SUMIF(Fonctionnement[Affectation matrice],$A61,Fonctionnement[TVA acquittée])+SUMIF(Invest[Affectation matrice],$A61,Invest[TVA acquittée]))*CO61)</f>
        <v>0</v>
      </c>
      <c r="AP61" s="56">
        <f>IF($C61=Repart_lignes,0,
(SUMIF(Fonctionnement[Affectation matrice],$A61,Fonctionnement[TVA acquittée])+SUMIF(Invest[Affectation matrice],$A61,Invest[TVA acquittée]))*CP61)</f>
        <v>0</v>
      </c>
      <c r="AQ61" s="56">
        <f>IF($C61=Repart_lignes,0,
(SUMIF(Fonctionnement[Affectation matrice],$A61,Fonctionnement[TVA acquittée])+SUMIF(Invest[Affectation matrice],$A61,Invest[TVA acquittée]))*CQ61)</f>
        <v>0</v>
      </c>
      <c r="AR61" s="56">
        <f>IF($C61=Repart_lignes,0,
(SUMIF(Fonctionnement[Affectation matrice],$A61,Fonctionnement[TVA acquittée])+SUMIF(Invest[Affectation matrice],$A61,Invest[TVA acquittée]))*CR61)</f>
        <v>0</v>
      </c>
      <c r="AS61" s="56">
        <f>IF($C61=Repart_lignes,0,
(SUMIF(Fonctionnement[Affectation matrice],$A61,Fonctionnement[TVA acquittée])+SUMIF(Invest[Affectation matrice],$A61,Invest[TVA acquittée]))*CS61)</f>
        <v>0</v>
      </c>
      <c r="AT61" s="56">
        <f>IF($C61=Repart_lignes,0,
(SUMIF(Fonctionnement[Affectation matrice],$A61,Fonctionnement[TVA acquittée])+SUMIF(Invest[Affectation matrice],$A61,Invest[TVA acquittée]))*CT61)</f>
        <v>0</v>
      </c>
      <c r="AU61" s="56">
        <f>IF($C61=Repart_lignes,0,
(SUMIF(Fonctionnement[Affectation matrice],$A61,Fonctionnement[TVA acquittée])+SUMIF(Invest[Affectation matrice],$A61,Invest[TVA acquittée]))*CU61)</f>
        <v>0</v>
      </c>
      <c r="AV61" s="56">
        <f>IF($C61=Repart_lignes,0,
(SUMIF(Fonctionnement[Affectation matrice],$A61,Fonctionnement[TVA acquittée])+SUMIF(Invest[Affectation matrice],$A61,Invest[TVA acquittée]))*CV61)</f>
        <v>0</v>
      </c>
      <c r="AW61" s="56">
        <f>IF($C61=Repart_lignes,0,
(SUMIF(Fonctionnement[Affectation matrice],$A61,Fonctionnement[TVA acquittée])+SUMIF(Invest[Affectation matrice],$A61,Invest[TVA acquittée]))*CW61)</f>
        <v>0</v>
      </c>
      <c r="AX61" s="56">
        <f>IF($C61=Repart_lignes,0,
(SUMIF(Fonctionnement[Affectation matrice],$A61,Fonctionnement[TVA acquittée])+SUMIF(Invest[Affectation matrice],$A61,Invest[TVA acquittée]))*CX61)</f>
        <v>0</v>
      </c>
      <c r="AY61" s="56">
        <f>IF($C61=Repart_lignes,0,
(SUMIF(Fonctionnement[Affectation matrice],$A61,Fonctionnement[TVA acquittée])+SUMIF(Invest[Affectation matrice],$A61,Invest[TVA acquittée]))*CY61)</f>
        <v>0</v>
      </c>
      <c r="AZ61" s="56">
        <f>IF($C61=Repart_lignes,0,
(SUMIF(Fonctionnement[Affectation matrice],$A61,Fonctionnement[TVA acquittée])+SUMIF(Invest[Affectation matrice],$A61,Invest[TVA acquittée]))*CZ61)</f>
        <v>0</v>
      </c>
      <c r="BA61" s="56">
        <f>IF($C61=Repart_lignes,0,
(SUMIF(Fonctionnement[Affectation matrice],$A61,Fonctionnement[TVA acquittée])+SUMIF(Invest[Affectation matrice],$A61,Invest[TVA acquittée]))*DA61)</f>
        <v>0</v>
      </c>
      <c r="BB61" s="56">
        <f>IF($C61=Repart_lignes,0,
(SUMIF(Fonctionnement[Affectation matrice],$A61,Fonctionnement[TVA acquittée])+SUMIF(Invest[Affectation matrice],$A61,Invest[TVA acquittée]))*DB61)</f>
        <v>0</v>
      </c>
      <c r="BC61" s="56">
        <f>IF($C61=Repart_lignes,0,
(SUMIF(Fonctionnement[Affectation matrice],$A61,Fonctionnement[TVA acquittée])+SUMIF(Invest[Affectation matrice],$A61,Invest[TVA acquittée]))*DC61)</f>
        <v>0</v>
      </c>
      <c r="BD61" s="56">
        <f>IF($C61=Repart_lignes,0,
(SUMIF(Fonctionnement[Affectation matrice],$A61,Fonctionnement[TVA acquittée])+SUMIF(Invest[Affectation matrice],$A61,Invest[TVA acquittée]))*DD61)</f>
        <v>0</v>
      </c>
      <c r="BE61" s="58">
        <f t="shared" si="32"/>
        <v>0</v>
      </c>
      <c r="BF61" s="56">
        <f>IF($C61=Repart_lignes,0,
(SUMIF(Fonctionnement[Affectation matrice],$A61,Fonctionnement[Montant (€HT)])+SUMIF(Invest[Affectation matrice],$A61,Invest[Amortissement HT + intérêts]))*CF61)</f>
        <v>0</v>
      </c>
      <c r="BG61" s="56">
        <f>IF($C61=Repart_lignes,0,
(SUMIF(Fonctionnement[Affectation matrice],$A61,Fonctionnement[Montant (€HT)])+SUMIF(Invest[Affectation matrice],$A61,Invest[Amortissement HT + intérêts]))*CG61)</f>
        <v>0</v>
      </c>
      <c r="BH61" s="56">
        <f>IF($C61=Repart_lignes,0,
(SUMIF(Fonctionnement[Affectation matrice],$A61,Fonctionnement[Montant (€HT)])+SUMIF(Invest[Affectation matrice],$A61,Invest[Amortissement HT + intérêts]))*CH61)</f>
        <v>0</v>
      </c>
      <c r="BI61" s="56">
        <f>IF($C61=Repart_lignes,0,
(SUMIF(Fonctionnement[Affectation matrice],$A61,Fonctionnement[Montant (€HT)])+SUMIF(Invest[Affectation matrice],$A61,Invest[Amortissement HT + intérêts]))*CI61)</f>
        <v>0</v>
      </c>
      <c r="BJ61" s="56">
        <f>IF($C61=Repart_lignes,0,
(SUMIF(Fonctionnement[Affectation matrice],$A61,Fonctionnement[Montant (€HT)])+SUMIF(Invest[Affectation matrice],$A61,Invest[Amortissement HT + intérêts]))*CJ61)</f>
        <v>0</v>
      </c>
      <c r="BK61" s="56">
        <f>IF($C61=Repart_lignes,0,
(SUMIF(Fonctionnement[Affectation matrice],$A61,Fonctionnement[Montant (€HT)])+SUMIF(Invest[Affectation matrice],$A61,Invest[Amortissement HT + intérêts]))*CK61)</f>
        <v>0</v>
      </c>
      <c r="BL61" s="56">
        <f>IF($C61=Repart_lignes,0,
(SUMIF(Fonctionnement[Affectation matrice],$A61,Fonctionnement[Montant (€HT)])+SUMIF(Invest[Affectation matrice],$A61,Invest[Amortissement HT + intérêts]))*CL61)</f>
        <v>0</v>
      </c>
      <c r="BM61" s="56">
        <f>IF($C61=Repart_lignes,0,
(SUMIF(Fonctionnement[Affectation matrice],$A61,Fonctionnement[Montant (€HT)])+SUMIF(Invest[Affectation matrice],$A61,Invest[Amortissement HT + intérêts]))*CM61)</f>
        <v>0</v>
      </c>
      <c r="BN61" s="56">
        <f>IF($C61=Repart_lignes,0,
(SUMIF(Fonctionnement[Affectation matrice],$A61,Fonctionnement[Montant (€HT)])+SUMIF(Invest[Affectation matrice],$A61,Invest[Amortissement HT + intérêts]))*CN61)</f>
        <v>0</v>
      </c>
      <c r="BO61" s="56">
        <f>IF($C61=Repart_lignes,0,
(SUMIF(Fonctionnement[Affectation matrice],$A61,Fonctionnement[Montant (€HT)])+SUMIF(Invest[Affectation matrice],$A61,Invest[Amortissement HT + intérêts]))*CO61)</f>
        <v>0</v>
      </c>
      <c r="BP61" s="56">
        <f>IF($C61=Repart_lignes,0,
(SUMIF(Fonctionnement[Affectation matrice],$A61,Fonctionnement[Montant (€HT)])+SUMIF(Invest[Affectation matrice],$A61,Invest[Amortissement HT + intérêts]))*CP61)</f>
        <v>0</v>
      </c>
      <c r="BQ61" s="56">
        <f>IF($C61=Repart_lignes,0,
(SUMIF(Fonctionnement[Affectation matrice],$A61,Fonctionnement[Montant (€HT)])+SUMIF(Invest[Affectation matrice],$A61,Invest[Amortissement HT + intérêts]))*CQ61)</f>
        <v>0</v>
      </c>
      <c r="BR61" s="56">
        <f>IF($C61=Repart_lignes,0,
(SUMIF(Fonctionnement[Affectation matrice],$A61,Fonctionnement[Montant (€HT)])+SUMIF(Invest[Affectation matrice],$A61,Invest[Amortissement HT + intérêts]))*CR61)</f>
        <v>0</v>
      </c>
      <c r="BS61" s="56">
        <f>IF($C61=Repart_lignes,0,
(SUMIF(Fonctionnement[Affectation matrice],$A61,Fonctionnement[Montant (€HT)])+SUMIF(Invest[Affectation matrice],$A61,Invest[Amortissement HT + intérêts]))*CS61)</f>
        <v>0</v>
      </c>
      <c r="BT61" s="56">
        <f>IF($C61=Repart_lignes,0,
(SUMIF(Fonctionnement[Affectation matrice],$A61,Fonctionnement[Montant (€HT)])+SUMIF(Invest[Affectation matrice],$A61,Invest[Amortissement HT + intérêts]))*CT61)</f>
        <v>0</v>
      </c>
      <c r="BU61" s="56">
        <f>IF($C61=Repart_lignes,0,
(SUMIF(Fonctionnement[Affectation matrice],$A61,Fonctionnement[Montant (€HT)])+SUMIF(Invest[Affectation matrice],$A61,Invest[Amortissement HT + intérêts]))*CU61)</f>
        <v>0</v>
      </c>
      <c r="BV61" s="56">
        <f>IF($C61=Repart_lignes,0,
(SUMIF(Fonctionnement[Affectation matrice],$A61,Fonctionnement[Montant (€HT)])+SUMIF(Invest[Affectation matrice],$A61,Invest[Amortissement HT + intérêts]))*CV61)</f>
        <v>0</v>
      </c>
      <c r="BW61" s="56">
        <f>IF($C61=Repart_lignes,0,
(SUMIF(Fonctionnement[Affectation matrice],$A61,Fonctionnement[Montant (€HT)])+SUMIF(Invest[Affectation matrice],$A61,Invest[Amortissement HT + intérêts]))*CW61)</f>
        <v>0</v>
      </c>
      <c r="BX61" s="56">
        <f>IF($C61=Repart_lignes,0,
(SUMIF(Fonctionnement[Affectation matrice],$A61,Fonctionnement[Montant (€HT)])+SUMIF(Invest[Affectation matrice],$A61,Invest[Amortissement HT + intérêts]))*CX61)</f>
        <v>0</v>
      </c>
      <c r="BY61" s="56">
        <f>IF($C61=Repart_lignes,0,
(SUMIF(Fonctionnement[Affectation matrice],$A61,Fonctionnement[Montant (€HT)])+SUMIF(Invest[Affectation matrice],$A61,Invest[Amortissement HT + intérêts]))*CY61)</f>
        <v>0</v>
      </c>
      <c r="BZ61" s="56">
        <f>IF($C61=Repart_lignes,0,
(SUMIF(Fonctionnement[Affectation matrice],$A61,Fonctionnement[Montant (€HT)])+SUMIF(Invest[Affectation matrice],$A61,Invest[Amortissement HT + intérêts]))*CZ61)</f>
        <v>0</v>
      </c>
      <c r="CA61" s="56">
        <f>IF($C61=Repart_lignes,0,
(SUMIF(Fonctionnement[Affectation matrice],$A61,Fonctionnement[Montant (€HT)])+SUMIF(Invest[Affectation matrice],$A61,Invest[Amortissement HT + intérêts]))*DA61)</f>
        <v>0</v>
      </c>
      <c r="CB61" s="56">
        <f>IF($C61=Repart_lignes,0,
(SUMIF(Fonctionnement[Affectation matrice],$A61,Fonctionnement[Montant (€HT)])+SUMIF(Invest[Affectation matrice],$A61,Invest[Amortissement HT + intérêts]))*DB61)</f>
        <v>0</v>
      </c>
      <c r="CC61" s="56">
        <f>IF($C61=Repart_lignes,0,
(SUMIF(Fonctionnement[Affectation matrice],$A61,Fonctionnement[Montant (€HT)])+SUMIF(Invest[Affectation matrice],$A61,Invest[Amortissement HT + intérêts]))*DC61)</f>
        <v>0</v>
      </c>
      <c r="CD61" s="56">
        <f>IF($C61=Repart_lignes,0,
(SUMIF(Fonctionnement[Affectation matrice],$A61,Fonctionnement[Montant (€HT)])+SUMIF(Invest[Affectation matrice],$A61,Invest[Amortissement HT + intérêts]))*DD61)</f>
        <v>0</v>
      </c>
      <c r="CE61" s="59">
        <f t="shared" si="33"/>
        <v>0</v>
      </c>
      <c r="CF61" s="61">
        <f t="shared" si="34"/>
        <v>0</v>
      </c>
      <c r="CG61" s="61">
        <f t="shared" si="35"/>
        <v>0</v>
      </c>
      <c r="CH61" s="61">
        <f t="shared" si="36"/>
        <v>0</v>
      </c>
      <c r="CI61" s="61">
        <f t="shared" si="37"/>
        <v>0</v>
      </c>
      <c r="CJ61" s="61">
        <f t="shared" si="38"/>
        <v>0</v>
      </c>
      <c r="CK61" s="61">
        <f t="shared" si="39"/>
        <v>0</v>
      </c>
      <c r="CL61" s="61">
        <f t="shared" si="40"/>
        <v>0</v>
      </c>
      <c r="CM61" s="61">
        <f t="shared" si="41"/>
        <v>0</v>
      </c>
      <c r="CN61" s="61">
        <f t="shared" si="42"/>
        <v>0</v>
      </c>
      <c r="CO61" s="61">
        <f t="shared" si="43"/>
        <v>0</v>
      </c>
      <c r="CP61" s="61">
        <f t="shared" si="44"/>
        <v>0</v>
      </c>
      <c r="CQ61" s="61">
        <f t="shared" si="45"/>
        <v>0</v>
      </c>
      <c r="CR61" s="61">
        <f t="shared" si="46"/>
        <v>0</v>
      </c>
      <c r="CS61" s="61">
        <f t="shared" si="47"/>
        <v>0</v>
      </c>
      <c r="CT61" s="61">
        <f t="shared" si="48"/>
        <v>0</v>
      </c>
      <c r="CU61" s="61">
        <f t="shared" si="49"/>
        <v>0</v>
      </c>
      <c r="CV61" s="61">
        <f t="shared" si="50"/>
        <v>0</v>
      </c>
      <c r="CW61" s="61">
        <f t="shared" si="51"/>
        <v>0</v>
      </c>
      <c r="CX61" s="61">
        <f t="shared" si="52"/>
        <v>0</v>
      </c>
      <c r="CY61" s="61">
        <f t="shared" si="53"/>
        <v>0</v>
      </c>
      <c r="CZ61" s="61">
        <f t="shared" si="54"/>
        <v>0</v>
      </c>
      <c r="DA61" s="61">
        <f t="shared" si="55"/>
        <v>0</v>
      </c>
      <c r="DB61" s="61">
        <f t="shared" si="56"/>
        <v>0</v>
      </c>
      <c r="DC61" s="61">
        <f t="shared" si="57"/>
        <v>0</v>
      </c>
      <c r="DD61" s="61">
        <f t="shared" si="58"/>
        <v>0</v>
      </c>
      <c r="DE61" s="61">
        <f t="shared" si="59"/>
        <v>0</v>
      </c>
    </row>
    <row r="62" spans="1:109" x14ac:dyDescent="0.25">
      <c r="A62" s="248"/>
      <c r="B62" s="248"/>
      <c r="C62" s="251"/>
      <c r="D62" s="25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1">
        <f t="shared" si="31"/>
        <v>0</v>
      </c>
      <c r="AE62" s="53" t="str">
        <f t="shared" ca="1" si="29"/>
        <v/>
      </c>
      <c r="AF62" s="56">
        <f>IF($C62=Repart_lignes,0,
(SUMIF(Fonctionnement[Affectation matrice],$A62,Fonctionnement[TVA acquittée])+SUMIF(Invest[Affectation matrice],$A62,Invest[TVA acquittée]))*CF62)</f>
        <v>0</v>
      </c>
      <c r="AG62" s="56">
        <f>IF($C62=Repart_lignes,0,
(SUMIF(Fonctionnement[Affectation matrice],$A62,Fonctionnement[TVA acquittée])+SUMIF(Invest[Affectation matrice],$A62,Invest[TVA acquittée]))*CG62)</f>
        <v>0</v>
      </c>
      <c r="AH62" s="56">
        <f>IF($C62=Repart_lignes,0,
(SUMIF(Fonctionnement[Affectation matrice],$A62,Fonctionnement[TVA acquittée])+SUMIF(Invest[Affectation matrice],$A62,Invest[TVA acquittée]))*CH62)</f>
        <v>0</v>
      </c>
      <c r="AI62" s="56">
        <f>IF($C62=Repart_lignes,0,
(SUMIF(Fonctionnement[Affectation matrice],$A62,Fonctionnement[TVA acquittée])+SUMIF(Invest[Affectation matrice],$A62,Invest[TVA acquittée]))*CI62)</f>
        <v>0</v>
      </c>
      <c r="AJ62" s="56">
        <f>IF($C62=Repart_lignes,0,
(SUMIF(Fonctionnement[Affectation matrice],$A62,Fonctionnement[TVA acquittée])+SUMIF(Invest[Affectation matrice],$A62,Invest[TVA acquittée]))*CJ62)</f>
        <v>0</v>
      </c>
      <c r="AK62" s="56">
        <f>IF($C62=Repart_lignes,0,
(SUMIF(Fonctionnement[Affectation matrice],$A62,Fonctionnement[TVA acquittée])+SUMIF(Invest[Affectation matrice],$A62,Invest[TVA acquittée]))*CK62)</f>
        <v>0</v>
      </c>
      <c r="AL62" s="56">
        <f>IF($C62=Repart_lignes,0,
(SUMIF(Fonctionnement[Affectation matrice],$A62,Fonctionnement[TVA acquittée])+SUMIF(Invest[Affectation matrice],$A62,Invest[TVA acquittée]))*CL62)</f>
        <v>0</v>
      </c>
      <c r="AM62" s="56">
        <f>IF($C62=Repart_lignes,0,
(SUMIF(Fonctionnement[Affectation matrice],$A62,Fonctionnement[TVA acquittée])+SUMIF(Invest[Affectation matrice],$A62,Invest[TVA acquittée]))*CM62)</f>
        <v>0</v>
      </c>
      <c r="AN62" s="56">
        <f>IF($C62=Repart_lignes,0,
(SUMIF(Fonctionnement[Affectation matrice],$A62,Fonctionnement[TVA acquittée])+SUMIF(Invest[Affectation matrice],$A62,Invest[TVA acquittée]))*CN62)</f>
        <v>0</v>
      </c>
      <c r="AO62" s="56">
        <f>IF($C62=Repart_lignes,0,
(SUMIF(Fonctionnement[Affectation matrice],$A62,Fonctionnement[TVA acquittée])+SUMIF(Invest[Affectation matrice],$A62,Invest[TVA acquittée]))*CO62)</f>
        <v>0</v>
      </c>
      <c r="AP62" s="56">
        <f>IF($C62=Repart_lignes,0,
(SUMIF(Fonctionnement[Affectation matrice],$A62,Fonctionnement[TVA acquittée])+SUMIF(Invest[Affectation matrice],$A62,Invest[TVA acquittée]))*CP62)</f>
        <v>0</v>
      </c>
      <c r="AQ62" s="56">
        <f>IF($C62=Repart_lignes,0,
(SUMIF(Fonctionnement[Affectation matrice],$A62,Fonctionnement[TVA acquittée])+SUMIF(Invest[Affectation matrice],$A62,Invest[TVA acquittée]))*CQ62)</f>
        <v>0</v>
      </c>
      <c r="AR62" s="56">
        <f>IF($C62=Repart_lignes,0,
(SUMIF(Fonctionnement[Affectation matrice],$A62,Fonctionnement[TVA acquittée])+SUMIF(Invest[Affectation matrice],$A62,Invest[TVA acquittée]))*CR62)</f>
        <v>0</v>
      </c>
      <c r="AS62" s="56">
        <f>IF($C62=Repart_lignes,0,
(SUMIF(Fonctionnement[Affectation matrice],$A62,Fonctionnement[TVA acquittée])+SUMIF(Invest[Affectation matrice],$A62,Invest[TVA acquittée]))*CS62)</f>
        <v>0</v>
      </c>
      <c r="AT62" s="56">
        <f>IF($C62=Repart_lignes,0,
(SUMIF(Fonctionnement[Affectation matrice],$A62,Fonctionnement[TVA acquittée])+SUMIF(Invest[Affectation matrice],$A62,Invest[TVA acquittée]))*CT62)</f>
        <v>0</v>
      </c>
      <c r="AU62" s="56">
        <f>IF($C62=Repart_lignes,0,
(SUMIF(Fonctionnement[Affectation matrice],$A62,Fonctionnement[TVA acquittée])+SUMIF(Invest[Affectation matrice],$A62,Invest[TVA acquittée]))*CU62)</f>
        <v>0</v>
      </c>
      <c r="AV62" s="56">
        <f>IF($C62=Repart_lignes,0,
(SUMIF(Fonctionnement[Affectation matrice],$A62,Fonctionnement[TVA acquittée])+SUMIF(Invest[Affectation matrice],$A62,Invest[TVA acquittée]))*CV62)</f>
        <v>0</v>
      </c>
      <c r="AW62" s="56">
        <f>IF($C62=Repart_lignes,0,
(SUMIF(Fonctionnement[Affectation matrice],$A62,Fonctionnement[TVA acquittée])+SUMIF(Invest[Affectation matrice],$A62,Invest[TVA acquittée]))*CW62)</f>
        <v>0</v>
      </c>
      <c r="AX62" s="56">
        <f>IF($C62=Repart_lignes,0,
(SUMIF(Fonctionnement[Affectation matrice],$A62,Fonctionnement[TVA acquittée])+SUMIF(Invest[Affectation matrice],$A62,Invest[TVA acquittée]))*CX62)</f>
        <v>0</v>
      </c>
      <c r="AY62" s="56">
        <f>IF($C62=Repart_lignes,0,
(SUMIF(Fonctionnement[Affectation matrice],$A62,Fonctionnement[TVA acquittée])+SUMIF(Invest[Affectation matrice],$A62,Invest[TVA acquittée]))*CY62)</f>
        <v>0</v>
      </c>
      <c r="AZ62" s="56">
        <f>IF($C62=Repart_lignes,0,
(SUMIF(Fonctionnement[Affectation matrice],$A62,Fonctionnement[TVA acquittée])+SUMIF(Invest[Affectation matrice],$A62,Invest[TVA acquittée]))*CZ62)</f>
        <v>0</v>
      </c>
      <c r="BA62" s="56">
        <f>IF($C62=Repart_lignes,0,
(SUMIF(Fonctionnement[Affectation matrice],$A62,Fonctionnement[TVA acquittée])+SUMIF(Invest[Affectation matrice],$A62,Invest[TVA acquittée]))*DA62)</f>
        <v>0</v>
      </c>
      <c r="BB62" s="56">
        <f>IF($C62=Repart_lignes,0,
(SUMIF(Fonctionnement[Affectation matrice],$A62,Fonctionnement[TVA acquittée])+SUMIF(Invest[Affectation matrice],$A62,Invest[TVA acquittée]))*DB62)</f>
        <v>0</v>
      </c>
      <c r="BC62" s="56">
        <f>IF($C62=Repart_lignes,0,
(SUMIF(Fonctionnement[Affectation matrice],$A62,Fonctionnement[TVA acquittée])+SUMIF(Invest[Affectation matrice],$A62,Invest[TVA acquittée]))*DC62)</f>
        <v>0</v>
      </c>
      <c r="BD62" s="56">
        <f>IF($C62=Repart_lignes,0,
(SUMIF(Fonctionnement[Affectation matrice],$A62,Fonctionnement[TVA acquittée])+SUMIF(Invest[Affectation matrice],$A62,Invest[TVA acquittée]))*DD62)</f>
        <v>0</v>
      </c>
      <c r="BE62" s="58">
        <f t="shared" si="32"/>
        <v>0</v>
      </c>
      <c r="BF62" s="56">
        <f>IF($C62=Repart_lignes,0,
(SUMIF(Fonctionnement[Affectation matrice],$A62,Fonctionnement[Montant (€HT)])+SUMIF(Invest[Affectation matrice],$A62,Invest[Amortissement HT + intérêts]))*CF62)</f>
        <v>0</v>
      </c>
      <c r="BG62" s="56">
        <f>IF($C62=Repart_lignes,0,
(SUMIF(Fonctionnement[Affectation matrice],$A62,Fonctionnement[Montant (€HT)])+SUMIF(Invest[Affectation matrice],$A62,Invest[Amortissement HT + intérêts]))*CG62)</f>
        <v>0</v>
      </c>
      <c r="BH62" s="56">
        <f>IF($C62=Repart_lignes,0,
(SUMIF(Fonctionnement[Affectation matrice],$A62,Fonctionnement[Montant (€HT)])+SUMIF(Invest[Affectation matrice],$A62,Invest[Amortissement HT + intérêts]))*CH62)</f>
        <v>0</v>
      </c>
      <c r="BI62" s="56">
        <f>IF($C62=Repart_lignes,0,
(SUMIF(Fonctionnement[Affectation matrice],$A62,Fonctionnement[Montant (€HT)])+SUMIF(Invest[Affectation matrice],$A62,Invest[Amortissement HT + intérêts]))*CI62)</f>
        <v>0</v>
      </c>
      <c r="BJ62" s="56">
        <f>IF($C62=Repart_lignes,0,
(SUMIF(Fonctionnement[Affectation matrice],$A62,Fonctionnement[Montant (€HT)])+SUMIF(Invest[Affectation matrice],$A62,Invest[Amortissement HT + intérêts]))*CJ62)</f>
        <v>0</v>
      </c>
      <c r="BK62" s="56">
        <f>IF($C62=Repart_lignes,0,
(SUMIF(Fonctionnement[Affectation matrice],$A62,Fonctionnement[Montant (€HT)])+SUMIF(Invest[Affectation matrice],$A62,Invest[Amortissement HT + intérêts]))*CK62)</f>
        <v>0</v>
      </c>
      <c r="BL62" s="56">
        <f>IF($C62=Repart_lignes,0,
(SUMIF(Fonctionnement[Affectation matrice],$A62,Fonctionnement[Montant (€HT)])+SUMIF(Invest[Affectation matrice],$A62,Invest[Amortissement HT + intérêts]))*CL62)</f>
        <v>0</v>
      </c>
      <c r="BM62" s="56">
        <f>IF($C62=Repart_lignes,0,
(SUMIF(Fonctionnement[Affectation matrice],$A62,Fonctionnement[Montant (€HT)])+SUMIF(Invest[Affectation matrice],$A62,Invest[Amortissement HT + intérêts]))*CM62)</f>
        <v>0</v>
      </c>
      <c r="BN62" s="56">
        <f>IF($C62=Repart_lignes,0,
(SUMIF(Fonctionnement[Affectation matrice],$A62,Fonctionnement[Montant (€HT)])+SUMIF(Invest[Affectation matrice],$A62,Invest[Amortissement HT + intérêts]))*CN62)</f>
        <v>0</v>
      </c>
      <c r="BO62" s="56">
        <f>IF($C62=Repart_lignes,0,
(SUMIF(Fonctionnement[Affectation matrice],$A62,Fonctionnement[Montant (€HT)])+SUMIF(Invest[Affectation matrice],$A62,Invest[Amortissement HT + intérêts]))*CO62)</f>
        <v>0</v>
      </c>
      <c r="BP62" s="56">
        <f>IF($C62=Repart_lignes,0,
(SUMIF(Fonctionnement[Affectation matrice],$A62,Fonctionnement[Montant (€HT)])+SUMIF(Invest[Affectation matrice],$A62,Invest[Amortissement HT + intérêts]))*CP62)</f>
        <v>0</v>
      </c>
      <c r="BQ62" s="56">
        <f>IF($C62=Repart_lignes,0,
(SUMIF(Fonctionnement[Affectation matrice],$A62,Fonctionnement[Montant (€HT)])+SUMIF(Invest[Affectation matrice],$A62,Invest[Amortissement HT + intérêts]))*CQ62)</f>
        <v>0</v>
      </c>
      <c r="BR62" s="56">
        <f>IF($C62=Repart_lignes,0,
(SUMIF(Fonctionnement[Affectation matrice],$A62,Fonctionnement[Montant (€HT)])+SUMIF(Invest[Affectation matrice],$A62,Invest[Amortissement HT + intérêts]))*CR62)</f>
        <v>0</v>
      </c>
      <c r="BS62" s="56">
        <f>IF($C62=Repart_lignes,0,
(SUMIF(Fonctionnement[Affectation matrice],$A62,Fonctionnement[Montant (€HT)])+SUMIF(Invest[Affectation matrice],$A62,Invest[Amortissement HT + intérêts]))*CS62)</f>
        <v>0</v>
      </c>
      <c r="BT62" s="56">
        <f>IF($C62=Repart_lignes,0,
(SUMIF(Fonctionnement[Affectation matrice],$A62,Fonctionnement[Montant (€HT)])+SUMIF(Invest[Affectation matrice],$A62,Invest[Amortissement HT + intérêts]))*CT62)</f>
        <v>0</v>
      </c>
      <c r="BU62" s="56">
        <f>IF($C62=Repart_lignes,0,
(SUMIF(Fonctionnement[Affectation matrice],$A62,Fonctionnement[Montant (€HT)])+SUMIF(Invest[Affectation matrice],$A62,Invest[Amortissement HT + intérêts]))*CU62)</f>
        <v>0</v>
      </c>
      <c r="BV62" s="56">
        <f>IF($C62=Repart_lignes,0,
(SUMIF(Fonctionnement[Affectation matrice],$A62,Fonctionnement[Montant (€HT)])+SUMIF(Invest[Affectation matrice],$A62,Invest[Amortissement HT + intérêts]))*CV62)</f>
        <v>0</v>
      </c>
      <c r="BW62" s="56">
        <f>IF($C62=Repart_lignes,0,
(SUMIF(Fonctionnement[Affectation matrice],$A62,Fonctionnement[Montant (€HT)])+SUMIF(Invest[Affectation matrice],$A62,Invest[Amortissement HT + intérêts]))*CW62)</f>
        <v>0</v>
      </c>
      <c r="BX62" s="56">
        <f>IF($C62=Repart_lignes,0,
(SUMIF(Fonctionnement[Affectation matrice],$A62,Fonctionnement[Montant (€HT)])+SUMIF(Invest[Affectation matrice],$A62,Invest[Amortissement HT + intérêts]))*CX62)</f>
        <v>0</v>
      </c>
      <c r="BY62" s="56">
        <f>IF($C62=Repart_lignes,0,
(SUMIF(Fonctionnement[Affectation matrice],$A62,Fonctionnement[Montant (€HT)])+SUMIF(Invest[Affectation matrice],$A62,Invest[Amortissement HT + intérêts]))*CY62)</f>
        <v>0</v>
      </c>
      <c r="BZ62" s="56">
        <f>IF($C62=Repart_lignes,0,
(SUMIF(Fonctionnement[Affectation matrice],$A62,Fonctionnement[Montant (€HT)])+SUMIF(Invest[Affectation matrice],$A62,Invest[Amortissement HT + intérêts]))*CZ62)</f>
        <v>0</v>
      </c>
      <c r="CA62" s="56">
        <f>IF($C62=Repart_lignes,0,
(SUMIF(Fonctionnement[Affectation matrice],$A62,Fonctionnement[Montant (€HT)])+SUMIF(Invest[Affectation matrice],$A62,Invest[Amortissement HT + intérêts]))*DA62)</f>
        <v>0</v>
      </c>
      <c r="CB62" s="56">
        <f>IF($C62=Repart_lignes,0,
(SUMIF(Fonctionnement[Affectation matrice],$A62,Fonctionnement[Montant (€HT)])+SUMIF(Invest[Affectation matrice],$A62,Invest[Amortissement HT + intérêts]))*DB62)</f>
        <v>0</v>
      </c>
      <c r="CC62" s="56">
        <f>IF($C62=Repart_lignes,0,
(SUMIF(Fonctionnement[Affectation matrice],$A62,Fonctionnement[Montant (€HT)])+SUMIF(Invest[Affectation matrice],$A62,Invest[Amortissement HT + intérêts]))*DC62)</f>
        <v>0</v>
      </c>
      <c r="CD62" s="56">
        <f>IF($C62=Repart_lignes,0,
(SUMIF(Fonctionnement[Affectation matrice],$A62,Fonctionnement[Montant (€HT)])+SUMIF(Invest[Affectation matrice],$A62,Invest[Amortissement HT + intérêts]))*DD62)</f>
        <v>0</v>
      </c>
      <c r="CE62" s="59">
        <f t="shared" si="33"/>
        <v>0</v>
      </c>
      <c r="CF62" s="61">
        <f t="shared" si="34"/>
        <v>0</v>
      </c>
      <c r="CG62" s="61">
        <f t="shared" si="35"/>
        <v>0</v>
      </c>
      <c r="CH62" s="61">
        <f t="shared" si="36"/>
        <v>0</v>
      </c>
      <c r="CI62" s="61">
        <f t="shared" si="37"/>
        <v>0</v>
      </c>
      <c r="CJ62" s="61">
        <f t="shared" si="38"/>
        <v>0</v>
      </c>
      <c r="CK62" s="61">
        <f t="shared" si="39"/>
        <v>0</v>
      </c>
      <c r="CL62" s="61">
        <f t="shared" si="40"/>
        <v>0</v>
      </c>
      <c r="CM62" s="61">
        <f t="shared" si="41"/>
        <v>0</v>
      </c>
      <c r="CN62" s="61">
        <f t="shared" si="42"/>
        <v>0</v>
      </c>
      <c r="CO62" s="61">
        <f t="shared" si="43"/>
        <v>0</v>
      </c>
      <c r="CP62" s="61">
        <f t="shared" si="44"/>
        <v>0</v>
      </c>
      <c r="CQ62" s="61">
        <f t="shared" si="45"/>
        <v>0</v>
      </c>
      <c r="CR62" s="61">
        <f t="shared" si="46"/>
        <v>0</v>
      </c>
      <c r="CS62" s="61">
        <f t="shared" si="47"/>
        <v>0</v>
      </c>
      <c r="CT62" s="61">
        <f t="shared" si="48"/>
        <v>0</v>
      </c>
      <c r="CU62" s="61">
        <f t="shared" si="49"/>
        <v>0</v>
      </c>
      <c r="CV62" s="61">
        <f t="shared" si="50"/>
        <v>0</v>
      </c>
      <c r="CW62" s="61">
        <f t="shared" si="51"/>
        <v>0</v>
      </c>
      <c r="CX62" s="61">
        <f t="shared" si="52"/>
        <v>0</v>
      </c>
      <c r="CY62" s="61">
        <f t="shared" si="53"/>
        <v>0</v>
      </c>
      <c r="CZ62" s="61">
        <f t="shared" si="54"/>
        <v>0</v>
      </c>
      <c r="DA62" s="61">
        <f t="shared" si="55"/>
        <v>0</v>
      </c>
      <c r="DB62" s="61">
        <f t="shared" si="56"/>
        <v>0</v>
      </c>
      <c r="DC62" s="61">
        <f t="shared" si="57"/>
        <v>0</v>
      </c>
      <c r="DD62" s="61">
        <f t="shared" si="58"/>
        <v>0</v>
      </c>
      <c r="DE62" s="61">
        <f t="shared" si="59"/>
        <v>0</v>
      </c>
    </row>
    <row r="63" spans="1:109" x14ac:dyDescent="0.25">
      <c r="A63" s="248"/>
      <c r="B63" s="248"/>
      <c r="C63" s="251"/>
      <c r="D63" s="25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1">
        <f t="shared" si="31"/>
        <v>0</v>
      </c>
      <c r="AE63" s="53" t="str">
        <f t="shared" ca="1" si="29"/>
        <v/>
      </c>
      <c r="AF63" s="56">
        <f>IF($C63=Repart_lignes,0,
(SUMIF(Fonctionnement[Affectation matrice],$A63,Fonctionnement[TVA acquittée])+SUMIF(Invest[Affectation matrice],$A63,Invest[TVA acquittée]))*CF63)</f>
        <v>0</v>
      </c>
      <c r="AG63" s="56">
        <f>IF($C63=Repart_lignes,0,
(SUMIF(Fonctionnement[Affectation matrice],$A63,Fonctionnement[TVA acquittée])+SUMIF(Invest[Affectation matrice],$A63,Invest[TVA acquittée]))*CG63)</f>
        <v>0</v>
      </c>
      <c r="AH63" s="56">
        <f>IF($C63=Repart_lignes,0,
(SUMIF(Fonctionnement[Affectation matrice],$A63,Fonctionnement[TVA acquittée])+SUMIF(Invest[Affectation matrice],$A63,Invest[TVA acquittée]))*CH63)</f>
        <v>0</v>
      </c>
      <c r="AI63" s="56">
        <f>IF($C63=Repart_lignes,0,
(SUMIF(Fonctionnement[Affectation matrice],$A63,Fonctionnement[TVA acquittée])+SUMIF(Invest[Affectation matrice],$A63,Invest[TVA acquittée]))*CI63)</f>
        <v>0</v>
      </c>
      <c r="AJ63" s="56">
        <f>IF($C63=Repart_lignes,0,
(SUMIF(Fonctionnement[Affectation matrice],$A63,Fonctionnement[TVA acquittée])+SUMIF(Invest[Affectation matrice],$A63,Invest[TVA acquittée]))*CJ63)</f>
        <v>0</v>
      </c>
      <c r="AK63" s="56">
        <f>IF($C63=Repart_lignes,0,
(SUMIF(Fonctionnement[Affectation matrice],$A63,Fonctionnement[TVA acquittée])+SUMIF(Invest[Affectation matrice],$A63,Invest[TVA acquittée]))*CK63)</f>
        <v>0</v>
      </c>
      <c r="AL63" s="56">
        <f>IF($C63=Repart_lignes,0,
(SUMIF(Fonctionnement[Affectation matrice],$A63,Fonctionnement[TVA acquittée])+SUMIF(Invest[Affectation matrice],$A63,Invest[TVA acquittée]))*CL63)</f>
        <v>0</v>
      </c>
      <c r="AM63" s="56">
        <f>IF($C63=Repart_lignes,0,
(SUMIF(Fonctionnement[Affectation matrice],$A63,Fonctionnement[TVA acquittée])+SUMIF(Invest[Affectation matrice],$A63,Invest[TVA acquittée]))*CM63)</f>
        <v>0</v>
      </c>
      <c r="AN63" s="56">
        <f>IF($C63=Repart_lignes,0,
(SUMIF(Fonctionnement[Affectation matrice],$A63,Fonctionnement[TVA acquittée])+SUMIF(Invest[Affectation matrice],$A63,Invest[TVA acquittée]))*CN63)</f>
        <v>0</v>
      </c>
      <c r="AO63" s="56">
        <f>IF($C63=Repart_lignes,0,
(SUMIF(Fonctionnement[Affectation matrice],$A63,Fonctionnement[TVA acquittée])+SUMIF(Invest[Affectation matrice],$A63,Invest[TVA acquittée]))*CO63)</f>
        <v>0</v>
      </c>
      <c r="AP63" s="56">
        <f>IF($C63=Repart_lignes,0,
(SUMIF(Fonctionnement[Affectation matrice],$A63,Fonctionnement[TVA acquittée])+SUMIF(Invest[Affectation matrice],$A63,Invest[TVA acquittée]))*CP63)</f>
        <v>0</v>
      </c>
      <c r="AQ63" s="56">
        <f>IF($C63=Repart_lignes,0,
(SUMIF(Fonctionnement[Affectation matrice],$A63,Fonctionnement[TVA acquittée])+SUMIF(Invest[Affectation matrice],$A63,Invest[TVA acquittée]))*CQ63)</f>
        <v>0</v>
      </c>
      <c r="AR63" s="56">
        <f>IF($C63=Repart_lignes,0,
(SUMIF(Fonctionnement[Affectation matrice],$A63,Fonctionnement[TVA acquittée])+SUMIF(Invest[Affectation matrice],$A63,Invest[TVA acquittée]))*CR63)</f>
        <v>0</v>
      </c>
      <c r="AS63" s="56">
        <f>IF($C63=Repart_lignes,0,
(SUMIF(Fonctionnement[Affectation matrice],$A63,Fonctionnement[TVA acquittée])+SUMIF(Invest[Affectation matrice],$A63,Invest[TVA acquittée]))*CS63)</f>
        <v>0</v>
      </c>
      <c r="AT63" s="56">
        <f>IF($C63=Repart_lignes,0,
(SUMIF(Fonctionnement[Affectation matrice],$A63,Fonctionnement[TVA acquittée])+SUMIF(Invest[Affectation matrice],$A63,Invest[TVA acquittée]))*CT63)</f>
        <v>0</v>
      </c>
      <c r="AU63" s="56">
        <f>IF($C63=Repart_lignes,0,
(SUMIF(Fonctionnement[Affectation matrice],$A63,Fonctionnement[TVA acquittée])+SUMIF(Invest[Affectation matrice],$A63,Invest[TVA acquittée]))*CU63)</f>
        <v>0</v>
      </c>
      <c r="AV63" s="56">
        <f>IF($C63=Repart_lignes,0,
(SUMIF(Fonctionnement[Affectation matrice],$A63,Fonctionnement[TVA acquittée])+SUMIF(Invest[Affectation matrice],$A63,Invest[TVA acquittée]))*CV63)</f>
        <v>0</v>
      </c>
      <c r="AW63" s="56">
        <f>IF($C63=Repart_lignes,0,
(SUMIF(Fonctionnement[Affectation matrice],$A63,Fonctionnement[TVA acquittée])+SUMIF(Invest[Affectation matrice],$A63,Invest[TVA acquittée]))*CW63)</f>
        <v>0</v>
      </c>
      <c r="AX63" s="56">
        <f>IF($C63=Repart_lignes,0,
(SUMIF(Fonctionnement[Affectation matrice],$A63,Fonctionnement[TVA acquittée])+SUMIF(Invest[Affectation matrice],$A63,Invest[TVA acquittée]))*CX63)</f>
        <v>0</v>
      </c>
      <c r="AY63" s="56">
        <f>IF($C63=Repart_lignes,0,
(SUMIF(Fonctionnement[Affectation matrice],$A63,Fonctionnement[TVA acquittée])+SUMIF(Invest[Affectation matrice],$A63,Invest[TVA acquittée]))*CY63)</f>
        <v>0</v>
      </c>
      <c r="AZ63" s="56">
        <f>IF($C63=Repart_lignes,0,
(SUMIF(Fonctionnement[Affectation matrice],$A63,Fonctionnement[TVA acquittée])+SUMIF(Invest[Affectation matrice],$A63,Invest[TVA acquittée]))*CZ63)</f>
        <v>0</v>
      </c>
      <c r="BA63" s="56">
        <f>IF($C63=Repart_lignes,0,
(SUMIF(Fonctionnement[Affectation matrice],$A63,Fonctionnement[TVA acquittée])+SUMIF(Invest[Affectation matrice],$A63,Invest[TVA acquittée]))*DA63)</f>
        <v>0</v>
      </c>
      <c r="BB63" s="56">
        <f>IF($C63=Repart_lignes,0,
(SUMIF(Fonctionnement[Affectation matrice],$A63,Fonctionnement[TVA acquittée])+SUMIF(Invest[Affectation matrice],$A63,Invest[TVA acquittée]))*DB63)</f>
        <v>0</v>
      </c>
      <c r="BC63" s="56">
        <f>IF($C63=Repart_lignes,0,
(SUMIF(Fonctionnement[Affectation matrice],$A63,Fonctionnement[TVA acquittée])+SUMIF(Invest[Affectation matrice],$A63,Invest[TVA acquittée]))*DC63)</f>
        <v>0</v>
      </c>
      <c r="BD63" s="56">
        <f>IF($C63=Repart_lignes,0,
(SUMIF(Fonctionnement[Affectation matrice],$A63,Fonctionnement[TVA acquittée])+SUMIF(Invest[Affectation matrice],$A63,Invest[TVA acquittée]))*DD63)</f>
        <v>0</v>
      </c>
      <c r="BE63" s="58">
        <f t="shared" si="32"/>
        <v>0</v>
      </c>
      <c r="BF63" s="56">
        <f>IF($C63=Repart_lignes,0,
(SUMIF(Fonctionnement[Affectation matrice],$A63,Fonctionnement[Montant (€HT)])+SUMIF(Invest[Affectation matrice],$A63,Invest[Amortissement HT + intérêts]))*CF63)</f>
        <v>0</v>
      </c>
      <c r="BG63" s="56">
        <f>IF($C63=Repart_lignes,0,
(SUMIF(Fonctionnement[Affectation matrice],$A63,Fonctionnement[Montant (€HT)])+SUMIF(Invest[Affectation matrice],$A63,Invest[Amortissement HT + intérêts]))*CG63)</f>
        <v>0</v>
      </c>
      <c r="BH63" s="56">
        <f>IF($C63=Repart_lignes,0,
(SUMIF(Fonctionnement[Affectation matrice],$A63,Fonctionnement[Montant (€HT)])+SUMIF(Invest[Affectation matrice],$A63,Invest[Amortissement HT + intérêts]))*CH63)</f>
        <v>0</v>
      </c>
      <c r="BI63" s="56">
        <f>IF($C63=Repart_lignes,0,
(SUMIF(Fonctionnement[Affectation matrice],$A63,Fonctionnement[Montant (€HT)])+SUMIF(Invest[Affectation matrice],$A63,Invest[Amortissement HT + intérêts]))*CI63)</f>
        <v>0</v>
      </c>
      <c r="BJ63" s="56">
        <f>IF($C63=Repart_lignes,0,
(SUMIF(Fonctionnement[Affectation matrice],$A63,Fonctionnement[Montant (€HT)])+SUMIF(Invest[Affectation matrice],$A63,Invest[Amortissement HT + intérêts]))*CJ63)</f>
        <v>0</v>
      </c>
      <c r="BK63" s="56">
        <f>IF($C63=Repart_lignes,0,
(SUMIF(Fonctionnement[Affectation matrice],$A63,Fonctionnement[Montant (€HT)])+SUMIF(Invest[Affectation matrice],$A63,Invest[Amortissement HT + intérêts]))*CK63)</f>
        <v>0</v>
      </c>
      <c r="BL63" s="56">
        <f>IF($C63=Repart_lignes,0,
(SUMIF(Fonctionnement[Affectation matrice],$A63,Fonctionnement[Montant (€HT)])+SUMIF(Invest[Affectation matrice],$A63,Invest[Amortissement HT + intérêts]))*CL63)</f>
        <v>0</v>
      </c>
      <c r="BM63" s="56">
        <f>IF($C63=Repart_lignes,0,
(SUMIF(Fonctionnement[Affectation matrice],$A63,Fonctionnement[Montant (€HT)])+SUMIF(Invest[Affectation matrice],$A63,Invest[Amortissement HT + intérêts]))*CM63)</f>
        <v>0</v>
      </c>
      <c r="BN63" s="56">
        <f>IF($C63=Repart_lignes,0,
(SUMIF(Fonctionnement[Affectation matrice],$A63,Fonctionnement[Montant (€HT)])+SUMIF(Invest[Affectation matrice],$A63,Invest[Amortissement HT + intérêts]))*CN63)</f>
        <v>0</v>
      </c>
      <c r="BO63" s="56">
        <f>IF($C63=Repart_lignes,0,
(SUMIF(Fonctionnement[Affectation matrice],$A63,Fonctionnement[Montant (€HT)])+SUMIF(Invest[Affectation matrice],$A63,Invest[Amortissement HT + intérêts]))*CO63)</f>
        <v>0</v>
      </c>
      <c r="BP63" s="56">
        <f>IF($C63=Repart_lignes,0,
(SUMIF(Fonctionnement[Affectation matrice],$A63,Fonctionnement[Montant (€HT)])+SUMIF(Invest[Affectation matrice],$A63,Invest[Amortissement HT + intérêts]))*CP63)</f>
        <v>0</v>
      </c>
      <c r="BQ63" s="56">
        <f>IF($C63=Repart_lignes,0,
(SUMIF(Fonctionnement[Affectation matrice],$A63,Fonctionnement[Montant (€HT)])+SUMIF(Invest[Affectation matrice],$A63,Invest[Amortissement HT + intérêts]))*CQ63)</f>
        <v>0</v>
      </c>
      <c r="BR63" s="56">
        <f>IF($C63=Repart_lignes,0,
(SUMIF(Fonctionnement[Affectation matrice],$A63,Fonctionnement[Montant (€HT)])+SUMIF(Invest[Affectation matrice],$A63,Invest[Amortissement HT + intérêts]))*CR63)</f>
        <v>0</v>
      </c>
      <c r="BS63" s="56">
        <f>IF($C63=Repart_lignes,0,
(SUMIF(Fonctionnement[Affectation matrice],$A63,Fonctionnement[Montant (€HT)])+SUMIF(Invest[Affectation matrice],$A63,Invest[Amortissement HT + intérêts]))*CS63)</f>
        <v>0</v>
      </c>
      <c r="BT63" s="56">
        <f>IF($C63=Repart_lignes,0,
(SUMIF(Fonctionnement[Affectation matrice],$A63,Fonctionnement[Montant (€HT)])+SUMIF(Invest[Affectation matrice],$A63,Invest[Amortissement HT + intérêts]))*CT63)</f>
        <v>0</v>
      </c>
      <c r="BU63" s="56">
        <f>IF($C63=Repart_lignes,0,
(SUMIF(Fonctionnement[Affectation matrice],$A63,Fonctionnement[Montant (€HT)])+SUMIF(Invest[Affectation matrice],$A63,Invest[Amortissement HT + intérêts]))*CU63)</f>
        <v>0</v>
      </c>
      <c r="BV63" s="56">
        <f>IF($C63=Repart_lignes,0,
(SUMIF(Fonctionnement[Affectation matrice],$A63,Fonctionnement[Montant (€HT)])+SUMIF(Invest[Affectation matrice],$A63,Invest[Amortissement HT + intérêts]))*CV63)</f>
        <v>0</v>
      </c>
      <c r="BW63" s="56">
        <f>IF($C63=Repart_lignes,0,
(SUMIF(Fonctionnement[Affectation matrice],$A63,Fonctionnement[Montant (€HT)])+SUMIF(Invest[Affectation matrice],$A63,Invest[Amortissement HT + intérêts]))*CW63)</f>
        <v>0</v>
      </c>
      <c r="BX63" s="56">
        <f>IF($C63=Repart_lignes,0,
(SUMIF(Fonctionnement[Affectation matrice],$A63,Fonctionnement[Montant (€HT)])+SUMIF(Invest[Affectation matrice],$A63,Invest[Amortissement HT + intérêts]))*CX63)</f>
        <v>0</v>
      </c>
      <c r="BY63" s="56">
        <f>IF($C63=Repart_lignes,0,
(SUMIF(Fonctionnement[Affectation matrice],$A63,Fonctionnement[Montant (€HT)])+SUMIF(Invest[Affectation matrice],$A63,Invest[Amortissement HT + intérêts]))*CY63)</f>
        <v>0</v>
      </c>
      <c r="BZ63" s="56">
        <f>IF($C63=Repart_lignes,0,
(SUMIF(Fonctionnement[Affectation matrice],$A63,Fonctionnement[Montant (€HT)])+SUMIF(Invest[Affectation matrice],$A63,Invest[Amortissement HT + intérêts]))*CZ63)</f>
        <v>0</v>
      </c>
      <c r="CA63" s="56">
        <f>IF($C63=Repart_lignes,0,
(SUMIF(Fonctionnement[Affectation matrice],$A63,Fonctionnement[Montant (€HT)])+SUMIF(Invest[Affectation matrice],$A63,Invest[Amortissement HT + intérêts]))*DA63)</f>
        <v>0</v>
      </c>
      <c r="CB63" s="56">
        <f>IF($C63=Repart_lignes,0,
(SUMIF(Fonctionnement[Affectation matrice],$A63,Fonctionnement[Montant (€HT)])+SUMIF(Invest[Affectation matrice],$A63,Invest[Amortissement HT + intérêts]))*DB63)</f>
        <v>0</v>
      </c>
      <c r="CC63" s="56">
        <f>IF($C63=Repart_lignes,0,
(SUMIF(Fonctionnement[Affectation matrice],$A63,Fonctionnement[Montant (€HT)])+SUMIF(Invest[Affectation matrice],$A63,Invest[Amortissement HT + intérêts]))*DC63)</f>
        <v>0</v>
      </c>
      <c r="CD63" s="56">
        <f>IF($C63=Repart_lignes,0,
(SUMIF(Fonctionnement[Affectation matrice],$A63,Fonctionnement[Montant (€HT)])+SUMIF(Invest[Affectation matrice],$A63,Invest[Amortissement HT + intérêts]))*DD63)</f>
        <v>0</v>
      </c>
      <c r="CE63" s="59">
        <f t="shared" si="33"/>
        <v>0</v>
      </c>
      <c r="CF63" s="61">
        <f t="shared" si="34"/>
        <v>0</v>
      </c>
      <c r="CG63" s="61">
        <f t="shared" si="35"/>
        <v>0</v>
      </c>
      <c r="CH63" s="61">
        <f t="shared" si="36"/>
        <v>0</v>
      </c>
      <c r="CI63" s="61">
        <f t="shared" si="37"/>
        <v>0</v>
      </c>
      <c r="CJ63" s="61">
        <f t="shared" si="38"/>
        <v>0</v>
      </c>
      <c r="CK63" s="61">
        <f t="shared" si="39"/>
        <v>0</v>
      </c>
      <c r="CL63" s="61">
        <f t="shared" si="40"/>
        <v>0</v>
      </c>
      <c r="CM63" s="61">
        <f t="shared" si="41"/>
        <v>0</v>
      </c>
      <c r="CN63" s="61">
        <f t="shared" si="42"/>
        <v>0</v>
      </c>
      <c r="CO63" s="61">
        <f t="shared" si="43"/>
        <v>0</v>
      </c>
      <c r="CP63" s="61">
        <f t="shared" si="44"/>
        <v>0</v>
      </c>
      <c r="CQ63" s="61">
        <f t="shared" si="45"/>
        <v>0</v>
      </c>
      <c r="CR63" s="61">
        <f t="shared" si="46"/>
        <v>0</v>
      </c>
      <c r="CS63" s="61">
        <f t="shared" si="47"/>
        <v>0</v>
      </c>
      <c r="CT63" s="61">
        <f t="shared" si="48"/>
        <v>0</v>
      </c>
      <c r="CU63" s="61">
        <f t="shared" si="49"/>
        <v>0</v>
      </c>
      <c r="CV63" s="61">
        <f t="shared" si="50"/>
        <v>0</v>
      </c>
      <c r="CW63" s="61">
        <f t="shared" si="51"/>
        <v>0</v>
      </c>
      <c r="CX63" s="61">
        <f t="shared" si="52"/>
        <v>0</v>
      </c>
      <c r="CY63" s="61">
        <f t="shared" si="53"/>
        <v>0</v>
      </c>
      <c r="CZ63" s="61">
        <f t="shared" si="54"/>
        <v>0</v>
      </c>
      <c r="DA63" s="61">
        <f t="shared" si="55"/>
        <v>0</v>
      </c>
      <c r="DB63" s="61">
        <f t="shared" si="56"/>
        <v>0</v>
      </c>
      <c r="DC63" s="61">
        <f t="shared" si="57"/>
        <v>0</v>
      </c>
      <c r="DD63" s="61">
        <f t="shared" si="58"/>
        <v>0</v>
      </c>
      <c r="DE63" s="61">
        <f t="shared" si="59"/>
        <v>0</v>
      </c>
    </row>
    <row r="64" spans="1:109" x14ac:dyDescent="0.25">
      <c r="A64" s="248"/>
      <c r="B64" s="248"/>
      <c r="C64" s="251"/>
      <c r="D64" s="25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1">
        <f t="shared" si="31"/>
        <v>0</v>
      </c>
      <c r="AE64" s="53" t="str">
        <f t="shared" ca="1" si="29"/>
        <v/>
      </c>
      <c r="AF64" s="56">
        <f>IF($C64=Repart_lignes,0,
(SUMIF(Fonctionnement[Affectation matrice],$A64,Fonctionnement[TVA acquittée])+SUMIF(Invest[Affectation matrice],$A64,Invest[TVA acquittée]))*CF64)</f>
        <v>0</v>
      </c>
      <c r="AG64" s="56">
        <f>IF($C64=Repart_lignes,0,
(SUMIF(Fonctionnement[Affectation matrice],$A64,Fonctionnement[TVA acquittée])+SUMIF(Invest[Affectation matrice],$A64,Invest[TVA acquittée]))*CG64)</f>
        <v>0</v>
      </c>
      <c r="AH64" s="56">
        <f>IF($C64=Repart_lignes,0,
(SUMIF(Fonctionnement[Affectation matrice],$A64,Fonctionnement[TVA acquittée])+SUMIF(Invest[Affectation matrice],$A64,Invest[TVA acquittée]))*CH64)</f>
        <v>0</v>
      </c>
      <c r="AI64" s="56">
        <f>IF($C64=Repart_lignes,0,
(SUMIF(Fonctionnement[Affectation matrice],$A64,Fonctionnement[TVA acquittée])+SUMIF(Invest[Affectation matrice],$A64,Invest[TVA acquittée]))*CI64)</f>
        <v>0</v>
      </c>
      <c r="AJ64" s="56">
        <f>IF($C64=Repart_lignes,0,
(SUMIF(Fonctionnement[Affectation matrice],$A64,Fonctionnement[TVA acquittée])+SUMIF(Invest[Affectation matrice],$A64,Invest[TVA acquittée]))*CJ64)</f>
        <v>0</v>
      </c>
      <c r="AK64" s="56">
        <f>IF($C64=Repart_lignes,0,
(SUMIF(Fonctionnement[Affectation matrice],$A64,Fonctionnement[TVA acquittée])+SUMIF(Invest[Affectation matrice],$A64,Invest[TVA acquittée]))*CK64)</f>
        <v>0</v>
      </c>
      <c r="AL64" s="56">
        <f>IF($C64=Repart_lignes,0,
(SUMIF(Fonctionnement[Affectation matrice],$A64,Fonctionnement[TVA acquittée])+SUMIF(Invest[Affectation matrice],$A64,Invest[TVA acquittée]))*CL64)</f>
        <v>0</v>
      </c>
      <c r="AM64" s="56">
        <f>IF($C64=Repart_lignes,0,
(SUMIF(Fonctionnement[Affectation matrice],$A64,Fonctionnement[TVA acquittée])+SUMIF(Invest[Affectation matrice],$A64,Invest[TVA acquittée]))*CM64)</f>
        <v>0</v>
      </c>
      <c r="AN64" s="56">
        <f>IF($C64=Repart_lignes,0,
(SUMIF(Fonctionnement[Affectation matrice],$A64,Fonctionnement[TVA acquittée])+SUMIF(Invest[Affectation matrice],$A64,Invest[TVA acquittée]))*CN64)</f>
        <v>0</v>
      </c>
      <c r="AO64" s="56">
        <f>IF($C64=Repart_lignes,0,
(SUMIF(Fonctionnement[Affectation matrice],$A64,Fonctionnement[TVA acquittée])+SUMIF(Invest[Affectation matrice],$A64,Invest[TVA acquittée]))*CO64)</f>
        <v>0</v>
      </c>
      <c r="AP64" s="56">
        <f>IF($C64=Repart_lignes,0,
(SUMIF(Fonctionnement[Affectation matrice],$A64,Fonctionnement[TVA acquittée])+SUMIF(Invest[Affectation matrice],$A64,Invest[TVA acquittée]))*CP64)</f>
        <v>0</v>
      </c>
      <c r="AQ64" s="56">
        <f>IF($C64=Repart_lignes,0,
(SUMIF(Fonctionnement[Affectation matrice],$A64,Fonctionnement[TVA acquittée])+SUMIF(Invest[Affectation matrice],$A64,Invest[TVA acquittée]))*CQ64)</f>
        <v>0</v>
      </c>
      <c r="AR64" s="56">
        <f>IF($C64=Repart_lignes,0,
(SUMIF(Fonctionnement[Affectation matrice],$A64,Fonctionnement[TVA acquittée])+SUMIF(Invest[Affectation matrice],$A64,Invest[TVA acquittée]))*CR64)</f>
        <v>0</v>
      </c>
      <c r="AS64" s="56">
        <f>IF($C64=Repart_lignes,0,
(SUMIF(Fonctionnement[Affectation matrice],$A64,Fonctionnement[TVA acquittée])+SUMIF(Invest[Affectation matrice],$A64,Invest[TVA acquittée]))*CS64)</f>
        <v>0</v>
      </c>
      <c r="AT64" s="56">
        <f>IF($C64=Repart_lignes,0,
(SUMIF(Fonctionnement[Affectation matrice],$A64,Fonctionnement[TVA acquittée])+SUMIF(Invest[Affectation matrice],$A64,Invest[TVA acquittée]))*CT64)</f>
        <v>0</v>
      </c>
      <c r="AU64" s="56">
        <f>IF($C64=Repart_lignes,0,
(SUMIF(Fonctionnement[Affectation matrice],$A64,Fonctionnement[TVA acquittée])+SUMIF(Invest[Affectation matrice],$A64,Invest[TVA acquittée]))*CU64)</f>
        <v>0</v>
      </c>
      <c r="AV64" s="56">
        <f>IF($C64=Repart_lignes,0,
(SUMIF(Fonctionnement[Affectation matrice],$A64,Fonctionnement[TVA acquittée])+SUMIF(Invest[Affectation matrice],$A64,Invest[TVA acquittée]))*CV64)</f>
        <v>0</v>
      </c>
      <c r="AW64" s="56">
        <f>IF($C64=Repart_lignes,0,
(SUMIF(Fonctionnement[Affectation matrice],$A64,Fonctionnement[TVA acquittée])+SUMIF(Invest[Affectation matrice],$A64,Invest[TVA acquittée]))*CW64)</f>
        <v>0</v>
      </c>
      <c r="AX64" s="56">
        <f>IF($C64=Repart_lignes,0,
(SUMIF(Fonctionnement[Affectation matrice],$A64,Fonctionnement[TVA acquittée])+SUMIF(Invest[Affectation matrice],$A64,Invest[TVA acquittée]))*CX64)</f>
        <v>0</v>
      </c>
      <c r="AY64" s="56">
        <f>IF($C64=Repart_lignes,0,
(SUMIF(Fonctionnement[Affectation matrice],$A64,Fonctionnement[TVA acquittée])+SUMIF(Invest[Affectation matrice],$A64,Invest[TVA acquittée]))*CY64)</f>
        <v>0</v>
      </c>
      <c r="AZ64" s="56">
        <f>IF($C64=Repart_lignes,0,
(SUMIF(Fonctionnement[Affectation matrice],$A64,Fonctionnement[TVA acquittée])+SUMIF(Invest[Affectation matrice],$A64,Invest[TVA acquittée]))*CZ64)</f>
        <v>0</v>
      </c>
      <c r="BA64" s="56">
        <f>IF($C64=Repart_lignes,0,
(SUMIF(Fonctionnement[Affectation matrice],$A64,Fonctionnement[TVA acquittée])+SUMIF(Invest[Affectation matrice],$A64,Invest[TVA acquittée]))*DA64)</f>
        <v>0</v>
      </c>
      <c r="BB64" s="56">
        <f>IF($C64=Repart_lignes,0,
(SUMIF(Fonctionnement[Affectation matrice],$A64,Fonctionnement[TVA acquittée])+SUMIF(Invest[Affectation matrice],$A64,Invest[TVA acquittée]))*DB64)</f>
        <v>0</v>
      </c>
      <c r="BC64" s="56">
        <f>IF($C64=Repart_lignes,0,
(SUMIF(Fonctionnement[Affectation matrice],$A64,Fonctionnement[TVA acquittée])+SUMIF(Invest[Affectation matrice],$A64,Invest[TVA acquittée]))*DC64)</f>
        <v>0</v>
      </c>
      <c r="BD64" s="56">
        <f>IF($C64=Repart_lignes,0,
(SUMIF(Fonctionnement[Affectation matrice],$A64,Fonctionnement[TVA acquittée])+SUMIF(Invest[Affectation matrice],$A64,Invest[TVA acquittée]))*DD64)</f>
        <v>0</v>
      </c>
      <c r="BE64" s="58">
        <f t="shared" si="32"/>
        <v>0</v>
      </c>
      <c r="BF64" s="56">
        <f>IF($C64=Repart_lignes,0,
(SUMIF(Fonctionnement[Affectation matrice],$A64,Fonctionnement[Montant (€HT)])+SUMIF(Invest[Affectation matrice],$A64,Invest[Amortissement HT + intérêts]))*CF64)</f>
        <v>0</v>
      </c>
      <c r="BG64" s="56">
        <f>IF($C64=Repart_lignes,0,
(SUMIF(Fonctionnement[Affectation matrice],$A64,Fonctionnement[Montant (€HT)])+SUMIF(Invest[Affectation matrice],$A64,Invest[Amortissement HT + intérêts]))*CG64)</f>
        <v>0</v>
      </c>
      <c r="BH64" s="56">
        <f>IF($C64=Repart_lignes,0,
(SUMIF(Fonctionnement[Affectation matrice],$A64,Fonctionnement[Montant (€HT)])+SUMIF(Invest[Affectation matrice],$A64,Invest[Amortissement HT + intérêts]))*CH64)</f>
        <v>0</v>
      </c>
      <c r="BI64" s="56">
        <f>IF($C64=Repart_lignes,0,
(SUMIF(Fonctionnement[Affectation matrice],$A64,Fonctionnement[Montant (€HT)])+SUMIF(Invest[Affectation matrice],$A64,Invest[Amortissement HT + intérêts]))*CI64)</f>
        <v>0</v>
      </c>
      <c r="BJ64" s="56">
        <f>IF($C64=Repart_lignes,0,
(SUMIF(Fonctionnement[Affectation matrice],$A64,Fonctionnement[Montant (€HT)])+SUMIF(Invest[Affectation matrice],$A64,Invest[Amortissement HT + intérêts]))*CJ64)</f>
        <v>0</v>
      </c>
      <c r="BK64" s="56">
        <f>IF($C64=Repart_lignes,0,
(SUMIF(Fonctionnement[Affectation matrice],$A64,Fonctionnement[Montant (€HT)])+SUMIF(Invest[Affectation matrice],$A64,Invest[Amortissement HT + intérêts]))*CK64)</f>
        <v>0</v>
      </c>
      <c r="BL64" s="56">
        <f>IF($C64=Repart_lignes,0,
(SUMIF(Fonctionnement[Affectation matrice],$A64,Fonctionnement[Montant (€HT)])+SUMIF(Invest[Affectation matrice],$A64,Invest[Amortissement HT + intérêts]))*CL64)</f>
        <v>0</v>
      </c>
      <c r="BM64" s="56">
        <f>IF($C64=Repart_lignes,0,
(SUMIF(Fonctionnement[Affectation matrice],$A64,Fonctionnement[Montant (€HT)])+SUMIF(Invest[Affectation matrice],$A64,Invest[Amortissement HT + intérêts]))*CM64)</f>
        <v>0</v>
      </c>
      <c r="BN64" s="56">
        <f>IF($C64=Repart_lignes,0,
(SUMIF(Fonctionnement[Affectation matrice],$A64,Fonctionnement[Montant (€HT)])+SUMIF(Invest[Affectation matrice],$A64,Invest[Amortissement HT + intérêts]))*CN64)</f>
        <v>0</v>
      </c>
      <c r="BO64" s="56">
        <f>IF($C64=Repart_lignes,0,
(SUMIF(Fonctionnement[Affectation matrice],$A64,Fonctionnement[Montant (€HT)])+SUMIF(Invest[Affectation matrice],$A64,Invest[Amortissement HT + intérêts]))*CO64)</f>
        <v>0</v>
      </c>
      <c r="BP64" s="56">
        <f>IF($C64=Repart_lignes,0,
(SUMIF(Fonctionnement[Affectation matrice],$A64,Fonctionnement[Montant (€HT)])+SUMIF(Invest[Affectation matrice],$A64,Invest[Amortissement HT + intérêts]))*CP64)</f>
        <v>0</v>
      </c>
      <c r="BQ64" s="56">
        <f>IF($C64=Repart_lignes,0,
(SUMIF(Fonctionnement[Affectation matrice],$A64,Fonctionnement[Montant (€HT)])+SUMIF(Invest[Affectation matrice],$A64,Invest[Amortissement HT + intérêts]))*CQ64)</f>
        <v>0</v>
      </c>
      <c r="BR64" s="56">
        <f>IF($C64=Repart_lignes,0,
(SUMIF(Fonctionnement[Affectation matrice],$A64,Fonctionnement[Montant (€HT)])+SUMIF(Invest[Affectation matrice],$A64,Invest[Amortissement HT + intérêts]))*CR64)</f>
        <v>0</v>
      </c>
      <c r="BS64" s="56">
        <f>IF($C64=Repart_lignes,0,
(SUMIF(Fonctionnement[Affectation matrice],$A64,Fonctionnement[Montant (€HT)])+SUMIF(Invest[Affectation matrice],$A64,Invest[Amortissement HT + intérêts]))*CS64)</f>
        <v>0</v>
      </c>
      <c r="BT64" s="56">
        <f>IF($C64=Repart_lignes,0,
(SUMIF(Fonctionnement[Affectation matrice],$A64,Fonctionnement[Montant (€HT)])+SUMIF(Invest[Affectation matrice],$A64,Invest[Amortissement HT + intérêts]))*CT64)</f>
        <v>0</v>
      </c>
      <c r="BU64" s="56">
        <f>IF($C64=Repart_lignes,0,
(SUMIF(Fonctionnement[Affectation matrice],$A64,Fonctionnement[Montant (€HT)])+SUMIF(Invest[Affectation matrice],$A64,Invest[Amortissement HT + intérêts]))*CU64)</f>
        <v>0</v>
      </c>
      <c r="BV64" s="56">
        <f>IF($C64=Repart_lignes,0,
(SUMIF(Fonctionnement[Affectation matrice],$A64,Fonctionnement[Montant (€HT)])+SUMIF(Invest[Affectation matrice],$A64,Invest[Amortissement HT + intérêts]))*CV64)</f>
        <v>0</v>
      </c>
      <c r="BW64" s="56">
        <f>IF($C64=Repart_lignes,0,
(SUMIF(Fonctionnement[Affectation matrice],$A64,Fonctionnement[Montant (€HT)])+SUMIF(Invest[Affectation matrice],$A64,Invest[Amortissement HT + intérêts]))*CW64)</f>
        <v>0</v>
      </c>
      <c r="BX64" s="56">
        <f>IF($C64=Repart_lignes,0,
(SUMIF(Fonctionnement[Affectation matrice],$A64,Fonctionnement[Montant (€HT)])+SUMIF(Invest[Affectation matrice],$A64,Invest[Amortissement HT + intérêts]))*CX64)</f>
        <v>0</v>
      </c>
      <c r="BY64" s="56">
        <f>IF($C64=Repart_lignes,0,
(SUMIF(Fonctionnement[Affectation matrice],$A64,Fonctionnement[Montant (€HT)])+SUMIF(Invest[Affectation matrice],$A64,Invest[Amortissement HT + intérêts]))*CY64)</f>
        <v>0</v>
      </c>
      <c r="BZ64" s="56">
        <f>IF($C64=Repart_lignes,0,
(SUMIF(Fonctionnement[Affectation matrice],$A64,Fonctionnement[Montant (€HT)])+SUMIF(Invest[Affectation matrice],$A64,Invest[Amortissement HT + intérêts]))*CZ64)</f>
        <v>0</v>
      </c>
      <c r="CA64" s="56">
        <f>IF($C64=Repart_lignes,0,
(SUMIF(Fonctionnement[Affectation matrice],$A64,Fonctionnement[Montant (€HT)])+SUMIF(Invest[Affectation matrice],$A64,Invest[Amortissement HT + intérêts]))*DA64)</f>
        <v>0</v>
      </c>
      <c r="CB64" s="56">
        <f>IF($C64=Repart_lignes,0,
(SUMIF(Fonctionnement[Affectation matrice],$A64,Fonctionnement[Montant (€HT)])+SUMIF(Invest[Affectation matrice],$A64,Invest[Amortissement HT + intérêts]))*DB64)</f>
        <v>0</v>
      </c>
      <c r="CC64" s="56">
        <f>IF($C64=Repart_lignes,0,
(SUMIF(Fonctionnement[Affectation matrice],$A64,Fonctionnement[Montant (€HT)])+SUMIF(Invest[Affectation matrice],$A64,Invest[Amortissement HT + intérêts]))*DC64)</f>
        <v>0</v>
      </c>
      <c r="CD64" s="56">
        <f>IF($C64=Repart_lignes,0,
(SUMIF(Fonctionnement[Affectation matrice],$A64,Fonctionnement[Montant (€HT)])+SUMIF(Invest[Affectation matrice],$A64,Invest[Amortissement HT + intérêts]))*DD64)</f>
        <v>0</v>
      </c>
      <c r="CE64" s="59">
        <f t="shared" si="33"/>
        <v>0</v>
      </c>
      <c r="CF64" s="61">
        <f t="shared" si="34"/>
        <v>0</v>
      </c>
      <c r="CG64" s="61">
        <f t="shared" si="35"/>
        <v>0</v>
      </c>
      <c r="CH64" s="61">
        <f t="shared" si="36"/>
        <v>0</v>
      </c>
      <c r="CI64" s="61">
        <f t="shared" si="37"/>
        <v>0</v>
      </c>
      <c r="CJ64" s="61">
        <f t="shared" si="38"/>
        <v>0</v>
      </c>
      <c r="CK64" s="61">
        <f t="shared" si="39"/>
        <v>0</v>
      </c>
      <c r="CL64" s="61">
        <f t="shared" si="40"/>
        <v>0</v>
      </c>
      <c r="CM64" s="61">
        <f t="shared" si="41"/>
        <v>0</v>
      </c>
      <c r="CN64" s="61">
        <f t="shared" si="42"/>
        <v>0</v>
      </c>
      <c r="CO64" s="61">
        <f t="shared" si="43"/>
        <v>0</v>
      </c>
      <c r="CP64" s="61">
        <f t="shared" si="44"/>
        <v>0</v>
      </c>
      <c r="CQ64" s="61">
        <f t="shared" si="45"/>
        <v>0</v>
      </c>
      <c r="CR64" s="61">
        <f t="shared" si="46"/>
        <v>0</v>
      </c>
      <c r="CS64" s="61">
        <f t="shared" si="47"/>
        <v>0</v>
      </c>
      <c r="CT64" s="61">
        <f t="shared" si="48"/>
        <v>0</v>
      </c>
      <c r="CU64" s="61">
        <f t="shared" si="49"/>
        <v>0</v>
      </c>
      <c r="CV64" s="61">
        <f t="shared" si="50"/>
        <v>0</v>
      </c>
      <c r="CW64" s="61">
        <f t="shared" si="51"/>
        <v>0</v>
      </c>
      <c r="CX64" s="61">
        <f t="shared" si="52"/>
        <v>0</v>
      </c>
      <c r="CY64" s="61">
        <f t="shared" si="53"/>
        <v>0</v>
      </c>
      <c r="CZ64" s="61">
        <f t="shared" si="54"/>
        <v>0</v>
      </c>
      <c r="DA64" s="61">
        <f t="shared" si="55"/>
        <v>0</v>
      </c>
      <c r="DB64" s="61">
        <f t="shared" si="56"/>
        <v>0</v>
      </c>
      <c r="DC64" s="61">
        <f t="shared" si="57"/>
        <v>0</v>
      </c>
      <c r="DD64" s="61">
        <f t="shared" si="58"/>
        <v>0</v>
      </c>
      <c r="DE64" s="61">
        <f t="shared" si="59"/>
        <v>0</v>
      </c>
    </row>
    <row r="65" spans="1:109" x14ac:dyDescent="0.25">
      <c r="A65" s="248"/>
      <c r="B65" s="248"/>
      <c r="C65" s="251"/>
      <c r="D65" s="25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1">
        <f t="shared" si="31"/>
        <v>0</v>
      </c>
      <c r="AE65" s="53" t="str">
        <f t="shared" ca="1" si="29"/>
        <v/>
      </c>
      <c r="AF65" s="56">
        <f>IF($C65=Repart_lignes,0,
(SUMIF(Fonctionnement[Affectation matrice],$A65,Fonctionnement[TVA acquittée])+SUMIF(Invest[Affectation matrice],$A65,Invest[TVA acquittée]))*CF65)</f>
        <v>0</v>
      </c>
      <c r="AG65" s="56">
        <f>IF($C65=Repart_lignes,0,
(SUMIF(Fonctionnement[Affectation matrice],$A65,Fonctionnement[TVA acquittée])+SUMIF(Invest[Affectation matrice],$A65,Invest[TVA acquittée]))*CG65)</f>
        <v>0</v>
      </c>
      <c r="AH65" s="56">
        <f>IF($C65=Repart_lignes,0,
(SUMIF(Fonctionnement[Affectation matrice],$A65,Fonctionnement[TVA acquittée])+SUMIF(Invest[Affectation matrice],$A65,Invest[TVA acquittée]))*CH65)</f>
        <v>0</v>
      </c>
      <c r="AI65" s="56">
        <f>IF($C65=Repart_lignes,0,
(SUMIF(Fonctionnement[Affectation matrice],$A65,Fonctionnement[TVA acquittée])+SUMIF(Invest[Affectation matrice],$A65,Invest[TVA acquittée]))*CI65)</f>
        <v>0</v>
      </c>
      <c r="AJ65" s="56">
        <f>IF($C65=Repart_lignes,0,
(SUMIF(Fonctionnement[Affectation matrice],$A65,Fonctionnement[TVA acquittée])+SUMIF(Invest[Affectation matrice],$A65,Invest[TVA acquittée]))*CJ65)</f>
        <v>0</v>
      </c>
      <c r="AK65" s="56">
        <f>IF($C65=Repart_lignes,0,
(SUMIF(Fonctionnement[Affectation matrice],$A65,Fonctionnement[TVA acquittée])+SUMIF(Invest[Affectation matrice],$A65,Invest[TVA acquittée]))*CK65)</f>
        <v>0</v>
      </c>
      <c r="AL65" s="56">
        <f>IF($C65=Repart_lignes,0,
(SUMIF(Fonctionnement[Affectation matrice],$A65,Fonctionnement[TVA acquittée])+SUMIF(Invest[Affectation matrice],$A65,Invest[TVA acquittée]))*CL65)</f>
        <v>0</v>
      </c>
      <c r="AM65" s="56">
        <f>IF($C65=Repart_lignes,0,
(SUMIF(Fonctionnement[Affectation matrice],$A65,Fonctionnement[TVA acquittée])+SUMIF(Invest[Affectation matrice],$A65,Invest[TVA acquittée]))*CM65)</f>
        <v>0</v>
      </c>
      <c r="AN65" s="56">
        <f>IF($C65=Repart_lignes,0,
(SUMIF(Fonctionnement[Affectation matrice],$A65,Fonctionnement[TVA acquittée])+SUMIF(Invest[Affectation matrice],$A65,Invest[TVA acquittée]))*CN65)</f>
        <v>0</v>
      </c>
      <c r="AO65" s="56">
        <f>IF($C65=Repart_lignes,0,
(SUMIF(Fonctionnement[Affectation matrice],$A65,Fonctionnement[TVA acquittée])+SUMIF(Invest[Affectation matrice],$A65,Invest[TVA acquittée]))*CO65)</f>
        <v>0</v>
      </c>
      <c r="AP65" s="56">
        <f>IF($C65=Repart_lignes,0,
(SUMIF(Fonctionnement[Affectation matrice],$A65,Fonctionnement[TVA acquittée])+SUMIF(Invest[Affectation matrice],$A65,Invest[TVA acquittée]))*CP65)</f>
        <v>0</v>
      </c>
      <c r="AQ65" s="56">
        <f>IF($C65=Repart_lignes,0,
(SUMIF(Fonctionnement[Affectation matrice],$A65,Fonctionnement[TVA acquittée])+SUMIF(Invest[Affectation matrice],$A65,Invest[TVA acquittée]))*CQ65)</f>
        <v>0</v>
      </c>
      <c r="AR65" s="56">
        <f>IF($C65=Repart_lignes,0,
(SUMIF(Fonctionnement[Affectation matrice],$A65,Fonctionnement[TVA acquittée])+SUMIF(Invest[Affectation matrice],$A65,Invest[TVA acquittée]))*CR65)</f>
        <v>0</v>
      </c>
      <c r="AS65" s="56">
        <f>IF($C65=Repart_lignes,0,
(SUMIF(Fonctionnement[Affectation matrice],$A65,Fonctionnement[TVA acquittée])+SUMIF(Invest[Affectation matrice],$A65,Invest[TVA acquittée]))*CS65)</f>
        <v>0</v>
      </c>
      <c r="AT65" s="56">
        <f>IF($C65=Repart_lignes,0,
(SUMIF(Fonctionnement[Affectation matrice],$A65,Fonctionnement[TVA acquittée])+SUMIF(Invest[Affectation matrice],$A65,Invest[TVA acquittée]))*CT65)</f>
        <v>0</v>
      </c>
      <c r="AU65" s="56">
        <f>IF($C65=Repart_lignes,0,
(SUMIF(Fonctionnement[Affectation matrice],$A65,Fonctionnement[TVA acquittée])+SUMIF(Invest[Affectation matrice],$A65,Invest[TVA acquittée]))*CU65)</f>
        <v>0</v>
      </c>
      <c r="AV65" s="56">
        <f>IF($C65=Repart_lignes,0,
(SUMIF(Fonctionnement[Affectation matrice],$A65,Fonctionnement[TVA acquittée])+SUMIF(Invest[Affectation matrice],$A65,Invest[TVA acquittée]))*CV65)</f>
        <v>0</v>
      </c>
      <c r="AW65" s="56">
        <f>IF($C65=Repart_lignes,0,
(SUMIF(Fonctionnement[Affectation matrice],$A65,Fonctionnement[TVA acquittée])+SUMIF(Invest[Affectation matrice],$A65,Invest[TVA acquittée]))*CW65)</f>
        <v>0</v>
      </c>
      <c r="AX65" s="56">
        <f>IF($C65=Repart_lignes,0,
(SUMIF(Fonctionnement[Affectation matrice],$A65,Fonctionnement[TVA acquittée])+SUMIF(Invest[Affectation matrice],$A65,Invest[TVA acquittée]))*CX65)</f>
        <v>0</v>
      </c>
      <c r="AY65" s="56">
        <f>IF($C65=Repart_lignes,0,
(SUMIF(Fonctionnement[Affectation matrice],$A65,Fonctionnement[TVA acquittée])+SUMIF(Invest[Affectation matrice],$A65,Invest[TVA acquittée]))*CY65)</f>
        <v>0</v>
      </c>
      <c r="AZ65" s="56">
        <f>IF($C65=Repart_lignes,0,
(SUMIF(Fonctionnement[Affectation matrice],$A65,Fonctionnement[TVA acquittée])+SUMIF(Invest[Affectation matrice],$A65,Invest[TVA acquittée]))*CZ65)</f>
        <v>0</v>
      </c>
      <c r="BA65" s="56">
        <f>IF($C65=Repart_lignes,0,
(SUMIF(Fonctionnement[Affectation matrice],$A65,Fonctionnement[TVA acquittée])+SUMIF(Invest[Affectation matrice],$A65,Invest[TVA acquittée]))*DA65)</f>
        <v>0</v>
      </c>
      <c r="BB65" s="56">
        <f>IF($C65=Repart_lignes,0,
(SUMIF(Fonctionnement[Affectation matrice],$A65,Fonctionnement[TVA acquittée])+SUMIF(Invest[Affectation matrice],$A65,Invest[TVA acquittée]))*DB65)</f>
        <v>0</v>
      </c>
      <c r="BC65" s="56">
        <f>IF($C65=Repart_lignes,0,
(SUMIF(Fonctionnement[Affectation matrice],$A65,Fonctionnement[TVA acquittée])+SUMIF(Invest[Affectation matrice],$A65,Invest[TVA acquittée]))*DC65)</f>
        <v>0</v>
      </c>
      <c r="BD65" s="56">
        <f>IF($C65=Repart_lignes,0,
(SUMIF(Fonctionnement[Affectation matrice],$A65,Fonctionnement[TVA acquittée])+SUMIF(Invest[Affectation matrice],$A65,Invest[TVA acquittée]))*DD65)</f>
        <v>0</v>
      </c>
      <c r="BE65" s="58">
        <f t="shared" si="32"/>
        <v>0</v>
      </c>
      <c r="BF65" s="56">
        <f>IF($C65=Repart_lignes,0,
(SUMIF(Fonctionnement[Affectation matrice],$A65,Fonctionnement[Montant (€HT)])+SUMIF(Invest[Affectation matrice],$A65,Invest[Amortissement HT + intérêts]))*CF65)</f>
        <v>0</v>
      </c>
      <c r="BG65" s="56">
        <f>IF($C65=Repart_lignes,0,
(SUMIF(Fonctionnement[Affectation matrice],$A65,Fonctionnement[Montant (€HT)])+SUMIF(Invest[Affectation matrice],$A65,Invest[Amortissement HT + intérêts]))*CG65)</f>
        <v>0</v>
      </c>
      <c r="BH65" s="56">
        <f>IF($C65=Repart_lignes,0,
(SUMIF(Fonctionnement[Affectation matrice],$A65,Fonctionnement[Montant (€HT)])+SUMIF(Invest[Affectation matrice],$A65,Invest[Amortissement HT + intérêts]))*CH65)</f>
        <v>0</v>
      </c>
      <c r="BI65" s="56">
        <f>IF($C65=Repart_lignes,0,
(SUMIF(Fonctionnement[Affectation matrice],$A65,Fonctionnement[Montant (€HT)])+SUMIF(Invest[Affectation matrice],$A65,Invest[Amortissement HT + intérêts]))*CI65)</f>
        <v>0</v>
      </c>
      <c r="BJ65" s="56">
        <f>IF($C65=Repart_lignes,0,
(SUMIF(Fonctionnement[Affectation matrice],$A65,Fonctionnement[Montant (€HT)])+SUMIF(Invest[Affectation matrice],$A65,Invest[Amortissement HT + intérêts]))*CJ65)</f>
        <v>0</v>
      </c>
      <c r="BK65" s="56">
        <f>IF($C65=Repart_lignes,0,
(SUMIF(Fonctionnement[Affectation matrice],$A65,Fonctionnement[Montant (€HT)])+SUMIF(Invest[Affectation matrice],$A65,Invest[Amortissement HT + intérêts]))*CK65)</f>
        <v>0</v>
      </c>
      <c r="BL65" s="56">
        <f>IF($C65=Repart_lignes,0,
(SUMIF(Fonctionnement[Affectation matrice],$A65,Fonctionnement[Montant (€HT)])+SUMIF(Invest[Affectation matrice],$A65,Invest[Amortissement HT + intérêts]))*CL65)</f>
        <v>0</v>
      </c>
      <c r="BM65" s="56">
        <f>IF($C65=Repart_lignes,0,
(SUMIF(Fonctionnement[Affectation matrice],$A65,Fonctionnement[Montant (€HT)])+SUMIF(Invest[Affectation matrice],$A65,Invest[Amortissement HT + intérêts]))*CM65)</f>
        <v>0</v>
      </c>
      <c r="BN65" s="56">
        <f>IF($C65=Repart_lignes,0,
(SUMIF(Fonctionnement[Affectation matrice],$A65,Fonctionnement[Montant (€HT)])+SUMIF(Invest[Affectation matrice],$A65,Invest[Amortissement HT + intérêts]))*CN65)</f>
        <v>0</v>
      </c>
      <c r="BO65" s="56">
        <f>IF($C65=Repart_lignes,0,
(SUMIF(Fonctionnement[Affectation matrice],$A65,Fonctionnement[Montant (€HT)])+SUMIF(Invest[Affectation matrice],$A65,Invest[Amortissement HT + intérêts]))*CO65)</f>
        <v>0</v>
      </c>
      <c r="BP65" s="56">
        <f>IF($C65=Repart_lignes,0,
(SUMIF(Fonctionnement[Affectation matrice],$A65,Fonctionnement[Montant (€HT)])+SUMIF(Invest[Affectation matrice],$A65,Invest[Amortissement HT + intérêts]))*CP65)</f>
        <v>0</v>
      </c>
      <c r="BQ65" s="56">
        <f>IF($C65=Repart_lignes,0,
(SUMIF(Fonctionnement[Affectation matrice],$A65,Fonctionnement[Montant (€HT)])+SUMIF(Invest[Affectation matrice],$A65,Invest[Amortissement HT + intérêts]))*CQ65)</f>
        <v>0</v>
      </c>
      <c r="BR65" s="56">
        <f>IF($C65=Repart_lignes,0,
(SUMIF(Fonctionnement[Affectation matrice],$A65,Fonctionnement[Montant (€HT)])+SUMIF(Invest[Affectation matrice],$A65,Invest[Amortissement HT + intérêts]))*CR65)</f>
        <v>0</v>
      </c>
      <c r="BS65" s="56">
        <f>IF($C65=Repart_lignes,0,
(SUMIF(Fonctionnement[Affectation matrice],$A65,Fonctionnement[Montant (€HT)])+SUMIF(Invest[Affectation matrice],$A65,Invest[Amortissement HT + intérêts]))*CS65)</f>
        <v>0</v>
      </c>
      <c r="BT65" s="56">
        <f>IF($C65=Repart_lignes,0,
(SUMIF(Fonctionnement[Affectation matrice],$A65,Fonctionnement[Montant (€HT)])+SUMIF(Invest[Affectation matrice],$A65,Invest[Amortissement HT + intérêts]))*CT65)</f>
        <v>0</v>
      </c>
      <c r="BU65" s="56">
        <f>IF($C65=Repart_lignes,0,
(SUMIF(Fonctionnement[Affectation matrice],$A65,Fonctionnement[Montant (€HT)])+SUMIF(Invest[Affectation matrice],$A65,Invest[Amortissement HT + intérêts]))*CU65)</f>
        <v>0</v>
      </c>
      <c r="BV65" s="56">
        <f>IF($C65=Repart_lignes,0,
(SUMIF(Fonctionnement[Affectation matrice],$A65,Fonctionnement[Montant (€HT)])+SUMIF(Invest[Affectation matrice],$A65,Invest[Amortissement HT + intérêts]))*CV65)</f>
        <v>0</v>
      </c>
      <c r="BW65" s="56">
        <f>IF($C65=Repart_lignes,0,
(SUMIF(Fonctionnement[Affectation matrice],$A65,Fonctionnement[Montant (€HT)])+SUMIF(Invest[Affectation matrice],$A65,Invest[Amortissement HT + intérêts]))*CW65)</f>
        <v>0</v>
      </c>
      <c r="BX65" s="56">
        <f>IF($C65=Repart_lignes,0,
(SUMIF(Fonctionnement[Affectation matrice],$A65,Fonctionnement[Montant (€HT)])+SUMIF(Invest[Affectation matrice],$A65,Invest[Amortissement HT + intérêts]))*CX65)</f>
        <v>0</v>
      </c>
      <c r="BY65" s="56">
        <f>IF($C65=Repart_lignes,0,
(SUMIF(Fonctionnement[Affectation matrice],$A65,Fonctionnement[Montant (€HT)])+SUMIF(Invest[Affectation matrice],$A65,Invest[Amortissement HT + intérêts]))*CY65)</f>
        <v>0</v>
      </c>
      <c r="BZ65" s="56">
        <f>IF($C65=Repart_lignes,0,
(SUMIF(Fonctionnement[Affectation matrice],$A65,Fonctionnement[Montant (€HT)])+SUMIF(Invest[Affectation matrice],$A65,Invest[Amortissement HT + intérêts]))*CZ65)</f>
        <v>0</v>
      </c>
      <c r="CA65" s="56">
        <f>IF($C65=Repart_lignes,0,
(SUMIF(Fonctionnement[Affectation matrice],$A65,Fonctionnement[Montant (€HT)])+SUMIF(Invest[Affectation matrice],$A65,Invest[Amortissement HT + intérêts]))*DA65)</f>
        <v>0</v>
      </c>
      <c r="CB65" s="56">
        <f>IF($C65=Repart_lignes,0,
(SUMIF(Fonctionnement[Affectation matrice],$A65,Fonctionnement[Montant (€HT)])+SUMIF(Invest[Affectation matrice],$A65,Invest[Amortissement HT + intérêts]))*DB65)</f>
        <v>0</v>
      </c>
      <c r="CC65" s="56">
        <f>IF($C65=Repart_lignes,0,
(SUMIF(Fonctionnement[Affectation matrice],$A65,Fonctionnement[Montant (€HT)])+SUMIF(Invest[Affectation matrice],$A65,Invest[Amortissement HT + intérêts]))*DC65)</f>
        <v>0</v>
      </c>
      <c r="CD65" s="56">
        <f>IF($C65=Repart_lignes,0,
(SUMIF(Fonctionnement[Affectation matrice],$A65,Fonctionnement[Montant (€HT)])+SUMIF(Invest[Affectation matrice],$A65,Invest[Amortissement HT + intérêts]))*DD65)</f>
        <v>0</v>
      </c>
      <c r="CE65" s="59">
        <f t="shared" si="33"/>
        <v>0</v>
      </c>
      <c r="CF65" s="61">
        <f t="shared" si="34"/>
        <v>0</v>
      </c>
      <c r="CG65" s="61">
        <f t="shared" si="35"/>
        <v>0</v>
      </c>
      <c r="CH65" s="61">
        <f t="shared" si="36"/>
        <v>0</v>
      </c>
      <c r="CI65" s="61">
        <f t="shared" si="37"/>
        <v>0</v>
      </c>
      <c r="CJ65" s="61">
        <f t="shared" si="38"/>
        <v>0</v>
      </c>
      <c r="CK65" s="61">
        <f t="shared" si="39"/>
        <v>0</v>
      </c>
      <c r="CL65" s="61">
        <f t="shared" si="40"/>
        <v>0</v>
      </c>
      <c r="CM65" s="61">
        <f t="shared" si="41"/>
        <v>0</v>
      </c>
      <c r="CN65" s="61">
        <f t="shared" si="42"/>
        <v>0</v>
      </c>
      <c r="CO65" s="61">
        <f t="shared" si="43"/>
        <v>0</v>
      </c>
      <c r="CP65" s="61">
        <f t="shared" si="44"/>
        <v>0</v>
      </c>
      <c r="CQ65" s="61">
        <f t="shared" si="45"/>
        <v>0</v>
      </c>
      <c r="CR65" s="61">
        <f t="shared" si="46"/>
        <v>0</v>
      </c>
      <c r="CS65" s="61">
        <f t="shared" si="47"/>
        <v>0</v>
      </c>
      <c r="CT65" s="61">
        <f t="shared" si="48"/>
        <v>0</v>
      </c>
      <c r="CU65" s="61">
        <f t="shared" si="49"/>
        <v>0</v>
      </c>
      <c r="CV65" s="61">
        <f t="shared" si="50"/>
        <v>0</v>
      </c>
      <c r="CW65" s="61">
        <f t="shared" si="51"/>
        <v>0</v>
      </c>
      <c r="CX65" s="61">
        <f t="shared" si="52"/>
        <v>0</v>
      </c>
      <c r="CY65" s="61">
        <f t="shared" si="53"/>
        <v>0</v>
      </c>
      <c r="CZ65" s="61">
        <f t="shared" si="54"/>
        <v>0</v>
      </c>
      <c r="DA65" s="61">
        <f t="shared" si="55"/>
        <v>0</v>
      </c>
      <c r="DB65" s="61">
        <f t="shared" si="56"/>
        <v>0</v>
      </c>
      <c r="DC65" s="61">
        <f t="shared" si="57"/>
        <v>0</v>
      </c>
      <c r="DD65" s="61">
        <f t="shared" si="58"/>
        <v>0</v>
      </c>
      <c r="DE65" s="61">
        <f t="shared" si="59"/>
        <v>0</v>
      </c>
    </row>
    <row r="66" spans="1:109" x14ac:dyDescent="0.25">
      <c r="A66" s="248"/>
      <c r="B66" s="248"/>
      <c r="C66" s="251"/>
      <c r="D66" s="25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1">
        <f t="shared" si="31"/>
        <v>0</v>
      </c>
      <c r="AE66" s="53" t="str">
        <f t="shared" ca="1" si="29"/>
        <v/>
      </c>
      <c r="AF66" s="56">
        <f>IF($C66=Repart_lignes,0,
(SUMIF(Fonctionnement[Affectation matrice],$A66,Fonctionnement[TVA acquittée])+SUMIF(Invest[Affectation matrice],$A66,Invest[TVA acquittée]))*CF66)</f>
        <v>0</v>
      </c>
      <c r="AG66" s="56">
        <f>IF($C66=Repart_lignes,0,
(SUMIF(Fonctionnement[Affectation matrice],$A66,Fonctionnement[TVA acquittée])+SUMIF(Invest[Affectation matrice],$A66,Invest[TVA acquittée]))*CG66)</f>
        <v>0</v>
      </c>
      <c r="AH66" s="56">
        <f>IF($C66=Repart_lignes,0,
(SUMIF(Fonctionnement[Affectation matrice],$A66,Fonctionnement[TVA acquittée])+SUMIF(Invest[Affectation matrice],$A66,Invest[TVA acquittée]))*CH66)</f>
        <v>0</v>
      </c>
      <c r="AI66" s="56">
        <f>IF($C66=Repart_lignes,0,
(SUMIF(Fonctionnement[Affectation matrice],$A66,Fonctionnement[TVA acquittée])+SUMIF(Invest[Affectation matrice],$A66,Invest[TVA acquittée]))*CI66)</f>
        <v>0</v>
      </c>
      <c r="AJ66" s="56">
        <f>IF($C66=Repart_lignes,0,
(SUMIF(Fonctionnement[Affectation matrice],$A66,Fonctionnement[TVA acquittée])+SUMIF(Invest[Affectation matrice],$A66,Invest[TVA acquittée]))*CJ66)</f>
        <v>0</v>
      </c>
      <c r="AK66" s="56">
        <f>IF($C66=Repart_lignes,0,
(SUMIF(Fonctionnement[Affectation matrice],$A66,Fonctionnement[TVA acquittée])+SUMIF(Invest[Affectation matrice],$A66,Invest[TVA acquittée]))*CK66)</f>
        <v>0</v>
      </c>
      <c r="AL66" s="56">
        <f>IF($C66=Repart_lignes,0,
(SUMIF(Fonctionnement[Affectation matrice],$A66,Fonctionnement[TVA acquittée])+SUMIF(Invest[Affectation matrice],$A66,Invest[TVA acquittée]))*CL66)</f>
        <v>0</v>
      </c>
      <c r="AM66" s="56">
        <f>IF($C66=Repart_lignes,0,
(SUMIF(Fonctionnement[Affectation matrice],$A66,Fonctionnement[TVA acquittée])+SUMIF(Invest[Affectation matrice],$A66,Invest[TVA acquittée]))*CM66)</f>
        <v>0</v>
      </c>
      <c r="AN66" s="56">
        <f>IF($C66=Repart_lignes,0,
(SUMIF(Fonctionnement[Affectation matrice],$A66,Fonctionnement[TVA acquittée])+SUMIF(Invest[Affectation matrice],$A66,Invest[TVA acquittée]))*CN66)</f>
        <v>0</v>
      </c>
      <c r="AO66" s="56">
        <f>IF($C66=Repart_lignes,0,
(SUMIF(Fonctionnement[Affectation matrice],$A66,Fonctionnement[TVA acquittée])+SUMIF(Invest[Affectation matrice],$A66,Invest[TVA acquittée]))*CO66)</f>
        <v>0</v>
      </c>
      <c r="AP66" s="56">
        <f>IF($C66=Repart_lignes,0,
(SUMIF(Fonctionnement[Affectation matrice],$A66,Fonctionnement[TVA acquittée])+SUMIF(Invest[Affectation matrice],$A66,Invest[TVA acquittée]))*CP66)</f>
        <v>0</v>
      </c>
      <c r="AQ66" s="56">
        <f>IF($C66=Repart_lignes,0,
(SUMIF(Fonctionnement[Affectation matrice],$A66,Fonctionnement[TVA acquittée])+SUMIF(Invest[Affectation matrice],$A66,Invest[TVA acquittée]))*CQ66)</f>
        <v>0</v>
      </c>
      <c r="AR66" s="56">
        <f>IF($C66=Repart_lignes,0,
(SUMIF(Fonctionnement[Affectation matrice],$A66,Fonctionnement[TVA acquittée])+SUMIF(Invest[Affectation matrice],$A66,Invest[TVA acquittée]))*CR66)</f>
        <v>0</v>
      </c>
      <c r="AS66" s="56">
        <f>IF($C66=Repart_lignes,0,
(SUMIF(Fonctionnement[Affectation matrice],$A66,Fonctionnement[TVA acquittée])+SUMIF(Invest[Affectation matrice],$A66,Invest[TVA acquittée]))*CS66)</f>
        <v>0</v>
      </c>
      <c r="AT66" s="56">
        <f>IF($C66=Repart_lignes,0,
(SUMIF(Fonctionnement[Affectation matrice],$A66,Fonctionnement[TVA acquittée])+SUMIF(Invest[Affectation matrice],$A66,Invest[TVA acquittée]))*CT66)</f>
        <v>0</v>
      </c>
      <c r="AU66" s="56">
        <f>IF($C66=Repart_lignes,0,
(SUMIF(Fonctionnement[Affectation matrice],$A66,Fonctionnement[TVA acquittée])+SUMIF(Invest[Affectation matrice],$A66,Invest[TVA acquittée]))*CU66)</f>
        <v>0</v>
      </c>
      <c r="AV66" s="56">
        <f>IF($C66=Repart_lignes,0,
(SUMIF(Fonctionnement[Affectation matrice],$A66,Fonctionnement[TVA acquittée])+SUMIF(Invest[Affectation matrice],$A66,Invest[TVA acquittée]))*CV66)</f>
        <v>0</v>
      </c>
      <c r="AW66" s="56">
        <f>IF($C66=Repart_lignes,0,
(SUMIF(Fonctionnement[Affectation matrice],$A66,Fonctionnement[TVA acquittée])+SUMIF(Invest[Affectation matrice],$A66,Invest[TVA acquittée]))*CW66)</f>
        <v>0</v>
      </c>
      <c r="AX66" s="56">
        <f>IF($C66=Repart_lignes,0,
(SUMIF(Fonctionnement[Affectation matrice],$A66,Fonctionnement[TVA acquittée])+SUMIF(Invest[Affectation matrice],$A66,Invest[TVA acquittée]))*CX66)</f>
        <v>0</v>
      </c>
      <c r="AY66" s="56">
        <f>IF($C66=Repart_lignes,0,
(SUMIF(Fonctionnement[Affectation matrice],$A66,Fonctionnement[TVA acquittée])+SUMIF(Invest[Affectation matrice],$A66,Invest[TVA acquittée]))*CY66)</f>
        <v>0</v>
      </c>
      <c r="AZ66" s="56">
        <f>IF($C66=Repart_lignes,0,
(SUMIF(Fonctionnement[Affectation matrice],$A66,Fonctionnement[TVA acquittée])+SUMIF(Invest[Affectation matrice],$A66,Invest[TVA acquittée]))*CZ66)</f>
        <v>0</v>
      </c>
      <c r="BA66" s="56">
        <f>IF($C66=Repart_lignes,0,
(SUMIF(Fonctionnement[Affectation matrice],$A66,Fonctionnement[TVA acquittée])+SUMIF(Invest[Affectation matrice],$A66,Invest[TVA acquittée]))*DA66)</f>
        <v>0</v>
      </c>
      <c r="BB66" s="56">
        <f>IF($C66=Repart_lignes,0,
(SUMIF(Fonctionnement[Affectation matrice],$A66,Fonctionnement[TVA acquittée])+SUMIF(Invest[Affectation matrice],$A66,Invest[TVA acquittée]))*DB66)</f>
        <v>0</v>
      </c>
      <c r="BC66" s="56">
        <f>IF($C66=Repart_lignes,0,
(SUMIF(Fonctionnement[Affectation matrice],$A66,Fonctionnement[TVA acquittée])+SUMIF(Invest[Affectation matrice],$A66,Invest[TVA acquittée]))*DC66)</f>
        <v>0</v>
      </c>
      <c r="BD66" s="56">
        <f>IF($C66=Repart_lignes,0,
(SUMIF(Fonctionnement[Affectation matrice],$A66,Fonctionnement[TVA acquittée])+SUMIF(Invest[Affectation matrice],$A66,Invest[TVA acquittée]))*DD66)</f>
        <v>0</v>
      </c>
      <c r="BE66" s="58">
        <f t="shared" si="32"/>
        <v>0</v>
      </c>
      <c r="BF66" s="56">
        <f>IF($C66=Repart_lignes,0,
(SUMIF(Fonctionnement[Affectation matrice],$A66,Fonctionnement[Montant (€HT)])+SUMIF(Invest[Affectation matrice],$A66,Invest[Amortissement HT + intérêts]))*CF66)</f>
        <v>0</v>
      </c>
      <c r="BG66" s="56">
        <f>IF($C66=Repart_lignes,0,
(SUMIF(Fonctionnement[Affectation matrice],$A66,Fonctionnement[Montant (€HT)])+SUMIF(Invest[Affectation matrice],$A66,Invest[Amortissement HT + intérêts]))*CG66)</f>
        <v>0</v>
      </c>
      <c r="BH66" s="56">
        <f>IF($C66=Repart_lignes,0,
(SUMIF(Fonctionnement[Affectation matrice],$A66,Fonctionnement[Montant (€HT)])+SUMIF(Invest[Affectation matrice],$A66,Invest[Amortissement HT + intérêts]))*CH66)</f>
        <v>0</v>
      </c>
      <c r="BI66" s="56">
        <f>IF($C66=Repart_lignes,0,
(SUMIF(Fonctionnement[Affectation matrice],$A66,Fonctionnement[Montant (€HT)])+SUMIF(Invest[Affectation matrice],$A66,Invest[Amortissement HT + intérêts]))*CI66)</f>
        <v>0</v>
      </c>
      <c r="BJ66" s="56">
        <f>IF($C66=Repart_lignes,0,
(SUMIF(Fonctionnement[Affectation matrice],$A66,Fonctionnement[Montant (€HT)])+SUMIF(Invest[Affectation matrice],$A66,Invest[Amortissement HT + intérêts]))*CJ66)</f>
        <v>0</v>
      </c>
      <c r="BK66" s="56">
        <f>IF($C66=Repart_lignes,0,
(SUMIF(Fonctionnement[Affectation matrice],$A66,Fonctionnement[Montant (€HT)])+SUMIF(Invest[Affectation matrice],$A66,Invest[Amortissement HT + intérêts]))*CK66)</f>
        <v>0</v>
      </c>
      <c r="BL66" s="56">
        <f>IF($C66=Repart_lignes,0,
(SUMIF(Fonctionnement[Affectation matrice],$A66,Fonctionnement[Montant (€HT)])+SUMIF(Invest[Affectation matrice],$A66,Invest[Amortissement HT + intérêts]))*CL66)</f>
        <v>0</v>
      </c>
      <c r="BM66" s="56">
        <f>IF($C66=Repart_lignes,0,
(SUMIF(Fonctionnement[Affectation matrice],$A66,Fonctionnement[Montant (€HT)])+SUMIF(Invest[Affectation matrice],$A66,Invest[Amortissement HT + intérêts]))*CM66)</f>
        <v>0</v>
      </c>
      <c r="BN66" s="56">
        <f>IF($C66=Repart_lignes,0,
(SUMIF(Fonctionnement[Affectation matrice],$A66,Fonctionnement[Montant (€HT)])+SUMIF(Invest[Affectation matrice],$A66,Invest[Amortissement HT + intérêts]))*CN66)</f>
        <v>0</v>
      </c>
      <c r="BO66" s="56">
        <f>IF($C66=Repart_lignes,0,
(SUMIF(Fonctionnement[Affectation matrice],$A66,Fonctionnement[Montant (€HT)])+SUMIF(Invest[Affectation matrice],$A66,Invest[Amortissement HT + intérêts]))*CO66)</f>
        <v>0</v>
      </c>
      <c r="BP66" s="56">
        <f>IF($C66=Repart_lignes,0,
(SUMIF(Fonctionnement[Affectation matrice],$A66,Fonctionnement[Montant (€HT)])+SUMIF(Invest[Affectation matrice],$A66,Invest[Amortissement HT + intérêts]))*CP66)</f>
        <v>0</v>
      </c>
      <c r="BQ66" s="56">
        <f>IF($C66=Repart_lignes,0,
(SUMIF(Fonctionnement[Affectation matrice],$A66,Fonctionnement[Montant (€HT)])+SUMIF(Invest[Affectation matrice],$A66,Invest[Amortissement HT + intérêts]))*CQ66)</f>
        <v>0</v>
      </c>
      <c r="BR66" s="56">
        <f>IF($C66=Repart_lignes,0,
(SUMIF(Fonctionnement[Affectation matrice],$A66,Fonctionnement[Montant (€HT)])+SUMIF(Invest[Affectation matrice],$A66,Invest[Amortissement HT + intérêts]))*CR66)</f>
        <v>0</v>
      </c>
      <c r="BS66" s="56">
        <f>IF($C66=Repart_lignes,0,
(SUMIF(Fonctionnement[Affectation matrice],$A66,Fonctionnement[Montant (€HT)])+SUMIF(Invest[Affectation matrice],$A66,Invest[Amortissement HT + intérêts]))*CS66)</f>
        <v>0</v>
      </c>
      <c r="BT66" s="56">
        <f>IF($C66=Repart_lignes,0,
(SUMIF(Fonctionnement[Affectation matrice],$A66,Fonctionnement[Montant (€HT)])+SUMIF(Invest[Affectation matrice],$A66,Invest[Amortissement HT + intérêts]))*CT66)</f>
        <v>0</v>
      </c>
      <c r="BU66" s="56">
        <f>IF($C66=Repart_lignes,0,
(SUMIF(Fonctionnement[Affectation matrice],$A66,Fonctionnement[Montant (€HT)])+SUMIF(Invest[Affectation matrice],$A66,Invest[Amortissement HT + intérêts]))*CU66)</f>
        <v>0</v>
      </c>
      <c r="BV66" s="56">
        <f>IF($C66=Repart_lignes,0,
(SUMIF(Fonctionnement[Affectation matrice],$A66,Fonctionnement[Montant (€HT)])+SUMIF(Invest[Affectation matrice],$A66,Invest[Amortissement HT + intérêts]))*CV66)</f>
        <v>0</v>
      </c>
      <c r="BW66" s="56">
        <f>IF($C66=Repart_lignes,0,
(SUMIF(Fonctionnement[Affectation matrice],$A66,Fonctionnement[Montant (€HT)])+SUMIF(Invest[Affectation matrice],$A66,Invest[Amortissement HT + intérêts]))*CW66)</f>
        <v>0</v>
      </c>
      <c r="BX66" s="56">
        <f>IF($C66=Repart_lignes,0,
(SUMIF(Fonctionnement[Affectation matrice],$A66,Fonctionnement[Montant (€HT)])+SUMIF(Invest[Affectation matrice],$A66,Invest[Amortissement HT + intérêts]))*CX66)</f>
        <v>0</v>
      </c>
      <c r="BY66" s="56">
        <f>IF($C66=Repart_lignes,0,
(SUMIF(Fonctionnement[Affectation matrice],$A66,Fonctionnement[Montant (€HT)])+SUMIF(Invest[Affectation matrice],$A66,Invest[Amortissement HT + intérêts]))*CY66)</f>
        <v>0</v>
      </c>
      <c r="BZ66" s="56">
        <f>IF($C66=Repart_lignes,0,
(SUMIF(Fonctionnement[Affectation matrice],$A66,Fonctionnement[Montant (€HT)])+SUMIF(Invest[Affectation matrice],$A66,Invest[Amortissement HT + intérêts]))*CZ66)</f>
        <v>0</v>
      </c>
      <c r="CA66" s="56">
        <f>IF($C66=Repart_lignes,0,
(SUMIF(Fonctionnement[Affectation matrice],$A66,Fonctionnement[Montant (€HT)])+SUMIF(Invest[Affectation matrice],$A66,Invest[Amortissement HT + intérêts]))*DA66)</f>
        <v>0</v>
      </c>
      <c r="CB66" s="56">
        <f>IF($C66=Repart_lignes,0,
(SUMIF(Fonctionnement[Affectation matrice],$A66,Fonctionnement[Montant (€HT)])+SUMIF(Invest[Affectation matrice],$A66,Invest[Amortissement HT + intérêts]))*DB66)</f>
        <v>0</v>
      </c>
      <c r="CC66" s="56">
        <f>IF($C66=Repart_lignes,0,
(SUMIF(Fonctionnement[Affectation matrice],$A66,Fonctionnement[Montant (€HT)])+SUMIF(Invest[Affectation matrice],$A66,Invest[Amortissement HT + intérêts]))*DC66)</f>
        <v>0</v>
      </c>
      <c r="CD66" s="56">
        <f>IF($C66=Repart_lignes,0,
(SUMIF(Fonctionnement[Affectation matrice],$A66,Fonctionnement[Montant (€HT)])+SUMIF(Invest[Affectation matrice],$A66,Invest[Amortissement HT + intérêts]))*DD66)</f>
        <v>0</v>
      </c>
      <c r="CE66" s="59">
        <f t="shared" si="33"/>
        <v>0</v>
      </c>
      <c r="CF66" s="61">
        <f t="shared" si="34"/>
        <v>0</v>
      </c>
      <c r="CG66" s="61">
        <f t="shared" si="35"/>
        <v>0</v>
      </c>
      <c r="CH66" s="61">
        <f t="shared" si="36"/>
        <v>0</v>
      </c>
      <c r="CI66" s="61">
        <f t="shared" si="37"/>
        <v>0</v>
      </c>
      <c r="CJ66" s="61">
        <f t="shared" si="38"/>
        <v>0</v>
      </c>
      <c r="CK66" s="61">
        <f t="shared" si="39"/>
        <v>0</v>
      </c>
      <c r="CL66" s="61">
        <f t="shared" si="40"/>
        <v>0</v>
      </c>
      <c r="CM66" s="61">
        <f t="shared" si="41"/>
        <v>0</v>
      </c>
      <c r="CN66" s="61">
        <f t="shared" si="42"/>
        <v>0</v>
      </c>
      <c r="CO66" s="61">
        <f t="shared" si="43"/>
        <v>0</v>
      </c>
      <c r="CP66" s="61">
        <f t="shared" si="44"/>
        <v>0</v>
      </c>
      <c r="CQ66" s="61">
        <f t="shared" si="45"/>
        <v>0</v>
      </c>
      <c r="CR66" s="61">
        <f t="shared" si="46"/>
        <v>0</v>
      </c>
      <c r="CS66" s="61">
        <f t="shared" si="47"/>
        <v>0</v>
      </c>
      <c r="CT66" s="61">
        <f t="shared" si="48"/>
        <v>0</v>
      </c>
      <c r="CU66" s="61">
        <f t="shared" si="49"/>
        <v>0</v>
      </c>
      <c r="CV66" s="61">
        <f t="shared" si="50"/>
        <v>0</v>
      </c>
      <c r="CW66" s="61">
        <f t="shared" si="51"/>
        <v>0</v>
      </c>
      <c r="CX66" s="61">
        <f t="shared" si="52"/>
        <v>0</v>
      </c>
      <c r="CY66" s="61">
        <f t="shared" si="53"/>
        <v>0</v>
      </c>
      <c r="CZ66" s="61">
        <f t="shared" si="54"/>
        <v>0</v>
      </c>
      <c r="DA66" s="61">
        <f t="shared" si="55"/>
        <v>0</v>
      </c>
      <c r="DB66" s="61">
        <f t="shared" si="56"/>
        <v>0</v>
      </c>
      <c r="DC66" s="61">
        <f t="shared" si="57"/>
        <v>0</v>
      </c>
      <c r="DD66" s="61">
        <f t="shared" si="58"/>
        <v>0</v>
      </c>
      <c r="DE66" s="61">
        <f t="shared" si="59"/>
        <v>0</v>
      </c>
    </row>
    <row r="67" spans="1:109" x14ac:dyDescent="0.25">
      <c r="A67" s="248"/>
      <c r="B67" s="248"/>
      <c r="C67" s="251"/>
      <c r="D67" s="25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1">
        <f t="shared" si="31"/>
        <v>0</v>
      </c>
      <c r="AE67" s="53" t="str">
        <f t="shared" ca="1" si="29"/>
        <v/>
      </c>
      <c r="AF67" s="56">
        <f>IF($C67=Repart_lignes,0,
(SUMIF(Fonctionnement[Affectation matrice],$A67,Fonctionnement[TVA acquittée])+SUMIF(Invest[Affectation matrice],$A67,Invest[TVA acquittée]))*CF67)</f>
        <v>0</v>
      </c>
      <c r="AG67" s="56">
        <f>IF($C67=Repart_lignes,0,
(SUMIF(Fonctionnement[Affectation matrice],$A67,Fonctionnement[TVA acquittée])+SUMIF(Invest[Affectation matrice],$A67,Invest[TVA acquittée]))*CG67)</f>
        <v>0</v>
      </c>
      <c r="AH67" s="56">
        <f>IF($C67=Repart_lignes,0,
(SUMIF(Fonctionnement[Affectation matrice],$A67,Fonctionnement[TVA acquittée])+SUMIF(Invest[Affectation matrice],$A67,Invest[TVA acquittée]))*CH67)</f>
        <v>0</v>
      </c>
      <c r="AI67" s="56">
        <f>IF($C67=Repart_lignes,0,
(SUMIF(Fonctionnement[Affectation matrice],$A67,Fonctionnement[TVA acquittée])+SUMIF(Invest[Affectation matrice],$A67,Invest[TVA acquittée]))*CI67)</f>
        <v>0</v>
      </c>
      <c r="AJ67" s="56">
        <f>IF($C67=Repart_lignes,0,
(SUMIF(Fonctionnement[Affectation matrice],$A67,Fonctionnement[TVA acquittée])+SUMIF(Invest[Affectation matrice],$A67,Invest[TVA acquittée]))*CJ67)</f>
        <v>0</v>
      </c>
      <c r="AK67" s="56">
        <f>IF($C67=Repart_lignes,0,
(SUMIF(Fonctionnement[Affectation matrice],$A67,Fonctionnement[TVA acquittée])+SUMIF(Invest[Affectation matrice],$A67,Invest[TVA acquittée]))*CK67)</f>
        <v>0</v>
      </c>
      <c r="AL67" s="56">
        <f>IF($C67=Repart_lignes,0,
(SUMIF(Fonctionnement[Affectation matrice],$A67,Fonctionnement[TVA acquittée])+SUMIF(Invest[Affectation matrice],$A67,Invest[TVA acquittée]))*CL67)</f>
        <v>0</v>
      </c>
      <c r="AM67" s="56">
        <f>IF($C67=Repart_lignes,0,
(SUMIF(Fonctionnement[Affectation matrice],$A67,Fonctionnement[TVA acquittée])+SUMIF(Invest[Affectation matrice],$A67,Invest[TVA acquittée]))*CM67)</f>
        <v>0</v>
      </c>
      <c r="AN67" s="56">
        <f>IF($C67=Repart_lignes,0,
(SUMIF(Fonctionnement[Affectation matrice],$A67,Fonctionnement[TVA acquittée])+SUMIF(Invest[Affectation matrice],$A67,Invest[TVA acquittée]))*CN67)</f>
        <v>0</v>
      </c>
      <c r="AO67" s="56">
        <f>IF($C67=Repart_lignes,0,
(SUMIF(Fonctionnement[Affectation matrice],$A67,Fonctionnement[TVA acquittée])+SUMIF(Invest[Affectation matrice],$A67,Invest[TVA acquittée]))*CO67)</f>
        <v>0</v>
      </c>
      <c r="AP67" s="56">
        <f>IF($C67=Repart_lignes,0,
(SUMIF(Fonctionnement[Affectation matrice],$A67,Fonctionnement[TVA acquittée])+SUMIF(Invest[Affectation matrice],$A67,Invest[TVA acquittée]))*CP67)</f>
        <v>0</v>
      </c>
      <c r="AQ67" s="56">
        <f>IF($C67=Repart_lignes,0,
(SUMIF(Fonctionnement[Affectation matrice],$A67,Fonctionnement[TVA acquittée])+SUMIF(Invest[Affectation matrice],$A67,Invest[TVA acquittée]))*CQ67)</f>
        <v>0</v>
      </c>
      <c r="AR67" s="56">
        <f>IF($C67=Repart_lignes,0,
(SUMIF(Fonctionnement[Affectation matrice],$A67,Fonctionnement[TVA acquittée])+SUMIF(Invest[Affectation matrice],$A67,Invest[TVA acquittée]))*CR67)</f>
        <v>0</v>
      </c>
      <c r="AS67" s="56">
        <f>IF($C67=Repart_lignes,0,
(SUMIF(Fonctionnement[Affectation matrice],$A67,Fonctionnement[TVA acquittée])+SUMIF(Invest[Affectation matrice],$A67,Invest[TVA acquittée]))*CS67)</f>
        <v>0</v>
      </c>
      <c r="AT67" s="56">
        <f>IF($C67=Repart_lignes,0,
(SUMIF(Fonctionnement[Affectation matrice],$A67,Fonctionnement[TVA acquittée])+SUMIF(Invest[Affectation matrice],$A67,Invest[TVA acquittée]))*CT67)</f>
        <v>0</v>
      </c>
      <c r="AU67" s="56">
        <f>IF($C67=Repart_lignes,0,
(SUMIF(Fonctionnement[Affectation matrice],$A67,Fonctionnement[TVA acquittée])+SUMIF(Invest[Affectation matrice],$A67,Invest[TVA acquittée]))*CU67)</f>
        <v>0</v>
      </c>
      <c r="AV67" s="56">
        <f>IF($C67=Repart_lignes,0,
(SUMIF(Fonctionnement[Affectation matrice],$A67,Fonctionnement[TVA acquittée])+SUMIF(Invest[Affectation matrice],$A67,Invest[TVA acquittée]))*CV67)</f>
        <v>0</v>
      </c>
      <c r="AW67" s="56">
        <f>IF($C67=Repart_lignes,0,
(SUMIF(Fonctionnement[Affectation matrice],$A67,Fonctionnement[TVA acquittée])+SUMIF(Invest[Affectation matrice],$A67,Invest[TVA acquittée]))*CW67)</f>
        <v>0</v>
      </c>
      <c r="AX67" s="56">
        <f>IF($C67=Repart_lignes,0,
(SUMIF(Fonctionnement[Affectation matrice],$A67,Fonctionnement[TVA acquittée])+SUMIF(Invest[Affectation matrice],$A67,Invest[TVA acquittée]))*CX67)</f>
        <v>0</v>
      </c>
      <c r="AY67" s="56">
        <f>IF($C67=Repart_lignes,0,
(SUMIF(Fonctionnement[Affectation matrice],$A67,Fonctionnement[TVA acquittée])+SUMIF(Invest[Affectation matrice],$A67,Invest[TVA acquittée]))*CY67)</f>
        <v>0</v>
      </c>
      <c r="AZ67" s="56">
        <f>IF($C67=Repart_lignes,0,
(SUMIF(Fonctionnement[Affectation matrice],$A67,Fonctionnement[TVA acquittée])+SUMIF(Invest[Affectation matrice],$A67,Invest[TVA acquittée]))*CZ67)</f>
        <v>0</v>
      </c>
      <c r="BA67" s="56">
        <f>IF($C67=Repart_lignes,0,
(SUMIF(Fonctionnement[Affectation matrice],$A67,Fonctionnement[TVA acquittée])+SUMIF(Invest[Affectation matrice],$A67,Invest[TVA acquittée]))*DA67)</f>
        <v>0</v>
      </c>
      <c r="BB67" s="56">
        <f>IF($C67=Repart_lignes,0,
(SUMIF(Fonctionnement[Affectation matrice],$A67,Fonctionnement[TVA acquittée])+SUMIF(Invest[Affectation matrice],$A67,Invest[TVA acquittée]))*DB67)</f>
        <v>0</v>
      </c>
      <c r="BC67" s="56">
        <f>IF($C67=Repart_lignes,0,
(SUMIF(Fonctionnement[Affectation matrice],$A67,Fonctionnement[TVA acquittée])+SUMIF(Invest[Affectation matrice],$A67,Invest[TVA acquittée]))*DC67)</f>
        <v>0</v>
      </c>
      <c r="BD67" s="56">
        <f>IF($C67=Repart_lignes,0,
(SUMIF(Fonctionnement[Affectation matrice],$A67,Fonctionnement[TVA acquittée])+SUMIF(Invest[Affectation matrice],$A67,Invest[TVA acquittée]))*DD67)</f>
        <v>0</v>
      </c>
      <c r="BE67" s="58">
        <f t="shared" si="32"/>
        <v>0</v>
      </c>
      <c r="BF67" s="56">
        <f>IF($C67=Repart_lignes,0,
(SUMIF(Fonctionnement[Affectation matrice],$A67,Fonctionnement[Montant (€HT)])+SUMIF(Invest[Affectation matrice],$A67,Invest[Amortissement HT + intérêts]))*CF67)</f>
        <v>0</v>
      </c>
      <c r="BG67" s="56">
        <f>IF($C67=Repart_lignes,0,
(SUMIF(Fonctionnement[Affectation matrice],$A67,Fonctionnement[Montant (€HT)])+SUMIF(Invest[Affectation matrice],$A67,Invest[Amortissement HT + intérêts]))*CG67)</f>
        <v>0</v>
      </c>
      <c r="BH67" s="56">
        <f>IF($C67=Repart_lignes,0,
(SUMIF(Fonctionnement[Affectation matrice],$A67,Fonctionnement[Montant (€HT)])+SUMIF(Invest[Affectation matrice],$A67,Invest[Amortissement HT + intérêts]))*CH67)</f>
        <v>0</v>
      </c>
      <c r="BI67" s="56">
        <f>IF($C67=Repart_lignes,0,
(SUMIF(Fonctionnement[Affectation matrice],$A67,Fonctionnement[Montant (€HT)])+SUMIF(Invest[Affectation matrice],$A67,Invest[Amortissement HT + intérêts]))*CI67)</f>
        <v>0</v>
      </c>
      <c r="BJ67" s="56">
        <f>IF($C67=Repart_lignes,0,
(SUMIF(Fonctionnement[Affectation matrice],$A67,Fonctionnement[Montant (€HT)])+SUMIF(Invest[Affectation matrice],$A67,Invest[Amortissement HT + intérêts]))*CJ67)</f>
        <v>0</v>
      </c>
      <c r="BK67" s="56">
        <f>IF($C67=Repart_lignes,0,
(SUMIF(Fonctionnement[Affectation matrice],$A67,Fonctionnement[Montant (€HT)])+SUMIF(Invest[Affectation matrice],$A67,Invest[Amortissement HT + intérêts]))*CK67)</f>
        <v>0</v>
      </c>
      <c r="BL67" s="56">
        <f>IF($C67=Repart_lignes,0,
(SUMIF(Fonctionnement[Affectation matrice],$A67,Fonctionnement[Montant (€HT)])+SUMIF(Invest[Affectation matrice],$A67,Invest[Amortissement HT + intérêts]))*CL67)</f>
        <v>0</v>
      </c>
      <c r="BM67" s="56">
        <f>IF($C67=Repart_lignes,0,
(SUMIF(Fonctionnement[Affectation matrice],$A67,Fonctionnement[Montant (€HT)])+SUMIF(Invest[Affectation matrice],$A67,Invest[Amortissement HT + intérêts]))*CM67)</f>
        <v>0</v>
      </c>
      <c r="BN67" s="56">
        <f>IF($C67=Repart_lignes,0,
(SUMIF(Fonctionnement[Affectation matrice],$A67,Fonctionnement[Montant (€HT)])+SUMIF(Invest[Affectation matrice],$A67,Invest[Amortissement HT + intérêts]))*CN67)</f>
        <v>0</v>
      </c>
      <c r="BO67" s="56">
        <f>IF($C67=Repart_lignes,0,
(SUMIF(Fonctionnement[Affectation matrice],$A67,Fonctionnement[Montant (€HT)])+SUMIF(Invest[Affectation matrice],$A67,Invest[Amortissement HT + intérêts]))*CO67)</f>
        <v>0</v>
      </c>
      <c r="BP67" s="56">
        <f>IF($C67=Repart_lignes,0,
(SUMIF(Fonctionnement[Affectation matrice],$A67,Fonctionnement[Montant (€HT)])+SUMIF(Invest[Affectation matrice],$A67,Invest[Amortissement HT + intérêts]))*CP67)</f>
        <v>0</v>
      </c>
      <c r="BQ67" s="56">
        <f>IF($C67=Repart_lignes,0,
(SUMIF(Fonctionnement[Affectation matrice],$A67,Fonctionnement[Montant (€HT)])+SUMIF(Invest[Affectation matrice],$A67,Invest[Amortissement HT + intérêts]))*CQ67)</f>
        <v>0</v>
      </c>
      <c r="BR67" s="56">
        <f>IF($C67=Repart_lignes,0,
(SUMIF(Fonctionnement[Affectation matrice],$A67,Fonctionnement[Montant (€HT)])+SUMIF(Invest[Affectation matrice],$A67,Invest[Amortissement HT + intérêts]))*CR67)</f>
        <v>0</v>
      </c>
      <c r="BS67" s="56">
        <f>IF($C67=Repart_lignes,0,
(SUMIF(Fonctionnement[Affectation matrice],$A67,Fonctionnement[Montant (€HT)])+SUMIF(Invest[Affectation matrice],$A67,Invest[Amortissement HT + intérêts]))*CS67)</f>
        <v>0</v>
      </c>
      <c r="BT67" s="56">
        <f>IF($C67=Repart_lignes,0,
(SUMIF(Fonctionnement[Affectation matrice],$A67,Fonctionnement[Montant (€HT)])+SUMIF(Invest[Affectation matrice],$A67,Invest[Amortissement HT + intérêts]))*CT67)</f>
        <v>0</v>
      </c>
      <c r="BU67" s="56">
        <f>IF($C67=Repart_lignes,0,
(SUMIF(Fonctionnement[Affectation matrice],$A67,Fonctionnement[Montant (€HT)])+SUMIF(Invest[Affectation matrice],$A67,Invest[Amortissement HT + intérêts]))*CU67)</f>
        <v>0</v>
      </c>
      <c r="BV67" s="56">
        <f>IF($C67=Repart_lignes,0,
(SUMIF(Fonctionnement[Affectation matrice],$A67,Fonctionnement[Montant (€HT)])+SUMIF(Invest[Affectation matrice],$A67,Invest[Amortissement HT + intérêts]))*CV67)</f>
        <v>0</v>
      </c>
      <c r="BW67" s="56">
        <f>IF($C67=Repart_lignes,0,
(SUMIF(Fonctionnement[Affectation matrice],$A67,Fonctionnement[Montant (€HT)])+SUMIF(Invest[Affectation matrice],$A67,Invest[Amortissement HT + intérêts]))*CW67)</f>
        <v>0</v>
      </c>
      <c r="BX67" s="56">
        <f>IF($C67=Repart_lignes,0,
(SUMIF(Fonctionnement[Affectation matrice],$A67,Fonctionnement[Montant (€HT)])+SUMIF(Invest[Affectation matrice],$A67,Invest[Amortissement HT + intérêts]))*CX67)</f>
        <v>0</v>
      </c>
      <c r="BY67" s="56">
        <f>IF($C67=Repart_lignes,0,
(SUMIF(Fonctionnement[Affectation matrice],$A67,Fonctionnement[Montant (€HT)])+SUMIF(Invest[Affectation matrice],$A67,Invest[Amortissement HT + intérêts]))*CY67)</f>
        <v>0</v>
      </c>
      <c r="BZ67" s="56">
        <f>IF($C67=Repart_lignes,0,
(SUMIF(Fonctionnement[Affectation matrice],$A67,Fonctionnement[Montant (€HT)])+SUMIF(Invest[Affectation matrice],$A67,Invest[Amortissement HT + intérêts]))*CZ67)</f>
        <v>0</v>
      </c>
      <c r="CA67" s="56">
        <f>IF($C67=Repart_lignes,0,
(SUMIF(Fonctionnement[Affectation matrice],$A67,Fonctionnement[Montant (€HT)])+SUMIF(Invest[Affectation matrice],$A67,Invest[Amortissement HT + intérêts]))*DA67)</f>
        <v>0</v>
      </c>
      <c r="CB67" s="56">
        <f>IF($C67=Repart_lignes,0,
(SUMIF(Fonctionnement[Affectation matrice],$A67,Fonctionnement[Montant (€HT)])+SUMIF(Invest[Affectation matrice],$A67,Invest[Amortissement HT + intérêts]))*DB67)</f>
        <v>0</v>
      </c>
      <c r="CC67" s="56">
        <f>IF($C67=Repart_lignes,0,
(SUMIF(Fonctionnement[Affectation matrice],$A67,Fonctionnement[Montant (€HT)])+SUMIF(Invest[Affectation matrice],$A67,Invest[Amortissement HT + intérêts]))*DC67)</f>
        <v>0</v>
      </c>
      <c r="CD67" s="56">
        <f>IF($C67=Repart_lignes,0,
(SUMIF(Fonctionnement[Affectation matrice],$A67,Fonctionnement[Montant (€HT)])+SUMIF(Invest[Affectation matrice],$A67,Invest[Amortissement HT + intérêts]))*DD67)</f>
        <v>0</v>
      </c>
      <c r="CE67" s="59">
        <f t="shared" si="33"/>
        <v>0</v>
      </c>
      <c r="CF67" s="61">
        <f t="shared" si="34"/>
        <v>0</v>
      </c>
      <c r="CG67" s="61">
        <f t="shared" si="35"/>
        <v>0</v>
      </c>
      <c r="CH67" s="61">
        <f t="shared" si="36"/>
        <v>0</v>
      </c>
      <c r="CI67" s="61">
        <f t="shared" si="37"/>
        <v>0</v>
      </c>
      <c r="CJ67" s="61">
        <f t="shared" si="38"/>
        <v>0</v>
      </c>
      <c r="CK67" s="61">
        <f t="shared" si="39"/>
        <v>0</v>
      </c>
      <c r="CL67" s="61">
        <f t="shared" si="40"/>
        <v>0</v>
      </c>
      <c r="CM67" s="61">
        <f t="shared" si="41"/>
        <v>0</v>
      </c>
      <c r="CN67" s="61">
        <f t="shared" si="42"/>
        <v>0</v>
      </c>
      <c r="CO67" s="61">
        <f t="shared" si="43"/>
        <v>0</v>
      </c>
      <c r="CP67" s="61">
        <f t="shared" si="44"/>
        <v>0</v>
      </c>
      <c r="CQ67" s="61">
        <f t="shared" si="45"/>
        <v>0</v>
      </c>
      <c r="CR67" s="61">
        <f t="shared" si="46"/>
        <v>0</v>
      </c>
      <c r="CS67" s="61">
        <f t="shared" si="47"/>
        <v>0</v>
      </c>
      <c r="CT67" s="61">
        <f t="shared" si="48"/>
        <v>0</v>
      </c>
      <c r="CU67" s="61">
        <f t="shared" si="49"/>
        <v>0</v>
      </c>
      <c r="CV67" s="61">
        <f t="shared" si="50"/>
        <v>0</v>
      </c>
      <c r="CW67" s="61">
        <f t="shared" si="51"/>
        <v>0</v>
      </c>
      <c r="CX67" s="61">
        <f t="shared" si="52"/>
        <v>0</v>
      </c>
      <c r="CY67" s="61">
        <f t="shared" si="53"/>
        <v>0</v>
      </c>
      <c r="CZ67" s="61">
        <f t="shared" si="54"/>
        <v>0</v>
      </c>
      <c r="DA67" s="61">
        <f t="shared" si="55"/>
        <v>0</v>
      </c>
      <c r="DB67" s="61">
        <f t="shared" si="56"/>
        <v>0</v>
      </c>
      <c r="DC67" s="61">
        <f t="shared" si="57"/>
        <v>0</v>
      </c>
      <c r="DD67" s="61">
        <f t="shared" si="58"/>
        <v>0</v>
      </c>
      <c r="DE67" s="61">
        <f t="shared" si="59"/>
        <v>0</v>
      </c>
    </row>
    <row r="68" spans="1:109" x14ac:dyDescent="0.25">
      <c r="A68" s="248"/>
      <c r="B68" s="248"/>
      <c r="C68" s="251"/>
      <c r="D68" s="25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1">
        <f t="shared" ref="AD68:AD99" si="60">SUM(E68:AC68)</f>
        <v>0</v>
      </c>
      <c r="AE68" s="53" t="str">
        <f t="shared" ca="1" si="29"/>
        <v/>
      </c>
      <c r="AF68" s="56">
        <f>IF($C68=Repart_lignes,0,
(SUMIF(Fonctionnement[Affectation matrice],$A68,Fonctionnement[TVA acquittée])+SUMIF(Invest[Affectation matrice],$A68,Invest[TVA acquittée]))*CF68)</f>
        <v>0</v>
      </c>
      <c r="AG68" s="56">
        <f>IF($C68=Repart_lignes,0,
(SUMIF(Fonctionnement[Affectation matrice],$A68,Fonctionnement[TVA acquittée])+SUMIF(Invest[Affectation matrice],$A68,Invest[TVA acquittée]))*CG68)</f>
        <v>0</v>
      </c>
      <c r="AH68" s="56">
        <f>IF($C68=Repart_lignes,0,
(SUMIF(Fonctionnement[Affectation matrice],$A68,Fonctionnement[TVA acquittée])+SUMIF(Invest[Affectation matrice],$A68,Invest[TVA acquittée]))*CH68)</f>
        <v>0</v>
      </c>
      <c r="AI68" s="56">
        <f>IF($C68=Repart_lignes,0,
(SUMIF(Fonctionnement[Affectation matrice],$A68,Fonctionnement[TVA acquittée])+SUMIF(Invest[Affectation matrice],$A68,Invest[TVA acquittée]))*CI68)</f>
        <v>0</v>
      </c>
      <c r="AJ68" s="56">
        <f>IF($C68=Repart_lignes,0,
(SUMIF(Fonctionnement[Affectation matrice],$A68,Fonctionnement[TVA acquittée])+SUMIF(Invest[Affectation matrice],$A68,Invest[TVA acquittée]))*CJ68)</f>
        <v>0</v>
      </c>
      <c r="AK68" s="56">
        <f>IF($C68=Repart_lignes,0,
(SUMIF(Fonctionnement[Affectation matrice],$A68,Fonctionnement[TVA acquittée])+SUMIF(Invest[Affectation matrice],$A68,Invest[TVA acquittée]))*CK68)</f>
        <v>0</v>
      </c>
      <c r="AL68" s="56">
        <f>IF($C68=Repart_lignes,0,
(SUMIF(Fonctionnement[Affectation matrice],$A68,Fonctionnement[TVA acquittée])+SUMIF(Invest[Affectation matrice],$A68,Invest[TVA acquittée]))*CL68)</f>
        <v>0</v>
      </c>
      <c r="AM68" s="56">
        <f>IF($C68=Repart_lignes,0,
(SUMIF(Fonctionnement[Affectation matrice],$A68,Fonctionnement[TVA acquittée])+SUMIF(Invest[Affectation matrice],$A68,Invest[TVA acquittée]))*CM68)</f>
        <v>0</v>
      </c>
      <c r="AN68" s="56">
        <f>IF($C68=Repart_lignes,0,
(SUMIF(Fonctionnement[Affectation matrice],$A68,Fonctionnement[TVA acquittée])+SUMIF(Invest[Affectation matrice],$A68,Invest[TVA acquittée]))*CN68)</f>
        <v>0</v>
      </c>
      <c r="AO68" s="56">
        <f>IF($C68=Repart_lignes,0,
(SUMIF(Fonctionnement[Affectation matrice],$A68,Fonctionnement[TVA acquittée])+SUMIF(Invest[Affectation matrice],$A68,Invest[TVA acquittée]))*CO68)</f>
        <v>0</v>
      </c>
      <c r="AP68" s="56">
        <f>IF($C68=Repart_lignes,0,
(SUMIF(Fonctionnement[Affectation matrice],$A68,Fonctionnement[TVA acquittée])+SUMIF(Invest[Affectation matrice],$A68,Invest[TVA acquittée]))*CP68)</f>
        <v>0</v>
      </c>
      <c r="AQ68" s="56">
        <f>IF($C68=Repart_lignes,0,
(SUMIF(Fonctionnement[Affectation matrice],$A68,Fonctionnement[TVA acquittée])+SUMIF(Invest[Affectation matrice],$A68,Invest[TVA acquittée]))*CQ68)</f>
        <v>0</v>
      </c>
      <c r="AR68" s="56">
        <f>IF($C68=Repart_lignes,0,
(SUMIF(Fonctionnement[Affectation matrice],$A68,Fonctionnement[TVA acquittée])+SUMIF(Invest[Affectation matrice],$A68,Invest[TVA acquittée]))*CR68)</f>
        <v>0</v>
      </c>
      <c r="AS68" s="56">
        <f>IF($C68=Repart_lignes,0,
(SUMIF(Fonctionnement[Affectation matrice],$A68,Fonctionnement[TVA acquittée])+SUMIF(Invest[Affectation matrice],$A68,Invest[TVA acquittée]))*CS68)</f>
        <v>0</v>
      </c>
      <c r="AT68" s="56">
        <f>IF($C68=Repart_lignes,0,
(SUMIF(Fonctionnement[Affectation matrice],$A68,Fonctionnement[TVA acquittée])+SUMIF(Invest[Affectation matrice],$A68,Invest[TVA acquittée]))*CT68)</f>
        <v>0</v>
      </c>
      <c r="AU68" s="56">
        <f>IF($C68=Repart_lignes,0,
(SUMIF(Fonctionnement[Affectation matrice],$A68,Fonctionnement[TVA acquittée])+SUMIF(Invest[Affectation matrice],$A68,Invest[TVA acquittée]))*CU68)</f>
        <v>0</v>
      </c>
      <c r="AV68" s="56">
        <f>IF($C68=Repart_lignes,0,
(SUMIF(Fonctionnement[Affectation matrice],$A68,Fonctionnement[TVA acquittée])+SUMIF(Invest[Affectation matrice],$A68,Invest[TVA acquittée]))*CV68)</f>
        <v>0</v>
      </c>
      <c r="AW68" s="56">
        <f>IF($C68=Repart_lignes,0,
(SUMIF(Fonctionnement[Affectation matrice],$A68,Fonctionnement[TVA acquittée])+SUMIF(Invest[Affectation matrice],$A68,Invest[TVA acquittée]))*CW68)</f>
        <v>0</v>
      </c>
      <c r="AX68" s="56">
        <f>IF($C68=Repart_lignes,0,
(SUMIF(Fonctionnement[Affectation matrice],$A68,Fonctionnement[TVA acquittée])+SUMIF(Invest[Affectation matrice],$A68,Invest[TVA acquittée]))*CX68)</f>
        <v>0</v>
      </c>
      <c r="AY68" s="56">
        <f>IF($C68=Repart_lignes,0,
(SUMIF(Fonctionnement[Affectation matrice],$A68,Fonctionnement[TVA acquittée])+SUMIF(Invest[Affectation matrice],$A68,Invest[TVA acquittée]))*CY68)</f>
        <v>0</v>
      </c>
      <c r="AZ68" s="56">
        <f>IF($C68=Repart_lignes,0,
(SUMIF(Fonctionnement[Affectation matrice],$A68,Fonctionnement[TVA acquittée])+SUMIF(Invest[Affectation matrice],$A68,Invest[TVA acquittée]))*CZ68)</f>
        <v>0</v>
      </c>
      <c r="BA68" s="56">
        <f>IF($C68=Repart_lignes,0,
(SUMIF(Fonctionnement[Affectation matrice],$A68,Fonctionnement[TVA acquittée])+SUMIF(Invest[Affectation matrice],$A68,Invest[TVA acquittée]))*DA68)</f>
        <v>0</v>
      </c>
      <c r="BB68" s="56">
        <f>IF($C68=Repart_lignes,0,
(SUMIF(Fonctionnement[Affectation matrice],$A68,Fonctionnement[TVA acquittée])+SUMIF(Invest[Affectation matrice],$A68,Invest[TVA acquittée]))*DB68)</f>
        <v>0</v>
      </c>
      <c r="BC68" s="56">
        <f>IF($C68=Repart_lignes,0,
(SUMIF(Fonctionnement[Affectation matrice],$A68,Fonctionnement[TVA acquittée])+SUMIF(Invest[Affectation matrice],$A68,Invest[TVA acquittée]))*DC68)</f>
        <v>0</v>
      </c>
      <c r="BD68" s="56">
        <f>IF($C68=Repart_lignes,0,
(SUMIF(Fonctionnement[Affectation matrice],$A68,Fonctionnement[TVA acquittée])+SUMIF(Invest[Affectation matrice],$A68,Invest[TVA acquittée]))*DD68)</f>
        <v>0</v>
      </c>
      <c r="BE68" s="58">
        <f t="shared" ref="BE68:BE99" si="61">SUM(AF68:BD68)</f>
        <v>0</v>
      </c>
      <c r="BF68" s="56">
        <f>IF($C68=Repart_lignes,0,
(SUMIF(Fonctionnement[Affectation matrice],$A68,Fonctionnement[Montant (€HT)])+SUMIF(Invest[Affectation matrice],$A68,Invest[Amortissement HT + intérêts]))*CF68)</f>
        <v>0</v>
      </c>
      <c r="BG68" s="56">
        <f>IF($C68=Repart_lignes,0,
(SUMIF(Fonctionnement[Affectation matrice],$A68,Fonctionnement[Montant (€HT)])+SUMIF(Invest[Affectation matrice],$A68,Invest[Amortissement HT + intérêts]))*CG68)</f>
        <v>0</v>
      </c>
      <c r="BH68" s="56">
        <f>IF($C68=Repart_lignes,0,
(SUMIF(Fonctionnement[Affectation matrice],$A68,Fonctionnement[Montant (€HT)])+SUMIF(Invest[Affectation matrice],$A68,Invest[Amortissement HT + intérêts]))*CH68)</f>
        <v>0</v>
      </c>
      <c r="BI68" s="56">
        <f>IF($C68=Repart_lignes,0,
(SUMIF(Fonctionnement[Affectation matrice],$A68,Fonctionnement[Montant (€HT)])+SUMIF(Invest[Affectation matrice],$A68,Invest[Amortissement HT + intérêts]))*CI68)</f>
        <v>0</v>
      </c>
      <c r="BJ68" s="56">
        <f>IF($C68=Repart_lignes,0,
(SUMIF(Fonctionnement[Affectation matrice],$A68,Fonctionnement[Montant (€HT)])+SUMIF(Invest[Affectation matrice],$A68,Invest[Amortissement HT + intérêts]))*CJ68)</f>
        <v>0</v>
      </c>
      <c r="BK68" s="56">
        <f>IF($C68=Repart_lignes,0,
(SUMIF(Fonctionnement[Affectation matrice],$A68,Fonctionnement[Montant (€HT)])+SUMIF(Invest[Affectation matrice],$A68,Invest[Amortissement HT + intérêts]))*CK68)</f>
        <v>0</v>
      </c>
      <c r="BL68" s="56">
        <f>IF($C68=Repart_lignes,0,
(SUMIF(Fonctionnement[Affectation matrice],$A68,Fonctionnement[Montant (€HT)])+SUMIF(Invest[Affectation matrice],$A68,Invest[Amortissement HT + intérêts]))*CL68)</f>
        <v>0</v>
      </c>
      <c r="BM68" s="56">
        <f>IF($C68=Repart_lignes,0,
(SUMIF(Fonctionnement[Affectation matrice],$A68,Fonctionnement[Montant (€HT)])+SUMIF(Invest[Affectation matrice],$A68,Invest[Amortissement HT + intérêts]))*CM68)</f>
        <v>0</v>
      </c>
      <c r="BN68" s="56">
        <f>IF($C68=Repart_lignes,0,
(SUMIF(Fonctionnement[Affectation matrice],$A68,Fonctionnement[Montant (€HT)])+SUMIF(Invest[Affectation matrice],$A68,Invest[Amortissement HT + intérêts]))*CN68)</f>
        <v>0</v>
      </c>
      <c r="BO68" s="56">
        <f>IF($C68=Repart_lignes,0,
(SUMIF(Fonctionnement[Affectation matrice],$A68,Fonctionnement[Montant (€HT)])+SUMIF(Invest[Affectation matrice],$A68,Invest[Amortissement HT + intérêts]))*CO68)</f>
        <v>0</v>
      </c>
      <c r="BP68" s="56">
        <f>IF($C68=Repart_lignes,0,
(SUMIF(Fonctionnement[Affectation matrice],$A68,Fonctionnement[Montant (€HT)])+SUMIF(Invest[Affectation matrice],$A68,Invest[Amortissement HT + intérêts]))*CP68)</f>
        <v>0</v>
      </c>
      <c r="BQ68" s="56">
        <f>IF($C68=Repart_lignes,0,
(SUMIF(Fonctionnement[Affectation matrice],$A68,Fonctionnement[Montant (€HT)])+SUMIF(Invest[Affectation matrice],$A68,Invest[Amortissement HT + intérêts]))*CQ68)</f>
        <v>0</v>
      </c>
      <c r="BR68" s="56">
        <f>IF($C68=Repart_lignes,0,
(SUMIF(Fonctionnement[Affectation matrice],$A68,Fonctionnement[Montant (€HT)])+SUMIF(Invest[Affectation matrice],$A68,Invest[Amortissement HT + intérêts]))*CR68)</f>
        <v>0</v>
      </c>
      <c r="BS68" s="56">
        <f>IF($C68=Repart_lignes,0,
(SUMIF(Fonctionnement[Affectation matrice],$A68,Fonctionnement[Montant (€HT)])+SUMIF(Invest[Affectation matrice],$A68,Invest[Amortissement HT + intérêts]))*CS68)</f>
        <v>0</v>
      </c>
      <c r="BT68" s="56">
        <f>IF($C68=Repart_lignes,0,
(SUMIF(Fonctionnement[Affectation matrice],$A68,Fonctionnement[Montant (€HT)])+SUMIF(Invest[Affectation matrice],$A68,Invest[Amortissement HT + intérêts]))*CT68)</f>
        <v>0</v>
      </c>
      <c r="BU68" s="56">
        <f>IF($C68=Repart_lignes,0,
(SUMIF(Fonctionnement[Affectation matrice],$A68,Fonctionnement[Montant (€HT)])+SUMIF(Invest[Affectation matrice],$A68,Invest[Amortissement HT + intérêts]))*CU68)</f>
        <v>0</v>
      </c>
      <c r="BV68" s="56">
        <f>IF($C68=Repart_lignes,0,
(SUMIF(Fonctionnement[Affectation matrice],$A68,Fonctionnement[Montant (€HT)])+SUMIF(Invest[Affectation matrice],$A68,Invest[Amortissement HT + intérêts]))*CV68)</f>
        <v>0</v>
      </c>
      <c r="BW68" s="56">
        <f>IF($C68=Repart_lignes,0,
(SUMIF(Fonctionnement[Affectation matrice],$A68,Fonctionnement[Montant (€HT)])+SUMIF(Invest[Affectation matrice],$A68,Invest[Amortissement HT + intérêts]))*CW68)</f>
        <v>0</v>
      </c>
      <c r="BX68" s="56">
        <f>IF($C68=Repart_lignes,0,
(SUMIF(Fonctionnement[Affectation matrice],$A68,Fonctionnement[Montant (€HT)])+SUMIF(Invest[Affectation matrice],$A68,Invest[Amortissement HT + intérêts]))*CX68)</f>
        <v>0</v>
      </c>
      <c r="BY68" s="56">
        <f>IF($C68=Repart_lignes,0,
(SUMIF(Fonctionnement[Affectation matrice],$A68,Fonctionnement[Montant (€HT)])+SUMIF(Invest[Affectation matrice],$A68,Invest[Amortissement HT + intérêts]))*CY68)</f>
        <v>0</v>
      </c>
      <c r="BZ68" s="56">
        <f>IF($C68=Repart_lignes,0,
(SUMIF(Fonctionnement[Affectation matrice],$A68,Fonctionnement[Montant (€HT)])+SUMIF(Invest[Affectation matrice],$A68,Invest[Amortissement HT + intérêts]))*CZ68)</f>
        <v>0</v>
      </c>
      <c r="CA68" s="56">
        <f>IF($C68=Repart_lignes,0,
(SUMIF(Fonctionnement[Affectation matrice],$A68,Fonctionnement[Montant (€HT)])+SUMIF(Invest[Affectation matrice],$A68,Invest[Amortissement HT + intérêts]))*DA68)</f>
        <v>0</v>
      </c>
      <c r="CB68" s="56">
        <f>IF($C68=Repart_lignes,0,
(SUMIF(Fonctionnement[Affectation matrice],$A68,Fonctionnement[Montant (€HT)])+SUMIF(Invest[Affectation matrice],$A68,Invest[Amortissement HT + intérêts]))*DB68)</f>
        <v>0</v>
      </c>
      <c r="CC68" s="56">
        <f>IF($C68=Repart_lignes,0,
(SUMIF(Fonctionnement[Affectation matrice],$A68,Fonctionnement[Montant (€HT)])+SUMIF(Invest[Affectation matrice],$A68,Invest[Amortissement HT + intérêts]))*DC68)</f>
        <v>0</v>
      </c>
      <c r="CD68" s="56">
        <f>IF($C68=Repart_lignes,0,
(SUMIF(Fonctionnement[Affectation matrice],$A68,Fonctionnement[Montant (€HT)])+SUMIF(Invest[Affectation matrice],$A68,Invest[Amortissement HT + intérêts]))*DD68)</f>
        <v>0</v>
      </c>
      <c r="CE68" s="59">
        <f t="shared" ref="CE68:CE99" si="62">SUM(BF68:CD68)</f>
        <v>0</v>
      </c>
      <c r="CF68" s="61">
        <f t="shared" ref="CF68:CF99" si="63">IF($AD68=0,0,E68/$AD68)</f>
        <v>0</v>
      </c>
      <c r="CG68" s="61">
        <f t="shared" ref="CG68:CG99" si="64">IF($AD68=0,0,F68/$AD68)</f>
        <v>0</v>
      </c>
      <c r="CH68" s="61">
        <f t="shared" ref="CH68:CH99" si="65">IF($AD68=0,0,G68/$AD68)</f>
        <v>0</v>
      </c>
      <c r="CI68" s="61">
        <f t="shared" ref="CI68:CI99" si="66">IF($AD68=0,0,H68/$AD68)</f>
        <v>0</v>
      </c>
      <c r="CJ68" s="61">
        <f t="shared" ref="CJ68:CJ99" si="67">IF($AD68=0,0,I68/$AD68)</f>
        <v>0</v>
      </c>
      <c r="CK68" s="61">
        <f t="shared" ref="CK68:CK99" si="68">IF($AD68=0,0,J68/$AD68)</f>
        <v>0</v>
      </c>
      <c r="CL68" s="61">
        <f t="shared" ref="CL68:CL99" si="69">IF($AD68=0,0,K68/$AD68)</f>
        <v>0</v>
      </c>
      <c r="CM68" s="61">
        <f t="shared" ref="CM68:CM99" si="70">IF($AD68=0,0,L68/$AD68)</f>
        <v>0</v>
      </c>
      <c r="CN68" s="61">
        <f t="shared" ref="CN68:CN99" si="71">IF($AD68=0,0,M68/$AD68)</f>
        <v>0</v>
      </c>
      <c r="CO68" s="61">
        <f t="shared" ref="CO68:CO99" si="72">IF($AD68=0,0,N68/$AD68)</f>
        <v>0</v>
      </c>
      <c r="CP68" s="61">
        <f t="shared" ref="CP68:CP99" si="73">IF($AD68=0,0,O68/$AD68)</f>
        <v>0</v>
      </c>
      <c r="CQ68" s="61">
        <f t="shared" ref="CQ68:CQ99" si="74">IF($AD68=0,0,P68/$AD68)</f>
        <v>0</v>
      </c>
      <c r="CR68" s="61">
        <f t="shared" ref="CR68:CR99" si="75">IF($AD68=0,0,Q68/$AD68)</f>
        <v>0</v>
      </c>
      <c r="CS68" s="61">
        <f t="shared" ref="CS68:CS99" si="76">IF($AD68=0,0,R68/$AD68)</f>
        <v>0</v>
      </c>
      <c r="CT68" s="61">
        <f t="shared" ref="CT68:CT99" si="77">IF($AD68=0,0,S68/$AD68)</f>
        <v>0</v>
      </c>
      <c r="CU68" s="61">
        <f t="shared" ref="CU68:CU99" si="78">IF($AD68=0,0,T68/$AD68)</f>
        <v>0</v>
      </c>
      <c r="CV68" s="61">
        <f t="shared" ref="CV68:CV99" si="79">IF($AD68=0,0,U68/$AD68)</f>
        <v>0</v>
      </c>
      <c r="CW68" s="61">
        <f t="shared" ref="CW68:CW99" si="80">IF($AD68=0,0,V68/$AD68)</f>
        <v>0</v>
      </c>
      <c r="CX68" s="61">
        <f t="shared" ref="CX68:CX99" si="81">IF($AD68=0,0,W68/$AD68)</f>
        <v>0</v>
      </c>
      <c r="CY68" s="61">
        <f t="shared" ref="CY68:CY99" si="82">IF($AD68=0,0,X68/$AD68)</f>
        <v>0</v>
      </c>
      <c r="CZ68" s="61">
        <f t="shared" ref="CZ68:CZ99" si="83">IF($AD68=0,0,Y68/$AD68)</f>
        <v>0</v>
      </c>
      <c r="DA68" s="61">
        <f t="shared" ref="DA68:DA99" si="84">IF($AD68=0,0,Z68/$AD68)</f>
        <v>0</v>
      </c>
      <c r="DB68" s="61">
        <f t="shared" ref="DB68:DB99" si="85">IF($AD68=0,0,AA68/$AD68)</f>
        <v>0</v>
      </c>
      <c r="DC68" s="61">
        <f t="shared" ref="DC68:DC99" si="86">IF($AD68=0,0,AB68/$AD68)</f>
        <v>0</v>
      </c>
      <c r="DD68" s="61">
        <f t="shared" ref="DD68:DD99" si="87">IF($AD68=0,0,AC68/$AD68)</f>
        <v>0</v>
      </c>
      <c r="DE68" s="61">
        <f t="shared" ref="DE68:DE99" si="88">SUM(CF68:DD68)</f>
        <v>0</v>
      </c>
    </row>
    <row r="69" spans="1:109" x14ac:dyDescent="0.25">
      <c r="A69" s="248"/>
      <c r="B69" s="248"/>
      <c r="C69" s="251"/>
      <c r="D69" s="25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1">
        <f t="shared" si="60"/>
        <v>0</v>
      </c>
      <c r="AE69" s="53" t="str">
        <f t="shared" ref="AE69:AE99" ca="1" si="89">IF(AND(CELL("format",AD69)="%0",AD69&lt;&gt;1,AD69&gt;0),"Le total ne fait pas 100%","")</f>
        <v/>
      </c>
      <c r="AF69" s="56">
        <f>IF($C69=Repart_lignes,0,
(SUMIF(Fonctionnement[Affectation matrice],$A69,Fonctionnement[TVA acquittée])+SUMIF(Invest[Affectation matrice],$A69,Invest[TVA acquittée]))*CF69)</f>
        <v>0</v>
      </c>
      <c r="AG69" s="56">
        <f>IF($C69=Repart_lignes,0,
(SUMIF(Fonctionnement[Affectation matrice],$A69,Fonctionnement[TVA acquittée])+SUMIF(Invest[Affectation matrice],$A69,Invest[TVA acquittée]))*CG69)</f>
        <v>0</v>
      </c>
      <c r="AH69" s="56">
        <f>IF($C69=Repart_lignes,0,
(SUMIF(Fonctionnement[Affectation matrice],$A69,Fonctionnement[TVA acquittée])+SUMIF(Invest[Affectation matrice],$A69,Invest[TVA acquittée]))*CH69)</f>
        <v>0</v>
      </c>
      <c r="AI69" s="56">
        <f>IF($C69=Repart_lignes,0,
(SUMIF(Fonctionnement[Affectation matrice],$A69,Fonctionnement[TVA acquittée])+SUMIF(Invest[Affectation matrice],$A69,Invest[TVA acquittée]))*CI69)</f>
        <v>0</v>
      </c>
      <c r="AJ69" s="56">
        <f>IF($C69=Repart_lignes,0,
(SUMIF(Fonctionnement[Affectation matrice],$A69,Fonctionnement[TVA acquittée])+SUMIF(Invest[Affectation matrice],$A69,Invest[TVA acquittée]))*CJ69)</f>
        <v>0</v>
      </c>
      <c r="AK69" s="56">
        <f>IF($C69=Repart_lignes,0,
(SUMIF(Fonctionnement[Affectation matrice],$A69,Fonctionnement[TVA acquittée])+SUMIF(Invest[Affectation matrice],$A69,Invest[TVA acquittée]))*CK69)</f>
        <v>0</v>
      </c>
      <c r="AL69" s="56">
        <f>IF($C69=Repart_lignes,0,
(SUMIF(Fonctionnement[Affectation matrice],$A69,Fonctionnement[TVA acquittée])+SUMIF(Invest[Affectation matrice],$A69,Invest[TVA acquittée]))*CL69)</f>
        <v>0</v>
      </c>
      <c r="AM69" s="56">
        <f>IF($C69=Repart_lignes,0,
(SUMIF(Fonctionnement[Affectation matrice],$A69,Fonctionnement[TVA acquittée])+SUMIF(Invest[Affectation matrice],$A69,Invest[TVA acquittée]))*CM69)</f>
        <v>0</v>
      </c>
      <c r="AN69" s="56">
        <f>IF($C69=Repart_lignes,0,
(SUMIF(Fonctionnement[Affectation matrice],$A69,Fonctionnement[TVA acquittée])+SUMIF(Invest[Affectation matrice],$A69,Invest[TVA acquittée]))*CN69)</f>
        <v>0</v>
      </c>
      <c r="AO69" s="56">
        <f>IF($C69=Repart_lignes,0,
(SUMIF(Fonctionnement[Affectation matrice],$A69,Fonctionnement[TVA acquittée])+SUMIF(Invest[Affectation matrice],$A69,Invest[TVA acquittée]))*CO69)</f>
        <v>0</v>
      </c>
      <c r="AP69" s="56">
        <f>IF($C69=Repart_lignes,0,
(SUMIF(Fonctionnement[Affectation matrice],$A69,Fonctionnement[TVA acquittée])+SUMIF(Invest[Affectation matrice],$A69,Invest[TVA acquittée]))*CP69)</f>
        <v>0</v>
      </c>
      <c r="AQ69" s="56">
        <f>IF($C69=Repart_lignes,0,
(SUMIF(Fonctionnement[Affectation matrice],$A69,Fonctionnement[TVA acquittée])+SUMIF(Invest[Affectation matrice],$A69,Invest[TVA acquittée]))*CQ69)</f>
        <v>0</v>
      </c>
      <c r="AR69" s="56">
        <f>IF($C69=Repart_lignes,0,
(SUMIF(Fonctionnement[Affectation matrice],$A69,Fonctionnement[TVA acquittée])+SUMIF(Invest[Affectation matrice],$A69,Invest[TVA acquittée]))*CR69)</f>
        <v>0</v>
      </c>
      <c r="AS69" s="56">
        <f>IF($C69=Repart_lignes,0,
(SUMIF(Fonctionnement[Affectation matrice],$A69,Fonctionnement[TVA acquittée])+SUMIF(Invest[Affectation matrice],$A69,Invest[TVA acquittée]))*CS69)</f>
        <v>0</v>
      </c>
      <c r="AT69" s="56">
        <f>IF($C69=Repart_lignes,0,
(SUMIF(Fonctionnement[Affectation matrice],$A69,Fonctionnement[TVA acquittée])+SUMIF(Invest[Affectation matrice],$A69,Invest[TVA acquittée]))*CT69)</f>
        <v>0</v>
      </c>
      <c r="AU69" s="56">
        <f>IF($C69=Repart_lignes,0,
(SUMIF(Fonctionnement[Affectation matrice],$A69,Fonctionnement[TVA acquittée])+SUMIF(Invest[Affectation matrice],$A69,Invest[TVA acquittée]))*CU69)</f>
        <v>0</v>
      </c>
      <c r="AV69" s="56">
        <f>IF($C69=Repart_lignes,0,
(SUMIF(Fonctionnement[Affectation matrice],$A69,Fonctionnement[TVA acquittée])+SUMIF(Invest[Affectation matrice],$A69,Invest[TVA acquittée]))*CV69)</f>
        <v>0</v>
      </c>
      <c r="AW69" s="56">
        <f>IF($C69=Repart_lignes,0,
(SUMIF(Fonctionnement[Affectation matrice],$A69,Fonctionnement[TVA acquittée])+SUMIF(Invest[Affectation matrice],$A69,Invest[TVA acquittée]))*CW69)</f>
        <v>0</v>
      </c>
      <c r="AX69" s="56">
        <f>IF($C69=Repart_lignes,0,
(SUMIF(Fonctionnement[Affectation matrice],$A69,Fonctionnement[TVA acquittée])+SUMIF(Invest[Affectation matrice],$A69,Invest[TVA acquittée]))*CX69)</f>
        <v>0</v>
      </c>
      <c r="AY69" s="56">
        <f>IF($C69=Repart_lignes,0,
(SUMIF(Fonctionnement[Affectation matrice],$A69,Fonctionnement[TVA acquittée])+SUMIF(Invest[Affectation matrice],$A69,Invest[TVA acquittée]))*CY69)</f>
        <v>0</v>
      </c>
      <c r="AZ69" s="56">
        <f>IF($C69=Repart_lignes,0,
(SUMIF(Fonctionnement[Affectation matrice],$A69,Fonctionnement[TVA acquittée])+SUMIF(Invest[Affectation matrice],$A69,Invest[TVA acquittée]))*CZ69)</f>
        <v>0</v>
      </c>
      <c r="BA69" s="56">
        <f>IF($C69=Repart_lignes,0,
(SUMIF(Fonctionnement[Affectation matrice],$A69,Fonctionnement[TVA acquittée])+SUMIF(Invest[Affectation matrice],$A69,Invest[TVA acquittée]))*DA69)</f>
        <v>0</v>
      </c>
      <c r="BB69" s="56">
        <f>IF($C69=Repart_lignes,0,
(SUMIF(Fonctionnement[Affectation matrice],$A69,Fonctionnement[TVA acquittée])+SUMIF(Invest[Affectation matrice],$A69,Invest[TVA acquittée]))*DB69)</f>
        <v>0</v>
      </c>
      <c r="BC69" s="56">
        <f>IF($C69=Repart_lignes,0,
(SUMIF(Fonctionnement[Affectation matrice],$A69,Fonctionnement[TVA acquittée])+SUMIF(Invest[Affectation matrice],$A69,Invest[TVA acquittée]))*DC69)</f>
        <v>0</v>
      </c>
      <c r="BD69" s="56">
        <f>IF($C69=Repart_lignes,0,
(SUMIF(Fonctionnement[Affectation matrice],$A69,Fonctionnement[TVA acquittée])+SUMIF(Invest[Affectation matrice],$A69,Invest[TVA acquittée]))*DD69)</f>
        <v>0</v>
      </c>
      <c r="BE69" s="58">
        <f t="shared" si="61"/>
        <v>0</v>
      </c>
      <c r="BF69" s="56">
        <f>IF($C69=Repart_lignes,0,
(SUMIF(Fonctionnement[Affectation matrice],$A69,Fonctionnement[Montant (€HT)])+SUMIF(Invest[Affectation matrice],$A69,Invest[Amortissement HT + intérêts]))*CF69)</f>
        <v>0</v>
      </c>
      <c r="BG69" s="56">
        <f>IF($C69=Repart_lignes,0,
(SUMIF(Fonctionnement[Affectation matrice],$A69,Fonctionnement[Montant (€HT)])+SUMIF(Invest[Affectation matrice],$A69,Invest[Amortissement HT + intérêts]))*CG69)</f>
        <v>0</v>
      </c>
      <c r="BH69" s="56">
        <f>IF($C69=Repart_lignes,0,
(SUMIF(Fonctionnement[Affectation matrice],$A69,Fonctionnement[Montant (€HT)])+SUMIF(Invest[Affectation matrice],$A69,Invest[Amortissement HT + intérêts]))*CH69)</f>
        <v>0</v>
      </c>
      <c r="BI69" s="56">
        <f>IF($C69=Repart_lignes,0,
(SUMIF(Fonctionnement[Affectation matrice],$A69,Fonctionnement[Montant (€HT)])+SUMIF(Invest[Affectation matrice],$A69,Invest[Amortissement HT + intérêts]))*CI69)</f>
        <v>0</v>
      </c>
      <c r="BJ69" s="56">
        <f>IF($C69=Repart_lignes,0,
(SUMIF(Fonctionnement[Affectation matrice],$A69,Fonctionnement[Montant (€HT)])+SUMIF(Invest[Affectation matrice],$A69,Invest[Amortissement HT + intérêts]))*CJ69)</f>
        <v>0</v>
      </c>
      <c r="BK69" s="56">
        <f>IF($C69=Repart_lignes,0,
(SUMIF(Fonctionnement[Affectation matrice],$A69,Fonctionnement[Montant (€HT)])+SUMIF(Invest[Affectation matrice],$A69,Invest[Amortissement HT + intérêts]))*CK69)</f>
        <v>0</v>
      </c>
      <c r="BL69" s="56">
        <f>IF($C69=Repart_lignes,0,
(SUMIF(Fonctionnement[Affectation matrice],$A69,Fonctionnement[Montant (€HT)])+SUMIF(Invest[Affectation matrice],$A69,Invest[Amortissement HT + intérêts]))*CL69)</f>
        <v>0</v>
      </c>
      <c r="BM69" s="56">
        <f>IF($C69=Repart_lignes,0,
(SUMIF(Fonctionnement[Affectation matrice],$A69,Fonctionnement[Montant (€HT)])+SUMIF(Invest[Affectation matrice],$A69,Invest[Amortissement HT + intérêts]))*CM69)</f>
        <v>0</v>
      </c>
      <c r="BN69" s="56">
        <f>IF($C69=Repart_lignes,0,
(SUMIF(Fonctionnement[Affectation matrice],$A69,Fonctionnement[Montant (€HT)])+SUMIF(Invest[Affectation matrice],$A69,Invest[Amortissement HT + intérêts]))*CN69)</f>
        <v>0</v>
      </c>
      <c r="BO69" s="56">
        <f>IF($C69=Repart_lignes,0,
(SUMIF(Fonctionnement[Affectation matrice],$A69,Fonctionnement[Montant (€HT)])+SUMIF(Invest[Affectation matrice],$A69,Invest[Amortissement HT + intérêts]))*CO69)</f>
        <v>0</v>
      </c>
      <c r="BP69" s="56">
        <f>IF($C69=Repart_lignes,0,
(SUMIF(Fonctionnement[Affectation matrice],$A69,Fonctionnement[Montant (€HT)])+SUMIF(Invest[Affectation matrice],$A69,Invest[Amortissement HT + intérêts]))*CP69)</f>
        <v>0</v>
      </c>
      <c r="BQ69" s="56">
        <f>IF($C69=Repart_lignes,0,
(SUMIF(Fonctionnement[Affectation matrice],$A69,Fonctionnement[Montant (€HT)])+SUMIF(Invest[Affectation matrice],$A69,Invest[Amortissement HT + intérêts]))*CQ69)</f>
        <v>0</v>
      </c>
      <c r="BR69" s="56">
        <f>IF($C69=Repart_lignes,0,
(SUMIF(Fonctionnement[Affectation matrice],$A69,Fonctionnement[Montant (€HT)])+SUMIF(Invest[Affectation matrice],$A69,Invest[Amortissement HT + intérêts]))*CR69)</f>
        <v>0</v>
      </c>
      <c r="BS69" s="56">
        <f>IF($C69=Repart_lignes,0,
(SUMIF(Fonctionnement[Affectation matrice],$A69,Fonctionnement[Montant (€HT)])+SUMIF(Invest[Affectation matrice],$A69,Invest[Amortissement HT + intérêts]))*CS69)</f>
        <v>0</v>
      </c>
      <c r="BT69" s="56">
        <f>IF($C69=Repart_lignes,0,
(SUMIF(Fonctionnement[Affectation matrice],$A69,Fonctionnement[Montant (€HT)])+SUMIF(Invest[Affectation matrice],$A69,Invest[Amortissement HT + intérêts]))*CT69)</f>
        <v>0</v>
      </c>
      <c r="BU69" s="56">
        <f>IF($C69=Repart_lignes,0,
(SUMIF(Fonctionnement[Affectation matrice],$A69,Fonctionnement[Montant (€HT)])+SUMIF(Invest[Affectation matrice],$A69,Invest[Amortissement HT + intérêts]))*CU69)</f>
        <v>0</v>
      </c>
      <c r="BV69" s="56">
        <f>IF($C69=Repart_lignes,0,
(SUMIF(Fonctionnement[Affectation matrice],$A69,Fonctionnement[Montant (€HT)])+SUMIF(Invest[Affectation matrice],$A69,Invest[Amortissement HT + intérêts]))*CV69)</f>
        <v>0</v>
      </c>
      <c r="BW69" s="56">
        <f>IF($C69=Repart_lignes,0,
(SUMIF(Fonctionnement[Affectation matrice],$A69,Fonctionnement[Montant (€HT)])+SUMIF(Invest[Affectation matrice],$A69,Invest[Amortissement HT + intérêts]))*CW69)</f>
        <v>0</v>
      </c>
      <c r="BX69" s="56">
        <f>IF($C69=Repart_lignes,0,
(SUMIF(Fonctionnement[Affectation matrice],$A69,Fonctionnement[Montant (€HT)])+SUMIF(Invest[Affectation matrice],$A69,Invest[Amortissement HT + intérêts]))*CX69)</f>
        <v>0</v>
      </c>
      <c r="BY69" s="56">
        <f>IF($C69=Repart_lignes,0,
(SUMIF(Fonctionnement[Affectation matrice],$A69,Fonctionnement[Montant (€HT)])+SUMIF(Invest[Affectation matrice],$A69,Invest[Amortissement HT + intérêts]))*CY69)</f>
        <v>0</v>
      </c>
      <c r="BZ69" s="56">
        <f>IF($C69=Repart_lignes,0,
(SUMIF(Fonctionnement[Affectation matrice],$A69,Fonctionnement[Montant (€HT)])+SUMIF(Invest[Affectation matrice],$A69,Invest[Amortissement HT + intérêts]))*CZ69)</f>
        <v>0</v>
      </c>
      <c r="CA69" s="56">
        <f>IF($C69=Repart_lignes,0,
(SUMIF(Fonctionnement[Affectation matrice],$A69,Fonctionnement[Montant (€HT)])+SUMIF(Invest[Affectation matrice],$A69,Invest[Amortissement HT + intérêts]))*DA69)</f>
        <v>0</v>
      </c>
      <c r="CB69" s="56">
        <f>IF($C69=Repart_lignes,0,
(SUMIF(Fonctionnement[Affectation matrice],$A69,Fonctionnement[Montant (€HT)])+SUMIF(Invest[Affectation matrice],$A69,Invest[Amortissement HT + intérêts]))*DB69)</f>
        <v>0</v>
      </c>
      <c r="CC69" s="56">
        <f>IF($C69=Repart_lignes,0,
(SUMIF(Fonctionnement[Affectation matrice],$A69,Fonctionnement[Montant (€HT)])+SUMIF(Invest[Affectation matrice],$A69,Invest[Amortissement HT + intérêts]))*DC69)</f>
        <v>0</v>
      </c>
      <c r="CD69" s="56">
        <f>IF($C69=Repart_lignes,0,
(SUMIF(Fonctionnement[Affectation matrice],$A69,Fonctionnement[Montant (€HT)])+SUMIF(Invest[Affectation matrice],$A69,Invest[Amortissement HT + intérêts]))*DD69)</f>
        <v>0</v>
      </c>
      <c r="CE69" s="59">
        <f t="shared" si="62"/>
        <v>0</v>
      </c>
      <c r="CF69" s="61">
        <f t="shared" si="63"/>
        <v>0</v>
      </c>
      <c r="CG69" s="61">
        <f t="shared" si="64"/>
        <v>0</v>
      </c>
      <c r="CH69" s="61">
        <f t="shared" si="65"/>
        <v>0</v>
      </c>
      <c r="CI69" s="61">
        <f t="shared" si="66"/>
        <v>0</v>
      </c>
      <c r="CJ69" s="61">
        <f t="shared" si="67"/>
        <v>0</v>
      </c>
      <c r="CK69" s="61">
        <f t="shared" si="68"/>
        <v>0</v>
      </c>
      <c r="CL69" s="61">
        <f t="shared" si="69"/>
        <v>0</v>
      </c>
      <c r="CM69" s="61">
        <f t="shared" si="70"/>
        <v>0</v>
      </c>
      <c r="CN69" s="61">
        <f t="shared" si="71"/>
        <v>0</v>
      </c>
      <c r="CO69" s="61">
        <f t="shared" si="72"/>
        <v>0</v>
      </c>
      <c r="CP69" s="61">
        <f t="shared" si="73"/>
        <v>0</v>
      </c>
      <c r="CQ69" s="61">
        <f t="shared" si="74"/>
        <v>0</v>
      </c>
      <c r="CR69" s="61">
        <f t="shared" si="75"/>
        <v>0</v>
      </c>
      <c r="CS69" s="61">
        <f t="shared" si="76"/>
        <v>0</v>
      </c>
      <c r="CT69" s="61">
        <f t="shared" si="77"/>
        <v>0</v>
      </c>
      <c r="CU69" s="61">
        <f t="shared" si="78"/>
        <v>0</v>
      </c>
      <c r="CV69" s="61">
        <f t="shared" si="79"/>
        <v>0</v>
      </c>
      <c r="CW69" s="61">
        <f t="shared" si="80"/>
        <v>0</v>
      </c>
      <c r="CX69" s="61">
        <f t="shared" si="81"/>
        <v>0</v>
      </c>
      <c r="CY69" s="61">
        <f t="shared" si="82"/>
        <v>0</v>
      </c>
      <c r="CZ69" s="61">
        <f t="shared" si="83"/>
        <v>0</v>
      </c>
      <c r="DA69" s="61">
        <f t="shared" si="84"/>
        <v>0</v>
      </c>
      <c r="DB69" s="61">
        <f t="shared" si="85"/>
        <v>0</v>
      </c>
      <c r="DC69" s="61">
        <f t="shared" si="86"/>
        <v>0</v>
      </c>
      <c r="DD69" s="61">
        <f t="shared" si="87"/>
        <v>0</v>
      </c>
      <c r="DE69" s="61">
        <f t="shared" si="88"/>
        <v>0</v>
      </c>
    </row>
    <row r="70" spans="1:109" x14ac:dyDescent="0.25">
      <c r="A70" s="248"/>
      <c r="B70" s="248"/>
      <c r="C70" s="251"/>
      <c r="D70" s="25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1">
        <f t="shared" si="60"/>
        <v>0</v>
      </c>
      <c r="AE70" s="53" t="str">
        <f t="shared" ca="1" si="89"/>
        <v/>
      </c>
      <c r="AF70" s="56">
        <f>IF($C70=Repart_lignes,0,
(SUMIF(Fonctionnement[Affectation matrice],$A70,Fonctionnement[TVA acquittée])+SUMIF(Invest[Affectation matrice],$A70,Invest[TVA acquittée]))*CF70)</f>
        <v>0</v>
      </c>
      <c r="AG70" s="56">
        <f>IF($C70=Repart_lignes,0,
(SUMIF(Fonctionnement[Affectation matrice],$A70,Fonctionnement[TVA acquittée])+SUMIF(Invest[Affectation matrice],$A70,Invest[TVA acquittée]))*CG70)</f>
        <v>0</v>
      </c>
      <c r="AH70" s="56">
        <f>IF($C70=Repart_lignes,0,
(SUMIF(Fonctionnement[Affectation matrice],$A70,Fonctionnement[TVA acquittée])+SUMIF(Invest[Affectation matrice],$A70,Invest[TVA acquittée]))*CH70)</f>
        <v>0</v>
      </c>
      <c r="AI70" s="56">
        <f>IF($C70=Repart_lignes,0,
(SUMIF(Fonctionnement[Affectation matrice],$A70,Fonctionnement[TVA acquittée])+SUMIF(Invest[Affectation matrice],$A70,Invest[TVA acquittée]))*CI70)</f>
        <v>0</v>
      </c>
      <c r="AJ70" s="56">
        <f>IF($C70=Repart_lignes,0,
(SUMIF(Fonctionnement[Affectation matrice],$A70,Fonctionnement[TVA acquittée])+SUMIF(Invest[Affectation matrice],$A70,Invest[TVA acquittée]))*CJ70)</f>
        <v>0</v>
      </c>
      <c r="AK70" s="56">
        <f>IF($C70=Repart_lignes,0,
(SUMIF(Fonctionnement[Affectation matrice],$A70,Fonctionnement[TVA acquittée])+SUMIF(Invest[Affectation matrice],$A70,Invest[TVA acquittée]))*CK70)</f>
        <v>0</v>
      </c>
      <c r="AL70" s="56">
        <f>IF($C70=Repart_lignes,0,
(SUMIF(Fonctionnement[Affectation matrice],$A70,Fonctionnement[TVA acquittée])+SUMIF(Invest[Affectation matrice],$A70,Invest[TVA acquittée]))*CL70)</f>
        <v>0</v>
      </c>
      <c r="AM70" s="56">
        <f>IF($C70=Repart_lignes,0,
(SUMIF(Fonctionnement[Affectation matrice],$A70,Fonctionnement[TVA acquittée])+SUMIF(Invest[Affectation matrice],$A70,Invest[TVA acquittée]))*CM70)</f>
        <v>0</v>
      </c>
      <c r="AN70" s="56">
        <f>IF($C70=Repart_lignes,0,
(SUMIF(Fonctionnement[Affectation matrice],$A70,Fonctionnement[TVA acquittée])+SUMIF(Invest[Affectation matrice],$A70,Invest[TVA acquittée]))*CN70)</f>
        <v>0</v>
      </c>
      <c r="AO70" s="56">
        <f>IF($C70=Repart_lignes,0,
(SUMIF(Fonctionnement[Affectation matrice],$A70,Fonctionnement[TVA acquittée])+SUMIF(Invest[Affectation matrice],$A70,Invest[TVA acquittée]))*CO70)</f>
        <v>0</v>
      </c>
      <c r="AP70" s="56">
        <f>IF($C70=Repart_lignes,0,
(SUMIF(Fonctionnement[Affectation matrice],$A70,Fonctionnement[TVA acquittée])+SUMIF(Invest[Affectation matrice],$A70,Invest[TVA acquittée]))*CP70)</f>
        <v>0</v>
      </c>
      <c r="AQ70" s="56">
        <f>IF($C70=Repart_lignes,0,
(SUMIF(Fonctionnement[Affectation matrice],$A70,Fonctionnement[TVA acquittée])+SUMIF(Invest[Affectation matrice],$A70,Invest[TVA acquittée]))*CQ70)</f>
        <v>0</v>
      </c>
      <c r="AR70" s="56">
        <f>IF($C70=Repart_lignes,0,
(SUMIF(Fonctionnement[Affectation matrice],$A70,Fonctionnement[TVA acquittée])+SUMIF(Invest[Affectation matrice],$A70,Invest[TVA acquittée]))*CR70)</f>
        <v>0</v>
      </c>
      <c r="AS70" s="56">
        <f>IF($C70=Repart_lignes,0,
(SUMIF(Fonctionnement[Affectation matrice],$A70,Fonctionnement[TVA acquittée])+SUMIF(Invest[Affectation matrice],$A70,Invest[TVA acquittée]))*CS70)</f>
        <v>0</v>
      </c>
      <c r="AT70" s="56">
        <f>IF($C70=Repart_lignes,0,
(SUMIF(Fonctionnement[Affectation matrice],$A70,Fonctionnement[TVA acquittée])+SUMIF(Invest[Affectation matrice],$A70,Invest[TVA acquittée]))*CT70)</f>
        <v>0</v>
      </c>
      <c r="AU70" s="56">
        <f>IF($C70=Repart_lignes,0,
(SUMIF(Fonctionnement[Affectation matrice],$A70,Fonctionnement[TVA acquittée])+SUMIF(Invest[Affectation matrice],$A70,Invest[TVA acquittée]))*CU70)</f>
        <v>0</v>
      </c>
      <c r="AV70" s="56">
        <f>IF($C70=Repart_lignes,0,
(SUMIF(Fonctionnement[Affectation matrice],$A70,Fonctionnement[TVA acquittée])+SUMIF(Invest[Affectation matrice],$A70,Invest[TVA acquittée]))*CV70)</f>
        <v>0</v>
      </c>
      <c r="AW70" s="56">
        <f>IF($C70=Repart_lignes,0,
(SUMIF(Fonctionnement[Affectation matrice],$A70,Fonctionnement[TVA acquittée])+SUMIF(Invest[Affectation matrice],$A70,Invest[TVA acquittée]))*CW70)</f>
        <v>0</v>
      </c>
      <c r="AX70" s="56">
        <f>IF($C70=Repart_lignes,0,
(SUMIF(Fonctionnement[Affectation matrice],$A70,Fonctionnement[TVA acquittée])+SUMIF(Invest[Affectation matrice],$A70,Invest[TVA acquittée]))*CX70)</f>
        <v>0</v>
      </c>
      <c r="AY70" s="56">
        <f>IF($C70=Repart_lignes,0,
(SUMIF(Fonctionnement[Affectation matrice],$A70,Fonctionnement[TVA acquittée])+SUMIF(Invest[Affectation matrice],$A70,Invest[TVA acquittée]))*CY70)</f>
        <v>0</v>
      </c>
      <c r="AZ70" s="56">
        <f>IF($C70=Repart_lignes,0,
(SUMIF(Fonctionnement[Affectation matrice],$A70,Fonctionnement[TVA acquittée])+SUMIF(Invest[Affectation matrice],$A70,Invest[TVA acquittée]))*CZ70)</f>
        <v>0</v>
      </c>
      <c r="BA70" s="56">
        <f>IF($C70=Repart_lignes,0,
(SUMIF(Fonctionnement[Affectation matrice],$A70,Fonctionnement[TVA acquittée])+SUMIF(Invest[Affectation matrice],$A70,Invest[TVA acquittée]))*DA70)</f>
        <v>0</v>
      </c>
      <c r="BB70" s="56">
        <f>IF($C70=Repart_lignes,0,
(SUMIF(Fonctionnement[Affectation matrice],$A70,Fonctionnement[TVA acquittée])+SUMIF(Invest[Affectation matrice],$A70,Invest[TVA acquittée]))*DB70)</f>
        <v>0</v>
      </c>
      <c r="BC70" s="56">
        <f>IF($C70=Repart_lignes,0,
(SUMIF(Fonctionnement[Affectation matrice],$A70,Fonctionnement[TVA acquittée])+SUMIF(Invest[Affectation matrice],$A70,Invest[TVA acquittée]))*DC70)</f>
        <v>0</v>
      </c>
      <c r="BD70" s="56">
        <f>IF($C70=Repart_lignes,0,
(SUMIF(Fonctionnement[Affectation matrice],$A70,Fonctionnement[TVA acquittée])+SUMIF(Invest[Affectation matrice],$A70,Invest[TVA acquittée]))*DD70)</f>
        <v>0</v>
      </c>
      <c r="BE70" s="58">
        <f t="shared" si="61"/>
        <v>0</v>
      </c>
      <c r="BF70" s="56">
        <f>IF($C70=Repart_lignes,0,
(SUMIF(Fonctionnement[Affectation matrice],$A70,Fonctionnement[Montant (€HT)])+SUMIF(Invest[Affectation matrice],$A70,Invest[Amortissement HT + intérêts]))*CF70)</f>
        <v>0</v>
      </c>
      <c r="BG70" s="56">
        <f>IF($C70=Repart_lignes,0,
(SUMIF(Fonctionnement[Affectation matrice],$A70,Fonctionnement[Montant (€HT)])+SUMIF(Invest[Affectation matrice],$A70,Invest[Amortissement HT + intérêts]))*CG70)</f>
        <v>0</v>
      </c>
      <c r="BH70" s="56">
        <f>IF($C70=Repart_lignes,0,
(SUMIF(Fonctionnement[Affectation matrice],$A70,Fonctionnement[Montant (€HT)])+SUMIF(Invest[Affectation matrice],$A70,Invest[Amortissement HT + intérêts]))*CH70)</f>
        <v>0</v>
      </c>
      <c r="BI70" s="56">
        <f>IF($C70=Repart_lignes,0,
(SUMIF(Fonctionnement[Affectation matrice],$A70,Fonctionnement[Montant (€HT)])+SUMIF(Invest[Affectation matrice],$A70,Invest[Amortissement HT + intérêts]))*CI70)</f>
        <v>0</v>
      </c>
      <c r="BJ70" s="56">
        <f>IF($C70=Repart_lignes,0,
(SUMIF(Fonctionnement[Affectation matrice],$A70,Fonctionnement[Montant (€HT)])+SUMIF(Invest[Affectation matrice],$A70,Invest[Amortissement HT + intérêts]))*CJ70)</f>
        <v>0</v>
      </c>
      <c r="BK70" s="56">
        <f>IF($C70=Repart_lignes,0,
(SUMIF(Fonctionnement[Affectation matrice],$A70,Fonctionnement[Montant (€HT)])+SUMIF(Invest[Affectation matrice],$A70,Invest[Amortissement HT + intérêts]))*CK70)</f>
        <v>0</v>
      </c>
      <c r="BL70" s="56">
        <f>IF($C70=Repart_lignes,0,
(SUMIF(Fonctionnement[Affectation matrice],$A70,Fonctionnement[Montant (€HT)])+SUMIF(Invest[Affectation matrice],$A70,Invest[Amortissement HT + intérêts]))*CL70)</f>
        <v>0</v>
      </c>
      <c r="BM70" s="56">
        <f>IF($C70=Repart_lignes,0,
(SUMIF(Fonctionnement[Affectation matrice],$A70,Fonctionnement[Montant (€HT)])+SUMIF(Invest[Affectation matrice],$A70,Invest[Amortissement HT + intérêts]))*CM70)</f>
        <v>0</v>
      </c>
      <c r="BN70" s="56">
        <f>IF($C70=Repart_lignes,0,
(SUMIF(Fonctionnement[Affectation matrice],$A70,Fonctionnement[Montant (€HT)])+SUMIF(Invest[Affectation matrice],$A70,Invest[Amortissement HT + intérêts]))*CN70)</f>
        <v>0</v>
      </c>
      <c r="BO70" s="56">
        <f>IF($C70=Repart_lignes,0,
(SUMIF(Fonctionnement[Affectation matrice],$A70,Fonctionnement[Montant (€HT)])+SUMIF(Invest[Affectation matrice],$A70,Invest[Amortissement HT + intérêts]))*CO70)</f>
        <v>0</v>
      </c>
      <c r="BP70" s="56">
        <f>IF($C70=Repart_lignes,0,
(SUMIF(Fonctionnement[Affectation matrice],$A70,Fonctionnement[Montant (€HT)])+SUMIF(Invest[Affectation matrice],$A70,Invest[Amortissement HT + intérêts]))*CP70)</f>
        <v>0</v>
      </c>
      <c r="BQ70" s="56">
        <f>IF($C70=Repart_lignes,0,
(SUMIF(Fonctionnement[Affectation matrice],$A70,Fonctionnement[Montant (€HT)])+SUMIF(Invest[Affectation matrice],$A70,Invest[Amortissement HT + intérêts]))*CQ70)</f>
        <v>0</v>
      </c>
      <c r="BR70" s="56">
        <f>IF($C70=Repart_lignes,0,
(SUMIF(Fonctionnement[Affectation matrice],$A70,Fonctionnement[Montant (€HT)])+SUMIF(Invest[Affectation matrice],$A70,Invest[Amortissement HT + intérêts]))*CR70)</f>
        <v>0</v>
      </c>
      <c r="BS70" s="56">
        <f>IF($C70=Repart_lignes,0,
(SUMIF(Fonctionnement[Affectation matrice],$A70,Fonctionnement[Montant (€HT)])+SUMIF(Invest[Affectation matrice],$A70,Invest[Amortissement HT + intérêts]))*CS70)</f>
        <v>0</v>
      </c>
      <c r="BT70" s="56">
        <f>IF($C70=Repart_lignes,0,
(SUMIF(Fonctionnement[Affectation matrice],$A70,Fonctionnement[Montant (€HT)])+SUMIF(Invest[Affectation matrice],$A70,Invest[Amortissement HT + intérêts]))*CT70)</f>
        <v>0</v>
      </c>
      <c r="BU70" s="56">
        <f>IF($C70=Repart_lignes,0,
(SUMIF(Fonctionnement[Affectation matrice],$A70,Fonctionnement[Montant (€HT)])+SUMIF(Invest[Affectation matrice],$A70,Invest[Amortissement HT + intérêts]))*CU70)</f>
        <v>0</v>
      </c>
      <c r="BV70" s="56">
        <f>IF($C70=Repart_lignes,0,
(SUMIF(Fonctionnement[Affectation matrice],$A70,Fonctionnement[Montant (€HT)])+SUMIF(Invest[Affectation matrice],$A70,Invest[Amortissement HT + intérêts]))*CV70)</f>
        <v>0</v>
      </c>
      <c r="BW70" s="56">
        <f>IF($C70=Repart_lignes,0,
(SUMIF(Fonctionnement[Affectation matrice],$A70,Fonctionnement[Montant (€HT)])+SUMIF(Invest[Affectation matrice],$A70,Invest[Amortissement HT + intérêts]))*CW70)</f>
        <v>0</v>
      </c>
      <c r="BX70" s="56">
        <f>IF($C70=Repart_lignes,0,
(SUMIF(Fonctionnement[Affectation matrice],$A70,Fonctionnement[Montant (€HT)])+SUMIF(Invest[Affectation matrice],$A70,Invest[Amortissement HT + intérêts]))*CX70)</f>
        <v>0</v>
      </c>
      <c r="BY70" s="56">
        <f>IF($C70=Repart_lignes,0,
(SUMIF(Fonctionnement[Affectation matrice],$A70,Fonctionnement[Montant (€HT)])+SUMIF(Invest[Affectation matrice],$A70,Invest[Amortissement HT + intérêts]))*CY70)</f>
        <v>0</v>
      </c>
      <c r="BZ70" s="56">
        <f>IF($C70=Repart_lignes,0,
(SUMIF(Fonctionnement[Affectation matrice],$A70,Fonctionnement[Montant (€HT)])+SUMIF(Invest[Affectation matrice],$A70,Invest[Amortissement HT + intérêts]))*CZ70)</f>
        <v>0</v>
      </c>
      <c r="CA70" s="56">
        <f>IF($C70=Repart_lignes,0,
(SUMIF(Fonctionnement[Affectation matrice],$A70,Fonctionnement[Montant (€HT)])+SUMIF(Invest[Affectation matrice],$A70,Invest[Amortissement HT + intérêts]))*DA70)</f>
        <v>0</v>
      </c>
      <c r="CB70" s="56">
        <f>IF($C70=Repart_lignes,0,
(SUMIF(Fonctionnement[Affectation matrice],$A70,Fonctionnement[Montant (€HT)])+SUMIF(Invest[Affectation matrice],$A70,Invest[Amortissement HT + intérêts]))*DB70)</f>
        <v>0</v>
      </c>
      <c r="CC70" s="56">
        <f>IF($C70=Repart_lignes,0,
(SUMIF(Fonctionnement[Affectation matrice],$A70,Fonctionnement[Montant (€HT)])+SUMIF(Invest[Affectation matrice],$A70,Invest[Amortissement HT + intérêts]))*DC70)</f>
        <v>0</v>
      </c>
      <c r="CD70" s="56">
        <f>IF($C70=Repart_lignes,0,
(SUMIF(Fonctionnement[Affectation matrice],$A70,Fonctionnement[Montant (€HT)])+SUMIF(Invest[Affectation matrice],$A70,Invest[Amortissement HT + intérêts]))*DD70)</f>
        <v>0</v>
      </c>
      <c r="CE70" s="59">
        <f t="shared" si="62"/>
        <v>0</v>
      </c>
      <c r="CF70" s="61">
        <f t="shared" si="63"/>
        <v>0</v>
      </c>
      <c r="CG70" s="61">
        <f t="shared" si="64"/>
        <v>0</v>
      </c>
      <c r="CH70" s="61">
        <f t="shared" si="65"/>
        <v>0</v>
      </c>
      <c r="CI70" s="61">
        <f t="shared" si="66"/>
        <v>0</v>
      </c>
      <c r="CJ70" s="61">
        <f t="shared" si="67"/>
        <v>0</v>
      </c>
      <c r="CK70" s="61">
        <f t="shared" si="68"/>
        <v>0</v>
      </c>
      <c r="CL70" s="61">
        <f t="shared" si="69"/>
        <v>0</v>
      </c>
      <c r="CM70" s="61">
        <f t="shared" si="70"/>
        <v>0</v>
      </c>
      <c r="CN70" s="61">
        <f t="shared" si="71"/>
        <v>0</v>
      </c>
      <c r="CO70" s="61">
        <f t="shared" si="72"/>
        <v>0</v>
      </c>
      <c r="CP70" s="61">
        <f t="shared" si="73"/>
        <v>0</v>
      </c>
      <c r="CQ70" s="61">
        <f t="shared" si="74"/>
        <v>0</v>
      </c>
      <c r="CR70" s="61">
        <f t="shared" si="75"/>
        <v>0</v>
      </c>
      <c r="CS70" s="61">
        <f t="shared" si="76"/>
        <v>0</v>
      </c>
      <c r="CT70" s="61">
        <f t="shared" si="77"/>
        <v>0</v>
      </c>
      <c r="CU70" s="61">
        <f t="shared" si="78"/>
        <v>0</v>
      </c>
      <c r="CV70" s="61">
        <f t="shared" si="79"/>
        <v>0</v>
      </c>
      <c r="CW70" s="61">
        <f t="shared" si="80"/>
        <v>0</v>
      </c>
      <c r="CX70" s="61">
        <f t="shared" si="81"/>
        <v>0</v>
      </c>
      <c r="CY70" s="61">
        <f t="shared" si="82"/>
        <v>0</v>
      </c>
      <c r="CZ70" s="61">
        <f t="shared" si="83"/>
        <v>0</v>
      </c>
      <c r="DA70" s="61">
        <f t="shared" si="84"/>
        <v>0</v>
      </c>
      <c r="DB70" s="61">
        <f t="shared" si="85"/>
        <v>0</v>
      </c>
      <c r="DC70" s="61">
        <f t="shared" si="86"/>
        <v>0</v>
      </c>
      <c r="DD70" s="61">
        <f t="shared" si="87"/>
        <v>0</v>
      </c>
      <c r="DE70" s="61">
        <f t="shared" si="88"/>
        <v>0</v>
      </c>
    </row>
    <row r="71" spans="1:109" x14ac:dyDescent="0.25">
      <c r="A71" s="248"/>
      <c r="B71" s="248"/>
      <c r="C71" s="251"/>
      <c r="D71" s="25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1">
        <f t="shared" si="60"/>
        <v>0</v>
      </c>
      <c r="AE71" s="53" t="str">
        <f t="shared" ca="1" si="89"/>
        <v/>
      </c>
      <c r="AF71" s="56">
        <f>IF($C71=Repart_lignes,0,
(SUMIF(Fonctionnement[Affectation matrice],$A71,Fonctionnement[TVA acquittée])+SUMIF(Invest[Affectation matrice],$A71,Invest[TVA acquittée]))*CF71)</f>
        <v>0</v>
      </c>
      <c r="AG71" s="56">
        <f>IF($C71=Repart_lignes,0,
(SUMIF(Fonctionnement[Affectation matrice],$A71,Fonctionnement[TVA acquittée])+SUMIF(Invest[Affectation matrice],$A71,Invest[TVA acquittée]))*CG71)</f>
        <v>0</v>
      </c>
      <c r="AH71" s="56">
        <f>IF($C71=Repart_lignes,0,
(SUMIF(Fonctionnement[Affectation matrice],$A71,Fonctionnement[TVA acquittée])+SUMIF(Invest[Affectation matrice],$A71,Invest[TVA acquittée]))*CH71)</f>
        <v>0</v>
      </c>
      <c r="AI71" s="56">
        <f>IF($C71=Repart_lignes,0,
(SUMIF(Fonctionnement[Affectation matrice],$A71,Fonctionnement[TVA acquittée])+SUMIF(Invest[Affectation matrice],$A71,Invest[TVA acquittée]))*CI71)</f>
        <v>0</v>
      </c>
      <c r="AJ71" s="56">
        <f>IF($C71=Repart_lignes,0,
(SUMIF(Fonctionnement[Affectation matrice],$A71,Fonctionnement[TVA acquittée])+SUMIF(Invest[Affectation matrice],$A71,Invest[TVA acquittée]))*CJ71)</f>
        <v>0</v>
      </c>
      <c r="AK71" s="56">
        <f>IF($C71=Repart_lignes,0,
(SUMIF(Fonctionnement[Affectation matrice],$A71,Fonctionnement[TVA acquittée])+SUMIF(Invest[Affectation matrice],$A71,Invest[TVA acquittée]))*CK71)</f>
        <v>0</v>
      </c>
      <c r="AL71" s="56">
        <f>IF($C71=Repart_lignes,0,
(SUMIF(Fonctionnement[Affectation matrice],$A71,Fonctionnement[TVA acquittée])+SUMIF(Invest[Affectation matrice],$A71,Invest[TVA acquittée]))*CL71)</f>
        <v>0</v>
      </c>
      <c r="AM71" s="56">
        <f>IF($C71=Repart_lignes,0,
(SUMIF(Fonctionnement[Affectation matrice],$A71,Fonctionnement[TVA acquittée])+SUMIF(Invest[Affectation matrice],$A71,Invest[TVA acquittée]))*CM71)</f>
        <v>0</v>
      </c>
      <c r="AN71" s="56">
        <f>IF($C71=Repart_lignes,0,
(SUMIF(Fonctionnement[Affectation matrice],$A71,Fonctionnement[TVA acquittée])+SUMIF(Invest[Affectation matrice],$A71,Invest[TVA acquittée]))*CN71)</f>
        <v>0</v>
      </c>
      <c r="AO71" s="56">
        <f>IF($C71=Repart_lignes,0,
(SUMIF(Fonctionnement[Affectation matrice],$A71,Fonctionnement[TVA acquittée])+SUMIF(Invest[Affectation matrice],$A71,Invest[TVA acquittée]))*CO71)</f>
        <v>0</v>
      </c>
      <c r="AP71" s="56">
        <f>IF($C71=Repart_lignes,0,
(SUMIF(Fonctionnement[Affectation matrice],$A71,Fonctionnement[TVA acquittée])+SUMIF(Invest[Affectation matrice],$A71,Invest[TVA acquittée]))*CP71)</f>
        <v>0</v>
      </c>
      <c r="AQ71" s="56">
        <f>IF($C71=Repart_lignes,0,
(SUMIF(Fonctionnement[Affectation matrice],$A71,Fonctionnement[TVA acquittée])+SUMIF(Invest[Affectation matrice],$A71,Invest[TVA acquittée]))*CQ71)</f>
        <v>0</v>
      </c>
      <c r="AR71" s="56">
        <f>IF($C71=Repart_lignes,0,
(SUMIF(Fonctionnement[Affectation matrice],$A71,Fonctionnement[TVA acquittée])+SUMIF(Invest[Affectation matrice],$A71,Invest[TVA acquittée]))*CR71)</f>
        <v>0</v>
      </c>
      <c r="AS71" s="56">
        <f>IF($C71=Repart_lignes,0,
(SUMIF(Fonctionnement[Affectation matrice],$A71,Fonctionnement[TVA acquittée])+SUMIF(Invest[Affectation matrice],$A71,Invest[TVA acquittée]))*CS71)</f>
        <v>0</v>
      </c>
      <c r="AT71" s="56">
        <f>IF($C71=Repart_lignes,0,
(SUMIF(Fonctionnement[Affectation matrice],$A71,Fonctionnement[TVA acquittée])+SUMIF(Invest[Affectation matrice],$A71,Invest[TVA acquittée]))*CT71)</f>
        <v>0</v>
      </c>
      <c r="AU71" s="56">
        <f>IF($C71=Repart_lignes,0,
(SUMIF(Fonctionnement[Affectation matrice],$A71,Fonctionnement[TVA acquittée])+SUMIF(Invest[Affectation matrice],$A71,Invest[TVA acquittée]))*CU71)</f>
        <v>0</v>
      </c>
      <c r="AV71" s="56">
        <f>IF($C71=Repart_lignes,0,
(SUMIF(Fonctionnement[Affectation matrice],$A71,Fonctionnement[TVA acquittée])+SUMIF(Invest[Affectation matrice],$A71,Invest[TVA acquittée]))*CV71)</f>
        <v>0</v>
      </c>
      <c r="AW71" s="56">
        <f>IF($C71=Repart_lignes,0,
(SUMIF(Fonctionnement[Affectation matrice],$A71,Fonctionnement[TVA acquittée])+SUMIF(Invest[Affectation matrice],$A71,Invest[TVA acquittée]))*CW71)</f>
        <v>0</v>
      </c>
      <c r="AX71" s="56">
        <f>IF($C71=Repart_lignes,0,
(SUMIF(Fonctionnement[Affectation matrice],$A71,Fonctionnement[TVA acquittée])+SUMIF(Invest[Affectation matrice],$A71,Invest[TVA acquittée]))*CX71)</f>
        <v>0</v>
      </c>
      <c r="AY71" s="56">
        <f>IF($C71=Repart_lignes,0,
(SUMIF(Fonctionnement[Affectation matrice],$A71,Fonctionnement[TVA acquittée])+SUMIF(Invest[Affectation matrice],$A71,Invest[TVA acquittée]))*CY71)</f>
        <v>0</v>
      </c>
      <c r="AZ71" s="56">
        <f>IF($C71=Repart_lignes,0,
(SUMIF(Fonctionnement[Affectation matrice],$A71,Fonctionnement[TVA acquittée])+SUMIF(Invest[Affectation matrice],$A71,Invest[TVA acquittée]))*CZ71)</f>
        <v>0</v>
      </c>
      <c r="BA71" s="56">
        <f>IF($C71=Repart_lignes,0,
(SUMIF(Fonctionnement[Affectation matrice],$A71,Fonctionnement[TVA acquittée])+SUMIF(Invest[Affectation matrice],$A71,Invest[TVA acquittée]))*DA71)</f>
        <v>0</v>
      </c>
      <c r="BB71" s="56">
        <f>IF($C71=Repart_lignes,0,
(SUMIF(Fonctionnement[Affectation matrice],$A71,Fonctionnement[TVA acquittée])+SUMIF(Invest[Affectation matrice],$A71,Invest[TVA acquittée]))*DB71)</f>
        <v>0</v>
      </c>
      <c r="BC71" s="56">
        <f>IF($C71=Repart_lignes,0,
(SUMIF(Fonctionnement[Affectation matrice],$A71,Fonctionnement[TVA acquittée])+SUMIF(Invest[Affectation matrice],$A71,Invest[TVA acquittée]))*DC71)</f>
        <v>0</v>
      </c>
      <c r="BD71" s="56">
        <f>IF($C71=Repart_lignes,0,
(SUMIF(Fonctionnement[Affectation matrice],$A71,Fonctionnement[TVA acquittée])+SUMIF(Invest[Affectation matrice],$A71,Invest[TVA acquittée]))*DD71)</f>
        <v>0</v>
      </c>
      <c r="BE71" s="58">
        <f t="shared" si="61"/>
        <v>0</v>
      </c>
      <c r="BF71" s="56">
        <f>IF($C71=Repart_lignes,0,
(SUMIF(Fonctionnement[Affectation matrice],$A71,Fonctionnement[Montant (€HT)])+SUMIF(Invest[Affectation matrice],$A71,Invest[Amortissement HT + intérêts]))*CF71)</f>
        <v>0</v>
      </c>
      <c r="BG71" s="56">
        <f>IF($C71=Repart_lignes,0,
(SUMIF(Fonctionnement[Affectation matrice],$A71,Fonctionnement[Montant (€HT)])+SUMIF(Invest[Affectation matrice],$A71,Invest[Amortissement HT + intérêts]))*CG71)</f>
        <v>0</v>
      </c>
      <c r="BH71" s="56">
        <f>IF($C71=Repart_lignes,0,
(SUMIF(Fonctionnement[Affectation matrice],$A71,Fonctionnement[Montant (€HT)])+SUMIF(Invest[Affectation matrice],$A71,Invest[Amortissement HT + intérêts]))*CH71)</f>
        <v>0</v>
      </c>
      <c r="BI71" s="56">
        <f>IF($C71=Repart_lignes,0,
(SUMIF(Fonctionnement[Affectation matrice],$A71,Fonctionnement[Montant (€HT)])+SUMIF(Invest[Affectation matrice],$A71,Invest[Amortissement HT + intérêts]))*CI71)</f>
        <v>0</v>
      </c>
      <c r="BJ71" s="56">
        <f>IF($C71=Repart_lignes,0,
(SUMIF(Fonctionnement[Affectation matrice],$A71,Fonctionnement[Montant (€HT)])+SUMIF(Invest[Affectation matrice],$A71,Invest[Amortissement HT + intérêts]))*CJ71)</f>
        <v>0</v>
      </c>
      <c r="BK71" s="56">
        <f>IF($C71=Repart_lignes,0,
(SUMIF(Fonctionnement[Affectation matrice],$A71,Fonctionnement[Montant (€HT)])+SUMIF(Invest[Affectation matrice],$A71,Invest[Amortissement HT + intérêts]))*CK71)</f>
        <v>0</v>
      </c>
      <c r="BL71" s="56">
        <f>IF($C71=Repart_lignes,0,
(SUMIF(Fonctionnement[Affectation matrice],$A71,Fonctionnement[Montant (€HT)])+SUMIF(Invest[Affectation matrice],$A71,Invest[Amortissement HT + intérêts]))*CL71)</f>
        <v>0</v>
      </c>
      <c r="BM71" s="56">
        <f>IF($C71=Repart_lignes,0,
(SUMIF(Fonctionnement[Affectation matrice],$A71,Fonctionnement[Montant (€HT)])+SUMIF(Invest[Affectation matrice],$A71,Invest[Amortissement HT + intérêts]))*CM71)</f>
        <v>0</v>
      </c>
      <c r="BN71" s="56">
        <f>IF($C71=Repart_lignes,0,
(SUMIF(Fonctionnement[Affectation matrice],$A71,Fonctionnement[Montant (€HT)])+SUMIF(Invest[Affectation matrice],$A71,Invest[Amortissement HT + intérêts]))*CN71)</f>
        <v>0</v>
      </c>
      <c r="BO71" s="56">
        <f>IF($C71=Repart_lignes,0,
(SUMIF(Fonctionnement[Affectation matrice],$A71,Fonctionnement[Montant (€HT)])+SUMIF(Invest[Affectation matrice],$A71,Invest[Amortissement HT + intérêts]))*CO71)</f>
        <v>0</v>
      </c>
      <c r="BP71" s="56">
        <f>IF($C71=Repart_lignes,0,
(SUMIF(Fonctionnement[Affectation matrice],$A71,Fonctionnement[Montant (€HT)])+SUMIF(Invest[Affectation matrice],$A71,Invest[Amortissement HT + intérêts]))*CP71)</f>
        <v>0</v>
      </c>
      <c r="BQ71" s="56">
        <f>IF($C71=Repart_lignes,0,
(SUMIF(Fonctionnement[Affectation matrice],$A71,Fonctionnement[Montant (€HT)])+SUMIF(Invest[Affectation matrice],$A71,Invest[Amortissement HT + intérêts]))*CQ71)</f>
        <v>0</v>
      </c>
      <c r="BR71" s="56">
        <f>IF($C71=Repart_lignes,0,
(SUMIF(Fonctionnement[Affectation matrice],$A71,Fonctionnement[Montant (€HT)])+SUMIF(Invest[Affectation matrice],$A71,Invest[Amortissement HT + intérêts]))*CR71)</f>
        <v>0</v>
      </c>
      <c r="BS71" s="56">
        <f>IF($C71=Repart_lignes,0,
(SUMIF(Fonctionnement[Affectation matrice],$A71,Fonctionnement[Montant (€HT)])+SUMIF(Invest[Affectation matrice],$A71,Invest[Amortissement HT + intérêts]))*CS71)</f>
        <v>0</v>
      </c>
      <c r="BT71" s="56">
        <f>IF($C71=Repart_lignes,0,
(SUMIF(Fonctionnement[Affectation matrice],$A71,Fonctionnement[Montant (€HT)])+SUMIF(Invest[Affectation matrice],$A71,Invest[Amortissement HT + intérêts]))*CT71)</f>
        <v>0</v>
      </c>
      <c r="BU71" s="56">
        <f>IF($C71=Repart_lignes,0,
(SUMIF(Fonctionnement[Affectation matrice],$A71,Fonctionnement[Montant (€HT)])+SUMIF(Invest[Affectation matrice],$A71,Invest[Amortissement HT + intérêts]))*CU71)</f>
        <v>0</v>
      </c>
      <c r="BV71" s="56">
        <f>IF($C71=Repart_lignes,0,
(SUMIF(Fonctionnement[Affectation matrice],$A71,Fonctionnement[Montant (€HT)])+SUMIF(Invest[Affectation matrice],$A71,Invest[Amortissement HT + intérêts]))*CV71)</f>
        <v>0</v>
      </c>
      <c r="BW71" s="56">
        <f>IF($C71=Repart_lignes,0,
(SUMIF(Fonctionnement[Affectation matrice],$A71,Fonctionnement[Montant (€HT)])+SUMIF(Invest[Affectation matrice],$A71,Invest[Amortissement HT + intérêts]))*CW71)</f>
        <v>0</v>
      </c>
      <c r="BX71" s="56">
        <f>IF($C71=Repart_lignes,0,
(SUMIF(Fonctionnement[Affectation matrice],$A71,Fonctionnement[Montant (€HT)])+SUMIF(Invest[Affectation matrice],$A71,Invest[Amortissement HT + intérêts]))*CX71)</f>
        <v>0</v>
      </c>
      <c r="BY71" s="56">
        <f>IF($C71=Repart_lignes,0,
(SUMIF(Fonctionnement[Affectation matrice],$A71,Fonctionnement[Montant (€HT)])+SUMIF(Invest[Affectation matrice],$A71,Invest[Amortissement HT + intérêts]))*CY71)</f>
        <v>0</v>
      </c>
      <c r="BZ71" s="56">
        <f>IF($C71=Repart_lignes,0,
(SUMIF(Fonctionnement[Affectation matrice],$A71,Fonctionnement[Montant (€HT)])+SUMIF(Invest[Affectation matrice],$A71,Invest[Amortissement HT + intérêts]))*CZ71)</f>
        <v>0</v>
      </c>
      <c r="CA71" s="56">
        <f>IF($C71=Repart_lignes,0,
(SUMIF(Fonctionnement[Affectation matrice],$A71,Fonctionnement[Montant (€HT)])+SUMIF(Invest[Affectation matrice],$A71,Invest[Amortissement HT + intérêts]))*DA71)</f>
        <v>0</v>
      </c>
      <c r="CB71" s="56">
        <f>IF($C71=Repart_lignes,0,
(SUMIF(Fonctionnement[Affectation matrice],$A71,Fonctionnement[Montant (€HT)])+SUMIF(Invest[Affectation matrice],$A71,Invest[Amortissement HT + intérêts]))*DB71)</f>
        <v>0</v>
      </c>
      <c r="CC71" s="56">
        <f>IF($C71=Repart_lignes,0,
(SUMIF(Fonctionnement[Affectation matrice],$A71,Fonctionnement[Montant (€HT)])+SUMIF(Invest[Affectation matrice],$A71,Invest[Amortissement HT + intérêts]))*DC71)</f>
        <v>0</v>
      </c>
      <c r="CD71" s="56">
        <f>IF($C71=Repart_lignes,0,
(SUMIF(Fonctionnement[Affectation matrice],$A71,Fonctionnement[Montant (€HT)])+SUMIF(Invest[Affectation matrice],$A71,Invest[Amortissement HT + intérêts]))*DD71)</f>
        <v>0</v>
      </c>
      <c r="CE71" s="59">
        <f t="shared" si="62"/>
        <v>0</v>
      </c>
      <c r="CF71" s="61">
        <f t="shared" si="63"/>
        <v>0</v>
      </c>
      <c r="CG71" s="61">
        <f t="shared" si="64"/>
        <v>0</v>
      </c>
      <c r="CH71" s="61">
        <f t="shared" si="65"/>
        <v>0</v>
      </c>
      <c r="CI71" s="61">
        <f t="shared" si="66"/>
        <v>0</v>
      </c>
      <c r="CJ71" s="61">
        <f t="shared" si="67"/>
        <v>0</v>
      </c>
      <c r="CK71" s="61">
        <f t="shared" si="68"/>
        <v>0</v>
      </c>
      <c r="CL71" s="61">
        <f t="shared" si="69"/>
        <v>0</v>
      </c>
      <c r="CM71" s="61">
        <f t="shared" si="70"/>
        <v>0</v>
      </c>
      <c r="CN71" s="61">
        <f t="shared" si="71"/>
        <v>0</v>
      </c>
      <c r="CO71" s="61">
        <f t="shared" si="72"/>
        <v>0</v>
      </c>
      <c r="CP71" s="61">
        <f t="shared" si="73"/>
        <v>0</v>
      </c>
      <c r="CQ71" s="61">
        <f t="shared" si="74"/>
        <v>0</v>
      </c>
      <c r="CR71" s="61">
        <f t="shared" si="75"/>
        <v>0</v>
      </c>
      <c r="CS71" s="61">
        <f t="shared" si="76"/>
        <v>0</v>
      </c>
      <c r="CT71" s="61">
        <f t="shared" si="77"/>
        <v>0</v>
      </c>
      <c r="CU71" s="61">
        <f t="shared" si="78"/>
        <v>0</v>
      </c>
      <c r="CV71" s="61">
        <f t="shared" si="79"/>
        <v>0</v>
      </c>
      <c r="CW71" s="61">
        <f t="shared" si="80"/>
        <v>0</v>
      </c>
      <c r="CX71" s="61">
        <f t="shared" si="81"/>
        <v>0</v>
      </c>
      <c r="CY71" s="61">
        <f t="shared" si="82"/>
        <v>0</v>
      </c>
      <c r="CZ71" s="61">
        <f t="shared" si="83"/>
        <v>0</v>
      </c>
      <c r="DA71" s="61">
        <f t="shared" si="84"/>
        <v>0</v>
      </c>
      <c r="DB71" s="61">
        <f t="shared" si="85"/>
        <v>0</v>
      </c>
      <c r="DC71" s="61">
        <f t="shared" si="86"/>
        <v>0</v>
      </c>
      <c r="DD71" s="61">
        <f t="shared" si="87"/>
        <v>0</v>
      </c>
      <c r="DE71" s="61">
        <f t="shared" si="88"/>
        <v>0</v>
      </c>
    </row>
    <row r="72" spans="1:109" x14ac:dyDescent="0.25">
      <c r="A72" s="248"/>
      <c r="B72" s="248"/>
      <c r="C72" s="251"/>
      <c r="D72" s="25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1">
        <f t="shared" si="60"/>
        <v>0</v>
      </c>
      <c r="AE72" s="53" t="str">
        <f t="shared" ca="1" si="89"/>
        <v/>
      </c>
      <c r="AF72" s="56">
        <f>IF($C72=Repart_lignes,0,
(SUMIF(Fonctionnement[Affectation matrice],$A72,Fonctionnement[TVA acquittée])+SUMIF(Invest[Affectation matrice],$A72,Invest[TVA acquittée]))*CF72)</f>
        <v>0</v>
      </c>
      <c r="AG72" s="56">
        <f>IF($C72=Repart_lignes,0,
(SUMIF(Fonctionnement[Affectation matrice],$A72,Fonctionnement[TVA acquittée])+SUMIF(Invest[Affectation matrice],$A72,Invest[TVA acquittée]))*CG72)</f>
        <v>0</v>
      </c>
      <c r="AH72" s="56">
        <f>IF($C72=Repart_lignes,0,
(SUMIF(Fonctionnement[Affectation matrice],$A72,Fonctionnement[TVA acquittée])+SUMIF(Invest[Affectation matrice],$A72,Invest[TVA acquittée]))*CH72)</f>
        <v>0</v>
      </c>
      <c r="AI72" s="56">
        <f>IF($C72=Repart_lignes,0,
(SUMIF(Fonctionnement[Affectation matrice],$A72,Fonctionnement[TVA acquittée])+SUMIF(Invest[Affectation matrice],$A72,Invest[TVA acquittée]))*CI72)</f>
        <v>0</v>
      </c>
      <c r="AJ72" s="56">
        <f>IF($C72=Repart_lignes,0,
(SUMIF(Fonctionnement[Affectation matrice],$A72,Fonctionnement[TVA acquittée])+SUMIF(Invest[Affectation matrice],$A72,Invest[TVA acquittée]))*CJ72)</f>
        <v>0</v>
      </c>
      <c r="AK72" s="56">
        <f>IF($C72=Repart_lignes,0,
(SUMIF(Fonctionnement[Affectation matrice],$A72,Fonctionnement[TVA acquittée])+SUMIF(Invest[Affectation matrice],$A72,Invest[TVA acquittée]))*CK72)</f>
        <v>0</v>
      </c>
      <c r="AL72" s="56">
        <f>IF($C72=Repart_lignes,0,
(SUMIF(Fonctionnement[Affectation matrice],$A72,Fonctionnement[TVA acquittée])+SUMIF(Invest[Affectation matrice],$A72,Invest[TVA acquittée]))*CL72)</f>
        <v>0</v>
      </c>
      <c r="AM72" s="56">
        <f>IF($C72=Repart_lignes,0,
(SUMIF(Fonctionnement[Affectation matrice],$A72,Fonctionnement[TVA acquittée])+SUMIF(Invest[Affectation matrice],$A72,Invest[TVA acquittée]))*CM72)</f>
        <v>0</v>
      </c>
      <c r="AN72" s="56">
        <f>IF($C72=Repart_lignes,0,
(SUMIF(Fonctionnement[Affectation matrice],$A72,Fonctionnement[TVA acquittée])+SUMIF(Invest[Affectation matrice],$A72,Invest[TVA acquittée]))*CN72)</f>
        <v>0</v>
      </c>
      <c r="AO72" s="56">
        <f>IF($C72=Repart_lignes,0,
(SUMIF(Fonctionnement[Affectation matrice],$A72,Fonctionnement[TVA acquittée])+SUMIF(Invest[Affectation matrice],$A72,Invest[TVA acquittée]))*CO72)</f>
        <v>0</v>
      </c>
      <c r="AP72" s="56">
        <f>IF($C72=Repart_lignes,0,
(SUMIF(Fonctionnement[Affectation matrice],$A72,Fonctionnement[TVA acquittée])+SUMIF(Invest[Affectation matrice],$A72,Invest[TVA acquittée]))*CP72)</f>
        <v>0</v>
      </c>
      <c r="AQ72" s="56">
        <f>IF($C72=Repart_lignes,0,
(SUMIF(Fonctionnement[Affectation matrice],$A72,Fonctionnement[TVA acquittée])+SUMIF(Invest[Affectation matrice],$A72,Invest[TVA acquittée]))*CQ72)</f>
        <v>0</v>
      </c>
      <c r="AR72" s="56">
        <f>IF($C72=Repart_lignes,0,
(SUMIF(Fonctionnement[Affectation matrice],$A72,Fonctionnement[TVA acquittée])+SUMIF(Invest[Affectation matrice],$A72,Invest[TVA acquittée]))*CR72)</f>
        <v>0</v>
      </c>
      <c r="AS72" s="56">
        <f>IF($C72=Repart_lignes,0,
(SUMIF(Fonctionnement[Affectation matrice],$A72,Fonctionnement[TVA acquittée])+SUMIF(Invest[Affectation matrice],$A72,Invest[TVA acquittée]))*CS72)</f>
        <v>0</v>
      </c>
      <c r="AT72" s="56">
        <f>IF($C72=Repart_lignes,0,
(SUMIF(Fonctionnement[Affectation matrice],$A72,Fonctionnement[TVA acquittée])+SUMIF(Invest[Affectation matrice],$A72,Invest[TVA acquittée]))*CT72)</f>
        <v>0</v>
      </c>
      <c r="AU72" s="56">
        <f>IF($C72=Repart_lignes,0,
(SUMIF(Fonctionnement[Affectation matrice],$A72,Fonctionnement[TVA acquittée])+SUMIF(Invest[Affectation matrice],$A72,Invest[TVA acquittée]))*CU72)</f>
        <v>0</v>
      </c>
      <c r="AV72" s="56">
        <f>IF($C72=Repart_lignes,0,
(SUMIF(Fonctionnement[Affectation matrice],$A72,Fonctionnement[TVA acquittée])+SUMIF(Invest[Affectation matrice],$A72,Invest[TVA acquittée]))*CV72)</f>
        <v>0</v>
      </c>
      <c r="AW72" s="56">
        <f>IF($C72=Repart_lignes,0,
(SUMIF(Fonctionnement[Affectation matrice],$A72,Fonctionnement[TVA acquittée])+SUMIF(Invest[Affectation matrice],$A72,Invest[TVA acquittée]))*CW72)</f>
        <v>0</v>
      </c>
      <c r="AX72" s="56">
        <f>IF($C72=Repart_lignes,0,
(SUMIF(Fonctionnement[Affectation matrice],$A72,Fonctionnement[TVA acquittée])+SUMIF(Invest[Affectation matrice],$A72,Invest[TVA acquittée]))*CX72)</f>
        <v>0</v>
      </c>
      <c r="AY72" s="56">
        <f>IF($C72=Repart_lignes,0,
(SUMIF(Fonctionnement[Affectation matrice],$A72,Fonctionnement[TVA acquittée])+SUMIF(Invest[Affectation matrice],$A72,Invest[TVA acquittée]))*CY72)</f>
        <v>0</v>
      </c>
      <c r="AZ72" s="56">
        <f>IF($C72=Repart_lignes,0,
(SUMIF(Fonctionnement[Affectation matrice],$A72,Fonctionnement[TVA acquittée])+SUMIF(Invest[Affectation matrice],$A72,Invest[TVA acquittée]))*CZ72)</f>
        <v>0</v>
      </c>
      <c r="BA72" s="56">
        <f>IF($C72=Repart_lignes,0,
(SUMIF(Fonctionnement[Affectation matrice],$A72,Fonctionnement[TVA acquittée])+SUMIF(Invest[Affectation matrice],$A72,Invest[TVA acquittée]))*DA72)</f>
        <v>0</v>
      </c>
      <c r="BB72" s="56">
        <f>IF($C72=Repart_lignes,0,
(SUMIF(Fonctionnement[Affectation matrice],$A72,Fonctionnement[TVA acquittée])+SUMIF(Invest[Affectation matrice],$A72,Invest[TVA acquittée]))*DB72)</f>
        <v>0</v>
      </c>
      <c r="BC72" s="56">
        <f>IF($C72=Repart_lignes,0,
(SUMIF(Fonctionnement[Affectation matrice],$A72,Fonctionnement[TVA acquittée])+SUMIF(Invest[Affectation matrice],$A72,Invest[TVA acquittée]))*DC72)</f>
        <v>0</v>
      </c>
      <c r="BD72" s="56">
        <f>IF($C72=Repart_lignes,0,
(SUMIF(Fonctionnement[Affectation matrice],$A72,Fonctionnement[TVA acquittée])+SUMIF(Invest[Affectation matrice],$A72,Invest[TVA acquittée]))*DD72)</f>
        <v>0</v>
      </c>
      <c r="BE72" s="58">
        <f t="shared" si="61"/>
        <v>0</v>
      </c>
      <c r="BF72" s="56">
        <f>IF($C72=Repart_lignes,0,
(SUMIF(Fonctionnement[Affectation matrice],$A72,Fonctionnement[Montant (€HT)])+SUMIF(Invest[Affectation matrice],$A72,Invest[Amortissement HT + intérêts]))*CF72)</f>
        <v>0</v>
      </c>
      <c r="BG72" s="56">
        <f>IF($C72=Repart_lignes,0,
(SUMIF(Fonctionnement[Affectation matrice],$A72,Fonctionnement[Montant (€HT)])+SUMIF(Invest[Affectation matrice],$A72,Invest[Amortissement HT + intérêts]))*CG72)</f>
        <v>0</v>
      </c>
      <c r="BH72" s="56">
        <f>IF($C72=Repart_lignes,0,
(SUMIF(Fonctionnement[Affectation matrice],$A72,Fonctionnement[Montant (€HT)])+SUMIF(Invest[Affectation matrice],$A72,Invest[Amortissement HT + intérêts]))*CH72)</f>
        <v>0</v>
      </c>
      <c r="BI72" s="56">
        <f>IF($C72=Repart_lignes,0,
(SUMIF(Fonctionnement[Affectation matrice],$A72,Fonctionnement[Montant (€HT)])+SUMIF(Invest[Affectation matrice],$A72,Invest[Amortissement HT + intérêts]))*CI72)</f>
        <v>0</v>
      </c>
      <c r="BJ72" s="56">
        <f>IF($C72=Repart_lignes,0,
(SUMIF(Fonctionnement[Affectation matrice],$A72,Fonctionnement[Montant (€HT)])+SUMIF(Invest[Affectation matrice],$A72,Invest[Amortissement HT + intérêts]))*CJ72)</f>
        <v>0</v>
      </c>
      <c r="BK72" s="56">
        <f>IF($C72=Repart_lignes,0,
(SUMIF(Fonctionnement[Affectation matrice],$A72,Fonctionnement[Montant (€HT)])+SUMIF(Invest[Affectation matrice],$A72,Invest[Amortissement HT + intérêts]))*CK72)</f>
        <v>0</v>
      </c>
      <c r="BL72" s="56">
        <f>IF($C72=Repart_lignes,0,
(SUMIF(Fonctionnement[Affectation matrice],$A72,Fonctionnement[Montant (€HT)])+SUMIF(Invest[Affectation matrice],$A72,Invest[Amortissement HT + intérêts]))*CL72)</f>
        <v>0</v>
      </c>
      <c r="BM72" s="56">
        <f>IF($C72=Repart_lignes,0,
(SUMIF(Fonctionnement[Affectation matrice],$A72,Fonctionnement[Montant (€HT)])+SUMIF(Invest[Affectation matrice],$A72,Invest[Amortissement HT + intérêts]))*CM72)</f>
        <v>0</v>
      </c>
      <c r="BN72" s="56">
        <f>IF($C72=Repart_lignes,0,
(SUMIF(Fonctionnement[Affectation matrice],$A72,Fonctionnement[Montant (€HT)])+SUMIF(Invest[Affectation matrice],$A72,Invest[Amortissement HT + intérêts]))*CN72)</f>
        <v>0</v>
      </c>
      <c r="BO72" s="56">
        <f>IF($C72=Repart_lignes,0,
(SUMIF(Fonctionnement[Affectation matrice],$A72,Fonctionnement[Montant (€HT)])+SUMIF(Invest[Affectation matrice],$A72,Invest[Amortissement HT + intérêts]))*CO72)</f>
        <v>0</v>
      </c>
      <c r="BP72" s="56">
        <f>IF($C72=Repart_lignes,0,
(SUMIF(Fonctionnement[Affectation matrice],$A72,Fonctionnement[Montant (€HT)])+SUMIF(Invest[Affectation matrice],$A72,Invest[Amortissement HT + intérêts]))*CP72)</f>
        <v>0</v>
      </c>
      <c r="BQ72" s="56">
        <f>IF($C72=Repart_lignes,0,
(SUMIF(Fonctionnement[Affectation matrice],$A72,Fonctionnement[Montant (€HT)])+SUMIF(Invest[Affectation matrice],$A72,Invest[Amortissement HT + intérêts]))*CQ72)</f>
        <v>0</v>
      </c>
      <c r="BR72" s="56">
        <f>IF($C72=Repart_lignes,0,
(SUMIF(Fonctionnement[Affectation matrice],$A72,Fonctionnement[Montant (€HT)])+SUMIF(Invest[Affectation matrice],$A72,Invest[Amortissement HT + intérêts]))*CR72)</f>
        <v>0</v>
      </c>
      <c r="BS72" s="56">
        <f>IF($C72=Repart_lignes,0,
(SUMIF(Fonctionnement[Affectation matrice],$A72,Fonctionnement[Montant (€HT)])+SUMIF(Invest[Affectation matrice],$A72,Invest[Amortissement HT + intérêts]))*CS72)</f>
        <v>0</v>
      </c>
      <c r="BT72" s="56">
        <f>IF($C72=Repart_lignes,0,
(SUMIF(Fonctionnement[Affectation matrice],$A72,Fonctionnement[Montant (€HT)])+SUMIF(Invest[Affectation matrice],$A72,Invest[Amortissement HT + intérêts]))*CT72)</f>
        <v>0</v>
      </c>
      <c r="BU72" s="56">
        <f>IF($C72=Repart_lignes,0,
(SUMIF(Fonctionnement[Affectation matrice],$A72,Fonctionnement[Montant (€HT)])+SUMIF(Invest[Affectation matrice],$A72,Invest[Amortissement HT + intérêts]))*CU72)</f>
        <v>0</v>
      </c>
      <c r="BV72" s="56">
        <f>IF($C72=Repart_lignes,0,
(SUMIF(Fonctionnement[Affectation matrice],$A72,Fonctionnement[Montant (€HT)])+SUMIF(Invest[Affectation matrice],$A72,Invest[Amortissement HT + intérêts]))*CV72)</f>
        <v>0</v>
      </c>
      <c r="BW72" s="56">
        <f>IF($C72=Repart_lignes,0,
(SUMIF(Fonctionnement[Affectation matrice],$A72,Fonctionnement[Montant (€HT)])+SUMIF(Invest[Affectation matrice],$A72,Invest[Amortissement HT + intérêts]))*CW72)</f>
        <v>0</v>
      </c>
      <c r="BX72" s="56">
        <f>IF($C72=Repart_lignes,0,
(SUMIF(Fonctionnement[Affectation matrice],$A72,Fonctionnement[Montant (€HT)])+SUMIF(Invest[Affectation matrice],$A72,Invest[Amortissement HT + intérêts]))*CX72)</f>
        <v>0</v>
      </c>
      <c r="BY72" s="56">
        <f>IF($C72=Repart_lignes,0,
(SUMIF(Fonctionnement[Affectation matrice],$A72,Fonctionnement[Montant (€HT)])+SUMIF(Invest[Affectation matrice],$A72,Invest[Amortissement HT + intérêts]))*CY72)</f>
        <v>0</v>
      </c>
      <c r="BZ72" s="56">
        <f>IF($C72=Repart_lignes,0,
(SUMIF(Fonctionnement[Affectation matrice],$A72,Fonctionnement[Montant (€HT)])+SUMIF(Invest[Affectation matrice],$A72,Invest[Amortissement HT + intérêts]))*CZ72)</f>
        <v>0</v>
      </c>
      <c r="CA72" s="56">
        <f>IF($C72=Repart_lignes,0,
(SUMIF(Fonctionnement[Affectation matrice],$A72,Fonctionnement[Montant (€HT)])+SUMIF(Invest[Affectation matrice],$A72,Invest[Amortissement HT + intérêts]))*DA72)</f>
        <v>0</v>
      </c>
      <c r="CB72" s="56">
        <f>IF($C72=Repart_lignes,0,
(SUMIF(Fonctionnement[Affectation matrice],$A72,Fonctionnement[Montant (€HT)])+SUMIF(Invest[Affectation matrice],$A72,Invest[Amortissement HT + intérêts]))*DB72)</f>
        <v>0</v>
      </c>
      <c r="CC72" s="56">
        <f>IF($C72=Repart_lignes,0,
(SUMIF(Fonctionnement[Affectation matrice],$A72,Fonctionnement[Montant (€HT)])+SUMIF(Invest[Affectation matrice],$A72,Invest[Amortissement HT + intérêts]))*DC72)</f>
        <v>0</v>
      </c>
      <c r="CD72" s="56">
        <f>IF($C72=Repart_lignes,0,
(SUMIF(Fonctionnement[Affectation matrice],$A72,Fonctionnement[Montant (€HT)])+SUMIF(Invest[Affectation matrice],$A72,Invest[Amortissement HT + intérêts]))*DD72)</f>
        <v>0</v>
      </c>
      <c r="CE72" s="59">
        <f t="shared" si="62"/>
        <v>0</v>
      </c>
      <c r="CF72" s="61">
        <f t="shared" si="63"/>
        <v>0</v>
      </c>
      <c r="CG72" s="61">
        <f t="shared" si="64"/>
        <v>0</v>
      </c>
      <c r="CH72" s="61">
        <f t="shared" si="65"/>
        <v>0</v>
      </c>
      <c r="CI72" s="61">
        <f t="shared" si="66"/>
        <v>0</v>
      </c>
      <c r="CJ72" s="61">
        <f t="shared" si="67"/>
        <v>0</v>
      </c>
      <c r="CK72" s="61">
        <f t="shared" si="68"/>
        <v>0</v>
      </c>
      <c r="CL72" s="61">
        <f t="shared" si="69"/>
        <v>0</v>
      </c>
      <c r="CM72" s="61">
        <f t="shared" si="70"/>
        <v>0</v>
      </c>
      <c r="CN72" s="61">
        <f t="shared" si="71"/>
        <v>0</v>
      </c>
      <c r="CO72" s="61">
        <f t="shared" si="72"/>
        <v>0</v>
      </c>
      <c r="CP72" s="61">
        <f t="shared" si="73"/>
        <v>0</v>
      </c>
      <c r="CQ72" s="61">
        <f t="shared" si="74"/>
        <v>0</v>
      </c>
      <c r="CR72" s="61">
        <f t="shared" si="75"/>
        <v>0</v>
      </c>
      <c r="CS72" s="61">
        <f t="shared" si="76"/>
        <v>0</v>
      </c>
      <c r="CT72" s="61">
        <f t="shared" si="77"/>
        <v>0</v>
      </c>
      <c r="CU72" s="61">
        <f t="shared" si="78"/>
        <v>0</v>
      </c>
      <c r="CV72" s="61">
        <f t="shared" si="79"/>
        <v>0</v>
      </c>
      <c r="CW72" s="61">
        <f t="shared" si="80"/>
        <v>0</v>
      </c>
      <c r="CX72" s="61">
        <f t="shared" si="81"/>
        <v>0</v>
      </c>
      <c r="CY72" s="61">
        <f t="shared" si="82"/>
        <v>0</v>
      </c>
      <c r="CZ72" s="61">
        <f t="shared" si="83"/>
        <v>0</v>
      </c>
      <c r="DA72" s="61">
        <f t="shared" si="84"/>
        <v>0</v>
      </c>
      <c r="DB72" s="61">
        <f t="shared" si="85"/>
        <v>0</v>
      </c>
      <c r="DC72" s="61">
        <f t="shared" si="86"/>
        <v>0</v>
      </c>
      <c r="DD72" s="61">
        <f t="shared" si="87"/>
        <v>0</v>
      </c>
      <c r="DE72" s="61">
        <f t="shared" si="88"/>
        <v>0</v>
      </c>
    </row>
    <row r="73" spans="1:109" x14ac:dyDescent="0.25">
      <c r="A73" s="248"/>
      <c r="B73" s="248"/>
      <c r="C73" s="251"/>
      <c r="D73" s="25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1">
        <f t="shared" si="60"/>
        <v>0</v>
      </c>
      <c r="AE73" s="53" t="str">
        <f t="shared" ca="1" si="89"/>
        <v/>
      </c>
      <c r="AF73" s="56">
        <f>IF($C73=Repart_lignes,0,
(SUMIF(Fonctionnement[Affectation matrice],$A73,Fonctionnement[TVA acquittée])+SUMIF(Invest[Affectation matrice],$A73,Invest[TVA acquittée]))*CF73)</f>
        <v>0</v>
      </c>
      <c r="AG73" s="56">
        <f>IF($C73=Repart_lignes,0,
(SUMIF(Fonctionnement[Affectation matrice],$A73,Fonctionnement[TVA acquittée])+SUMIF(Invest[Affectation matrice],$A73,Invest[TVA acquittée]))*CG73)</f>
        <v>0</v>
      </c>
      <c r="AH73" s="56">
        <f>IF($C73=Repart_lignes,0,
(SUMIF(Fonctionnement[Affectation matrice],$A73,Fonctionnement[TVA acquittée])+SUMIF(Invest[Affectation matrice],$A73,Invest[TVA acquittée]))*CH73)</f>
        <v>0</v>
      </c>
      <c r="AI73" s="56">
        <f>IF($C73=Repart_lignes,0,
(SUMIF(Fonctionnement[Affectation matrice],$A73,Fonctionnement[TVA acquittée])+SUMIF(Invest[Affectation matrice],$A73,Invest[TVA acquittée]))*CI73)</f>
        <v>0</v>
      </c>
      <c r="AJ73" s="56">
        <f>IF($C73=Repart_lignes,0,
(SUMIF(Fonctionnement[Affectation matrice],$A73,Fonctionnement[TVA acquittée])+SUMIF(Invest[Affectation matrice],$A73,Invest[TVA acquittée]))*CJ73)</f>
        <v>0</v>
      </c>
      <c r="AK73" s="56">
        <f>IF($C73=Repart_lignes,0,
(SUMIF(Fonctionnement[Affectation matrice],$A73,Fonctionnement[TVA acquittée])+SUMIF(Invest[Affectation matrice],$A73,Invest[TVA acquittée]))*CK73)</f>
        <v>0</v>
      </c>
      <c r="AL73" s="56">
        <f>IF($C73=Repart_lignes,0,
(SUMIF(Fonctionnement[Affectation matrice],$A73,Fonctionnement[TVA acquittée])+SUMIF(Invest[Affectation matrice],$A73,Invest[TVA acquittée]))*CL73)</f>
        <v>0</v>
      </c>
      <c r="AM73" s="56">
        <f>IF($C73=Repart_lignes,0,
(SUMIF(Fonctionnement[Affectation matrice],$A73,Fonctionnement[TVA acquittée])+SUMIF(Invest[Affectation matrice],$A73,Invest[TVA acquittée]))*CM73)</f>
        <v>0</v>
      </c>
      <c r="AN73" s="56">
        <f>IF($C73=Repart_lignes,0,
(SUMIF(Fonctionnement[Affectation matrice],$A73,Fonctionnement[TVA acquittée])+SUMIF(Invest[Affectation matrice],$A73,Invest[TVA acquittée]))*CN73)</f>
        <v>0</v>
      </c>
      <c r="AO73" s="56">
        <f>IF($C73=Repart_lignes,0,
(SUMIF(Fonctionnement[Affectation matrice],$A73,Fonctionnement[TVA acquittée])+SUMIF(Invest[Affectation matrice],$A73,Invest[TVA acquittée]))*CO73)</f>
        <v>0</v>
      </c>
      <c r="AP73" s="56">
        <f>IF($C73=Repart_lignes,0,
(SUMIF(Fonctionnement[Affectation matrice],$A73,Fonctionnement[TVA acquittée])+SUMIF(Invest[Affectation matrice],$A73,Invest[TVA acquittée]))*CP73)</f>
        <v>0</v>
      </c>
      <c r="AQ73" s="56">
        <f>IF($C73=Repart_lignes,0,
(SUMIF(Fonctionnement[Affectation matrice],$A73,Fonctionnement[TVA acquittée])+SUMIF(Invest[Affectation matrice],$A73,Invest[TVA acquittée]))*CQ73)</f>
        <v>0</v>
      </c>
      <c r="AR73" s="56">
        <f>IF($C73=Repart_lignes,0,
(SUMIF(Fonctionnement[Affectation matrice],$A73,Fonctionnement[TVA acquittée])+SUMIF(Invest[Affectation matrice],$A73,Invest[TVA acquittée]))*CR73)</f>
        <v>0</v>
      </c>
      <c r="AS73" s="56">
        <f>IF($C73=Repart_lignes,0,
(SUMIF(Fonctionnement[Affectation matrice],$A73,Fonctionnement[TVA acquittée])+SUMIF(Invest[Affectation matrice],$A73,Invest[TVA acquittée]))*CS73)</f>
        <v>0</v>
      </c>
      <c r="AT73" s="56">
        <f>IF($C73=Repart_lignes,0,
(SUMIF(Fonctionnement[Affectation matrice],$A73,Fonctionnement[TVA acquittée])+SUMIF(Invest[Affectation matrice],$A73,Invest[TVA acquittée]))*CT73)</f>
        <v>0</v>
      </c>
      <c r="AU73" s="56">
        <f>IF($C73=Repart_lignes,0,
(SUMIF(Fonctionnement[Affectation matrice],$A73,Fonctionnement[TVA acquittée])+SUMIF(Invest[Affectation matrice],$A73,Invest[TVA acquittée]))*CU73)</f>
        <v>0</v>
      </c>
      <c r="AV73" s="56">
        <f>IF($C73=Repart_lignes,0,
(SUMIF(Fonctionnement[Affectation matrice],$A73,Fonctionnement[TVA acquittée])+SUMIF(Invest[Affectation matrice],$A73,Invest[TVA acquittée]))*CV73)</f>
        <v>0</v>
      </c>
      <c r="AW73" s="56">
        <f>IF($C73=Repart_lignes,0,
(SUMIF(Fonctionnement[Affectation matrice],$A73,Fonctionnement[TVA acquittée])+SUMIF(Invest[Affectation matrice],$A73,Invest[TVA acquittée]))*CW73)</f>
        <v>0</v>
      </c>
      <c r="AX73" s="56">
        <f>IF($C73=Repart_lignes,0,
(SUMIF(Fonctionnement[Affectation matrice],$A73,Fonctionnement[TVA acquittée])+SUMIF(Invest[Affectation matrice],$A73,Invest[TVA acquittée]))*CX73)</f>
        <v>0</v>
      </c>
      <c r="AY73" s="56">
        <f>IF($C73=Repart_lignes,0,
(SUMIF(Fonctionnement[Affectation matrice],$A73,Fonctionnement[TVA acquittée])+SUMIF(Invest[Affectation matrice],$A73,Invest[TVA acquittée]))*CY73)</f>
        <v>0</v>
      </c>
      <c r="AZ73" s="56">
        <f>IF($C73=Repart_lignes,0,
(SUMIF(Fonctionnement[Affectation matrice],$A73,Fonctionnement[TVA acquittée])+SUMIF(Invest[Affectation matrice],$A73,Invest[TVA acquittée]))*CZ73)</f>
        <v>0</v>
      </c>
      <c r="BA73" s="56">
        <f>IF($C73=Repart_lignes,0,
(SUMIF(Fonctionnement[Affectation matrice],$A73,Fonctionnement[TVA acquittée])+SUMIF(Invest[Affectation matrice],$A73,Invest[TVA acquittée]))*DA73)</f>
        <v>0</v>
      </c>
      <c r="BB73" s="56">
        <f>IF($C73=Repart_lignes,0,
(SUMIF(Fonctionnement[Affectation matrice],$A73,Fonctionnement[TVA acquittée])+SUMIF(Invest[Affectation matrice],$A73,Invest[TVA acquittée]))*DB73)</f>
        <v>0</v>
      </c>
      <c r="BC73" s="56">
        <f>IF($C73=Repart_lignes,0,
(SUMIF(Fonctionnement[Affectation matrice],$A73,Fonctionnement[TVA acquittée])+SUMIF(Invest[Affectation matrice],$A73,Invest[TVA acquittée]))*DC73)</f>
        <v>0</v>
      </c>
      <c r="BD73" s="56">
        <f>IF($C73=Repart_lignes,0,
(SUMIF(Fonctionnement[Affectation matrice],$A73,Fonctionnement[TVA acquittée])+SUMIF(Invest[Affectation matrice],$A73,Invest[TVA acquittée]))*DD73)</f>
        <v>0</v>
      </c>
      <c r="BE73" s="58">
        <f t="shared" si="61"/>
        <v>0</v>
      </c>
      <c r="BF73" s="56">
        <f>IF($C73=Repart_lignes,0,
(SUMIF(Fonctionnement[Affectation matrice],$A73,Fonctionnement[Montant (€HT)])+SUMIF(Invest[Affectation matrice],$A73,Invest[Amortissement HT + intérêts]))*CF73)</f>
        <v>0</v>
      </c>
      <c r="BG73" s="56">
        <f>IF($C73=Repart_lignes,0,
(SUMIF(Fonctionnement[Affectation matrice],$A73,Fonctionnement[Montant (€HT)])+SUMIF(Invest[Affectation matrice],$A73,Invest[Amortissement HT + intérêts]))*CG73)</f>
        <v>0</v>
      </c>
      <c r="BH73" s="56">
        <f>IF($C73=Repart_lignes,0,
(SUMIF(Fonctionnement[Affectation matrice],$A73,Fonctionnement[Montant (€HT)])+SUMIF(Invest[Affectation matrice],$A73,Invest[Amortissement HT + intérêts]))*CH73)</f>
        <v>0</v>
      </c>
      <c r="BI73" s="56">
        <f>IF($C73=Repart_lignes,0,
(SUMIF(Fonctionnement[Affectation matrice],$A73,Fonctionnement[Montant (€HT)])+SUMIF(Invest[Affectation matrice],$A73,Invest[Amortissement HT + intérêts]))*CI73)</f>
        <v>0</v>
      </c>
      <c r="BJ73" s="56">
        <f>IF($C73=Repart_lignes,0,
(SUMIF(Fonctionnement[Affectation matrice],$A73,Fonctionnement[Montant (€HT)])+SUMIF(Invest[Affectation matrice],$A73,Invest[Amortissement HT + intérêts]))*CJ73)</f>
        <v>0</v>
      </c>
      <c r="BK73" s="56">
        <f>IF($C73=Repart_lignes,0,
(SUMIF(Fonctionnement[Affectation matrice],$A73,Fonctionnement[Montant (€HT)])+SUMIF(Invest[Affectation matrice],$A73,Invest[Amortissement HT + intérêts]))*CK73)</f>
        <v>0</v>
      </c>
      <c r="BL73" s="56">
        <f>IF($C73=Repart_lignes,0,
(SUMIF(Fonctionnement[Affectation matrice],$A73,Fonctionnement[Montant (€HT)])+SUMIF(Invest[Affectation matrice],$A73,Invest[Amortissement HT + intérêts]))*CL73)</f>
        <v>0</v>
      </c>
      <c r="BM73" s="56">
        <f>IF($C73=Repart_lignes,0,
(SUMIF(Fonctionnement[Affectation matrice],$A73,Fonctionnement[Montant (€HT)])+SUMIF(Invest[Affectation matrice],$A73,Invest[Amortissement HT + intérêts]))*CM73)</f>
        <v>0</v>
      </c>
      <c r="BN73" s="56">
        <f>IF($C73=Repart_lignes,0,
(SUMIF(Fonctionnement[Affectation matrice],$A73,Fonctionnement[Montant (€HT)])+SUMIF(Invest[Affectation matrice],$A73,Invest[Amortissement HT + intérêts]))*CN73)</f>
        <v>0</v>
      </c>
      <c r="BO73" s="56">
        <f>IF($C73=Repart_lignes,0,
(SUMIF(Fonctionnement[Affectation matrice],$A73,Fonctionnement[Montant (€HT)])+SUMIF(Invest[Affectation matrice],$A73,Invest[Amortissement HT + intérêts]))*CO73)</f>
        <v>0</v>
      </c>
      <c r="BP73" s="56">
        <f>IF($C73=Repart_lignes,0,
(SUMIF(Fonctionnement[Affectation matrice],$A73,Fonctionnement[Montant (€HT)])+SUMIF(Invest[Affectation matrice],$A73,Invest[Amortissement HT + intérêts]))*CP73)</f>
        <v>0</v>
      </c>
      <c r="BQ73" s="56">
        <f>IF($C73=Repart_lignes,0,
(SUMIF(Fonctionnement[Affectation matrice],$A73,Fonctionnement[Montant (€HT)])+SUMIF(Invest[Affectation matrice],$A73,Invest[Amortissement HT + intérêts]))*CQ73)</f>
        <v>0</v>
      </c>
      <c r="BR73" s="56">
        <f>IF($C73=Repart_lignes,0,
(SUMIF(Fonctionnement[Affectation matrice],$A73,Fonctionnement[Montant (€HT)])+SUMIF(Invest[Affectation matrice],$A73,Invest[Amortissement HT + intérêts]))*CR73)</f>
        <v>0</v>
      </c>
      <c r="BS73" s="56">
        <f>IF($C73=Repart_lignes,0,
(SUMIF(Fonctionnement[Affectation matrice],$A73,Fonctionnement[Montant (€HT)])+SUMIF(Invest[Affectation matrice],$A73,Invest[Amortissement HT + intérêts]))*CS73)</f>
        <v>0</v>
      </c>
      <c r="BT73" s="56">
        <f>IF($C73=Repart_lignes,0,
(SUMIF(Fonctionnement[Affectation matrice],$A73,Fonctionnement[Montant (€HT)])+SUMIF(Invest[Affectation matrice],$A73,Invest[Amortissement HT + intérêts]))*CT73)</f>
        <v>0</v>
      </c>
      <c r="BU73" s="56">
        <f>IF($C73=Repart_lignes,0,
(SUMIF(Fonctionnement[Affectation matrice],$A73,Fonctionnement[Montant (€HT)])+SUMIF(Invest[Affectation matrice],$A73,Invest[Amortissement HT + intérêts]))*CU73)</f>
        <v>0</v>
      </c>
      <c r="BV73" s="56">
        <f>IF($C73=Repart_lignes,0,
(SUMIF(Fonctionnement[Affectation matrice],$A73,Fonctionnement[Montant (€HT)])+SUMIF(Invest[Affectation matrice],$A73,Invest[Amortissement HT + intérêts]))*CV73)</f>
        <v>0</v>
      </c>
      <c r="BW73" s="56">
        <f>IF($C73=Repart_lignes,0,
(SUMIF(Fonctionnement[Affectation matrice],$A73,Fonctionnement[Montant (€HT)])+SUMIF(Invest[Affectation matrice],$A73,Invest[Amortissement HT + intérêts]))*CW73)</f>
        <v>0</v>
      </c>
      <c r="BX73" s="56">
        <f>IF($C73=Repart_lignes,0,
(SUMIF(Fonctionnement[Affectation matrice],$A73,Fonctionnement[Montant (€HT)])+SUMIF(Invest[Affectation matrice],$A73,Invest[Amortissement HT + intérêts]))*CX73)</f>
        <v>0</v>
      </c>
      <c r="BY73" s="56">
        <f>IF($C73=Repart_lignes,0,
(SUMIF(Fonctionnement[Affectation matrice],$A73,Fonctionnement[Montant (€HT)])+SUMIF(Invest[Affectation matrice],$A73,Invest[Amortissement HT + intérêts]))*CY73)</f>
        <v>0</v>
      </c>
      <c r="BZ73" s="56">
        <f>IF($C73=Repart_lignes,0,
(SUMIF(Fonctionnement[Affectation matrice],$A73,Fonctionnement[Montant (€HT)])+SUMIF(Invest[Affectation matrice],$A73,Invest[Amortissement HT + intérêts]))*CZ73)</f>
        <v>0</v>
      </c>
      <c r="CA73" s="56">
        <f>IF($C73=Repart_lignes,0,
(SUMIF(Fonctionnement[Affectation matrice],$A73,Fonctionnement[Montant (€HT)])+SUMIF(Invest[Affectation matrice],$A73,Invest[Amortissement HT + intérêts]))*DA73)</f>
        <v>0</v>
      </c>
      <c r="CB73" s="56">
        <f>IF($C73=Repart_lignes,0,
(SUMIF(Fonctionnement[Affectation matrice],$A73,Fonctionnement[Montant (€HT)])+SUMIF(Invest[Affectation matrice],$A73,Invest[Amortissement HT + intérêts]))*DB73)</f>
        <v>0</v>
      </c>
      <c r="CC73" s="56">
        <f>IF($C73=Repart_lignes,0,
(SUMIF(Fonctionnement[Affectation matrice],$A73,Fonctionnement[Montant (€HT)])+SUMIF(Invest[Affectation matrice],$A73,Invest[Amortissement HT + intérêts]))*DC73)</f>
        <v>0</v>
      </c>
      <c r="CD73" s="56">
        <f>IF($C73=Repart_lignes,0,
(SUMIF(Fonctionnement[Affectation matrice],$A73,Fonctionnement[Montant (€HT)])+SUMIF(Invest[Affectation matrice],$A73,Invest[Amortissement HT + intérêts]))*DD73)</f>
        <v>0</v>
      </c>
      <c r="CE73" s="59">
        <f t="shared" si="62"/>
        <v>0</v>
      </c>
      <c r="CF73" s="61">
        <f t="shared" si="63"/>
        <v>0</v>
      </c>
      <c r="CG73" s="61">
        <f t="shared" si="64"/>
        <v>0</v>
      </c>
      <c r="CH73" s="61">
        <f t="shared" si="65"/>
        <v>0</v>
      </c>
      <c r="CI73" s="61">
        <f t="shared" si="66"/>
        <v>0</v>
      </c>
      <c r="CJ73" s="61">
        <f t="shared" si="67"/>
        <v>0</v>
      </c>
      <c r="CK73" s="61">
        <f t="shared" si="68"/>
        <v>0</v>
      </c>
      <c r="CL73" s="61">
        <f t="shared" si="69"/>
        <v>0</v>
      </c>
      <c r="CM73" s="61">
        <f t="shared" si="70"/>
        <v>0</v>
      </c>
      <c r="CN73" s="61">
        <f t="shared" si="71"/>
        <v>0</v>
      </c>
      <c r="CO73" s="61">
        <f t="shared" si="72"/>
        <v>0</v>
      </c>
      <c r="CP73" s="61">
        <f t="shared" si="73"/>
        <v>0</v>
      </c>
      <c r="CQ73" s="61">
        <f t="shared" si="74"/>
        <v>0</v>
      </c>
      <c r="CR73" s="61">
        <f t="shared" si="75"/>
        <v>0</v>
      </c>
      <c r="CS73" s="61">
        <f t="shared" si="76"/>
        <v>0</v>
      </c>
      <c r="CT73" s="61">
        <f t="shared" si="77"/>
        <v>0</v>
      </c>
      <c r="CU73" s="61">
        <f t="shared" si="78"/>
        <v>0</v>
      </c>
      <c r="CV73" s="61">
        <f t="shared" si="79"/>
        <v>0</v>
      </c>
      <c r="CW73" s="61">
        <f t="shared" si="80"/>
        <v>0</v>
      </c>
      <c r="CX73" s="61">
        <f t="shared" si="81"/>
        <v>0</v>
      </c>
      <c r="CY73" s="61">
        <f t="shared" si="82"/>
        <v>0</v>
      </c>
      <c r="CZ73" s="61">
        <f t="shared" si="83"/>
        <v>0</v>
      </c>
      <c r="DA73" s="61">
        <f t="shared" si="84"/>
        <v>0</v>
      </c>
      <c r="DB73" s="61">
        <f t="shared" si="85"/>
        <v>0</v>
      </c>
      <c r="DC73" s="61">
        <f t="shared" si="86"/>
        <v>0</v>
      </c>
      <c r="DD73" s="61">
        <f t="shared" si="87"/>
        <v>0</v>
      </c>
      <c r="DE73" s="61">
        <f t="shared" si="88"/>
        <v>0</v>
      </c>
    </row>
    <row r="74" spans="1:109" x14ac:dyDescent="0.25">
      <c r="A74" s="248"/>
      <c r="B74" s="248"/>
      <c r="C74" s="251"/>
      <c r="D74" s="25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1">
        <f t="shared" si="60"/>
        <v>0</v>
      </c>
      <c r="AE74" s="53" t="str">
        <f t="shared" ca="1" si="89"/>
        <v/>
      </c>
      <c r="AF74" s="56">
        <f>IF($C74=Repart_lignes,0,
(SUMIF(Fonctionnement[Affectation matrice],$A74,Fonctionnement[TVA acquittée])+SUMIF(Invest[Affectation matrice],$A74,Invest[TVA acquittée]))*CF74)</f>
        <v>0</v>
      </c>
      <c r="AG74" s="56">
        <f>IF($C74=Repart_lignes,0,
(SUMIF(Fonctionnement[Affectation matrice],$A74,Fonctionnement[TVA acquittée])+SUMIF(Invest[Affectation matrice],$A74,Invest[TVA acquittée]))*CG74)</f>
        <v>0</v>
      </c>
      <c r="AH74" s="56">
        <f>IF($C74=Repart_lignes,0,
(SUMIF(Fonctionnement[Affectation matrice],$A74,Fonctionnement[TVA acquittée])+SUMIF(Invest[Affectation matrice],$A74,Invest[TVA acquittée]))*CH74)</f>
        <v>0</v>
      </c>
      <c r="AI74" s="56">
        <f>IF($C74=Repart_lignes,0,
(SUMIF(Fonctionnement[Affectation matrice],$A74,Fonctionnement[TVA acquittée])+SUMIF(Invest[Affectation matrice],$A74,Invest[TVA acquittée]))*CI74)</f>
        <v>0</v>
      </c>
      <c r="AJ74" s="56">
        <f>IF($C74=Repart_lignes,0,
(SUMIF(Fonctionnement[Affectation matrice],$A74,Fonctionnement[TVA acquittée])+SUMIF(Invest[Affectation matrice],$A74,Invest[TVA acquittée]))*CJ74)</f>
        <v>0</v>
      </c>
      <c r="AK74" s="56">
        <f>IF($C74=Repart_lignes,0,
(SUMIF(Fonctionnement[Affectation matrice],$A74,Fonctionnement[TVA acquittée])+SUMIF(Invest[Affectation matrice],$A74,Invest[TVA acquittée]))*CK74)</f>
        <v>0</v>
      </c>
      <c r="AL74" s="56">
        <f>IF($C74=Repart_lignes,0,
(SUMIF(Fonctionnement[Affectation matrice],$A74,Fonctionnement[TVA acquittée])+SUMIF(Invest[Affectation matrice],$A74,Invest[TVA acquittée]))*CL74)</f>
        <v>0</v>
      </c>
      <c r="AM74" s="56">
        <f>IF($C74=Repart_lignes,0,
(SUMIF(Fonctionnement[Affectation matrice],$A74,Fonctionnement[TVA acquittée])+SUMIF(Invest[Affectation matrice],$A74,Invest[TVA acquittée]))*CM74)</f>
        <v>0</v>
      </c>
      <c r="AN74" s="56">
        <f>IF($C74=Repart_lignes,0,
(SUMIF(Fonctionnement[Affectation matrice],$A74,Fonctionnement[TVA acquittée])+SUMIF(Invest[Affectation matrice],$A74,Invest[TVA acquittée]))*CN74)</f>
        <v>0</v>
      </c>
      <c r="AO74" s="56">
        <f>IF($C74=Repart_lignes,0,
(SUMIF(Fonctionnement[Affectation matrice],$A74,Fonctionnement[TVA acquittée])+SUMIF(Invest[Affectation matrice],$A74,Invest[TVA acquittée]))*CO74)</f>
        <v>0</v>
      </c>
      <c r="AP74" s="56">
        <f>IF($C74=Repart_lignes,0,
(SUMIF(Fonctionnement[Affectation matrice],$A74,Fonctionnement[TVA acquittée])+SUMIF(Invest[Affectation matrice],$A74,Invest[TVA acquittée]))*CP74)</f>
        <v>0</v>
      </c>
      <c r="AQ74" s="56">
        <f>IF($C74=Repart_lignes,0,
(SUMIF(Fonctionnement[Affectation matrice],$A74,Fonctionnement[TVA acquittée])+SUMIF(Invest[Affectation matrice],$A74,Invest[TVA acquittée]))*CQ74)</f>
        <v>0</v>
      </c>
      <c r="AR74" s="56">
        <f>IF($C74=Repart_lignes,0,
(SUMIF(Fonctionnement[Affectation matrice],$A74,Fonctionnement[TVA acquittée])+SUMIF(Invest[Affectation matrice],$A74,Invest[TVA acquittée]))*CR74)</f>
        <v>0</v>
      </c>
      <c r="AS74" s="56">
        <f>IF($C74=Repart_lignes,0,
(SUMIF(Fonctionnement[Affectation matrice],$A74,Fonctionnement[TVA acquittée])+SUMIF(Invest[Affectation matrice],$A74,Invest[TVA acquittée]))*CS74)</f>
        <v>0</v>
      </c>
      <c r="AT74" s="56">
        <f>IF($C74=Repart_lignes,0,
(SUMIF(Fonctionnement[Affectation matrice],$A74,Fonctionnement[TVA acquittée])+SUMIF(Invest[Affectation matrice],$A74,Invest[TVA acquittée]))*CT74)</f>
        <v>0</v>
      </c>
      <c r="AU74" s="56">
        <f>IF($C74=Repart_lignes,0,
(SUMIF(Fonctionnement[Affectation matrice],$A74,Fonctionnement[TVA acquittée])+SUMIF(Invest[Affectation matrice],$A74,Invest[TVA acquittée]))*CU74)</f>
        <v>0</v>
      </c>
      <c r="AV74" s="56">
        <f>IF($C74=Repart_lignes,0,
(SUMIF(Fonctionnement[Affectation matrice],$A74,Fonctionnement[TVA acquittée])+SUMIF(Invest[Affectation matrice],$A74,Invest[TVA acquittée]))*CV74)</f>
        <v>0</v>
      </c>
      <c r="AW74" s="56">
        <f>IF($C74=Repart_lignes,0,
(SUMIF(Fonctionnement[Affectation matrice],$A74,Fonctionnement[TVA acquittée])+SUMIF(Invest[Affectation matrice],$A74,Invest[TVA acquittée]))*CW74)</f>
        <v>0</v>
      </c>
      <c r="AX74" s="56">
        <f>IF($C74=Repart_lignes,0,
(SUMIF(Fonctionnement[Affectation matrice],$A74,Fonctionnement[TVA acquittée])+SUMIF(Invest[Affectation matrice],$A74,Invest[TVA acquittée]))*CX74)</f>
        <v>0</v>
      </c>
      <c r="AY74" s="56">
        <f>IF($C74=Repart_lignes,0,
(SUMIF(Fonctionnement[Affectation matrice],$A74,Fonctionnement[TVA acquittée])+SUMIF(Invest[Affectation matrice],$A74,Invest[TVA acquittée]))*CY74)</f>
        <v>0</v>
      </c>
      <c r="AZ74" s="56">
        <f>IF($C74=Repart_lignes,0,
(SUMIF(Fonctionnement[Affectation matrice],$A74,Fonctionnement[TVA acquittée])+SUMIF(Invest[Affectation matrice],$A74,Invest[TVA acquittée]))*CZ74)</f>
        <v>0</v>
      </c>
      <c r="BA74" s="56">
        <f>IF($C74=Repart_lignes,0,
(SUMIF(Fonctionnement[Affectation matrice],$A74,Fonctionnement[TVA acquittée])+SUMIF(Invest[Affectation matrice],$A74,Invest[TVA acquittée]))*DA74)</f>
        <v>0</v>
      </c>
      <c r="BB74" s="56">
        <f>IF($C74=Repart_lignes,0,
(SUMIF(Fonctionnement[Affectation matrice],$A74,Fonctionnement[TVA acquittée])+SUMIF(Invest[Affectation matrice],$A74,Invest[TVA acquittée]))*DB74)</f>
        <v>0</v>
      </c>
      <c r="BC74" s="56">
        <f>IF($C74=Repart_lignes,0,
(SUMIF(Fonctionnement[Affectation matrice],$A74,Fonctionnement[TVA acquittée])+SUMIF(Invest[Affectation matrice],$A74,Invest[TVA acquittée]))*DC74)</f>
        <v>0</v>
      </c>
      <c r="BD74" s="56">
        <f>IF($C74=Repart_lignes,0,
(SUMIF(Fonctionnement[Affectation matrice],$A74,Fonctionnement[TVA acquittée])+SUMIF(Invest[Affectation matrice],$A74,Invest[TVA acquittée]))*DD74)</f>
        <v>0</v>
      </c>
      <c r="BE74" s="58">
        <f t="shared" si="61"/>
        <v>0</v>
      </c>
      <c r="BF74" s="56">
        <f>IF($C74=Repart_lignes,0,
(SUMIF(Fonctionnement[Affectation matrice],$A74,Fonctionnement[Montant (€HT)])+SUMIF(Invest[Affectation matrice],$A74,Invest[Amortissement HT + intérêts]))*CF74)</f>
        <v>0</v>
      </c>
      <c r="BG74" s="56">
        <f>IF($C74=Repart_lignes,0,
(SUMIF(Fonctionnement[Affectation matrice],$A74,Fonctionnement[Montant (€HT)])+SUMIF(Invest[Affectation matrice],$A74,Invest[Amortissement HT + intérêts]))*CG74)</f>
        <v>0</v>
      </c>
      <c r="BH74" s="56">
        <f>IF($C74=Repart_lignes,0,
(SUMIF(Fonctionnement[Affectation matrice],$A74,Fonctionnement[Montant (€HT)])+SUMIF(Invest[Affectation matrice],$A74,Invest[Amortissement HT + intérêts]))*CH74)</f>
        <v>0</v>
      </c>
      <c r="BI74" s="56">
        <f>IF($C74=Repart_lignes,0,
(SUMIF(Fonctionnement[Affectation matrice],$A74,Fonctionnement[Montant (€HT)])+SUMIF(Invest[Affectation matrice],$A74,Invest[Amortissement HT + intérêts]))*CI74)</f>
        <v>0</v>
      </c>
      <c r="BJ74" s="56">
        <f>IF($C74=Repart_lignes,0,
(SUMIF(Fonctionnement[Affectation matrice],$A74,Fonctionnement[Montant (€HT)])+SUMIF(Invest[Affectation matrice],$A74,Invest[Amortissement HT + intérêts]))*CJ74)</f>
        <v>0</v>
      </c>
      <c r="BK74" s="56">
        <f>IF($C74=Repart_lignes,0,
(SUMIF(Fonctionnement[Affectation matrice],$A74,Fonctionnement[Montant (€HT)])+SUMIF(Invest[Affectation matrice],$A74,Invest[Amortissement HT + intérêts]))*CK74)</f>
        <v>0</v>
      </c>
      <c r="BL74" s="56">
        <f>IF($C74=Repart_lignes,0,
(SUMIF(Fonctionnement[Affectation matrice],$A74,Fonctionnement[Montant (€HT)])+SUMIF(Invest[Affectation matrice],$A74,Invest[Amortissement HT + intérêts]))*CL74)</f>
        <v>0</v>
      </c>
      <c r="BM74" s="56">
        <f>IF($C74=Repart_lignes,0,
(SUMIF(Fonctionnement[Affectation matrice],$A74,Fonctionnement[Montant (€HT)])+SUMIF(Invest[Affectation matrice],$A74,Invest[Amortissement HT + intérêts]))*CM74)</f>
        <v>0</v>
      </c>
      <c r="BN74" s="56">
        <f>IF($C74=Repart_lignes,0,
(SUMIF(Fonctionnement[Affectation matrice],$A74,Fonctionnement[Montant (€HT)])+SUMIF(Invest[Affectation matrice],$A74,Invest[Amortissement HT + intérêts]))*CN74)</f>
        <v>0</v>
      </c>
      <c r="BO74" s="56">
        <f>IF($C74=Repart_lignes,0,
(SUMIF(Fonctionnement[Affectation matrice],$A74,Fonctionnement[Montant (€HT)])+SUMIF(Invest[Affectation matrice],$A74,Invest[Amortissement HT + intérêts]))*CO74)</f>
        <v>0</v>
      </c>
      <c r="BP74" s="56">
        <f>IF($C74=Repart_lignes,0,
(SUMIF(Fonctionnement[Affectation matrice],$A74,Fonctionnement[Montant (€HT)])+SUMIF(Invest[Affectation matrice],$A74,Invest[Amortissement HT + intérêts]))*CP74)</f>
        <v>0</v>
      </c>
      <c r="BQ74" s="56">
        <f>IF($C74=Repart_lignes,0,
(SUMIF(Fonctionnement[Affectation matrice],$A74,Fonctionnement[Montant (€HT)])+SUMIF(Invest[Affectation matrice],$A74,Invest[Amortissement HT + intérêts]))*CQ74)</f>
        <v>0</v>
      </c>
      <c r="BR74" s="56">
        <f>IF($C74=Repart_lignes,0,
(SUMIF(Fonctionnement[Affectation matrice],$A74,Fonctionnement[Montant (€HT)])+SUMIF(Invest[Affectation matrice],$A74,Invest[Amortissement HT + intérêts]))*CR74)</f>
        <v>0</v>
      </c>
      <c r="BS74" s="56">
        <f>IF($C74=Repart_lignes,0,
(SUMIF(Fonctionnement[Affectation matrice],$A74,Fonctionnement[Montant (€HT)])+SUMIF(Invest[Affectation matrice],$A74,Invest[Amortissement HT + intérêts]))*CS74)</f>
        <v>0</v>
      </c>
      <c r="BT74" s="56">
        <f>IF($C74=Repart_lignes,0,
(SUMIF(Fonctionnement[Affectation matrice],$A74,Fonctionnement[Montant (€HT)])+SUMIF(Invest[Affectation matrice],$A74,Invest[Amortissement HT + intérêts]))*CT74)</f>
        <v>0</v>
      </c>
      <c r="BU74" s="56">
        <f>IF($C74=Repart_lignes,0,
(SUMIF(Fonctionnement[Affectation matrice],$A74,Fonctionnement[Montant (€HT)])+SUMIF(Invest[Affectation matrice],$A74,Invest[Amortissement HT + intérêts]))*CU74)</f>
        <v>0</v>
      </c>
      <c r="BV74" s="56">
        <f>IF($C74=Repart_lignes,0,
(SUMIF(Fonctionnement[Affectation matrice],$A74,Fonctionnement[Montant (€HT)])+SUMIF(Invest[Affectation matrice],$A74,Invest[Amortissement HT + intérêts]))*CV74)</f>
        <v>0</v>
      </c>
      <c r="BW74" s="56">
        <f>IF($C74=Repart_lignes,0,
(SUMIF(Fonctionnement[Affectation matrice],$A74,Fonctionnement[Montant (€HT)])+SUMIF(Invest[Affectation matrice],$A74,Invest[Amortissement HT + intérêts]))*CW74)</f>
        <v>0</v>
      </c>
      <c r="BX74" s="56">
        <f>IF($C74=Repart_lignes,0,
(SUMIF(Fonctionnement[Affectation matrice],$A74,Fonctionnement[Montant (€HT)])+SUMIF(Invest[Affectation matrice],$A74,Invest[Amortissement HT + intérêts]))*CX74)</f>
        <v>0</v>
      </c>
      <c r="BY74" s="56">
        <f>IF($C74=Repart_lignes,0,
(SUMIF(Fonctionnement[Affectation matrice],$A74,Fonctionnement[Montant (€HT)])+SUMIF(Invest[Affectation matrice],$A74,Invest[Amortissement HT + intérêts]))*CY74)</f>
        <v>0</v>
      </c>
      <c r="BZ74" s="56">
        <f>IF($C74=Repart_lignes,0,
(SUMIF(Fonctionnement[Affectation matrice],$A74,Fonctionnement[Montant (€HT)])+SUMIF(Invest[Affectation matrice],$A74,Invest[Amortissement HT + intérêts]))*CZ74)</f>
        <v>0</v>
      </c>
      <c r="CA74" s="56">
        <f>IF($C74=Repart_lignes,0,
(SUMIF(Fonctionnement[Affectation matrice],$A74,Fonctionnement[Montant (€HT)])+SUMIF(Invest[Affectation matrice],$A74,Invest[Amortissement HT + intérêts]))*DA74)</f>
        <v>0</v>
      </c>
      <c r="CB74" s="56">
        <f>IF($C74=Repart_lignes,0,
(SUMIF(Fonctionnement[Affectation matrice],$A74,Fonctionnement[Montant (€HT)])+SUMIF(Invest[Affectation matrice],$A74,Invest[Amortissement HT + intérêts]))*DB74)</f>
        <v>0</v>
      </c>
      <c r="CC74" s="56">
        <f>IF($C74=Repart_lignes,0,
(SUMIF(Fonctionnement[Affectation matrice],$A74,Fonctionnement[Montant (€HT)])+SUMIF(Invest[Affectation matrice],$A74,Invest[Amortissement HT + intérêts]))*DC74)</f>
        <v>0</v>
      </c>
      <c r="CD74" s="56">
        <f>IF($C74=Repart_lignes,0,
(SUMIF(Fonctionnement[Affectation matrice],$A74,Fonctionnement[Montant (€HT)])+SUMIF(Invest[Affectation matrice],$A74,Invest[Amortissement HT + intérêts]))*DD74)</f>
        <v>0</v>
      </c>
      <c r="CE74" s="59">
        <f t="shared" si="62"/>
        <v>0</v>
      </c>
      <c r="CF74" s="61">
        <f t="shared" si="63"/>
        <v>0</v>
      </c>
      <c r="CG74" s="61">
        <f t="shared" si="64"/>
        <v>0</v>
      </c>
      <c r="CH74" s="61">
        <f t="shared" si="65"/>
        <v>0</v>
      </c>
      <c r="CI74" s="61">
        <f t="shared" si="66"/>
        <v>0</v>
      </c>
      <c r="CJ74" s="61">
        <f t="shared" si="67"/>
        <v>0</v>
      </c>
      <c r="CK74" s="61">
        <f t="shared" si="68"/>
        <v>0</v>
      </c>
      <c r="CL74" s="61">
        <f t="shared" si="69"/>
        <v>0</v>
      </c>
      <c r="CM74" s="61">
        <f t="shared" si="70"/>
        <v>0</v>
      </c>
      <c r="CN74" s="61">
        <f t="shared" si="71"/>
        <v>0</v>
      </c>
      <c r="CO74" s="61">
        <f t="shared" si="72"/>
        <v>0</v>
      </c>
      <c r="CP74" s="61">
        <f t="shared" si="73"/>
        <v>0</v>
      </c>
      <c r="CQ74" s="61">
        <f t="shared" si="74"/>
        <v>0</v>
      </c>
      <c r="CR74" s="61">
        <f t="shared" si="75"/>
        <v>0</v>
      </c>
      <c r="CS74" s="61">
        <f t="shared" si="76"/>
        <v>0</v>
      </c>
      <c r="CT74" s="61">
        <f t="shared" si="77"/>
        <v>0</v>
      </c>
      <c r="CU74" s="61">
        <f t="shared" si="78"/>
        <v>0</v>
      </c>
      <c r="CV74" s="61">
        <f t="shared" si="79"/>
        <v>0</v>
      </c>
      <c r="CW74" s="61">
        <f t="shared" si="80"/>
        <v>0</v>
      </c>
      <c r="CX74" s="61">
        <f t="shared" si="81"/>
        <v>0</v>
      </c>
      <c r="CY74" s="61">
        <f t="shared" si="82"/>
        <v>0</v>
      </c>
      <c r="CZ74" s="61">
        <f t="shared" si="83"/>
        <v>0</v>
      </c>
      <c r="DA74" s="61">
        <f t="shared" si="84"/>
        <v>0</v>
      </c>
      <c r="DB74" s="61">
        <f t="shared" si="85"/>
        <v>0</v>
      </c>
      <c r="DC74" s="61">
        <f t="shared" si="86"/>
        <v>0</v>
      </c>
      <c r="DD74" s="61">
        <f t="shared" si="87"/>
        <v>0</v>
      </c>
      <c r="DE74" s="61">
        <f t="shared" si="88"/>
        <v>0</v>
      </c>
    </row>
    <row r="75" spans="1:109" x14ac:dyDescent="0.25">
      <c r="A75" s="248"/>
      <c r="B75" s="248"/>
      <c r="C75" s="251"/>
      <c r="D75" s="25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1">
        <f t="shared" si="60"/>
        <v>0</v>
      </c>
      <c r="AE75" s="53" t="str">
        <f t="shared" ca="1" si="89"/>
        <v/>
      </c>
      <c r="AF75" s="56">
        <f>IF($C75=Repart_lignes,0,
(SUMIF(Fonctionnement[Affectation matrice],$A75,Fonctionnement[TVA acquittée])+SUMIF(Invest[Affectation matrice],$A75,Invest[TVA acquittée]))*CF75)</f>
        <v>0</v>
      </c>
      <c r="AG75" s="56">
        <f>IF($C75=Repart_lignes,0,
(SUMIF(Fonctionnement[Affectation matrice],$A75,Fonctionnement[TVA acquittée])+SUMIF(Invest[Affectation matrice],$A75,Invest[TVA acquittée]))*CG75)</f>
        <v>0</v>
      </c>
      <c r="AH75" s="56">
        <f>IF($C75=Repart_lignes,0,
(SUMIF(Fonctionnement[Affectation matrice],$A75,Fonctionnement[TVA acquittée])+SUMIF(Invest[Affectation matrice],$A75,Invest[TVA acquittée]))*CH75)</f>
        <v>0</v>
      </c>
      <c r="AI75" s="56">
        <f>IF($C75=Repart_lignes,0,
(SUMIF(Fonctionnement[Affectation matrice],$A75,Fonctionnement[TVA acquittée])+SUMIF(Invest[Affectation matrice],$A75,Invest[TVA acquittée]))*CI75)</f>
        <v>0</v>
      </c>
      <c r="AJ75" s="56">
        <f>IF($C75=Repart_lignes,0,
(SUMIF(Fonctionnement[Affectation matrice],$A75,Fonctionnement[TVA acquittée])+SUMIF(Invest[Affectation matrice],$A75,Invest[TVA acquittée]))*CJ75)</f>
        <v>0</v>
      </c>
      <c r="AK75" s="56">
        <f>IF($C75=Repart_lignes,0,
(SUMIF(Fonctionnement[Affectation matrice],$A75,Fonctionnement[TVA acquittée])+SUMIF(Invest[Affectation matrice],$A75,Invest[TVA acquittée]))*CK75)</f>
        <v>0</v>
      </c>
      <c r="AL75" s="56">
        <f>IF($C75=Repart_lignes,0,
(SUMIF(Fonctionnement[Affectation matrice],$A75,Fonctionnement[TVA acquittée])+SUMIF(Invest[Affectation matrice],$A75,Invest[TVA acquittée]))*CL75)</f>
        <v>0</v>
      </c>
      <c r="AM75" s="56">
        <f>IF($C75=Repart_lignes,0,
(SUMIF(Fonctionnement[Affectation matrice],$A75,Fonctionnement[TVA acquittée])+SUMIF(Invest[Affectation matrice],$A75,Invest[TVA acquittée]))*CM75)</f>
        <v>0</v>
      </c>
      <c r="AN75" s="56">
        <f>IF($C75=Repart_lignes,0,
(SUMIF(Fonctionnement[Affectation matrice],$A75,Fonctionnement[TVA acquittée])+SUMIF(Invest[Affectation matrice],$A75,Invest[TVA acquittée]))*CN75)</f>
        <v>0</v>
      </c>
      <c r="AO75" s="56">
        <f>IF($C75=Repart_lignes,0,
(SUMIF(Fonctionnement[Affectation matrice],$A75,Fonctionnement[TVA acquittée])+SUMIF(Invest[Affectation matrice],$A75,Invest[TVA acquittée]))*CO75)</f>
        <v>0</v>
      </c>
      <c r="AP75" s="56">
        <f>IF($C75=Repart_lignes,0,
(SUMIF(Fonctionnement[Affectation matrice],$A75,Fonctionnement[TVA acquittée])+SUMIF(Invest[Affectation matrice],$A75,Invest[TVA acquittée]))*CP75)</f>
        <v>0</v>
      </c>
      <c r="AQ75" s="56">
        <f>IF($C75=Repart_lignes,0,
(SUMIF(Fonctionnement[Affectation matrice],$A75,Fonctionnement[TVA acquittée])+SUMIF(Invest[Affectation matrice],$A75,Invest[TVA acquittée]))*CQ75)</f>
        <v>0</v>
      </c>
      <c r="AR75" s="56">
        <f>IF($C75=Repart_lignes,0,
(SUMIF(Fonctionnement[Affectation matrice],$A75,Fonctionnement[TVA acquittée])+SUMIF(Invest[Affectation matrice],$A75,Invest[TVA acquittée]))*CR75)</f>
        <v>0</v>
      </c>
      <c r="AS75" s="56">
        <f>IF($C75=Repart_lignes,0,
(SUMIF(Fonctionnement[Affectation matrice],$A75,Fonctionnement[TVA acquittée])+SUMIF(Invest[Affectation matrice],$A75,Invest[TVA acquittée]))*CS75)</f>
        <v>0</v>
      </c>
      <c r="AT75" s="56">
        <f>IF($C75=Repart_lignes,0,
(SUMIF(Fonctionnement[Affectation matrice],$A75,Fonctionnement[TVA acquittée])+SUMIF(Invest[Affectation matrice],$A75,Invest[TVA acquittée]))*CT75)</f>
        <v>0</v>
      </c>
      <c r="AU75" s="56">
        <f>IF($C75=Repart_lignes,0,
(SUMIF(Fonctionnement[Affectation matrice],$A75,Fonctionnement[TVA acquittée])+SUMIF(Invest[Affectation matrice],$A75,Invest[TVA acquittée]))*CU75)</f>
        <v>0</v>
      </c>
      <c r="AV75" s="56">
        <f>IF($C75=Repart_lignes,0,
(SUMIF(Fonctionnement[Affectation matrice],$A75,Fonctionnement[TVA acquittée])+SUMIF(Invest[Affectation matrice],$A75,Invest[TVA acquittée]))*CV75)</f>
        <v>0</v>
      </c>
      <c r="AW75" s="56">
        <f>IF($C75=Repart_lignes,0,
(SUMIF(Fonctionnement[Affectation matrice],$A75,Fonctionnement[TVA acquittée])+SUMIF(Invest[Affectation matrice],$A75,Invest[TVA acquittée]))*CW75)</f>
        <v>0</v>
      </c>
      <c r="AX75" s="56">
        <f>IF($C75=Repart_lignes,0,
(SUMIF(Fonctionnement[Affectation matrice],$A75,Fonctionnement[TVA acquittée])+SUMIF(Invest[Affectation matrice],$A75,Invest[TVA acquittée]))*CX75)</f>
        <v>0</v>
      </c>
      <c r="AY75" s="56">
        <f>IF($C75=Repart_lignes,0,
(SUMIF(Fonctionnement[Affectation matrice],$A75,Fonctionnement[TVA acquittée])+SUMIF(Invest[Affectation matrice],$A75,Invest[TVA acquittée]))*CY75)</f>
        <v>0</v>
      </c>
      <c r="AZ75" s="56">
        <f>IF($C75=Repart_lignes,0,
(SUMIF(Fonctionnement[Affectation matrice],$A75,Fonctionnement[TVA acquittée])+SUMIF(Invest[Affectation matrice],$A75,Invest[TVA acquittée]))*CZ75)</f>
        <v>0</v>
      </c>
      <c r="BA75" s="56">
        <f>IF($C75=Repart_lignes,0,
(SUMIF(Fonctionnement[Affectation matrice],$A75,Fonctionnement[TVA acquittée])+SUMIF(Invest[Affectation matrice],$A75,Invest[TVA acquittée]))*DA75)</f>
        <v>0</v>
      </c>
      <c r="BB75" s="56">
        <f>IF($C75=Repart_lignes,0,
(SUMIF(Fonctionnement[Affectation matrice],$A75,Fonctionnement[TVA acquittée])+SUMIF(Invest[Affectation matrice],$A75,Invest[TVA acquittée]))*DB75)</f>
        <v>0</v>
      </c>
      <c r="BC75" s="56">
        <f>IF($C75=Repart_lignes,0,
(SUMIF(Fonctionnement[Affectation matrice],$A75,Fonctionnement[TVA acquittée])+SUMIF(Invest[Affectation matrice],$A75,Invest[TVA acquittée]))*DC75)</f>
        <v>0</v>
      </c>
      <c r="BD75" s="56">
        <f>IF($C75=Repart_lignes,0,
(SUMIF(Fonctionnement[Affectation matrice],$A75,Fonctionnement[TVA acquittée])+SUMIF(Invest[Affectation matrice],$A75,Invest[TVA acquittée]))*DD75)</f>
        <v>0</v>
      </c>
      <c r="BE75" s="58">
        <f t="shared" si="61"/>
        <v>0</v>
      </c>
      <c r="BF75" s="56">
        <f>IF($C75=Repart_lignes,0,
(SUMIF(Fonctionnement[Affectation matrice],$A75,Fonctionnement[Montant (€HT)])+SUMIF(Invest[Affectation matrice],$A75,Invest[Amortissement HT + intérêts]))*CF75)</f>
        <v>0</v>
      </c>
      <c r="BG75" s="56">
        <f>IF($C75=Repart_lignes,0,
(SUMIF(Fonctionnement[Affectation matrice],$A75,Fonctionnement[Montant (€HT)])+SUMIF(Invest[Affectation matrice],$A75,Invest[Amortissement HT + intérêts]))*CG75)</f>
        <v>0</v>
      </c>
      <c r="BH75" s="56">
        <f>IF($C75=Repart_lignes,0,
(SUMIF(Fonctionnement[Affectation matrice],$A75,Fonctionnement[Montant (€HT)])+SUMIF(Invest[Affectation matrice],$A75,Invest[Amortissement HT + intérêts]))*CH75)</f>
        <v>0</v>
      </c>
      <c r="BI75" s="56">
        <f>IF($C75=Repart_lignes,0,
(SUMIF(Fonctionnement[Affectation matrice],$A75,Fonctionnement[Montant (€HT)])+SUMIF(Invest[Affectation matrice],$A75,Invest[Amortissement HT + intérêts]))*CI75)</f>
        <v>0</v>
      </c>
      <c r="BJ75" s="56">
        <f>IF($C75=Repart_lignes,0,
(SUMIF(Fonctionnement[Affectation matrice],$A75,Fonctionnement[Montant (€HT)])+SUMIF(Invest[Affectation matrice],$A75,Invest[Amortissement HT + intérêts]))*CJ75)</f>
        <v>0</v>
      </c>
      <c r="BK75" s="56">
        <f>IF($C75=Repart_lignes,0,
(SUMIF(Fonctionnement[Affectation matrice],$A75,Fonctionnement[Montant (€HT)])+SUMIF(Invest[Affectation matrice],$A75,Invest[Amortissement HT + intérêts]))*CK75)</f>
        <v>0</v>
      </c>
      <c r="BL75" s="56">
        <f>IF($C75=Repart_lignes,0,
(SUMIF(Fonctionnement[Affectation matrice],$A75,Fonctionnement[Montant (€HT)])+SUMIF(Invest[Affectation matrice],$A75,Invest[Amortissement HT + intérêts]))*CL75)</f>
        <v>0</v>
      </c>
      <c r="BM75" s="56">
        <f>IF($C75=Repart_lignes,0,
(SUMIF(Fonctionnement[Affectation matrice],$A75,Fonctionnement[Montant (€HT)])+SUMIF(Invest[Affectation matrice],$A75,Invest[Amortissement HT + intérêts]))*CM75)</f>
        <v>0</v>
      </c>
      <c r="BN75" s="56">
        <f>IF($C75=Repart_lignes,0,
(SUMIF(Fonctionnement[Affectation matrice],$A75,Fonctionnement[Montant (€HT)])+SUMIF(Invest[Affectation matrice],$A75,Invest[Amortissement HT + intérêts]))*CN75)</f>
        <v>0</v>
      </c>
      <c r="BO75" s="56">
        <f>IF($C75=Repart_lignes,0,
(SUMIF(Fonctionnement[Affectation matrice],$A75,Fonctionnement[Montant (€HT)])+SUMIF(Invest[Affectation matrice],$A75,Invest[Amortissement HT + intérêts]))*CO75)</f>
        <v>0</v>
      </c>
      <c r="BP75" s="56">
        <f>IF($C75=Repart_lignes,0,
(SUMIF(Fonctionnement[Affectation matrice],$A75,Fonctionnement[Montant (€HT)])+SUMIF(Invest[Affectation matrice],$A75,Invest[Amortissement HT + intérêts]))*CP75)</f>
        <v>0</v>
      </c>
      <c r="BQ75" s="56">
        <f>IF($C75=Repart_lignes,0,
(SUMIF(Fonctionnement[Affectation matrice],$A75,Fonctionnement[Montant (€HT)])+SUMIF(Invest[Affectation matrice],$A75,Invest[Amortissement HT + intérêts]))*CQ75)</f>
        <v>0</v>
      </c>
      <c r="BR75" s="56">
        <f>IF($C75=Repart_lignes,0,
(SUMIF(Fonctionnement[Affectation matrice],$A75,Fonctionnement[Montant (€HT)])+SUMIF(Invest[Affectation matrice],$A75,Invest[Amortissement HT + intérêts]))*CR75)</f>
        <v>0</v>
      </c>
      <c r="BS75" s="56">
        <f>IF($C75=Repart_lignes,0,
(SUMIF(Fonctionnement[Affectation matrice],$A75,Fonctionnement[Montant (€HT)])+SUMIF(Invest[Affectation matrice],$A75,Invest[Amortissement HT + intérêts]))*CS75)</f>
        <v>0</v>
      </c>
      <c r="BT75" s="56">
        <f>IF($C75=Repart_lignes,0,
(SUMIF(Fonctionnement[Affectation matrice],$A75,Fonctionnement[Montant (€HT)])+SUMIF(Invest[Affectation matrice],$A75,Invest[Amortissement HT + intérêts]))*CT75)</f>
        <v>0</v>
      </c>
      <c r="BU75" s="56">
        <f>IF($C75=Repart_lignes,0,
(SUMIF(Fonctionnement[Affectation matrice],$A75,Fonctionnement[Montant (€HT)])+SUMIF(Invest[Affectation matrice],$A75,Invest[Amortissement HT + intérêts]))*CU75)</f>
        <v>0</v>
      </c>
      <c r="BV75" s="56">
        <f>IF($C75=Repart_lignes,0,
(SUMIF(Fonctionnement[Affectation matrice],$A75,Fonctionnement[Montant (€HT)])+SUMIF(Invest[Affectation matrice],$A75,Invest[Amortissement HT + intérêts]))*CV75)</f>
        <v>0</v>
      </c>
      <c r="BW75" s="56">
        <f>IF($C75=Repart_lignes,0,
(SUMIF(Fonctionnement[Affectation matrice],$A75,Fonctionnement[Montant (€HT)])+SUMIF(Invest[Affectation matrice],$A75,Invest[Amortissement HT + intérêts]))*CW75)</f>
        <v>0</v>
      </c>
      <c r="BX75" s="56">
        <f>IF($C75=Repart_lignes,0,
(SUMIF(Fonctionnement[Affectation matrice],$A75,Fonctionnement[Montant (€HT)])+SUMIF(Invest[Affectation matrice],$A75,Invest[Amortissement HT + intérêts]))*CX75)</f>
        <v>0</v>
      </c>
      <c r="BY75" s="56">
        <f>IF($C75=Repart_lignes,0,
(SUMIF(Fonctionnement[Affectation matrice],$A75,Fonctionnement[Montant (€HT)])+SUMIF(Invest[Affectation matrice],$A75,Invest[Amortissement HT + intérêts]))*CY75)</f>
        <v>0</v>
      </c>
      <c r="BZ75" s="56">
        <f>IF($C75=Repart_lignes,0,
(SUMIF(Fonctionnement[Affectation matrice],$A75,Fonctionnement[Montant (€HT)])+SUMIF(Invest[Affectation matrice],$A75,Invest[Amortissement HT + intérêts]))*CZ75)</f>
        <v>0</v>
      </c>
      <c r="CA75" s="56">
        <f>IF($C75=Repart_lignes,0,
(SUMIF(Fonctionnement[Affectation matrice],$A75,Fonctionnement[Montant (€HT)])+SUMIF(Invest[Affectation matrice],$A75,Invest[Amortissement HT + intérêts]))*DA75)</f>
        <v>0</v>
      </c>
      <c r="CB75" s="56">
        <f>IF($C75=Repart_lignes,0,
(SUMIF(Fonctionnement[Affectation matrice],$A75,Fonctionnement[Montant (€HT)])+SUMIF(Invest[Affectation matrice],$A75,Invest[Amortissement HT + intérêts]))*DB75)</f>
        <v>0</v>
      </c>
      <c r="CC75" s="56">
        <f>IF($C75=Repart_lignes,0,
(SUMIF(Fonctionnement[Affectation matrice],$A75,Fonctionnement[Montant (€HT)])+SUMIF(Invest[Affectation matrice],$A75,Invest[Amortissement HT + intérêts]))*DC75)</f>
        <v>0</v>
      </c>
      <c r="CD75" s="56">
        <f>IF($C75=Repart_lignes,0,
(SUMIF(Fonctionnement[Affectation matrice],$A75,Fonctionnement[Montant (€HT)])+SUMIF(Invest[Affectation matrice],$A75,Invest[Amortissement HT + intérêts]))*DD75)</f>
        <v>0</v>
      </c>
      <c r="CE75" s="59">
        <f t="shared" si="62"/>
        <v>0</v>
      </c>
      <c r="CF75" s="61">
        <f t="shared" si="63"/>
        <v>0</v>
      </c>
      <c r="CG75" s="61">
        <f t="shared" si="64"/>
        <v>0</v>
      </c>
      <c r="CH75" s="61">
        <f t="shared" si="65"/>
        <v>0</v>
      </c>
      <c r="CI75" s="61">
        <f t="shared" si="66"/>
        <v>0</v>
      </c>
      <c r="CJ75" s="61">
        <f t="shared" si="67"/>
        <v>0</v>
      </c>
      <c r="CK75" s="61">
        <f t="shared" si="68"/>
        <v>0</v>
      </c>
      <c r="CL75" s="61">
        <f t="shared" si="69"/>
        <v>0</v>
      </c>
      <c r="CM75" s="61">
        <f t="shared" si="70"/>
        <v>0</v>
      </c>
      <c r="CN75" s="61">
        <f t="shared" si="71"/>
        <v>0</v>
      </c>
      <c r="CO75" s="61">
        <f t="shared" si="72"/>
        <v>0</v>
      </c>
      <c r="CP75" s="61">
        <f t="shared" si="73"/>
        <v>0</v>
      </c>
      <c r="CQ75" s="61">
        <f t="shared" si="74"/>
        <v>0</v>
      </c>
      <c r="CR75" s="61">
        <f t="shared" si="75"/>
        <v>0</v>
      </c>
      <c r="CS75" s="61">
        <f t="shared" si="76"/>
        <v>0</v>
      </c>
      <c r="CT75" s="61">
        <f t="shared" si="77"/>
        <v>0</v>
      </c>
      <c r="CU75" s="61">
        <f t="shared" si="78"/>
        <v>0</v>
      </c>
      <c r="CV75" s="61">
        <f t="shared" si="79"/>
        <v>0</v>
      </c>
      <c r="CW75" s="61">
        <f t="shared" si="80"/>
        <v>0</v>
      </c>
      <c r="CX75" s="61">
        <f t="shared" si="81"/>
        <v>0</v>
      </c>
      <c r="CY75" s="61">
        <f t="shared" si="82"/>
        <v>0</v>
      </c>
      <c r="CZ75" s="61">
        <f t="shared" si="83"/>
        <v>0</v>
      </c>
      <c r="DA75" s="61">
        <f t="shared" si="84"/>
        <v>0</v>
      </c>
      <c r="DB75" s="61">
        <f t="shared" si="85"/>
        <v>0</v>
      </c>
      <c r="DC75" s="61">
        <f t="shared" si="86"/>
        <v>0</v>
      </c>
      <c r="DD75" s="61">
        <f t="shared" si="87"/>
        <v>0</v>
      </c>
      <c r="DE75" s="61">
        <f t="shared" si="88"/>
        <v>0</v>
      </c>
    </row>
    <row r="76" spans="1:109" x14ac:dyDescent="0.25">
      <c r="A76" s="248"/>
      <c r="B76" s="248"/>
      <c r="C76" s="251"/>
      <c r="D76" s="25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1">
        <f t="shared" si="60"/>
        <v>0</v>
      </c>
      <c r="AE76" s="53" t="str">
        <f t="shared" ca="1" si="89"/>
        <v/>
      </c>
      <c r="AF76" s="56">
        <f>IF($C76=Repart_lignes,0,
(SUMIF(Fonctionnement[Affectation matrice],$A76,Fonctionnement[TVA acquittée])+SUMIF(Invest[Affectation matrice],$A76,Invest[TVA acquittée]))*CF76)</f>
        <v>0</v>
      </c>
      <c r="AG76" s="56">
        <f>IF($C76=Repart_lignes,0,
(SUMIF(Fonctionnement[Affectation matrice],$A76,Fonctionnement[TVA acquittée])+SUMIF(Invest[Affectation matrice],$A76,Invest[TVA acquittée]))*CG76)</f>
        <v>0</v>
      </c>
      <c r="AH76" s="56">
        <f>IF($C76=Repart_lignes,0,
(SUMIF(Fonctionnement[Affectation matrice],$A76,Fonctionnement[TVA acquittée])+SUMIF(Invest[Affectation matrice],$A76,Invest[TVA acquittée]))*CH76)</f>
        <v>0</v>
      </c>
      <c r="AI76" s="56">
        <f>IF($C76=Repart_lignes,0,
(SUMIF(Fonctionnement[Affectation matrice],$A76,Fonctionnement[TVA acquittée])+SUMIF(Invest[Affectation matrice],$A76,Invest[TVA acquittée]))*CI76)</f>
        <v>0</v>
      </c>
      <c r="AJ76" s="56">
        <f>IF($C76=Repart_lignes,0,
(SUMIF(Fonctionnement[Affectation matrice],$A76,Fonctionnement[TVA acquittée])+SUMIF(Invest[Affectation matrice],$A76,Invest[TVA acquittée]))*CJ76)</f>
        <v>0</v>
      </c>
      <c r="AK76" s="56">
        <f>IF($C76=Repart_lignes,0,
(SUMIF(Fonctionnement[Affectation matrice],$A76,Fonctionnement[TVA acquittée])+SUMIF(Invest[Affectation matrice],$A76,Invest[TVA acquittée]))*CK76)</f>
        <v>0</v>
      </c>
      <c r="AL76" s="56">
        <f>IF($C76=Repart_lignes,0,
(SUMIF(Fonctionnement[Affectation matrice],$A76,Fonctionnement[TVA acquittée])+SUMIF(Invest[Affectation matrice],$A76,Invest[TVA acquittée]))*CL76)</f>
        <v>0</v>
      </c>
      <c r="AM76" s="56">
        <f>IF($C76=Repart_lignes,0,
(SUMIF(Fonctionnement[Affectation matrice],$A76,Fonctionnement[TVA acquittée])+SUMIF(Invest[Affectation matrice],$A76,Invest[TVA acquittée]))*CM76)</f>
        <v>0</v>
      </c>
      <c r="AN76" s="56">
        <f>IF($C76=Repart_lignes,0,
(SUMIF(Fonctionnement[Affectation matrice],$A76,Fonctionnement[TVA acquittée])+SUMIF(Invest[Affectation matrice],$A76,Invest[TVA acquittée]))*CN76)</f>
        <v>0</v>
      </c>
      <c r="AO76" s="56">
        <f>IF($C76=Repart_lignes,0,
(SUMIF(Fonctionnement[Affectation matrice],$A76,Fonctionnement[TVA acquittée])+SUMIF(Invest[Affectation matrice],$A76,Invest[TVA acquittée]))*CO76)</f>
        <v>0</v>
      </c>
      <c r="AP76" s="56">
        <f>IF($C76=Repart_lignes,0,
(SUMIF(Fonctionnement[Affectation matrice],$A76,Fonctionnement[TVA acquittée])+SUMIF(Invest[Affectation matrice],$A76,Invest[TVA acquittée]))*CP76)</f>
        <v>0</v>
      </c>
      <c r="AQ76" s="56">
        <f>IF($C76=Repart_lignes,0,
(SUMIF(Fonctionnement[Affectation matrice],$A76,Fonctionnement[TVA acquittée])+SUMIF(Invest[Affectation matrice],$A76,Invest[TVA acquittée]))*CQ76)</f>
        <v>0</v>
      </c>
      <c r="AR76" s="56">
        <f>IF($C76=Repart_lignes,0,
(SUMIF(Fonctionnement[Affectation matrice],$A76,Fonctionnement[TVA acquittée])+SUMIF(Invest[Affectation matrice],$A76,Invest[TVA acquittée]))*CR76)</f>
        <v>0</v>
      </c>
      <c r="AS76" s="56">
        <f>IF($C76=Repart_lignes,0,
(SUMIF(Fonctionnement[Affectation matrice],$A76,Fonctionnement[TVA acquittée])+SUMIF(Invest[Affectation matrice],$A76,Invest[TVA acquittée]))*CS76)</f>
        <v>0</v>
      </c>
      <c r="AT76" s="56">
        <f>IF($C76=Repart_lignes,0,
(SUMIF(Fonctionnement[Affectation matrice],$A76,Fonctionnement[TVA acquittée])+SUMIF(Invest[Affectation matrice],$A76,Invest[TVA acquittée]))*CT76)</f>
        <v>0</v>
      </c>
      <c r="AU76" s="56">
        <f>IF($C76=Repart_lignes,0,
(SUMIF(Fonctionnement[Affectation matrice],$A76,Fonctionnement[TVA acquittée])+SUMIF(Invest[Affectation matrice],$A76,Invest[TVA acquittée]))*CU76)</f>
        <v>0</v>
      </c>
      <c r="AV76" s="56">
        <f>IF($C76=Repart_lignes,0,
(SUMIF(Fonctionnement[Affectation matrice],$A76,Fonctionnement[TVA acquittée])+SUMIF(Invest[Affectation matrice],$A76,Invest[TVA acquittée]))*CV76)</f>
        <v>0</v>
      </c>
      <c r="AW76" s="56">
        <f>IF($C76=Repart_lignes,0,
(SUMIF(Fonctionnement[Affectation matrice],$A76,Fonctionnement[TVA acquittée])+SUMIF(Invest[Affectation matrice],$A76,Invest[TVA acquittée]))*CW76)</f>
        <v>0</v>
      </c>
      <c r="AX76" s="56">
        <f>IF($C76=Repart_lignes,0,
(SUMIF(Fonctionnement[Affectation matrice],$A76,Fonctionnement[TVA acquittée])+SUMIF(Invest[Affectation matrice],$A76,Invest[TVA acquittée]))*CX76)</f>
        <v>0</v>
      </c>
      <c r="AY76" s="56">
        <f>IF($C76=Repart_lignes,0,
(SUMIF(Fonctionnement[Affectation matrice],$A76,Fonctionnement[TVA acquittée])+SUMIF(Invest[Affectation matrice],$A76,Invest[TVA acquittée]))*CY76)</f>
        <v>0</v>
      </c>
      <c r="AZ76" s="56">
        <f>IF($C76=Repart_lignes,0,
(SUMIF(Fonctionnement[Affectation matrice],$A76,Fonctionnement[TVA acquittée])+SUMIF(Invest[Affectation matrice],$A76,Invest[TVA acquittée]))*CZ76)</f>
        <v>0</v>
      </c>
      <c r="BA76" s="56">
        <f>IF($C76=Repart_lignes,0,
(SUMIF(Fonctionnement[Affectation matrice],$A76,Fonctionnement[TVA acquittée])+SUMIF(Invest[Affectation matrice],$A76,Invest[TVA acquittée]))*DA76)</f>
        <v>0</v>
      </c>
      <c r="BB76" s="56">
        <f>IF($C76=Repart_lignes,0,
(SUMIF(Fonctionnement[Affectation matrice],$A76,Fonctionnement[TVA acquittée])+SUMIF(Invest[Affectation matrice],$A76,Invest[TVA acquittée]))*DB76)</f>
        <v>0</v>
      </c>
      <c r="BC76" s="56">
        <f>IF($C76=Repart_lignes,0,
(SUMIF(Fonctionnement[Affectation matrice],$A76,Fonctionnement[TVA acquittée])+SUMIF(Invest[Affectation matrice],$A76,Invest[TVA acquittée]))*DC76)</f>
        <v>0</v>
      </c>
      <c r="BD76" s="56">
        <f>IF($C76=Repart_lignes,0,
(SUMIF(Fonctionnement[Affectation matrice],$A76,Fonctionnement[TVA acquittée])+SUMIF(Invest[Affectation matrice],$A76,Invest[TVA acquittée]))*DD76)</f>
        <v>0</v>
      </c>
      <c r="BE76" s="58">
        <f t="shared" si="61"/>
        <v>0</v>
      </c>
      <c r="BF76" s="56">
        <f>IF($C76=Repart_lignes,0,
(SUMIF(Fonctionnement[Affectation matrice],$A76,Fonctionnement[Montant (€HT)])+SUMIF(Invest[Affectation matrice],$A76,Invest[Amortissement HT + intérêts]))*CF76)</f>
        <v>0</v>
      </c>
      <c r="BG76" s="56">
        <f>IF($C76=Repart_lignes,0,
(SUMIF(Fonctionnement[Affectation matrice],$A76,Fonctionnement[Montant (€HT)])+SUMIF(Invest[Affectation matrice],$A76,Invest[Amortissement HT + intérêts]))*CG76)</f>
        <v>0</v>
      </c>
      <c r="BH76" s="56">
        <f>IF($C76=Repart_lignes,0,
(SUMIF(Fonctionnement[Affectation matrice],$A76,Fonctionnement[Montant (€HT)])+SUMIF(Invest[Affectation matrice],$A76,Invest[Amortissement HT + intérêts]))*CH76)</f>
        <v>0</v>
      </c>
      <c r="BI76" s="56">
        <f>IF($C76=Repart_lignes,0,
(SUMIF(Fonctionnement[Affectation matrice],$A76,Fonctionnement[Montant (€HT)])+SUMIF(Invest[Affectation matrice],$A76,Invest[Amortissement HT + intérêts]))*CI76)</f>
        <v>0</v>
      </c>
      <c r="BJ76" s="56">
        <f>IF($C76=Repart_lignes,0,
(SUMIF(Fonctionnement[Affectation matrice],$A76,Fonctionnement[Montant (€HT)])+SUMIF(Invest[Affectation matrice],$A76,Invest[Amortissement HT + intérêts]))*CJ76)</f>
        <v>0</v>
      </c>
      <c r="BK76" s="56">
        <f>IF($C76=Repart_lignes,0,
(SUMIF(Fonctionnement[Affectation matrice],$A76,Fonctionnement[Montant (€HT)])+SUMIF(Invest[Affectation matrice],$A76,Invest[Amortissement HT + intérêts]))*CK76)</f>
        <v>0</v>
      </c>
      <c r="BL76" s="56">
        <f>IF($C76=Repart_lignes,0,
(SUMIF(Fonctionnement[Affectation matrice],$A76,Fonctionnement[Montant (€HT)])+SUMIF(Invest[Affectation matrice],$A76,Invest[Amortissement HT + intérêts]))*CL76)</f>
        <v>0</v>
      </c>
      <c r="BM76" s="56">
        <f>IF($C76=Repart_lignes,0,
(SUMIF(Fonctionnement[Affectation matrice],$A76,Fonctionnement[Montant (€HT)])+SUMIF(Invest[Affectation matrice],$A76,Invest[Amortissement HT + intérêts]))*CM76)</f>
        <v>0</v>
      </c>
      <c r="BN76" s="56">
        <f>IF($C76=Repart_lignes,0,
(SUMIF(Fonctionnement[Affectation matrice],$A76,Fonctionnement[Montant (€HT)])+SUMIF(Invest[Affectation matrice],$A76,Invest[Amortissement HT + intérêts]))*CN76)</f>
        <v>0</v>
      </c>
      <c r="BO76" s="56">
        <f>IF($C76=Repart_lignes,0,
(SUMIF(Fonctionnement[Affectation matrice],$A76,Fonctionnement[Montant (€HT)])+SUMIF(Invest[Affectation matrice],$A76,Invest[Amortissement HT + intérêts]))*CO76)</f>
        <v>0</v>
      </c>
      <c r="BP76" s="56">
        <f>IF($C76=Repart_lignes,0,
(SUMIF(Fonctionnement[Affectation matrice],$A76,Fonctionnement[Montant (€HT)])+SUMIF(Invest[Affectation matrice],$A76,Invest[Amortissement HT + intérêts]))*CP76)</f>
        <v>0</v>
      </c>
      <c r="BQ76" s="56">
        <f>IF($C76=Repart_lignes,0,
(SUMIF(Fonctionnement[Affectation matrice],$A76,Fonctionnement[Montant (€HT)])+SUMIF(Invest[Affectation matrice],$A76,Invest[Amortissement HT + intérêts]))*CQ76)</f>
        <v>0</v>
      </c>
      <c r="BR76" s="56">
        <f>IF($C76=Repart_lignes,0,
(SUMIF(Fonctionnement[Affectation matrice],$A76,Fonctionnement[Montant (€HT)])+SUMIF(Invest[Affectation matrice],$A76,Invest[Amortissement HT + intérêts]))*CR76)</f>
        <v>0</v>
      </c>
      <c r="BS76" s="56">
        <f>IF($C76=Repart_lignes,0,
(SUMIF(Fonctionnement[Affectation matrice],$A76,Fonctionnement[Montant (€HT)])+SUMIF(Invest[Affectation matrice],$A76,Invest[Amortissement HT + intérêts]))*CS76)</f>
        <v>0</v>
      </c>
      <c r="BT76" s="56">
        <f>IF($C76=Repart_lignes,0,
(SUMIF(Fonctionnement[Affectation matrice],$A76,Fonctionnement[Montant (€HT)])+SUMIF(Invest[Affectation matrice],$A76,Invest[Amortissement HT + intérêts]))*CT76)</f>
        <v>0</v>
      </c>
      <c r="BU76" s="56">
        <f>IF($C76=Repart_lignes,0,
(SUMIF(Fonctionnement[Affectation matrice],$A76,Fonctionnement[Montant (€HT)])+SUMIF(Invest[Affectation matrice],$A76,Invest[Amortissement HT + intérêts]))*CU76)</f>
        <v>0</v>
      </c>
      <c r="BV76" s="56">
        <f>IF($C76=Repart_lignes,0,
(SUMIF(Fonctionnement[Affectation matrice],$A76,Fonctionnement[Montant (€HT)])+SUMIF(Invest[Affectation matrice],$A76,Invest[Amortissement HT + intérêts]))*CV76)</f>
        <v>0</v>
      </c>
      <c r="BW76" s="56">
        <f>IF($C76=Repart_lignes,0,
(SUMIF(Fonctionnement[Affectation matrice],$A76,Fonctionnement[Montant (€HT)])+SUMIF(Invest[Affectation matrice],$A76,Invest[Amortissement HT + intérêts]))*CW76)</f>
        <v>0</v>
      </c>
      <c r="BX76" s="56">
        <f>IF($C76=Repart_lignes,0,
(SUMIF(Fonctionnement[Affectation matrice],$A76,Fonctionnement[Montant (€HT)])+SUMIF(Invest[Affectation matrice],$A76,Invest[Amortissement HT + intérêts]))*CX76)</f>
        <v>0</v>
      </c>
      <c r="BY76" s="56">
        <f>IF($C76=Repart_lignes,0,
(SUMIF(Fonctionnement[Affectation matrice],$A76,Fonctionnement[Montant (€HT)])+SUMIF(Invest[Affectation matrice],$A76,Invest[Amortissement HT + intérêts]))*CY76)</f>
        <v>0</v>
      </c>
      <c r="BZ76" s="56">
        <f>IF($C76=Repart_lignes,0,
(SUMIF(Fonctionnement[Affectation matrice],$A76,Fonctionnement[Montant (€HT)])+SUMIF(Invest[Affectation matrice],$A76,Invest[Amortissement HT + intérêts]))*CZ76)</f>
        <v>0</v>
      </c>
      <c r="CA76" s="56">
        <f>IF($C76=Repart_lignes,0,
(SUMIF(Fonctionnement[Affectation matrice],$A76,Fonctionnement[Montant (€HT)])+SUMIF(Invest[Affectation matrice],$A76,Invest[Amortissement HT + intérêts]))*DA76)</f>
        <v>0</v>
      </c>
      <c r="CB76" s="56">
        <f>IF($C76=Repart_lignes,0,
(SUMIF(Fonctionnement[Affectation matrice],$A76,Fonctionnement[Montant (€HT)])+SUMIF(Invest[Affectation matrice],$A76,Invest[Amortissement HT + intérêts]))*DB76)</f>
        <v>0</v>
      </c>
      <c r="CC76" s="56">
        <f>IF($C76=Repart_lignes,0,
(SUMIF(Fonctionnement[Affectation matrice],$A76,Fonctionnement[Montant (€HT)])+SUMIF(Invest[Affectation matrice],$A76,Invest[Amortissement HT + intérêts]))*DC76)</f>
        <v>0</v>
      </c>
      <c r="CD76" s="56">
        <f>IF($C76=Repart_lignes,0,
(SUMIF(Fonctionnement[Affectation matrice],$A76,Fonctionnement[Montant (€HT)])+SUMIF(Invest[Affectation matrice],$A76,Invest[Amortissement HT + intérêts]))*DD76)</f>
        <v>0</v>
      </c>
      <c r="CE76" s="59">
        <f t="shared" si="62"/>
        <v>0</v>
      </c>
      <c r="CF76" s="61">
        <f t="shared" si="63"/>
        <v>0</v>
      </c>
      <c r="CG76" s="61">
        <f t="shared" si="64"/>
        <v>0</v>
      </c>
      <c r="CH76" s="61">
        <f t="shared" si="65"/>
        <v>0</v>
      </c>
      <c r="CI76" s="61">
        <f t="shared" si="66"/>
        <v>0</v>
      </c>
      <c r="CJ76" s="61">
        <f t="shared" si="67"/>
        <v>0</v>
      </c>
      <c r="CK76" s="61">
        <f t="shared" si="68"/>
        <v>0</v>
      </c>
      <c r="CL76" s="61">
        <f t="shared" si="69"/>
        <v>0</v>
      </c>
      <c r="CM76" s="61">
        <f t="shared" si="70"/>
        <v>0</v>
      </c>
      <c r="CN76" s="61">
        <f t="shared" si="71"/>
        <v>0</v>
      </c>
      <c r="CO76" s="61">
        <f t="shared" si="72"/>
        <v>0</v>
      </c>
      <c r="CP76" s="61">
        <f t="shared" si="73"/>
        <v>0</v>
      </c>
      <c r="CQ76" s="61">
        <f t="shared" si="74"/>
        <v>0</v>
      </c>
      <c r="CR76" s="61">
        <f t="shared" si="75"/>
        <v>0</v>
      </c>
      <c r="CS76" s="61">
        <f t="shared" si="76"/>
        <v>0</v>
      </c>
      <c r="CT76" s="61">
        <f t="shared" si="77"/>
        <v>0</v>
      </c>
      <c r="CU76" s="61">
        <f t="shared" si="78"/>
        <v>0</v>
      </c>
      <c r="CV76" s="61">
        <f t="shared" si="79"/>
        <v>0</v>
      </c>
      <c r="CW76" s="61">
        <f t="shared" si="80"/>
        <v>0</v>
      </c>
      <c r="CX76" s="61">
        <f t="shared" si="81"/>
        <v>0</v>
      </c>
      <c r="CY76" s="61">
        <f t="shared" si="82"/>
        <v>0</v>
      </c>
      <c r="CZ76" s="61">
        <f t="shared" si="83"/>
        <v>0</v>
      </c>
      <c r="DA76" s="61">
        <f t="shared" si="84"/>
        <v>0</v>
      </c>
      <c r="DB76" s="61">
        <f t="shared" si="85"/>
        <v>0</v>
      </c>
      <c r="DC76" s="61">
        <f t="shared" si="86"/>
        <v>0</v>
      </c>
      <c r="DD76" s="61">
        <f t="shared" si="87"/>
        <v>0</v>
      </c>
      <c r="DE76" s="61">
        <f t="shared" si="88"/>
        <v>0</v>
      </c>
    </row>
    <row r="77" spans="1:109" x14ac:dyDescent="0.25">
      <c r="A77" s="248"/>
      <c r="B77" s="248"/>
      <c r="C77" s="251"/>
      <c r="D77" s="25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1">
        <f t="shared" si="60"/>
        <v>0</v>
      </c>
      <c r="AE77" s="53" t="str">
        <f t="shared" ca="1" si="89"/>
        <v/>
      </c>
      <c r="AF77" s="56">
        <f>IF($C77=Repart_lignes,0,
(SUMIF(Fonctionnement[Affectation matrice],$A77,Fonctionnement[TVA acquittée])+SUMIF(Invest[Affectation matrice],$A77,Invest[TVA acquittée]))*CF77)</f>
        <v>0</v>
      </c>
      <c r="AG77" s="56">
        <f>IF($C77=Repart_lignes,0,
(SUMIF(Fonctionnement[Affectation matrice],$A77,Fonctionnement[TVA acquittée])+SUMIF(Invest[Affectation matrice],$A77,Invest[TVA acquittée]))*CG77)</f>
        <v>0</v>
      </c>
      <c r="AH77" s="56">
        <f>IF($C77=Repart_lignes,0,
(SUMIF(Fonctionnement[Affectation matrice],$A77,Fonctionnement[TVA acquittée])+SUMIF(Invest[Affectation matrice],$A77,Invest[TVA acquittée]))*CH77)</f>
        <v>0</v>
      </c>
      <c r="AI77" s="56">
        <f>IF($C77=Repart_lignes,0,
(SUMIF(Fonctionnement[Affectation matrice],$A77,Fonctionnement[TVA acquittée])+SUMIF(Invest[Affectation matrice],$A77,Invest[TVA acquittée]))*CI77)</f>
        <v>0</v>
      </c>
      <c r="AJ77" s="56">
        <f>IF($C77=Repart_lignes,0,
(SUMIF(Fonctionnement[Affectation matrice],$A77,Fonctionnement[TVA acquittée])+SUMIF(Invest[Affectation matrice],$A77,Invest[TVA acquittée]))*CJ77)</f>
        <v>0</v>
      </c>
      <c r="AK77" s="56">
        <f>IF($C77=Repart_lignes,0,
(SUMIF(Fonctionnement[Affectation matrice],$A77,Fonctionnement[TVA acquittée])+SUMIF(Invest[Affectation matrice],$A77,Invest[TVA acquittée]))*CK77)</f>
        <v>0</v>
      </c>
      <c r="AL77" s="56">
        <f>IF($C77=Repart_lignes,0,
(SUMIF(Fonctionnement[Affectation matrice],$A77,Fonctionnement[TVA acquittée])+SUMIF(Invest[Affectation matrice],$A77,Invest[TVA acquittée]))*CL77)</f>
        <v>0</v>
      </c>
      <c r="AM77" s="56">
        <f>IF($C77=Repart_lignes,0,
(SUMIF(Fonctionnement[Affectation matrice],$A77,Fonctionnement[TVA acquittée])+SUMIF(Invest[Affectation matrice],$A77,Invest[TVA acquittée]))*CM77)</f>
        <v>0</v>
      </c>
      <c r="AN77" s="56">
        <f>IF($C77=Repart_lignes,0,
(SUMIF(Fonctionnement[Affectation matrice],$A77,Fonctionnement[TVA acquittée])+SUMIF(Invest[Affectation matrice],$A77,Invest[TVA acquittée]))*CN77)</f>
        <v>0</v>
      </c>
      <c r="AO77" s="56">
        <f>IF($C77=Repart_lignes,0,
(SUMIF(Fonctionnement[Affectation matrice],$A77,Fonctionnement[TVA acquittée])+SUMIF(Invest[Affectation matrice],$A77,Invest[TVA acquittée]))*CO77)</f>
        <v>0</v>
      </c>
      <c r="AP77" s="56">
        <f>IF($C77=Repart_lignes,0,
(SUMIF(Fonctionnement[Affectation matrice],$A77,Fonctionnement[TVA acquittée])+SUMIF(Invest[Affectation matrice],$A77,Invest[TVA acquittée]))*CP77)</f>
        <v>0</v>
      </c>
      <c r="AQ77" s="56">
        <f>IF($C77=Repart_lignes,0,
(SUMIF(Fonctionnement[Affectation matrice],$A77,Fonctionnement[TVA acquittée])+SUMIF(Invest[Affectation matrice],$A77,Invest[TVA acquittée]))*CQ77)</f>
        <v>0</v>
      </c>
      <c r="AR77" s="56">
        <f>IF($C77=Repart_lignes,0,
(SUMIF(Fonctionnement[Affectation matrice],$A77,Fonctionnement[TVA acquittée])+SUMIF(Invest[Affectation matrice],$A77,Invest[TVA acquittée]))*CR77)</f>
        <v>0</v>
      </c>
      <c r="AS77" s="56">
        <f>IF($C77=Repart_lignes,0,
(SUMIF(Fonctionnement[Affectation matrice],$A77,Fonctionnement[TVA acquittée])+SUMIF(Invest[Affectation matrice],$A77,Invest[TVA acquittée]))*CS77)</f>
        <v>0</v>
      </c>
      <c r="AT77" s="56">
        <f>IF($C77=Repart_lignes,0,
(SUMIF(Fonctionnement[Affectation matrice],$A77,Fonctionnement[TVA acquittée])+SUMIF(Invest[Affectation matrice],$A77,Invest[TVA acquittée]))*CT77)</f>
        <v>0</v>
      </c>
      <c r="AU77" s="56">
        <f>IF($C77=Repart_lignes,0,
(SUMIF(Fonctionnement[Affectation matrice],$A77,Fonctionnement[TVA acquittée])+SUMIF(Invest[Affectation matrice],$A77,Invest[TVA acquittée]))*CU77)</f>
        <v>0</v>
      </c>
      <c r="AV77" s="56">
        <f>IF($C77=Repart_lignes,0,
(SUMIF(Fonctionnement[Affectation matrice],$A77,Fonctionnement[TVA acquittée])+SUMIF(Invest[Affectation matrice],$A77,Invest[TVA acquittée]))*CV77)</f>
        <v>0</v>
      </c>
      <c r="AW77" s="56">
        <f>IF($C77=Repart_lignes,0,
(SUMIF(Fonctionnement[Affectation matrice],$A77,Fonctionnement[TVA acquittée])+SUMIF(Invest[Affectation matrice],$A77,Invest[TVA acquittée]))*CW77)</f>
        <v>0</v>
      </c>
      <c r="AX77" s="56">
        <f>IF($C77=Repart_lignes,0,
(SUMIF(Fonctionnement[Affectation matrice],$A77,Fonctionnement[TVA acquittée])+SUMIF(Invest[Affectation matrice],$A77,Invest[TVA acquittée]))*CX77)</f>
        <v>0</v>
      </c>
      <c r="AY77" s="56">
        <f>IF($C77=Repart_lignes,0,
(SUMIF(Fonctionnement[Affectation matrice],$A77,Fonctionnement[TVA acquittée])+SUMIF(Invest[Affectation matrice],$A77,Invest[TVA acquittée]))*CY77)</f>
        <v>0</v>
      </c>
      <c r="AZ77" s="56">
        <f>IF($C77=Repart_lignes,0,
(SUMIF(Fonctionnement[Affectation matrice],$A77,Fonctionnement[TVA acquittée])+SUMIF(Invest[Affectation matrice],$A77,Invest[TVA acquittée]))*CZ77)</f>
        <v>0</v>
      </c>
      <c r="BA77" s="56">
        <f>IF($C77=Repart_lignes,0,
(SUMIF(Fonctionnement[Affectation matrice],$A77,Fonctionnement[TVA acquittée])+SUMIF(Invest[Affectation matrice],$A77,Invest[TVA acquittée]))*DA77)</f>
        <v>0</v>
      </c>
      <c r="BB77" s="56">
        <f>IF($C77=Repart_lignes,0,
(SUMIF(Fonctionnement[Affectation matrice],$A77,Fonctionnement[TVA acquittée])+SUMIF(Invest[Affectation matrice],$A77,Invest[TVA acquittée]))*DB77)</f>
        <v>0</v>
      </c>
      <c r="BC77" s="56">
        <f>IF($C77=Repart_lignes,0,
(SUMIF(Fonctionnement[Affectation matrice],$A77,Fonctionnement[TVA acquittée])+SUMIF(Invest[Affectation matrice],$A77,Invest[TVA acquittée]))*DC77)</f>
        <v>0</v>
      </c>
      <c r="BD77" s="56">
        <f>IF($C77=Repart_lignes,0,
(SUMIF(Fonctionnement[Affectation matrice],$A77,Fonctionnement[TVA acquittée])+SUMIF(Invest[Affectation matrice],$A77,Invest[TVA acquittée]))*DD77)</f>
        <v>0</v>
      </c>
      <c r="BE77" s="58">
        <f t="shared" si="61"/>
        <v>0</v>
      </c>
      <c r="BF77" s="56">
        <f>IF($C77=Repart_lignes,0,
(SUMIF(Fonctionnement[Affectation matrice],$A77,Fonctionnement[Montant (€HT)])+SUMIF(Invest[Affectation matrice],$A77,Invest[Amortissement HT + intérêts]))*CF77)</f>
        <v>0</v>
      </c>
      <c r="BG77" s="56">
        <f>IF($C77=Repart_lignes,0,
(SUMIF(Fonctionnement[Affectation matrice],$A77,Fonctionnement[Montant (€HT)])+SUMIF(Invest[Affectation matrice],$A77,Invest[Amortissement HT + intérêts]))*CG77)</f>
        <v>0</v>
      </c>
      <c r="BH77" s="56">
        <f>IF($C77=Repart_lignes,0,
(SUMIF(Fonctionnement[Affectation matrice],$A77,Fonctionnement[Montant (€HT)])+SUMIF(Invest[Affectation matrice],$A77,Invest[Amortissement HT + intérêts]))*CH77)</f>
        <v>0</v>
      </c>
      <c r="BI77" s="56">
        <f>IF($C77=Repart_lignes,0,
(SUMIF(Fonctionnement[Affectation matrice],$A77,Fonctionnement[Montant (€HT)])+SUMIF(Invest[Affectation matrice],$A77,Invest[Amortissement HT + intérêts]))*CI77)</f>
        <v>0</v>
      </c>
      <c r="BJ77" s="56">
        <f>IF($C77=Repart_lignes,0,
(SUMIF(Fonctionnement[Affectation matrice],$A77,Fonctionnement[Montant (€HT)])+SUMIF(Invest[Affectation matrice],$A77,Invest[Amortissement HT + intérêts]))*CJ77)</f>
        <v>0</v>
      </c>
      <c r="BK77" s="56">
        <f>IF($C77=Repart_lignes,0,
(SUMIF(Fonctionnement[Affectation matrice],$A77,Fonctionnement[Montant (€HT)])+SUMIF(Invest[Affectation matrice],$A77,Invest[Amortissement HT + intérêts]))*CK77)</f>
        <v>0</v>
      </c>
      <c r="BL77" s="56">
        <f>IF($C77=Repart_lignes,0,
(SUMIF(Fonctionnement[Affectation matrice],$A77,Fonctionnement[Montant (€HT)])+SUMIF(Invest[Affectation matrice],$A77,Invest[Amortissement HT + intérêts]))*CL77)</f>
        <v>0</v>
      </c>
      <c r="BM77" s="56">
        <f>IF($C77=Repart_lignes,0,
(SUMIF(Fonctionnement[Affectation matrice],$A77,Fonctionnement[Montant (€HT)])+SUMIF(Invest[Affectation matrice],$A77,Invest[Amortissement HT + intérêts]))*CM77)</f>
        <v>0</v>
      </c>
      <c r="BN77" s="56">
        <f>IF($C77=Repart_lignes,0,
(SUMIF(Fonctionnement[Affectation matrice],$A77,Fonctionnement[Montant (€HT)])+SUMIF(Invest[Affectation matrice],$A77,Invest[Amortissement HT + intérêts]))*CN77)</f>
        <v>0</v>
      </c>
      <c r="BO77" s="56">
        <f>IF($C77=Repart_lignes,0,
(SUMIF(Fonctionnement[Affectation matrice],$A77,Fonctionnement[Montant (€HT)])+SUMIF(Invest[Affectation matrice],$A77,Invest[Amortissement HT + intérêts]))*CO77)</f>
        <v>0</v>
      </c>
      <c r="BP77" s="56">
        <f>IF($C77=Repart_lignes,0,
(SUMIF(Fonctionnement[Affectation matrice],$A77,Fonctionnement[Montant (€HT)])+SUMIF(Invest[Affectation matrice],$A77,Invest[Amortissement HT + intérêts]))*CP77)</f>
        <v>0</v>
      </c>
      <c r="BQ77" s="56">
        <f>IF($C77=Repart_lignes,0,
(SUMIF(Fonctionnement[Affectation matrice],$A77,Fonctionnement[Montant (€HT)])+SUMIF(Invest[Affectation matrice],$A77,Invest[Amortissement HT + intérêts]))*CQ77)</f>
        <v>0</v>
      </c>
      <c r="BR77" s="56">
        <f>IF($C77=Repart_lignes,0,
(SUMIF(Fonctionnement[Affectation matrice],$A77,Fonctionnement[Montant (€HT)])+SUMIF(Invest[Affectation matrice],$A77,Invest[Amortissement HT + intérêts]))*CR77)</f>
        <v>0</v>
      </c>
      <c r="BS77" s="56">
        <f>IF($C77=Repart_lignes,0,
(SUMIF(Fonctionnement[Affectation matrice],$A77,Fonctionnement[Montant (€HT)])+SUMIF(Invest[Affectation matrice],$A77,Invest[Amortissement HT + intérêts]))*CS77)</f>
        <v>0</v>
      </c>
      <c r="BT77" s="56">
        <f>IF($C77=Repart_lignes,0,
(SUMIF(Fonctionnement[Affectation matrice],$A77,Fonctionnement[Montant (€HT)])+SUMIF(Invest[Affectation matrice],$A77,Invest[Amortissement HT + intérêts]))*CT77)</f>
        <v>0</v>
      </c>
      <c r="BU77" s="56">
        <f>IF($C77=Repart_lignes,0,
(SUMIF(Fonctionnement[Affectation matrice],$A77,Fonctionnement[Montant (€HT)])+SUMIF(Invest[Affectation matrice],$A77,Invest[Amortissement HT + intérêts]))*CU77)</f>
        <v>0</v>
      </c>
      <c r="BV77" s="56">
        <f>IF($C77=Repart_lignes,0,
(SUMIF(Fonctionnement[Affectation matrice],$A77,Fonctionnement[Montant (€HT)])+SUMIF(Invest[Affectation matrice],$A77,Invest[Amortissement HT + intérêts]))*CV77)</f>
        <v>0</v>
      </c>
      <c r="BW77" s="56">
        <f>IF($C77=Repart_lignes,0,
(SUMIF(Fonctionnement[Affectation matrice],$A77,Fonctionnement[Montant (€HT)])+SUMIF(Invest[Affectation matrice],$A77,Invest[Amortissement HT + intérêts]))*CW77)</f>
        <v>0</v>
      </c>
      <c r="BX77" s="56">
        <f>IF($C77=Repart_lignes,0,
(SUMIF(Fonctionnement[Affectation matrice],$A77,Fonctionnement[Montant (€HT)])+SUMIF(Invest[Affectation matrice],$A77,Invest[Amortissement HT + intérêts]))*CX77)</f>
        <v>0</v>
      </c>
      <c r="BY77" s="56">
        <f>IF($C77=Repart_lignes,0,
(SUMIF(Fonctionnement[Affectation matrice],$A77,Fonctionnement[Montant (€HT)])+SUMIF(Invest[Affectation matrice],$A77,Invest[Amortissement HT + intérêts]))*CY77)</f>
        <v>0</v>
      </c>
      <c r="BZ77" s="56">
        <f>IF($C77=Repart_lignes,0,
(SUMIF(Fonctionnement[Affectation matrice],$A77,Fonctionnement[Montant (€HT)])+SUMIF(Invest[Affectation matrice],$A77,Invest[Amortissement HT + intérêts]))*CZ77)</f>
        <v>0</v>
      </c>
      <c r="CA77" s="56">
        <f>IF($C77=Repart_lignes,0,
(SUMIF(Fonctionnement[Affectation matrice],$A77,Fonctionnement[Montant (€HT)])+SUMIF(Invest[Affectation matrice],$A77,Invest[Amortissement HT + intérêts]))*DA77)</f>
        <v>0</v>
      </c>
      <c r="CB77" s="56">
        <f>IF($C77=Repart_lignes,0,
(SUMIF(Fonctionnement[Affectation matrice],$A77,Fonctionnement[Montant (€HT)])+SUMIF(Invest[Affectation matrice],$A77,Invest[Amortissement HT + intérêts]))*DB77)</f>
        <v>0</v>
      </c>
      <c r="CC77" s="56">
        <f>IF($C77=Repart_lignes,0,
(SUMIF(Fonctionnement[Affectation matrice],$A77,Fonctionnement[Montant (€HT)])+SUMIF(Invest[Affectation matrice],$A77,Invest[Amortissement HT + intérêts]))*DC77)</f>
        <v>0</v>
      </c>
      <c r="CD77" s="56">
        <f>IF($C77=Repart_lignes,0,
(SUMIF(Fonctionnement[Affectation matrice],$A77,Fonctionnement[Montant (€HT)])+SUMIF(Invest[Affectation matrice],$A77,Invest[Amortissement HT + intérêts]))*DD77)</f>
        <v>0</v>
      </c>
      <c r="CE77" s="59">
        <f t="shared" si="62"/>
        <v>0</v>
      </c>
      <c r="CF77" s="61">
        <f t="shared" si="63"/>
        <v>0</v>
      </c>
      <c r="CG77" s="61">
        <f t="shared" si="64"/>
        <v>0</v>
      </c>
      <c r="CH77" s="61">
        <f t="shared" si="65"/>
        <v>0</v>
      </c>
      <c r="CI77" s="61">
        <f t="shared" si="66"/>
        <v>0</v>
      </c>
      <c r="CJ77" s="61">
        <f t="shared" si="67"/>
        <v>0</v>
      </c>
      <c r="CK77" s="61">
        <f t="shared" si="68"/>
        <v>0</v>
      </c>
      <c r="CL77" s="61">
        <f t="shared" si="69"/>
        <v>0</v>
      </c>
      <c r="CM77" s="61">
        <f t="shared" si="70"/>
        <v>0</v>
      </c>
      <c r="CN77" s="61">
        <f t="shared" si="71"/>
        <v>0</v>
      </c>
      <c r="CO77" s="61">
        <f t="shared" si="72"/>
        <v>0</v>
      </c>
      <c r="CP77" s="61">
        <f t="shared" si="73"/>
        <v>0</v>
      </c>
      <c r="CQ77" s="61">
        <f t="shared" si="74"/>
        <v>0</v>
      </c>
      <c r="CR77" s="61">
        <f t="shared" si="75"/>
        <v>0</v>
      </c>
      <c r="CS77" s="61">
        <f t="shared" si="76"/>
        <v>0</v>
      </c>
      <c r="CT77" s="61">
        <f t="shared" si="77"/>
        <v>0</v>
      </c>
      <c r="CU77" s="61">
        <f t="shared" si="78"/>
        <v>0</v>
      </c>
      <c r="CV77" s="61">
        <f t="shared" si="79"/>
        <v>0</v>
      </c>
      <c r="CW77" s="61">
        <f t="shared" si="80"/>
        <v>0</v>
      </c>
      <c r="CX77" s="61">
        <f t="shared" si="81"/>
        <v>0</v>
      </c>
      <c r="CY77" s="61">
        <f t="shared" si="82"/>
        <v>0</v>
      </c>
      <c r="CZ77" s="61">
        <f t="shared" si="83"/>
        <v>0</v>
      </c>
      <c r="DA77" s="61">
        <f t="shared" si="84"/>
        <v>0</v>
      </c>
      <c r="DB77" s="61">
        <f t="shared" si="85"/>
        <v>0</v>
      </c>
      <c r="DC77" s="61">
        <f t="shared" si="86"/>
        <v>0</v>
      </c>
      <c r="DD77" s="61">
        <f t="shared" si="87"/>
        <v>0</v>
      </c>
      <c r="DE77" s="61">
        <f t="shared" si="88"/>
        <v>0</v>
      </c>
    </row>
    <row r="78" spans="1:109" x14ac:dyDescent="0.25">
      <c r="A78" s="248"/>
      <c r="B78" s="248"/>
      <c r="C78" s="251"/>
      <c r="D78" s="25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1">
        <f t="shared" si="60"/>
        <v>0</v>
      </c>
      <c r="AE78" s="53" t="str">
        <f t="shared" ca="1" si="89"/>
        <v/>
      </c>
      <c r="AF78" s="56">
        <f>IF($C78=Repart_lignes,0,
(SUMIF(Fonctionnement[Affectation matrice],$A78,Fonctionnement[TVA acquittée])+SUMIF(Invest[Affectation matrice],$A78,Invest[TVA acquittée]))*CF78)</f>
        <v>0</v>
      </c>
      <c r="AG78" s="56">
        <f>IF($C78=Repart_lignes,0,
(SUMIF(Fonctionnement[Affectation matrice],$A78,Fonctionnement[TVA acquittée])+SUMIF(Invest[Affectation matrice],$A78,Invest[TVA acquittée]))*CG78)</f>
        <v>0</v>
      </c>
      <c r="AH78" s="56">
        <f>IF($C78=Repart_lignes,0,
(SUMIF(Fonctionnement[Affectation matrice],$A78,Fonctionnement[TVA acquittée])+SUMIF(Invest[Affectation matrice],$A78,Invest[TVA acquittée]))*CH78)</f>
        <v>0</v>
      </c>
      <c r="AI78" s="56">
        <f>IF($C78=Repart_lignes,0,
(SUMIF(Fonctionnement[Affectation matrice],$A78,Fonctionnement[TVA acquittée])+SUMIF(Invest[Affectation matrice],$A78,Invest[TVA acquittée]))*CI78)</f>
        <v>0</v>
      </c>
      <c r="AJ78" s="56">
        <f>IF($C78=Repart_lignes,0,
(SUMIF(Fonctionnement[Affectation matrice],$A78,Fonctionnement[TVA acquittée])+SUMIF(Invest[Affectation matrice],$A78,Invest[TVA acquittée]))*CJ78)</f>
        <v>0</v>
      </c>
      <c r="AK78" s="56">
        <f>IF($C78=Repart_lignes,0,
(SUMIF(Fonctionnement[Affectation matrice],$A78,Fonctionnement[TVA acquittée])+SUMIF(Invest[Affectation matrice],$A78,Invest[TVA acquittée]))*CK78)</f>
        <v>0</v>
      </c>
      <c r="AL78" s="56">
        <f>IF($C78=Repart_lignes,0,
(SUMIF(Fonctionnement[Affectation matrice],$A78,Fonctionnement[TVA acquittée])+SUMIF(Invest[Affectation matrice],$A78,Invest[TVA acquittée]))*CL78)</f>
        <v>0</v>
      </c>
      <c r="AM78" s="56">
        <f>IF($C78=Repart_lignes,0,
(SUMIF(Fonctionnement[Affectation matrice],$A78,Fonctionnement[TVA acquittée])+SUMIF(Invest[Affectation matrice],$A78,Invest[TVA acquittée]))*CM78)</f>
        <v>0</v>
      </c>
      <c r="AN78" s="56">
        <f>IF($C78=Repart_lignes,0,
(SUMIF(Fonctionnement[Affectation matrice],$A78,Fonctionnement[TVA acquittée])+SUMIF(Invest[Affectation matrice],$A78,Invest[TVA acquittée]))*CN78)</f>
        <v>0</v>
      </c>
      <c r="AO78" s="56">
        <f>IF($C78=Repart_lignes,0,
(SUMIF(Fonctionnement[Affectation matrice],$A78,Fonctionnement[TVA acquittée])+SUMIF(Invest[Affectation matrice],$A78,Invest[TVA acquittée]))*CO78)</f>
        <v>0</v>
      </c>
      <c r="AP78" s="56">
        <f>IF($C78=Repart_lignes,0,
(SUMIF(Fonctionnement[Affectation matrice],$A78,Fonctionnement[TVA acquittée])+SUMIF(Invest[Affectation matrice],$A78,Invest[TVA acquittée]))*CP78)</f>
        <v>0</v>
      </c>
      <c r="AQ78" s="56">
        <f>IF($C78=Repart_lignes,0,
(SUMIF(Fonctionnement[Affectation matrice],$A78,Fonctionnement[TVA acquittée])+SUMIF(Invest[Affectation matrice],$A78,Invest[TVA acquittée]))*CQ78)</f>
        <v>0</v>
      </c>
      <c r="AR78" s="56">
        <f>IF($C78=Repart_lignes,0,
(SUMIF(Fonctionnement[Affectation matrice],$A78,Fonctionnement[TVA acquittée])+SUMIF(Invest[Affectation matrice],$A78,Invest[TVA acquittée]))*CR78)</f>
        <v>0</v>
      </c>
      <c r="AS78" s="56">
        <f>IF($C78=Repart_lignes,0,
(SUMIF(Fonctionnement[Affectation matrice],$A78,Fonctionnement[TVA acquittée])+SUMIF(Invest[Affectation matrice],$A78,Invest[TVA acquittée]))*CS78)</f>
        <v>0</v>
      </c>
      <c r="AT78" s="56">
        <f>IF($C78=Repart_lignes,0,
(SUMIF(Fonctionnement[Affectation matrice],$A78,Fonctionnement[TVA acquittée])+SUMIF(Invest[Affectation matrice],$A78,Invest[TVA acquittée]))*CT78)</f>
        <v>0</v>
      </c>
      <c r="AU78" s="56">
        <f>IF($C78=Repart_lignes,0,
(SUMIF(Fonctionnement[Affectation matrice],$A78,Fonctionnement[TVA acquittée])+SUMIF(Invest[Affectation matrice],$A78,Invest[TVA acquittée]))*CU78)</f>
        <v>0</v>
      </c>
      <c r="AV78" s="56">
        <f>IF($C78=Repart_lignes,0,
(SUMIF(Fonctionnement[Affectation matrice],$A78,Fonctionnement[TVA acquittée])+SUMIF(Invest[Affectation matrice],$A78,Invest[TVA acquittée]))*CV78)</f>
        <v>0</v>
      </c>
      <c r="AW78" s="56">
        <f>IF($C78=Repart_lignes,0,
(SUMIF(Fonctionnement[Affectation matrice],$A78,Fonctionnement[TVA acquittée])+SUMIF(Invest[Affectation matrice],$A78,Invest[TVA acquittée]))*CW78)</f>
        <v>0</v>
      </c>
      <c r="AX78" s="56">
        <f>IF($C78=Repart_lignes,0,
(SUMIF(Fonctionnement[Affectation matrice],$A78,Fonctionnement[TVA acquittée])+SUMIF(Invest[Affectation matrice],$A78,Invest[TVA acquittée]))*CX78)</f>
        <v>0</v>
      </c>
      <c r="AY78" s="56">
        <f>IF($C78=Repart_lignes,0,
(SUMIF(Fonctionnement[Affectation matrice],$A78,Fonctionnement[TVA acquittée])+SUMIF(Invest[Affectation matrice],$A78,Invest[TVA acquittée]))*CY78)</f>
        <v>0</v>
      </c>
      <c r="AZ78" s="56">
        <f>IF($C78=Repart_lignes,0,
(SUMIF(Fonctionnement[Affectation matrice],$A78,Fonctionnement[TVA acquittée])+SUMIF(Invest[Affectation matrice],$A78,Invest[TVA acquittée]))*CZ78)</f>
        <v>0</v>
      </c>
      <c r="BA78" s="56">
        <f>IF($C78=Repart_lignes,0,
(SUMIF(Fonctionnement[Affectation matrice],$A78,Fonctionnement[TVA acquittée])+SUMIF(Invest[Affectation matrice],$A78,Invest[TVA acquittée]))*DA78)</f>
        <v>0</v>
      </c>
      <c r="BB78" s="56">
        <f>IF($C78=Repart_lignes,0,
(SUMIF(Fonctionnement[Affectation matrice],$A78,Fonctionnement[TVA acquittée])+SUMIF(Invest[Affectation matrice],$A78,Invest[TVA acquittée]))*DB78)</f>
        <v>0</v>
      </c>
      <c r="BC78" s="56">
        <f>IF($C78=Repart_lignes,0,
(SUMIF(Fonctionnement[Affectation matrice],$A78,Fonctionnement[TVA acquittée])+SUMIF(Invest[Affectation matrice],$A78,Invest[TVA acquittée]))*DC78)</f>
        <v>0</v>
      </c>
      <c r="BD78" s="56">
        <f>IF($C78=Repart_lignes,0,
(SUMIF(Fonctionnement[Affectation matrice],$A78,Fonctionnement[TVA acquittée])+SUMIF(Invest[Affectation matrice],$A78,Invest[TVA acquittée]))*DD78)</f>
        <v>0</v>
      </c>
      <c r="BE78" s="58">
        <f t="shared" si="61"/>
        <v>0</v>
      </c>
      <c r="BF78" s="56">
        <f>IF($C78=Repart_lignes,0,
(SUMIF(Fonctionnement[Affectation matrice],$A78,Fonctionnement[Montant (€HT)])+SUMIF(Invest[Affectation matrice],$A78,Invest[Amortissement HT + intérêts]))*CF78)</f>
        <v>0</v>
      </c>
      <c r="BG78" s="56">
        <f>IF($C78=Repart_lignes,0,
(SUMIF(Fonctionnement[Affectation matrice],$A78,Fonctionnement[Montant (€HT)])+SUMIF(Invest[Affectation matrice],$A78,Invest[Amortissement HT + intérêts]))*CG78)</f>
        <v>0</v>
      </c>
      <c r="BH78" s="56">
        <f>IF($C78=Repart_lignes,0,
(SUMIF(Fonctionnement[Affectation matrice],$A78,Fonctionnement[Montant (€HT)])+SUMIF(Invest[Affectation matrice],$A78,Invest[Amortissement HT + intérêts]))*CH78)</f>
        <v>0</v>
      </c>
      <c r="BI78" s="56">
        <f>IF($C78=Repart_lignes,0,
(SUMIF(Fonctionnement[Affectation matrice],$A78,Fonctionnement[Montant (€HT)])+SUMIF(Invest[Affectation matrice],$A78,Invest[Amortissement HT + intérêts]))*CI78)</f>
        <v>0</v>
      </c>
      <c r="BJ78" s="56">
        <f>IF($C78=Repart_lignes,0,
(SUMIF(Fonctionnement[Affectation matrice],$A78,Fonctionnement[Montant (€HT)])+SUMIF(Invest[Affectation matrice],$A78,Invest[Amortissement HT + intérêts]))*CJ78)</f>
        <v>0</v>
      </c>
      <c r="BK78" s="56">
        <f>IF($C78=Repart_lignes,0,
(SUMIF(Fonctionnement[Affectation matrice],$A78,Fonctionnement[Montant (€HT)])+SUMIF(Invest[Affectation matrice],$A78,Invest[Amortissement HT + intérêts]))*CK78)</f>
        <v>0</v>
      </c>
      <c r="BL78" s="56">
        <f>IF($C78=Repart_lignes,0,
(SUMIF(Fonctionnement[Affectation matrice],$A78,Fonctionnement[Montant (€HT)])+SUMIF(Invest[Affectation matrice],$A78,Invest[Amortissement HT + intérêts]))*CL78)</f>
        <v>0</v>
      </c>
      <c r="BM78" s="56">
        <f>IF($C78=Repart_lignes,0,
(SUMIF(Fonctionnement[Affectation matrice],$A78,Fonctionnement[Montant (€HT)])+SUMIF(Invest[Affectation matrice],$A78,Invest[Amortissement HT + intérêts]))*CM78)</f>
        <v>0</v>
      </c>
      <c r="BN78" s="56">
        <f>IF($C78=Repart_lignes,0,
(SUMIF(Fonctionnement[Affectation matrice],$A78,Fonctionnement[Montant (€HT)])+SUMIF(Invest[Affectation matrice],$A78,Invest[Amortissement HT + intérêts]))*CN78)</f>
        <v>0</v>
      </c>
      <c r="BO78" s="56">
        <f>IF($C78=Repart_lignes,0,
(SUMIF(Fonctionnement[Affectation matrice],$A78,Fonctionnement[Montant (€HT)])+SUMIF(Invest[Affectation matrice],$A78,Invest[Amortissement HT + intérêts]))*CO78)</f>
        <v>0</v>
      </c>
      <c r="BP78" s="56">
        <f>IF($C78=Repart_lignes,0,
(SUMIF(Fonctionnement[Affectation matrice],$A78,Fonctionnement[Montant (€HT)])+SUMIF(Invest[Affectation matrice],$A78,Invest[Amortissement HT + intérêts]))*CP78)</f>
        <v>0</v>
      </c>
      <c r="BQ78" s="56">
        <f>IF($C78=Repart_lignes,0,
(SUMIF(Fonctionnement[Affectation matrice],$A78,Fonctionnement[Montant (€HT)])+SUMIF(Invest[Affectation matrice],$A78,Invest[Amortissement HT + intérêts]))*CQ78)</f>
        <v>0</v>
      </c>
      <c r="BR78" s="56">
        <f>IF($C78=Repart_lignes,0,
(SUMIF(Fonctionnement[Affectation matrice],$A78,Fonctionnement[Montant (€HT)])+SUMIF(Invest[Affectation matrice],$A78,Invest[Amortissement HT + intérêts]))*CR78)</f>
        <v>0</v>
      </c>
      <c r="BS78" s="56">
        <f>IF($C78=Repart_lignes,0,
(SUMIF(Fonctionnement[Affectation matrice],$A78,Fonctionnement[Montant (€HT)])+SUMIF(Invest[Affectation matrice],$A78,Invest[Amortissement HT + intérêts]))*CS78)</f>
        <v>0</v>
      </c>
      <c r="BT78" s="56">
        <f>IF($C78=Repart_lignes,0,
(SUMIF(Fonctionnement[Affectation matrice],$A78,Fonctionnement[Montant (€HT)])+SUMIF(Invest[Affectation matrice],$A78,Invest[Amortissement HT + intérêts]))*CT78)</f>
        <v>0</v>
      </c>
      <c r="BU78" s="56">
        <f>IF($C78=Repart_lignes,0,
(SUMIF(Fonctionnement[Affectation matrice],$A78,Fonctionnement[Montant (€HT)])+SUMIF(Invest[Affectation matrice],$A78,Invest[Amortissement HT + intérêts]))*CU78)</f>
        <v>0</v>
      </c>
      <c r="BV78" s="56">
        <f>IF($C78=Repart_lignes,0,
(SUMIF(Fonctionnement[Affectation matrice],$A78,Fonctionnement[Montant (€HT)])+SUMIF(Invest[Affectation matrice],$A78,Invest[Amortissement HT + intérêts]))*CV78)</f>
        <v>0</v>
      </c>
      <c r="BW78" s="56">
        <f>IF($C78=Repart_lignes,0,
(SUMIF(Fonctionnement[Affectation matrice],$A78,Fonctionnement[Montant (€HT)])+SUMIF(Invest[Affectation matrice],$A78,Invest[Amortissement HT + intérêts]))*CW78)</f>
        <v>0</v>
      </c>
      <c r="BX78" s="56">
        <f>IF($C78=Repart_lignes,0,
(SUMIF(Fonctionnement[Affectation matrice],$A78,Fonctionnement[Montant (€HT)])+SUMIF(Invest[Affectation matrice],$A78,Invest[Amortissement HT + intérêts]))*CX78)</f>
        <v>0</v>
      </c>
      <c r="BY78" s="56">
        <f>IF($C78=Repart_lignes,0,
(SUMIF(Fonctionnement[Affectation matrice],$A78,Fonctionnement[Montant (€HT)])+SUMIF(Invest[Affectation matrice],$A78,Invest[Amortissement HT + intérêts]))*CY78)</f>
        <v>0</v>
      </c>
      <c r="BZ78" s="56">
        <f>IF($C78=Repart_lignes,0,
(SUMIF(Fonctionnement[Affectation matrice],$A78,Fonctionnement[Montant (€HT)])+SUMIF(Invest[Affectation matrice],$A78,Invest[Amortissement HT + intérêts]))*CZ78)</f>
        <v>0</v>
      </c>
      <c r="CA78" s="56">
        <f>IF($C78=Repart_lignes,0,
(SUMIF(Fonctionnement[Affectation matrice],$A78,Fonctionnement[Montant (€HT)])+SUMIF(Invest[Affectation matrice],$A78,Invest[Amortissement HT + intérêts]))*DA78)</f>
        <v>0</v>
      </c>
      <c r="CB78" s="56">
        <f>IF($C78=Repart_lignes,0,
(SUMIF(Fonctionnement[Affectation matrice],$A78,Fonctionnement[Montant (€HT)])+SUMIF(Invest[Affectation matrice],$A78,Invest[Amortissement HT + intérêts]))*DB78)</f>
        <v>0</v>
      </c>
      <c r="CC78" s="56">
        <f>IF($C78=Repart_lignes,0,
(SUMIF(Fonctionnement[Affectation matrice],$A78,Fonctionnement[Montant (€HT)])+SUMIF(Invest[Affectation matrice],$A78,Invest[Amortissement HT + intérêts]))*DC78)</f>
        <v>0</v>
      </c>
      <c r="CD78" s="56">
        <f>IF($C78=Repart_lignes,0,
(SUMIF(Fonctionnement[Affectation matrice],$A78,Fonctionnement[Montant (€HT)])+SUMIF(Invest[Affectation matrice],$A78,Invest[Amortissement HT + intérêts]))*DD78)</f>
        <v>0</v>
      </c>
      <c r="CE78" s="59">
        <f t="shared" si="62"/>
        <v>0</v>
      </c>
      <c r="CF78" s="61">
        <f t="shared" si="63"/>
        <v>0</v>
      </c>
      <c r="CG78" s="61">
        <f t="shared" si="64"/>
        <v>0</v>
      </c>
      <c r="CH78" s="61">
        <f t="shared" si="65"/>
        <v>0</v>
      </c>
      <c r="CI78" s="61">
        <f t="shared" si="66"/>
        <v>0</v>
      </c>
      <c r="CJ78" s="61">
        <f t="shared" si="67"/>
        <v>0</v>
      </c>
      <c r="CK78" s="61">
        <f t="shared" si="68"/>
        <v>0</v>
      </c>
      <c r="CL78" s="61">
        <f t="shared" si="69"/>
        <v>0</v>
      </c>
      <c r="CM78" s="61">
        <f t="shared" si="70"/>
        <v>0</v>
      </c>
      <c r="CN78" s="61">
        <f t="shared" si="71"/>
        <v>0</v>
      </c>
      <c r="CO78" s="61">
        <f t="shared" si="72"/>
        <v>0</v>
      </c>
      <c r="CP78" s="61">
        <f t="shared" si="73"/>
        <v>0</v>
      </c>
      <c r="CQ78" s="61">
        <f t="shared" si="74"/>
        <v>0</v>
      </c>
      <c r="CR78" s="61">
        <f t="shared" si="75"/>
        <v>0</v>
      </c>
      <c r="CS78" s="61">
        <f t="shared" si="76"/>
        <v>0</v>
      </c>
      <c r="CT78" s="61">
        <f t="shared" si="77"/>
        <v>0</v>
      </c>
      <c r="CU78" s="61">
        <f t="shared" si="78"/>
        <v>0</v>
      </c>
      <c r="CV78" s="61">
        <f t="shared" si="79"/>
        <v>0</v>
      </c>
      <c r="CW78" s="61">
        <f t="shared" si="80"/>
        <v>0</v>
      </c>
      <c r="CX78" s="61">
        <f t="shared" si="81"/>
        <v>0</v>
      </c>
      <c r="CY78" s="61">
        <f t="shared" si="82"/>
        <v>0</v>
      </c>
      <c r="CZ78" s="61">
        <f t="shared" si="83"/>
        <v>0</v>
      </c>
      <c r="DA78" s="61">
        <f t="shared" si="84"/>
        <v>0</v>
      </c>
      <c r="DB78" s="61">
        <f t="shared" si="85"/>
        <v>0</v>
      </c>
      <c r="DC78" s="61">
        <f t="shared" si="86"/>
        <v>0</v>
      </c>
      <c r="DD78" s="61">
        <f t="shared" si="87"/>
        <v>0</v>
      </c>
      <c r="DE78" s="61">
        <f t="shared" si="88"/>
        <v>0</v>
      </c>
    </row>
    <row r="79" spans="1:109" x14ac:dyDescent="0.25">
      <c r="A79" s="248"/>
      <c r="B79" s="248"/>
      <c r="C79" s="251"/>
      <c r="D79" s="25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1">
        <f t="shared" si="60"/>
        <v>0</v>
      </c>
      <c r="AE79" s="53" t="str">
        <f t="shared" ca="1" si="89"/>
        <v/>
      </c>
      <c r="AF79" s="56">
        <f>IF($C79=Repart_lignes,0,
(SUMIF(Fonctionnement[Affectation matrice],$A79,Fonctionnement[TVA acquittée])+SUMIF(Invest[Affectation matrice],$A79,Invest[TVA acquittée]))*CF79)</f>
        <v>0</v>
      </c>
      <c r="AG79" s="56">
        <f>IF($C79=Repart_lignes,0,
(SUMIF(Fonctionnement[Affectation matrice],$A79,Fonctionnement[TVA acquittée])+SUMIF(Invest[Affectation matrice],$A79,Invest[TVA acquittée]))*CG79)</f>
        <v>0</v>
      </c>
      <c r="AH79" s="56">
        <f>IF($C79=Repart_lignes,0,
(SUMIF(Fonctionnement[Affectation matrice],$A79,Fonctionnement[TVA acquittée])+SUMIF(Invest[Affectation matrice],$A79,Invest[TVA acquittée]))*CH79)</f>
        <v>0</v>
      </c>
      <c r="AI79" s="56">
        <f>IF($C79=Repart_lignes,0,
(SUMIF(Fonctionnement[Affectation matrice],$A79,Fonctionnement[TVA acquittée])+SUMIF(Invest[Affectation matrice],$A79,Invest[TVA acquittée]))*CI79)</f>
        <v>0</v>
      </c>
      <c r="AJ79" s="56">
        <f>IF($C79=Repart_lignes,0,
(SUMIF(Fonctionnement[Affectation matrice],$A79,Fonctionnement[TVA acquittée])+SUMIF(Invest[Affectation matrice],$A79,Invest[TVA acquittée]))*CJ79)</f>
        <v>0</v>
      </c>
      <c r="AK79" s="56">
        <f>IF($C79=Repart_lignes,0,
(SUMIF(Fonctionnement[Affectation matrice],$A79,Fonctionnement[TVA acquittée])+SUMIF(Invest[Affectation matrice],$A79,Invest[TVA acquittée]))*CK79)</f>
        <v>0</v>
      </c>
      <c r="AL79" s="56">
        <f>IF($C79=Repart_lignes,0,
(SUMIF(Fonctionnement[Affectation matrice],$A79,Fonctionnement[TVA acquittée])+SUMIF(Invest[Affectation matrice],$A79,Invest[TVA acquittée]))*CL79)</f>
        <v>0</v>
      </c>
      <c r="AM79" s="56">
        <f>IF($C79=Repart_lignes,0,
(SUMIF(Fonctionnement[Affectation matrice],$A79,Fonctionnement[TVA acquittée])+SUMIF(Invest[Affectation matrice],$A79,Invest[TVA acquittée]))*CM79)</f>
        <v>0</v>
      </c>
      <c r="AN79" s="56">
        <f>IF($C79=Repart_lignes,0,
(SUMIF(Fonctionnement[Affectation matrice],$A79,Fonctionnement[TVA acquittée])+SUMIF(Invest[Affectation matrice],$A79,Invest[TVA acquittée]))*CN79)</f>
        <v>0</v>
      </c>
      <c r="AO79" s="56">
        <f>IF($C79=Repart_lignes,0,
(SUMIF(Fonctionnement[Affectation matrice],$A79,Fonctionnement[TVA acquittée])+SUMIF(Invest[Affectation matrice],$A79,Invest[TVA acquittée]))*CO79)</f>
        <v>0</v>
      </c>
      <c r="AP79" s="56">
        <f>IF($C79=Repart_lignes,0,
(SUMIF(Fonctionnement[Affectation matrice],$A79,Fonctionnement[TVA acquittée])+SUMIF(Invest[Affectation matrice],$A79,Invest[TVA acquittée]))*CP79)</f>
        <v>0</v>
      </c>
      <c r="AQ79" s="56">
        <f>IF($C79=Repart_lignes,0,
(SUMIF(Fonctionnement[Affectation matrice],$A79,Fonctionnement[TVA acquittée])+SUMIF(Invest[Affectation matrice],$A79,Invest[TVA acquittée]))*CQ79)</f>
        <v>0</v>
      </c>
      <c r="AR79" s="56">
        <f>IF($C79=Repart_lignes,0,
(SUMIF(Fonctionnement[Affectation matrice],$A79,Fonctionnement[TVA acquittée])+SUMIF(Invest[Affectation matrice],$A79,Invest[TVA acquittée]))*CR79)</f>
        <v>0</v>
      </c>
      <c r="AS79" s="56">
        <f>IF($C79=Repart_lignes,0,
(SUMIF(Fonctionnement[Affectation matrice],$A79,Fonctionnement[TVA acquittée])+SUMIF(Invest[Affectation matrice],$A79,Invest[TVA acquittée]))*CS79)</f>
        <v>0</v>
      </c>
      <c r="AT79" s="56">
        <f>IF($C79=Repart_lignes,0,
(SUMIF(Fonctionnement[Affectation matrice],$A79,Fonctionnement[TVA acquittée])+SUMIF(Invest[Affectation matrice],$A79,Invest[TVA acquittée]))*CT79)</f>
        <v>0</v>
      </c>
      <c r="AU79" s="56">
        <f>IF($C79=Repart_lignes,0,
(SUMIF(Fonctionnement[Affectation matrice],$A79,Fonctionnement[TVA acquittée])+SUMIF(Invest[Affectation matrice],$A79,Invest[TVA acquittée]))*CU79)</f>
        <v>0</v>
      </c>
      <c r="AV79" s="56">
        <f>IF($C79=Repart_lignes,0,
(SUMIF(Fonctionnement[Affectation matrice],$A79,Fonctionnement[TVA acquittée])+SUMIF(Invest[Affectation matrice],$A79,Invest[TVA acquittée]))*CV79)</f>
        <v>0</v>
      </c>
      <c r="AW79" s="56">
        <f>IF($C79=Repart_lignes,0,
(SUMIF(Fonctionnement[Affectation matrice],$A79,Fonctionnement[TVA acquittée])+SUMIF(Invest[Affectation matrice],$A79,Invest[TVA acquittée]))*CW79)</f>
        <v>0</v>
      </c>
      <c r="AX79" s="56">
        <f>IF($C79=Repart_lignes,0,
(SUMIF(Fonctionnement[Affectation matrice],$A79,Fonctionnement[TVA acquittée])+SUMIF(Invest[Affectation matrice],$A79,Invest[TVA acquittée]))*CX79)</f>
        <v>0</v>
      </c>
      <c r="AY79" s="56">
        <f>IF($C79=Repart_lignes,0,
(SUMIF(Fonctionnement[Affectation matrice],$A79,Fonctionnement[TVA acquittée])+SUMIF(Invest[Affectation matrice],$A79,Invest[TVA acquittée]))*CY79)</f>
        <v>0</v>
      </c>
      <c r="AZ79" s="56">
        <f>IF($C79=Repart_lignes,0,
(SUMIF(Fonctionnement[Affectation matrice],$A79,Fonctionnement[TVA acquittée])+SUMIF(Invest[Affectation matrice],$A79,Invest[TVA acquittée]))*CZ79)</f>
        <v>0</v>
      </c>
      <c r="BA79" s="56">
        <f>IF($C79=Repart_lignes,0,
(SUMIF(Fonctionnement[Affectation matrice],$A79,Fonctionnement[TVA acquittée])+SUMIF(Invest[Affectation matrice],$A79,Invest[TVA acquittée]))*DA79)</f>
        <v>0</v>
      </c>
      <c r="BB79" s="56">
        <f>IF($C79=Repart_lignes,0,
(SUMIF(Fonctionnement[Affectation matrice],$A79,Fonctionnement[TVA acquittée])+SUMIF(Invest[Affectation matrice],$A79,Invest[TVA acquittée]))*DB79)</f>
        <v>0</v>
      </c>
      <c r="BC79" s="56">
        <f>IF($C79=Repart_lignes,0,
(SUMIF(Fonctionnement[Affectation matrice],$A79,Fonctionnement[TVA acquittée])+SUMIF(Invest[Affectation matrice],$A79,Invest[TVA acquittée]))*DC79)</f>
        <v>0</v>
      </c>
      <c r="BD79" s="56">
        <f>IF($C79=Repart_lignes,0,
(SUMIF(Fonctionnement[Affectation matrice],$A79,Fonctionnement[TVA acquittée])+SUMIF(Invest[Affectation matrice],$A79,Invest[TVA acquittée]))*DD79)</f>
        <v>0</v>
      </c>
      <c r="BE79" s="58">
        <f t="shared" si="61"/>
        <v>0</v>
      </c>
      <c r="BF79" s="56">
        <f>IF($C79=Repart_lignes,0,
(SUMIF(Fonctionnement[Affectation matrice],$A79,Fonctionnement[Montant (€HT)])+SUMIF(Invest[Affectation matrice],$A79,Invest[Amortissement HT + intérêts]))*CF79)</f>
        <v>0</v>
      </c>
      <c r="BG79" s="56">
        <f>IF($C79=Repart_lignes,0,
(SUMIF(Fonctionnement[Affectation matrice],$A79,Fonctionnement[Montant (€HT)])+SUMIF(Invest[Affectation matrice],$A79,Invest[Amortissement HT + intérêts]))*CG79)</f>
        <v>0</v>
      </c>
      <c r="BH79" s="56">
        <f>IF($C79=Repart_lignes,0,
(SUMIF(Fonctionnement[Affectation matrice],$A79,Fonctionnement[Montant (€HT)])+SUMIF(Invest[Affectation matrice],$A79,Invest[Amortissement HT + intérêts]))*CH79)</f>
        <v>0</v>
      </c>
      <c r="BI79" s="56">
        <f>IF($C79=Repart_lignes,0,
(SUMIF(Fonctionnement[Affectation matrice],$A79,Fonctionnement[Montant (€HT)])+SUMIF(Invest[Affectation matrice],$A79,Invest[Amortissement HT + intérêts]))*CI79)</f>
        <v>0</v>
      </c>
      <c r="BJ79" s="56">
        <f>IF($C79=Repart_lignes,0,
(SUMIF(Fonctionnement[Affectation matrice],$A79,Fonctionnement[Montant (€HT)])+SUMIF(Invest[Affectation matrice],$A79,Invest[Amortissement HT + intérêts]))*CJ79)</f>
        <v>0</v>
      </c>
      <c r="BK79" s="56">
        <f>IF($C79=Repart_lignes,0,
(SUMIF(Fonctionnement[Affectation matrice],$A79,Fonctionnement[Montant (€HT)])+SUMIF(Invest[Affectation matrice],$A79,Invest[Amortissement HT + intérêts]))*CK79)</f>
        <v>0</v>
      </c>
      <c r="BL79" s="56">
        <f>IF($C79=Repart_lignes,0,
(SUMIF(Fonctionnement[Affectation matrice],$A79,Fonctionnement[Montant (€HT)])+SUMIF(Invest[Affectation matrice],$A79,Invest[Amortissement HT + intérêts]))*CL79)</f>
        <v>0</v>
      </c>
      <c r="BM79" s="56">
        <f>IF($C79=Repart_lignes,0,
(SUMIF(Fonctionnement[Affectation matrice],$A79,Fonctionnement[Montant (€HT)])+SUMIF(Invest[Affectation matrice],$A79,Invest[Amortissement HT + intérêts]))*CM79)</f>
        <v>0</v>
      </c>
      <c r="BN79" s="56">
        <f>IF($C79=Repart_lignes,0,
(SUMIF(Fonctionnement[Affectation matrice],$A79,Fonctionnement[Montant (€HT)])+SUMIF(Invest[Affectation matrice],$A79,Invest[Amortissement HT + intérêts]))*CN79)</f>
        <v>0</v>
      </c>
      <c r="BO79" s="56">
        <f>IF($C79=Repart_lignes,0,
(SUMIF(Fonctionnement[Affectation matrice],$A79,Fonctionnement[Montant (€HT)])+SUMIF(Invest[Affectation matrice],$A79,Invest[Amortissement HT + intérêts]))*CO79)</f>
        <v>0</v>
      </c>
      <c r="BP79" s="56">
        <f>IF($C79=Repart_lignes,0,
(SUMIF(Fonctionnement[Affectation matrice],$A79,Fonctionnement[Montant (€HT)])+SUMIF(Invest[Affectation matrice],$A79,Invest[Amortissement HT + intérêts]))*CP79)</f>
        <v>0</v>
      </c>
      <c r="BQ79" s="56">
        <f>IF($C79=Repart_lignes,0,
(SUMIF(Fonctionnement[Affectation matrice],$A79,Fonctionnement[Montant (€HT)])+SUMIF(Invest[Affectation matrice],$A79,Invest[Amortissement HT + intérêts]))*CQ79)</f>
        <v>0</v>
      </c>
      <c r="BR79" s="56">
        <f>IF($C79=Repart_lignes,0,
(SUMIF(Fonctionnement[Affectation matrice],$A79,Fonctionnement[Montant (€HT)])+SUMIF(Invest[Affectation matrice],$A79,Invest[Amortissement HT + intérêts]))*CR79)</f>
        <v>0</v>
      </c>
      <c r="BS79" s="56">
        <f>IF($C79=Repart_lignes,0,
(SUMIF(Fonctionnement[Affectation matrice],$A79,Fonctionnement[Montant (€HT)])+SUMIF(Invest[Affectation matrice],$A79,Invest[Amortissement HT + intérêts]))*CS79)</f>
        <v>0</v>
      </c>
      <c r="BT79" s="56">
        <f>IF($C79=Repart_lignes,0,
(SUMIF(Fonctionnement[Affectation matrice],$A79,Fonctionnement[Montant (€HT)])+SUMIF(Invest[Affectation matrice],$A79,Invest[Amortissement HT + intérêts]))*CT79)</f>
        <v>0</v>
      </c>
      <c r="BU79" s="56">
        <f>IF($C79=Repart_lignes,0,
(SUMIF(Fonctionnement[Affectation matrice],$A79,Fonctionnement[Montant (€HT)])+SUMIF(Invest[Affectation matrice],$A79,Invest[Amortissement HT + intérêts]))*CU79)</f>
        <v>0</v>
      </c>
      <c r="BV79" s="56">
        <f>IF($C79=Repart_lignes,0,
(SUMIF(Fonctionnement[Affectation matrice],$A79,Fonctionnement[Montant (€HT)])+SUMIF(Invest[Affectation matrice],$A79,Invest[Amortissement HT + intérêts]))*CV79)</f>
        <v>0</v>
      </c>
      <c r="BW79" s="56">
        <f>IF($C79=Repart_lignes,0,
(SUMIF(Fonctionnement[Affectation matrice],$A79,Fonctionnement[Montant (€HT)])+SUMIF(Invest[Affectation matrice],$A79,Invest[Amortissement HT + intérêts]))*CW79)</f>
        <v>0</v>
      </c>
      <c r="BX79" s="56">
        <f>IF($C79=Repart_lignes,0,
(SUMIF(Fonctionnement[Affectation matrice],$A79,Fonctionnement[Montant (€HT)])+SUMIF(Invest[Affectation matrice],$A79,Invest[Amortissement HT + intérêts]))*CX79)</f>
        <v>0</v>
      </c>
      <c r="BY79" s="56">
        <f>IF($C79=Repart_lignes,0,
(SUMIF(Fonctionnement[Affectation matrice],$A79,Fonctionnement[Montant (€HT)])+SUMIF(Invest[Affectation matrice],$A79,Invest[Amortissement HT + intérêts]))*CY79)</f>
        <v>0</v>
      </c>
      <c r="BZ79" s="56">
        <f>IF($C79=Repart_lignes,0,
(SUMIF(Fonctionnement[Affectation matrice],$A79,Fonctionnement[Montant (€HT)])+SUMIF(Invest[Affectation matrice],$A79,Invest[Amortissement HT + intérêts]))*CZ79)</f>
        <v>0</v>
      </c>
      <c r="CA79" s="56">
        <f>IF($C79=Repart_lignes,0,
(SUMIF(Fonctionnement[Affectation matrice],$A79,Fonctionnement[Montant (€HT)])+SUMIF(Invest[Affectation matrice],$A79,Invest[Amortissement HT + intérêts]))*DA79)</f>
        <v>0</v>
      </c>
      <c r="CB79" s="56">
        <f>IF($C79=Repart_lignes,0,
(SUMIF(Fonctionnement[Affectation matrice],$A79,Fonctionnement[Montant (€HT)])+SUMIF(Invest[Affectation matrice],$A79,Invest[Amortissement HT + intérêts]))*DB79)</f>
        <v>0</v>
      </c>
      <c r="CC79" s="56">
        <f>IF($C79=Repart_lignes,0,
(SUMIF(Fonctionnement[Affectation matrice],$A79,Fonctionnement[Montant (€HT)])+SUMIF(Invest[Affectation matrice],$A79,Invest[Amortissement HT + intérêts]))*DC79)</f>
        <v>0</v>
      </c>
      <c r="CD79" s="56">
        <f>IF($C79=Repart_lignes,0,
(SUMIF(Fonctionnement[Affectation matrice],$A79,Fonctionnement[Montant (€HT)])+SUMIF(Invest[Affectation matrice],$A79,Invest[Amortissement HT + intérêts]))*DD79)</f>
        <v>0</v>
      </c>
      <c r="CE79" s="59">
        <f t="shared" si="62"/>
        <v>0</v>
      </c>
      <c r="CF79" s="61">
        <f t="shared" si="63"/>
        <v>0</v>
      </c>
      <c r="CG79" s="61">
        <f t="shared" si="64"/>
        <v>0</v>
      </c>
      <c r="CH79" s="61">
        <f t="shared" si="65"/>
        <v>0</v>
      </c>
      <c r="CI79" s="61">
        <f t="shared" si="66"/>
        <v>0</v>
      </c>
      <c r="CJ79" s="61">
        <f t="shared" si="67"/>
        <v>0</v>
      </c>
      <c r="CK79" s="61">
        <f t="shared" si="68"/>
        <v>0</v>
      </c>
      <c r="CL79" s="61">
        <f t="shared" si="69"/>
        <v>0</v>
      </c>
      <c r="CM79" s="61">
        <f t="shared" si="70"/>
        <v>0</v>
      </c>
      <c r="CN79" s="61">
        <f t="shared" si="71"/>
        <v>0</v>
      </c>
      <c r="CO79" s="61">
        <f t="shared" si="72"/>
        <v>0</v>
      </c>
      <c r="CP79" s="61">
        <f t="shared" si="73"/>
        <v>0</v>
      </c>
      <c r="CQ79" s="61">
        <f t="shared" si="74"/>
        <v>0</v>
      </c>
      <c r="CR79" s="61">
        <f t="shared" si="75"/>
        <v>0</v>
      </c>
      <c r="CS79" s="61">
        <f t="shared" si="76"/>
        <v>0</v>
      </c>
      <c r="CT79" s="61">
        <f t="shared" si="77"/>
        <v>0</v>
      </c>
      <c r="CU79" s="61">
        <f t="shared" si="78"/>
        <v>0</v>
      </c>
      <c r="CV79" s="61">
        <f t="shared" si="79"/>
        <v>0</v>
      </c>
      <c r="CW79" s="61">
        <f t="shared" si="80"/>
        <v>0</v>
      </c>
      <c r="CX79" s="61">
        <f t="shared" si="81"/>
        <v>0</v>
      </c>
      <c r="CY79" s="61">
        <f t="shared" si="82"/>
        <v>0</v>
      </c>
      <c r="CZ79" s="61">
        <f t="shared" si="83"/>
        <v>0</v>
      </c>
      <c r="DA79" s="61">
        <f t="shared" si="84"/>
        <v>0</v>
      </c>
      <c r="DB79" s="61">
        <f t="shared" si="85"/>
        <v>0</v>
      </c>
      <c r="DC79" s="61">
        <f t="shared" si="86"/>
        <v>0</v>
      </c>
      <c r="DD79" s="61">
        <f t="shared" si="87"/>
        <v>0</v>
      </c>
      <c r="DE79" s="61">
        <f t="shared" si="88"/>
        <v>0</v>
      </c>
    </row>
    <row r="80" spans="1:109" x14ac:dyDescent="0.25">
      <c r="A80" s="248"/>
      <c r="B80" s="248"/>
      <c r="C80" s="251"/>
      <c r="D80" s="25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1">
        <f t="shared" si="60"/>
        <v>0</v>
      </c>
      <c r="AE80" s="53" t="str">
        <f t="shared" ca="1" si="89"/>
        <v/>
      </c>
      <c r="AF80" s="56">
        <f>IF($C80=Repart_lignes,0,
(SUMIF(Fonctionnement[Affectation matrice],$A80,Fonctionnement[TVA acquittée])+SUMIF(Invest[Affectation matrice],$A80,Invest[TVA acquittée]))*CF80)</f>
        <v>0</v>
      </c>
      <c r="AG80" s="56">
        <f>IF($C80=Repart_lignes,0,
(SUMIF(Fonctionnement[Affectation matrice],$A80,Fonctionnement[TVA acquittée])+SUMIF(Invest[Affectation matrice],$A80,Invest[TVA acquittée]))*CG80)</f>
        <v>0</v>
      </c>
      <c r="AH80" s="56">
        <f>IF($C80=Repart_lignes,0,
(SUMIF(Fonctionnement[Affectation matrice],$A80,Fonctionnement[TVA acquittée])+SUMIF(Invest[Affectation matrice],$A80,Invest[TVA acquittée]))*CH80)</f>
        <v>0</v>
      </c>
      <c r="AI80" s="56">
        <f>IF($C80=Repart_lignes,0,
(SUMIF(Fonctionnement[Affectation matrice],$A80,Fonctionnement[TVA acquittée])+SUMIF(Invest[Affectation matrice],$A80,Invest[TVA acquittée]))*CI80)</f>
        <v>0</v>
      </c>
      <c r="AJ80" s="56">
        <f>IF($C80=Repart_lignes,0,
(SUMIF(Fonctionnement[Affectation matrice],$A80,Fonctionnement[TVA acquittée])+SUMIF(Invest[Affectation matrice],$A80,Invest[TVA acquittée]))*CJ80)</f>
        <v>0</v>
      </c>
      <c r="AK80" s="56">
        <f>IF($C80=Repart_lignes,0,
(SUMIF(Fonctionnement[Affectation matrice],$A80,Fonctionnement[TVA acquittée])+SUMIF(Invest[Affectation matrice],$A80,Invest[TVA acquittée]))*CK80)</f>
        <v>0</v>
      </c>
      <c r="AL80" s="56">
        <f>IF($C80=Repart_lignes,0,
(SUMIF(Fonctionnement[Affectation matrice],$A80,Fonctionnement[TVA acquittée])+SUMIF(Invest[Affectation matrice],$A80,Invest[TVA acquittée]))*CL80)</f>
        <v>0</v>
      </c>
      <c r="AM80" s="56">
        <f>IF($C80=Repart_lignes,0,
(SUMIF(Fonctionnement[Affectation matrice],$A80,Fonctionnement[TVA acquittée])+SUMIF(Invest[Affectation matrice],$A80,Invest[TVA acquittée]))*CM80)</f>
        <v>0</v>
      </c>
      <c r="AN80" s="56">
        <f>IF($C80=Repart_lignes,0,
(SUMIF(Fonctionnement[Affectation matrice],$A80,Fonctionnement[TVA acquittée])+SUMIF(Invest[Affectation matrice],$A80,Invest[TVA acquittée]))*CN80)</f>
        <v>0</v>
      </c>
      <c r="AO80" s="56">
        <f>IF($C80=Repart_lignes,0,
(SUMIF(Fonctionnement[Affectation matrice],$A80,Fonctionnement[TVA acquittée])+SUMIF(Invest[Affectation matrice],$A80,Invest[TVA acquittée]))*CO80)</f>
        <v>0</v>
      </c>
      <c r="AP80" s="56">
        <f>IF($C80=Repart_lignes,0,
(SUMIF(Fonctionnement[Affectation matrice],$A80,Fonctionnement[TVA acquittée])+SUMIF(Invest[Affectation matrice],$A80,Invest[TVA acquittée]))*CP80)</f>
        <v>0</v>
      </c>
      <c r="AQ80" s="56">
        <f>IF($C80=Repart_lignes,0,
(SUMIF(Fonctionnement[Affectation matrice],$A80,Fonctionnement[TVA acquittée])+SUMIF(Invest[Affectation matrice],$A80,Invest[TVA acquittée]))*CQ80)</f>
        <v>0</v>
      </c>
      <c r="AR80" s="56">
        <f>IF($C80=Repart_lignes,0,
(SUMIF(Fonctionnement[Affectation matrice],$A80,Fonctionnement[TVA acquittée])+SUMIF(Invest[Affectation matrice],$A80,Invest[TVA acquittée]))*CR80)</f>
        <v>0</v>
      </c>
      <c r="AS80" s="56">
        <f>IF($C80=Repart_lignes,0,
(SUMIF(Fonctionnement[Affectation matrice],$A80,Fonctionnement[TVA acquittée])+SUMIF(Invest[Affectation matrice],$A80,Invest[TVA acquittée]))*CS80)</f>
        <v>0</v>
      </c>
      <c r="AT80" s="56">
        <f>IF($C80=Repart_lignes,0,
(SUMIF(Fonctionnement[Affectation matrice],$A80,Fonctionnement[TVA acquittée])+SUMIF(Invest[Affectation matrice],$A80,Invest[TVA acquittée]))*CT80)</f>
        <v>0</v>
      </c>
      <c r="AU80" s="56">
        <f>IF($C80=Repart_lignes,0,
(SUMIF(Fonctionnement[Affectation matrice],$A80,Fonctionnement[TVA acquittée])+SUMIF(Invest[Affectation matrice],$A80,Invest[TVA acquittée]))*CU80)</f>
        <v>0</v>
      </c>
      <c r="AV80" s="56">
        <f>IF($C80=Repart_lignes,0,
(SUMIF(Fonctionnement[Affectation matrice],$A80,Fonctionnement[TVA acquittée])+SUMIF(Invest[Affectation matrice],$A80,Invest[TVA acquittée]))*CV80)</f>
        <v>0</v>
      </c>
      <c r="AW80" s="56">
        <f>IF($C80=Repart_lignes,0,
(SUMIF(Fonctionnement[Affectation matrice],$A80,Fonctionnement[TVA acquittée])+SUMIF(Invest[Affectation matrice],$A80,Invest[TVA acquittée]))*CW80)</f>
        <v>0</v>
      </c>
      <c r="AX80" s="56">
        <f>IF($C80=Repart_lignes,0,
(SUMIF(Fonctionnement[Affectation matrice],$A80,Fonctionnement[TVA acquittée])+SUMIF(Invest[Affectation matrice],$A80,Invest[TVA acquittée]))*CX80)</f>
        <v>0</v>
      </c>
      <c r="AY80" s="56">
        <f>IF($C80=Repart_lignes,0,
(SUMIF(Fonctionnement[Affectation matrice],$A80,Fonctionnement[TVA acquittée])+SUMIF(Invest[Affectation matrice],$A80,Invest[TVA acquittée]))*CY80)</f>
        <v>0</v>
      </c>
      <c r="AZ80" s="56">
        <f>IF($C80=Repart_lignes,0,
(SUMIF(Fonctionnement[Affectation matrice],$A80,Fonctionnement[TVA acquittée])+SUMIF(Invest[Affectation matrice],$A80,Invest[TVA acquittée]))*CZ80)</f>
        <v>0</v>
      </c>
      <c r="BA80" s="56">
        <f>IF($C80=Repart_lignes,0,
(SUMIF(Fonctionnement[Affectation matrice],$A80,Fonctionnement[TVA acquittée])+SUMIF(Invest[Affectation matrice],$A80,Invest[TVA acquittée]))*DA80)</f>
        <v>0</v>
      </c>
      <c r="BB80" s="56">
        <f>IF($C80=Repart_lignes,0,
(SUMIF(Fonctionnement[Affectation matrice],$A80,Fonctionnement[TVA acquittée])+SUMIF(Invest[Affectation matrice],$A80,Invest[TVA acquittée]))*DB80)</f>
        <v>0</v>
      </c>
      <c r="BC80" s="56">
        <f>IF($C80=Repart_lignes,0,
(SUMIF(Fonctionnement[Affectation matrice],$A80,Fonctionnement[TVA acquittée])+SUMIF(Invest[Affectation matrice],$A80,Invest[TVA acquittée]))*DC80)</f>
        <v>0</v>
      </c>
      <c r="BD80" s="56">
        <f>IF($C80=Repart_lignes,0,
(SUMIF(Fonctionnement[Affectation matrice],$A80,Fonctionnement[TVA acquittée])+SUMIF(Invest[Affectation matrice],$A80,Invest[TVA acquittée]))*DD80)</f>
        <v>0</v>
      </c>
      <c r="BE80" s="58">
        <f t="shared" si="61"/>
        <v>0</v>
      </c>
      <c r="BF80" s="56">
        <f>IF($C80=Repart_lignes,0,
(SUMIF(Fonctionnement[Affectation matrice],$A80,Fonctionnement[Montant (€HT)])+SUMIF(Invest[Affectation matrice],$A80,Invest[Amortissement HT + intérêts]))*CF80)</f>
        <v>0</v>
      </c>
      <c r="BG80" s="56">
        <f>IF($C80=Repart_lignes,0,
(SUMIF(Fonctionnement[Affectation matrice],$A80,Fonctionnement[Montant (€HT)])+SUMIF(Invest[Affectation matrice],$A80,Invest[Amortissement HT + intérêts]))*CG80)</f>
        <v>0</v>
      </c>
      <c r="BH80" s="56">
        <f>IF($C80=Repart_lignes,0,
(SUMIF(Fonctionnement[Affectation matrice],$A80,Fonctionnement[Montant (€HT)])+SUMIF(Invest[Affectation matrice],$A80,Invest[Amortissement HT + intérêts]))*CH80)</f>
        <v>0</v>
      </c>
      <c r="BI80" s="56">
        <f>IF($C80=Repart_lignes,0,
(SUMIF(Fonctionnement[Affectation matrice],$A80,Fonctionnement[Montant (€HT)])+SUMIF(Invest[Affectation matrice],$A80,Invest[Amortissement HT + intérêts]))*CI80)</f>
        <v>0</v>
      </c>
      <c r="BJ80" s="56">
        <f>IF($C80=Repart_lignes,0,
(SUMIF(Fonctionnement[Affectation matrice],$A80,Fonctionnement[Montant (€HT)])+SUMIF(Invest[Affectation matrice],$A80,Invest[Amortissement HT + intérêts]))*CJ80)</f>
        <v>0</v>
      </c>
      <c r="BK80" s="56">
        <f>IF($C80=Repart_lignes,0,
(SUMIF(Fonctionnement[Affectation matrice],$A80,Fonctionnement[Montant (€HT)])+SUMIF(Invest[Affectation matrice],$A80,Invest[Amortissement HT + intérêts]))*CK80)</f>
        <v>0</v>
      </c>
      <c r="BL80" s="56">
        <f>IF($C80=Repart_lignes,0,
(SUMIF(Fonctionnement[Affectation matrice],$A80,Fonctionnement[Montant (€HT)])+SUMIF(Invest[Affectation matrice],$A80,Invest[Amortissement HT + intérêts]))*CL80)</f>
        <v>0</v>
      </c>
      <c r="BM80" s="56">
        <f>IF($C80=Repart_lignes,0,
(SUMIF(Fonctionnement[Affectation matrice],$A80,Fonctionnement[Montant (€HT)])+SUMIF(Invest[Affectation matrice],$A80,Invest[Amortissement HT + intérêts]))*CM80)</f>
        <v>0</v>
      </c>
      <c r="BN80" s="56">
        <f>IF($C80=Repart_lignes,0,
(SUMIF(Fonctionnement[Affectation matrice],$A80,Fonctionnement[Montant (€HT)])+SUMIF(Invest[Affectation matrice],$A80,Invest[Amortissement HT + intérêts]))*CN80)</f>
        <v>0</v>
      </c>
      <c r="BO80" s="56">
        <f>IF($C80=Repart_lignes,0,
(SUMIF(Fonctionnement[Affectation matrice],$A80,Fonctionnement[Montant (€HT)])+SUMIF(Invest[Affectation matrice],$A80,Invest[Amortissement HT + intérêts]))*CO80)</f>
        <v>0</v>
      </c>
      <c r="BP80" s="56">
        <f>IF($C80=Repart_lignes,0,
(SUMIF(Fonctionnement[Affectation matrice],$A80,Fonctionnement[Montant (€HT)])+SUMIF(Invest[Affectation matrice],$A80,Invest[Amortissement HT + intérêts]))*CP80)</f>
        <v>0</v>
      </c>
      <c r="BQ80" s="56">
        <f>IF($C80=Repart_lignes,0,
(SUMIF(Fonctionnement[Affectation matrice],$A80,Fonctionnement[Montant (€HT)])+SUMIF(Invest[Affectation matrice],$A80,Invest[Amortissement HT + intérêts]))*CQ80)</f>
        <v>0</v>
      </c>
      <c r="BR80" s="56">
        <f>IF($C80=Repart_lignes,0,
(SUMIF(Fonctionnement[Affectation matrice],$A80,Fonctionnement[Montant (€HT)])+SUMIF(Invest[Affectation matrice],$A80,Invest[Amortissement HT + intérêts]))*CR80)</f>
        <v>0</v>
      </c>
      <c r="BS80" s="56">
        <f>IF($C80=Repart_lignes,0,
(SUMIF(Fonctionnement[Affectation matrice],$A80,Fonctionnement[Montant (€HT)])+SUMIF(Invest[Affectation matrice],$A80,Invest[Amortissement HT + intérêts]))*CS80)</f>
        <v>0</v>
      </c>
      <c r="BT80" s="56">
        <f>IF($C80=Repart_lignes,0,
(SUMIF(Fonctionnement[Affectation matrice],$A80,Fonctionnement[Montant (€HT)])+SUMIF(Invest[Affectation matrice],$A80,Invest[Amortissement HT + intérêts]))*CT80)</f>
        <v>0</v>
      </c>
      <c r="BU80" s="56">
        <f>IF($C80=Repart_lignes,0,
(SUMIF(Fonctionnement[Affectation matrice],$A80,Fonctionnement[Montant (€HT)])+SUMIF(Invest[Affectation matrice],$A80,Invest[Amortissement HT + intérêts]))*CU80)</f>
        <v>0</v>
      </c>
      <c r="BV80" s="56">
        <f>IF($C80=Repart_lignes,0,
(SUMIF(Fonctionnement[Affectation matrice],$A80,Fonctionnement[Montant (€HT)])+SUMIF(Invest[Affectation matrice],$A80,Invest[Amortissement HT + intérêts]))*CV80)</f>
        <v>0</v>
      </c>
      <c r="BW80" s="56">
        <f>IF($C80=Repart_lignes,0,
(SUMIF(Fonctionnement[Affectation matrice],$A80,Fonctionnement[Montant (€HT)])+SUMIF(Invest[Affectation matrice],$A80,Invest[Amortissement HT + intérêts]))*CW80)</f>
        <v>0</v>
      </c>
      <c r="BX80" s="56">
        <f>IF($C80=Repart_lignes,0,
(SUMIF(Fonctionnement[Affectation matrice],$A80,Fonctionnement[Montant (€HT)])+SUMIF(Invest[Affectation matrice],$A80,Invest[Amortissement HT + intérêts]))*CX80)</f>
        <v>0</v>
      </c>
      <c r="BY80" s="56">
        <f>IF($C80=Repart_lignes,0,
(SUMIF(Fonctionnement[Affectation matrice],$A80,Fonctionnement[Montant (€HT)])+SUMIF(Invest[Affectation matrice],$A80,Invest[Amortissement HT + intérêts]))*CY80)</f>
        <v>0</v>
      </c>
      <c r="BZ80" s="56">
        <f>IF($C80=Repart_lignes,0,
(SUMIF(Fonctionnement[Affectation matrice],$A80,Fonctionnement[Montant (€HT)])+SUMIF(Invest[Affectation matrice],$A80,Invest[Amortissement HT + intérêts]))*CZ80)</f>
        <v>0</v>
      </c>
      <c r="CA80" s="56">
        <f>IF($C80=Repart_lignes,0,
(SUMIF(Fonctionnement[Affectation matrice],$A80,Fonctionnement[Montant (€HT)])+SUMIF(Invest[Affectation matrice],$A80,Invest[Amortissement HT + intérêts]))*DA80)</f>
        <v>0</v>
      </c>
      <c r="CB80" s="56">
        <f>IF($C80=Repart_lignes,0,
(SUMIF(Fonctionnement[Affectation matrice],$A80,Fonctionnement[Montant (€HT)])+SUMIF(Invest[Affectation matrice],$A80,Invest[Amortissement HT + intérêts]))*DB80)</f>
        <v>0</v>
      </c>
      <c r="CC80" s="56">
        <f>IF($C80=Repart_lignes,0,
(SUMIF(Fonctionnement[Affectation matrice],$A80,Fonctionnement[Montant (€HT)])+SUMIF(Invest[Affectation matrice],$A80,Invest[Amortissement HT + intérêts]))*DC80)</f>
        <v>0</v>
      </c>
      <c r="CD80" s="56">
        <f>IF($C80=Repart_lignes,0,
(SUMIF(Fonctionnement[Affectation matrice],$A80,Fonctionnement[Montant (€HT)])+SUMIF(Invest[Affectation matrice],$A80,Invest[Amortissement HT + intérêts]))*DD80)</f>
        <v>0</v>
      </c>
      <c r="CE80" s="59">
        <f t="shared" si="62"/>
        <v>0</v>
      </c>
      <c r="CF80" s="61">
        <f t="shared" si="63"/>
        <v>0</v>
      </c>
      <c r="CG80" s="61">
        <f t="shared" si="64"/>
        <v>0</v>
      </c>
      <c r="CH80" s="61">
        <f t="shared" si="65"/>
        <v>0</v>
      </c>
      <c r="CI80" s="61">
        <f t="shared" si="66"/>
        <v>0</v>
      </c>
      <c r="CJ80" s="61">
        <f t="shared" si="67"/>
        <v>0</v>
      </c>
      <c r="CK80" s="61">
        <f t="shared" si="68"/>
        <v>0</v>
      </c>
      <c r="CL80" s="61">
        <f t="shared" si="69"/>
        <v>0</v>
      </c>
      <c r="CM80" s="61">
        <f t="shared" si="70"/>
        <v>0</v>
      </c>
      <c r="CN80" s="61">
        <f t="shared" si="71"/>
        <v>0</v>
      </c>
      <c r="CO80" s="61">
        <f t="shared" si="72"/>
        <v>0</v>
      </c>
      <c r="CP80" s="61">
        <f t="shared" si="73"/>
        <v>0</v>
      </c>
      <c r="CQ80" s="61">
        <f t="shared" si="74"/>
        <v>0</v>
      </c>
      <c r="CR80" s="61">
        <f t="shared" si="75"/>
        <v>0</v>
      </c>
      <c r="CS80" s="61">
        <f t="shared" si="76"/>
        <v>0</v>
      </c>
      <c r="CT80" s="61">
        <f t="shared" si="77"/>
        <v>0</v>
      </c>
      <c r="CU80" s="61">
        <f t="shared" si="78"/>
        <v>0</v>
      </c>
      <c r="CV80" s="61">
        <f t="shared" si="79"/>
        <v>0</v>
      </c>
      <c r="CW80" s="61">
        <f t="shared" si="80"/>
        <v>0</v>
      </c>
      <c r="CX80" s="61">
        <f t="shared" si="81"/>
        <v>0</v>
      </c>
      <c r="CY80" s="61">
        <f t="shared" si="82"/>
        <v>0</v>
      </c>
      <c r="CZ80" s="61">
        <f t="shared" si="83"/>
        <v>0</v>
      </c>
      <c r="DA80" s="61">
        <f t="shared" si="84"/>
        <v>0</v>
      </c>
      <c r="DB80" s="61">
        <f t="shared" si="85"/>
        <v>0</v>
      </c>
      <c r="DC80" s="61">
        <f t="shared" si="86"/>
        <v>0</v>
      </c>
      <c r="DD80" s="61">
        <f t="shared" si="87"/>
        <v>0</v>
      </c>
      <c r="DE80" s="61">
        <f t="shared" si="88"/>
        <v>0</v>
      </c>
    </row>
    <row r="81" spans="1:109" x14ac:dyDescent="0.25">
      <c r="A81" s="248"/>
      <c r="B81" s="248"/>
      <c r="C81" s="251"/>
      <c r="D81" s="25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1">
        <f t="shared" si="60"/>
        <v>0</v>
      </c>
      <c r="AE81" s="53" t="str">
        <f t="shared" ca="1" si="89"/>
        <v/>
      </c>
      <c r="AF81" s="56">
        <f>IF($C81=Repart_lignes,0,
(SUMIF(Fonctionnement[Affectation matrice],$A81,Fonctionnement[TVA acquittée])+SUMIF(Invest[Affectation matrice],$A81,Invest[TVA acquittée]))*CF81)</f>
        <v>0</v>
      </c>
      <c r="AG81" s="56">
        <f>IF($C81=Repart_lignes,0,
(SUMIF(Fonctionnement[Affectation matrice],$A81,Fonctionnement[TVA acquittée])+SUMIF(Invest[Affectation matrice],$A81,Invest[TVA acquittée]))*CG81)</f>
        <v>0</v>
      </c>
      <c r="AH81" s="56">
        <f>IF($C81=Repart_lignes,0,
(SUMIF(Fonctionnement[Affectation matrice],$A81,Fonctionnement[TVA acquittée])+SUMIF(Invest[Affectation matrice],$A81,Invest[TVA acquittée]))*CH81)</f>
        <v>0</v>
      </c>
      <c r="AI81" s="56">
        <f>IF($C81=Repart_lignes,0,
(SUMIF(Fonctionnement[Affectation matrice],$A81,Fonctionnement[TVA acquittée])+SUMIF(Invest[Affectation matrice],$A81,Invest[TVA acquittée]))*CI81)</f>
        <v>0</v>
      </c>
      <c r="AJ81" s="56">
        <f>IF($C81=Repart_lignes,0,
(SUMIF(Fonctionnement[Affectation matrice],$A81,Fonctionnement[TVA acquittée])+SUMIF(Invest[Affectation matrice],$A81,Invest[TVA acquittée]))*CJ81)</f>
        <v>0</v>
      </c>
      <c r="AK81" s="56">
        <f>IF($C81=Repart_lignes,0,
(SUMIF(Fonctionnement[Affectation matrice],$A81,Fonctionnement[TVA acquittée])+SUMIF(Invest[Affectation matrice],$A81,Invest[TVA acquittée]))*CK81)</f>
        <v>0</v>
      </c>
      <c r="AL81" s="56">
        <f>IF($C81=Repart_lignes,0,
(SUMIF(Fonctionnement[Affectation matrice],$A81,Fonctionnement[TVA acquittée])+SUMIF(Invest[Affectation matrice],$A81,Invest[TVA acquittée]))*CL81)</f>
        <v>0</v>
      </c>
      <c r="AM81" s="56">
        <f>IF($C81=Repart_lignes,0,
(SUMIF(Fonctionnement[Affectation matrice],$A81,Fonctionnement[TVA acquittée])+SUMIF(Invest[Affectation matrice],$A81,Invest[TVA acquittée]))*CM81)</f>
        <v>0</v>
      </c>
      <c r="AN81" s="56">
        <f>IF($C81=Repart_lignes,0,
(SUMIF(Fonctionnement[Affectation matrice],$A81,Fonctionnement[TVA acquittée])+SUMIF(Invest[Affectation matrice],$A81,Invest[TVA acquittée]))*CN81)</f>
        <v>0</v>
      </c>
      <c r="AO81" s="56">
        <f>IF($C81=Repart_lignes,0,
(SUMIF(Fonctionnement[Affectation matrice],$A81,Fonctionnement[TVA acquittée])+SUMIF(Invest[Affectation matrice],$A81,Invest[TVA acquittée]))*CO81)</f>
        <v>0</v>
      </c>
      <c r="AP81" s="56">
        <f>IF($C81=Repart_lignes,0,
(SUMIF(Fonctionnement[Affectation matrice],$A81,Fonctionnement[TVA acquittée])+SUMIF(Invest[Affectation matrice],$A81,Invest[TVA acquittée]))*CP81)</f>
        <v>0</v>
      </c>
      <c r="AQ81" s="56">
        <f>IF($C81=Repart_lignes,0,
(SUMIF(Fonctionnement[Affectation matrice],$A81,Fonctionnement[TVA acquittée])+SUMIF(Invest[Affectation matrice],$A81,Invest[TVA acquittée]))*CQ81)</f>
        <v>0</v>
      </c>
      <c r="AR81" s="56">
        <f>IF($C81=Repart_lignes,0,
(SUMIF(Fonctionnement[Affectation matrice],$A81,Fonctionnement[TVA acquittée])+SUMIF(Invest[Affectation matrice],$A81,Invest[TVA acquittée]))*CR81)</f>
        <v>0</v>
      </c>
      <c r="AS81" s="56">
        <f>IF($C81=Repart_lignes,0,
(SUMIF(Fonctionnement[Affectation matrice],$A81,Fonctionnement[TVA acquittée])+SUMIF(Invest[Affectation matrice],$A81,Invest[TVA acquittée]))*CS81)</f>
        <v>0</v>
      </c>
      <c r="AT81" s="56">
        <f>IF($C81=Repart_lignes,0,
(SUMIF(Fonctionnement[Affectation matrice],$A81,Fonctionnement[TVA acquittée])+SUMIF(Invest[Affectation matrice],$A81,Invest[TVA acquittée]))*CT81)</f>
        <v>0</v>
      </c>
      <c r="AU81" s="56">
        <f>IF($C81=Repart_lignes,0,
(SUMIF(Fonctionnement[Affectation matrice],$A81,Fonctionnement[TVA acquittée])+SUMIF(Invest[Affectation matrice],$A81,Invest[TVA acquittée]))*CU81)</f>
        <v>0</v>
      </c>
      <c r="AV81" s="56">
        <f>IF($C81=Repart_lignes,0,
(SUMIF(Fonctionnement[Affectation matrice],$A81,Fonctionnement[TVA acquittée])+SUMIF(Invest[Affectation matrice],$A81,Invest[TVA acquittée]))*CV81)</f>
        <v>0</v>
      </c>
      <c r="AW81" s="56">
        <f>IF($C81=Repart_lignes,0,
(SUMIF(Fonctionnement[Affectation matrice],$A81,Fonctionnement[TVA acquittée])+SUMIF(Invest[Affectation matrice],$A81,Invest[TVA acquittée]))*CW81)</f>
        <v>0</v>
      </c>
      <c r="AX81" s="56">
        <f>IF($C81=Repart_lignes,0,
(SUMIF(Fonctionnement[Affectation matrice],$A81,Fonctionnement[TVA acquittée])+SUMIF(Invest[Affectation matrice],$A81,Invest[TVA acquittée]))*CX81)</f>
        <v>0</v>
      </c>
      <c r="AY81" s="56">
        <f>IF($C81=Repart_lignes,0,
(SUMIF(Fonctionnement[Affectation matrice],$A81,Fonctionnement[TVA acquittée])+SUMIF(Invest[Affectation matrice],$A81,Invest[TVA acquittée]))*CY81)</f>
        <v>0</v>
      </c>
      <c r="AZ81" s="56">
        <f>IF($C81=Repart_lignes,0,
(SUMIF(Fonctionnement[Affectation matrice],$A81,Fonctionnement[TVA acquittée])+SUMIF(Invest[Affectation matrice],$A81,Invest[TVA acquittée]))*CZ81)</f>
        <v>0</v>
      </c>
      <c r="BA81" s="56">
        <f>IF($C81=Repart_lignes,0,
(SUMIF(Fonctionnement[Affectation matrice],$A81,Fonctionnement[TVA acquittée])+SUMIF(Invest[Affectation matrice],$A81,Invest[TVA acquittée]))*DA81)</f>
        <v>0</v>
      </c>
      <c r="BB81" s="56">
        <f>IF($C81=Repart_lignes,0,
(SUMIF(Fonctionnement[Affectation matrice],$A81,Fonctionnement[TVA acquittée])+SUMIF(Invest[Affectation matrice],$A81,Invest[TVA acquittée]))*DB81)</f>
        <v>0</v>
      </c>
      <c r="BC81" s="56">
        <f>IF($C81=Repart_lignes,0,
(SUMIF(Fonctionnement[Affectation matrice],$A81,Fonctionnement[TVA acquittée])+SUMIF(Invest[Affectation matrice],$A81,Invest[TVA acquittée]))*DC81)</f>
        <v>0</v>
      </c>
      <c r="BD81" s="56">
        <f>IF($C81=Repart_lignes,0,
(SUMIF(Fonctionnement[Affectation matrice],$A81,Fonctionnement[TVA acquittée])+SUMIF(Invest[Affectation matrice],$A81,Invest[TVA acquittée]))*DD81)</f>
        <v>0</v>
      </c>
      <c r="BE81" s="58">
        <f t="shared" si="61"/>
        <v>0</v>
      </c>
      <c r="BF81" s="56">
        <f>IF($C81=Repart_lignes,0,
(SUMIF(Fonctionnement[Affectation matrice],$A81,Fonctionnement[Montant (€HT)])+SUMIF(Invest[Affectation matrice],$A81,Invest[Amortissement HT + intérêts]))*CF81)</f>
        <v>0</v>
      </c>
      <c r="BG81" s="56">
        <f>IF($C81=Repart_lignes,0,
(SUMIF(Fonctionnement[Affectation matrice],$A81,Fonctionnement[Montant (€HT)])+SUMIF(Invest[Affectation matrice],$A81,Invest[Amortissement HT + intérêts]))*CG81)</f>
        <v>0</v>
      </c>
      <c r="BH81" s="56">
        <f>IF($C81=Repart_lignes,0,
(SUMIF(Fonctionnement[Affectation matrice],$A81,Fonctionnement[Montant (€HT)])+SUMIF(Invest[Affectation matrice],$A81,Invest[Amortissement HT + intérêts]))*CH81)</f>
        <v>0</v>
      </c>
      <c r="BI81" s="56">
        <f>IF($C81=Repart_lignes,0,
(SUMIF(Fonctionnement[Affectation matrice],$A81,Fonctionnement[Montant (€HT)])+SUMIF(Invest[Affectation matrice],$A81,Invest[Amortissement HT + intérêts]))*CI81)</f>
        <v>0</v>
      </c>
      <c r="BJ81" s="56">
        <f>IF($C81=Repart_lignes,0,
(SUMIF(Fonctionnement[Affectation matrice],$A81,Fonctionnement[Montant (€HT)])+SUMIF(Invest[Affectation matrice],$A81,Invest[Amortissement HT + intérêts]))*CJ81)</f>
        <v>0</v>
      </c>
      <c r="BK81" s="56">
        <f>IF($C81=Repart_lignes,0,
(SUMIF(Fonctionnement[Affectation matrice],$A81,Fonctionnement[Montant (€HT)])+SUMIF(Invest[Affectation matrice],$A81,Invest[Amortissement HT + intérêts]))*CK81)</f>
        <v>0</v>
      </c>
      <c r="BL81" s="56">
        <f>IF($C81=Repart_lignes,0,
(SUMIF(Fonctionnement[Affectation matrice],$A81,Fonctionnement[Montant (€HT)])+SUMIF(Invest[Affectation matrice],$A81,Invest[Amortissement HT + intérêts]))*CL81)</f>
        <v>0</v>
      </c>
      <c r="BM81" s="56">
        <f>IF($C81=Repart_lignes,0,
(SUMIF(Fonctionnement[Affectation matrice],$A81,Fonctionnement[Montant (€HT)])+SUMIF(Invest[Affectation matrice],$A81,Invest[Amortissement HT + intérêts]))*CM81)</f>
        <v>0</v>
      </c>
      <c r="BN81" s="56">
        <f>IF($C81=Repart_lignes,0,
(SUMIF(Fonctionnement[Affectation matrice],$A81,Fonctionnement[Montant (€HT)])+SUMIF(Invest[Affectation matrice],$A81,Invest[Amortissement HT + intérêts]))*CN81)</f>
        <v>0</v>
      </c>
      <c r="BO81" s="56">
        <f>IF($C81=Repart_lignes,0,
(SUMIF(Fonctionnement[Affectation matrice],$A81,Fonctionnement[Montant (€HT)])+SUMIF(Invest[Affectation matrice],$A81,Invest[Amortissement HT + intérêts]))*CO81)</f>
        <v>0</v>
      </c>
      <c r="BP81" s="56">
        <f>IF($C81=Repart_lignes,0,
(SUMIF(Fonctionnement[Affectation matrice],$A81,Fonctionnement[Montant (€HT)])+SUMIF(Invest[Affectation matrice],$A81,Invest[Amortissement HT + intérêts]))*CP81)</f>
        <v>0</v>
      </c>
      <c r="BQ81" s="56">
        <f>IF($C81=Repart_lignes,0,
(SUMIF(Fonctionnement[Affectation matrice],$A81,Fonctionnement[Montant (€HT)])+SUMIF(Invest[Affectation matrice],$A81,Invest[Amortissement HT + intérêts]))*CQ81)</f>
        <v>0</v>
      </c>
      <c r="BR81" s="56">
        <f>IF($C81=Repart_lignes,0,
(SUMIF(Fonctionnement[Affectation matrice],$A81,Fonctionnement[Montant (€HT)])+SUMIF(Invest[Affectation matrice],$A81,Invest[Amortissement HT + intérêts]))*CR81)</f>
        <v>0</v>
      </c>
      <c r="BS81" s="56">
        <f>IF($C81=Repart_lignes,0,
(SUMIF(Fonctionnement[Affectation matrice],$A81,Fonctionnement[Montant (€HT)])+SUMIF(Invest[Affectation matrice],$A81,Invest[Amortissement HT + intérêts]))*CS81)</f>
        <v>0</v>
      </c>
      <c r="BT81" s="56">
        <f>IF($C81=Repart_lignes,0,
(SUMIF(Fonctionnement[Affectation matrice],$A81,Fonctionnement[Montant (€HT)])+SUMIF(Invest[Affectation matrice],$A81,Invest[Amortissement HT + intérêts]))*CT81)</f>
        <v>0</v>
      </c>
      <c r="BU81" s="56">
        <f>IF($C81=Repart_lignes,0,
(SUMIF(Fonctionnement[Affectation matrice],$A81,Fonctionnement[Montant (€HT)])+SUMIF(Invest[Affectation matrice],$A81,Invest[Amortissement HT + intérêts]))*CU81)</f>
        <v>0</v>
      </c>
      <c r="BV81" s="56">
        <f>IF($C81=Repart_lignes,0,
(SUMIF(Fonctionnement[Affectation matrice],$A81,Fonctionnement[Montant (€HT)])+SUMIF(Invest[Affectation matrice],$A81,Invest[Amortissement HT + intérêts]))*CV81)</f>
        <v>0</v>
      </c>
      <c r="BW81" s="56">
        <f>IF($C81=Repart_lignes,0,
(SUMIF(Fonctionnement[Affectation matrice],$A81,Fonctionnement[Montant (€HT)])+SUMIF(Invest[Affectation matrice],$A81,Invest[Amortissement HT + intérêts]))*CW81)</f>
        <v>0</v>
      </c>
      <c r="BX81" s="56">
        <f>IF($C81=Repart_lignes,0,
(SUMIF(Fonctionnement[Affectation matrice],$A81,Fonctionnement[Montant (€HT)])+SUMIF(Invest[Affectation matrice],$A81,Invest[Amortissement HT + intérêts]))*CX81)</f>
        <v>0</v>
      </c>
      <c r="BY81" s="56">
        <f>IF($C81=Repart_lignes,0,
(SUMIF(Fonctionnement[Affectation matrice],$A81,Fonctionnement[Montant (€HT)])+SUMIF(Invest[Affectation matrice],$A81,Invest[Amortissement HT + intérêts]))*CY81)</f>
        <v>0</v>
      </c>
      <c r="BZ81" s="56">
        <f>IF($C81=Repart_lignes,0,
(SUMIF(Fonctionnement[Affectation matrice],$A81,Fonctionnement[Montant (€HT)])+SUMIF(Invest[Affectation matrice],$A81,Invest[Amortissement HT + intérêts]))*CZ81)</f>
        <v>0</v>
      </c>
      <c r="CA81" s="56">
        <f>IF($C81=Repart_lignes,0,
(SUMIF(Fonctionnement[Affectation matrice],$A81,Fonctionnement[Montant (€HT)])+SUMIF(Invest[Affectation matrice],$A81,Invest[Amortissement HT + intérêts]))*DA81)</f>
        <v>0</v>
      </c>
      <c r="CB81" s="56">
        <f>IF($C81=Repart_lignes,0,
(SUMIF(Fonctionnement[Affectation matrice],$A81,Fonctionnement[Montant (€HT)])+SUMIF(Invest[Affectation matrice],$A81,Invest[Amortissement HT + intérêts]))*DB81)</f>
        <v>0</v>
      </c>
      <c r="CC81" s="56">
        <f>IF($C81=Repart_lignes,0,
(SUMIF(Fonctionnement[Affectation matrice],$A81,Fonctionnement[Montant (€HT)])+SUMIF(Invest[Affectation matrice],$A81,Invest[Amortissement HT + intérêts]))*DC81)</f>
        <v>0</v>
      </c>
      <c r="CD81" s="56">
        <f>IF($C81=Repart_lignes,0,
(SUMIF(Fonctionnement[Affectation matrice],$A81,Fonctionnement[Montant (€HT)])+SUMIF(Invest[Affectation matrice],$A81,Invest[Amortissement HT + intérêts]))*DD81)</f>
        <v>0</v>
      </c>
      <c r="CE81" s="59">
        <f t="shared" si="62"/>
        <v>0</v>
      </c>
      <c r="CF81" s="61">
        <f t="shared" si="63"/>
        <v>0</v>
      </c>
      <c r="CG81" s="61">
        <f t="shared" si="64"/>
        <v>0</v>
      </c>
      <c r="CH81" s="61">
        <f t="shared" si="65"/>
        <v>0</v>
      </c>
      <c r="CI81" s="61">
        <f t="shared" si="66"/>
        <v>0</v>
      </c>
      <c r="CJ81" s="61">
        <f t="shared" si="67"/>
        <v>0</v>
      </c>
      <c r="CK81" s="61">
        <f t="shared" si="68"/>
        <v>0</v>
      </c>
      <c r="CL81" s="61">
        <f t="shared" si="69"/>
        <v>0</v>
      </c>
      <c r="CM81" s="61">
        <f t="shared" si="70"/>
        <v>0</v>
      </c>
      <c r="CN81" s="61">
        <f t="shared" si="71"/>
        <v>0</v>
      </c>
      <c r="CO81" s="61">
        <f t="shared" si="72"/>
        <v>0</v>
      </c>
      <c r="CP81" s="61">
        <f t="shared" si="73"/>
        <v>0</v>
      </c>
      <c r="CQ81" s="61">
        <f t="shared" si="74"/>
        <v>0</v>
      </c>
      <c r="CR81" s="61">
        <f t="shared" si="75"/>
        <v>0</v>
      </c>
      <c r="CS81" s="61">
        <f t="shared" si="76"/>
        <v>0</v>
      </c>
      <c r="CT81" s="61">
        <f t="shared" si="77"/>
        <v>0</v>
      </c>
      <c r="CU81" s="61">
        <f t="shared" si="78"/>
        <v>0</v>
      </c>
      <c r="CV81" s="61">
        <f t="shared" si="79"/>
        <v>0</v>
      </c>
      <c r="CW81" s="61">
        <f t="shared" si="80"/>
        <v>0</v>
      </c>
      <c r="CX81" s="61">
        <f t="shared" si="81"/>
        <v>0</v>
      </c>
      <c r="CY81" s="61">
        <f t="shared" si="82"/>
        <v>0</v>
      </c>
      <c r="CZ81" s="61">
        <f t="shared" si="83"/>
        <v>0</v>
      </c>
      <c r="DA81" s="61">
        <f t="shared" si="84"/>
        <v>0</v>
      </c>
      <c r="DB81" s="61">
        <f t="shared" si="85"/>
        <v>0</v>
      </c>
      <c r="DC81" s="61">
        <f t="shared" si="86"/>
        <v>0</v>
      </c>
      <c r="DD81" s="61">
        <f t="shared" si="87"/>
        <v>0</v>
      </c>
      <c r="DE81" s="61">
        <f t="shared" si="88"/>
        <v>0</v>
      </c>
    </row>
    <row r="82" spans="1:109" x14ac:dyDescent="0.25">
      <c r="A82" s="248"/>
      <c r="B82" s="248"/>
      <c r="C82" s="251"/>
      <c r="D82" s="25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1">
        <f t="shared" si="60"/>
        <v>0</v>
      </c>
      <c r="AE82" s="53" t="str">
        <f t="shared" ca="1" si="89"/>
        <v/>
      </c>
      <c r="AF82" s="56">
        <f>IF($C82=Repart_lignes,0,
(SUMIF(Fonctionnement[Affectation matrice],$A82,Fonctionnement[TVA acquittée])+SUMIF(Invest[Affectation matrice],$A82,Invest[TVA acquittée]))*CF82)</f>
        <v>0</v>
      </c>
      <c r="AG82" s="56">
        <f>IF($C82=Repart_lignes,0,
(SUMIF(Fonctionnement[Affectation matrice],$A82,Fonctionnement[TVA acquittée])+SUMIF(Invest[Affectation matrice],$A82,Invest[TVA acquittée]))*CG82)</f>
        <v>0</v>
      </c>
      <c r="AH82" s="56">
        <f>IF($C82=Repart_lignes,0,
(SUMIF(Fonctionnement[Affectation matrice],$A82,Fonctionnement[TVA acquittée])+SUMIF(Invest[Affectation matrice],$A82,Invest[TVA acquittée]))*CH82)</f>
        <v>0</v>
      </c>
      <c r="AI82" s="56">
        <f>IF($C82=Repart_lignes,0,
(SUMIF(Fonctionnement[Affectation matrice],$A82,Fonctionnement[TVA acquittée])+SUMIF(Invest[Affectation matrice],$A82,Invest[TVA acquittée]))*CI82)</f>
        <v>0</v>
      </c>
      <c r="AJ82" s="56">
        <f>IF($C82=Repart_lignes,0,
(SUMIF(Fonctionnement[Affectation matrice],$A82,Fonctionnement[TVA acquittée])+SUMIF(Invest[Affectation matrice],$A82,Invest[TVA acquittée]))*CJ82)</f>
        <v>0</v>
      </c>
      <c r="AK82" s="56">
        <f>IF($C82=Repart_lignes,0,
(SUMIF(Fonctionnement[Affectation matrice],$A82,Fonctionnement[TVA acquittée])+SUMIF(Invest[Affectation matrice],$A82,Invest[TVA acquittée]))*CK82)</f>
        <v>0</v>
      </c>
      <c r="AL82" s="56">
        <f>IF($C82=Repart_lignes,0,
(SUMIF(Fonctionnement[Affectation matrice],$A82,Fonctionnement[TVA acquittée])+SUMIF(Invest[Affectation matrice],$A82,Invest[TVA acquittée]))*CL82)</f>
        <v>0</v>
      </c>
      <c r="AM82" s="56">
        <f>IF($C82=Repart_lignes,0,
(SUMIF(Fonctionnement[Affectation matrice],$A82,Fonctionnement[TVA acquittée])+SUMIF(Invest[Affectation matrice],$A82,Invest[TVA acquittée]))*CM82)</f>
        <v>0</v>
      </c>
      <c r="AN82" s="56">
        <f>IF($C82=Repart_lignes,0,
(SUMIF(Fonctionnement[Affectation matrice],$A82,Fonctionnement[TVA acquittée])+SUMIF(Invest[Affectation matrice],$A82,Invest[TVA acquittée]))*CN82)</f>
        <v>0</v>
      </c>
      <c r="AO82" s="56">
        <f>IF($C82=Repart_lignes,0,
(SUMIF(Fonctionnement[Affectation matrice],$A82,Fonctionnement[TVA acquittée])+SUMIF(Invest[Affectation matrice],$A82,Invest[TVA acquittée]))*CO82)</f>
        <v>0</v>
      </c>
      <c r="AP82" s="56">
        <f>IF($C82=Repart_lignes,0,
(SUMIF(Fonctionnement[Affectation matrice],$A82,Fonctionnement[TVA acquittée])+SUMIF(Invest[Affectation matrice],$A82,Invest[TVA acquittée]))*CP82)</f>
        <v>0</v>
      </c>
      <c r="AQ82" s="56">
        <f>IF($C82=Repart_lignes,0,
(SUMIF(Fonctionnement[Affectation matrice],$A82,Fonctionnement[TVA acquittée])+SUMIF(Invest[Affectation matrice],$A82,Invest[TVA acquittée]))*CQ82)</f>
        <v>0</v>
      </c>
      <c r="AR82" s="56">
        <f>IF($C82=Repart_lignes,0,
(SUMIF(Fonctionnement[Affectation matrice],$A82,Fonctionnement[TVA acquittée])+SUMIF(Invest[Affectation matrice],$A82,Invest[TVA acquittée]))*CR82)</f>
        <v>0</v>
      </c>
      <c r="AS82" s="56">
        <f>IF($C82=Repart_lignes,0,
(SUMIF(Fonctionnement[Affectation matrice],$A82,Fonctionnement[TVA acquittée])+SUMIF(Invest[Affectation matrice],$A82,Invest[TVA acquittée]))*CS82)</f>
        <v>0</v>
      </c>
      <c r="AT82" s="56">
        <f>IF($C82=Repart_lignes,0,
(SUMIF(Fonctionnement[Affectation matrice],$A82,Fonctionnement[TVA acquittée])+SUMIF(Invest[Affectation matrice],$A82,Invest[TVA acquittée]))*CT82)</f>
        <v>0</v>
      </c>
      <c r="AU82" s="56">
        <f>IF($C82=Repart_lignes,0,
(SUMIF(Fonctionnement[Affectation matrice],$A82,Fonctionnement[TVA acquittée])+SUMIF(Invest[Affectation matrice],$A82,Invest[TVA acquittée]))*CU82)</f>
        <v>0</v>
      </c>
      <c r="AV82" s="56">
        <f>IF($C82=Repart_lignes,0,
(SUMIF(Fonctionnement[Affectation matrice],$A82,Fonctionnement[TVA acquittée])+SUMIF(Invest[Affectation matrice],$A82,Invest[TVA acquittée]))*CV82)</f>
        <v>0</v>
      </c>
      <c r="AW82" s="56">
        <f>IF($C82=Repart_lignes,0,
(SUMIF(Fonctionnement[Affectation matrice],$A82,Fonctionnement[TVA acquittée])+SUMIF(Invest[Affectation matrice],$A82,Invest[TVA acquittée]))*CW82)</f>
        <v>0</v>
      </c>
      <c r="AX82" s="56">
        <f>IF($C82=Repart_lignes,0,
(SUMIF(Fonctionnement[Affectation matrice],$A82,Fonctionnement[TVA acquittée])+SUMIF(Invest[Affectation matrice],$A82,Invest[TVA acquittée]))*CX82)</f>
        <v>0</v>
      </c>
      <c r="AY82" s="56">
        <f>IF($C82=Repart_lignes,0,
(SUMIF(Fonctionnement[Affectation matrice],$A82,Fonctionnement[TVA acquittée])+SUMIF(Invest[Affectation matrice],$A82,Invest[TVA acquittée]))*CY82)</f>
        <v>0</v>
      </c>
      <c r="AZ82" s="56">
        <f>IF($C82=Repart_lignes,0,
(SUMIF(Fonctionnement[Affectation matrice],$A82,Fonctionnement[TVA acquittée])+SUMIF(Invest[Affectation matrice],$A82,Invest[TVA acquittée]))*CZ82)</f>
        <v>0</v>
      </c>
      <c r="BA82" s="56">
        <f>IF($C82=Repart_lignes,0,
(SUMIF(Fonctionnement[Affectation matrice],$A82,Fonctionnement[TVA acquittée])+SUMIF(Invest[Affectation matrice],$A82,Invest[TVA acquittée]))*DA82)</f>
        <v>0</v>
      </c>
      <c r="BB82" s="56">
        <f>IF($C82=Repart_lignes,0,
(SUMIF(Fonctionnement[Affectation matrice],$A82,Fonctionnement[TVA acquittée])+SUMIF(Invest[Affectation matrice],$A82,Invest[TVA acquittée]))*DB82)</f>
        <v>0</v>
      </c>
      <c r="BC82" s="56">
        <f>IF($C82=Repart_lignes,0,
(SUMIF(Fonctionnement[Affectation matrice],$A82,Fonctionnement[TVA acquittée])+SUMIF(Invest[Affectation matrice],$A82,Invest[TVA acquittée]))*DC82)</f>
        <v>0</v>
      </c>
      <c r="BD82" s="56">
        <f>IF($C82=Repart_lignes,0,
(SUMIF(Fonctionnement[Affectation matrice],$A82,Fonctionnement[TVA acquittée])+SUMIF(Invest[Affectation matrice],$A82,Invest[TVA acquittée]))*DD82)</f>
        <v>0</v>
      </c>
      <c r="BE82" s="58">
        <f t="shared" si="61"/>
        <v>0</v>
      </c>
      <c r="BF82" s="56">
        <f>IF($C82=Repart_lignes,0,
(SUMIF(Fonctionnement[Affectation matrice],$A82,Fonctionnement[Montant (€HT)])+SUMIF(Invest[Affectation matrice],$A82,Invest[Amortissement HT + intérêts]))*CF82)</f>
        <v>0</v>
      </c>
      <c r="BG82" s="56">
        <f>IF($C82=Repart_lignes,0,
(SUMIF(Fonctionnement[Affectation matrice],$A82,Fonctionnement[Montant (€HT)])+SUMIF(Invest[Affectation matrice],$A82,Invest[Amortissement HT + intérêts]))*CG82)</f>
        <v>0</v>
      </c>
      <c r="BH82" s="56">
        <f>IF($C82=Repart_lignes,0,
(SUMIF(Fonctionnement[Affectation matrice],$A82,Fonctionnement[Montant (€HT)])+SUMIF(Invest[Affectation matrice],$A82,Invest[Amortissement HT + intérêts]))*CH82)</f>
        <v>0</v>
      </c>
      <c r="BI82" s="56">
        <f>IF($C82=Repart_lignes,0,
(SUMIF(Fonctionnement[Affectation matrice],$A82,Fonctionnement[Montant (€HT)])+SUMIF(Invest[Affectation matrice],$A82,Invest[Amortissement HT + intérêts]))*CI82)</f>
        <v>0</v>
      </c>
      <c r="BJ82" s="56">
        <f>IF($C82=Repart_lignes,0,
(SUMIF(Fonctionnement[Affectation matrice],$A82,Fonctionnement[Montant (€HT)])+SUMIF(Invest[Affectation matrice],$A82,Invest[Amortissement HT + intérêts]))*CJ82)</f>
        <v>0</v>
      </c>
      <c r="BK82" s="56">
        <f>IF($C82=Repart_lignes,0,
(SUMIF(Fonctionnement[Affectation matrice],$A82,Fonctionnement[Montant (€HT)])+SUMIF(Invest[Affectation matrice],$A82,Invest[Amortissement HT + intérêts]))*CK82)</f>
        <v>0</v>
      </c>
      <c r="BL82" s="56">
        <f>IF($C82=Repart_lignes,0,
(SUMIF(Fonctionnement[Affectation matrice],$A82,Fonctionnement[Montant (€HT)])+SUMIF(Invest[Affectation matrice],$A82,Invest[Amortissement HT + intérêts]))*CL82)</f>
        <v>0</v>
      </c>
      <c r="BM82" s="56">
        <f>IF($C82=Repart_lignes,0,
(SUMIF(Fonctionnement[Affectation matrice],$A82,Fonctionnement[Montant (€HT)])+SUMIF(Invest[Affectation matrice],$A82,Invest[Amortissement HT + intérêts]))*CM82)</f>
        <v>0</v>
      </c>
      <c r="BN82" s="56">
        <f>IF($C82=Repart_lignes,0,
(SUMIF(Fonctionnement[Affectation matrice],$A82,Fonctionnement[Montant (€HT)])+SUMIF(Invest[Affectation matrice],$A82,Invest[Amortissement HT + intérêts]))*CN82)</f>
        <v>0</v>
      </c>
      <c r="BO82" s="56">
        <f>IF($C82=Repart_lignes,0,
(SUMIF(Fonctionnement[Affectation matrice],$A82,Fonctionnement[Montant (€HT)])+SUMIF(Invest[Affectation matrice],$A82,Invest[Amortissement HT + intérêts]))*CO82)</f>
        <v>0</v>
      </c>
      <c r="BP82" s="56">
        <f>IF($C82=Repart_lignes,0,
(SUMIF(Fonctionnement[Affectation matrice],$A82,Fonctionnement[Montant (€HT)])+SUMIF(Invest[Affectation matrice],$A82,Invest[Amortissement HT + intérêts]))*CP82)</f>
        <v>0</v>
      </c>
      <c r="BQ82" s="56">
        <f>IF($C82=Repart_lignes,0,
(SUMIF(Fonctionnement[Affectation matrice],$A82,Fonctionnement[Montant (€HT)])+SUMIF(Invest[Affectation matrice],$A82,Invest[Amortissement HT + intérêts]))*CQ82)</f>
        <v>0</v>
      </c>
      <c r="BR82" s="56">
        <f>IF($C82=Repart_lignes,0,
(SUMIF(Fonctionnement[Affectation matrice],$A82,Fonctionnement[Montant (€HT)])+SUMIF(Invest[Affectation matrice],$A82,Invest[Amortissement HT + intérêts]))*CR82)</f>
        <v>0</v>
      </c>
      <c r="BS82" s="56">
        <f>IF($C82=Repart_lignes,0,
(SUMIF(Fonctionnement[Affectation matrice],$A82,Fonctionnement[Montant (€HT)])+SUMIF(Invest[Affectation matrice],$A82,Invest[Amortissement HT + intérêts]))*CS82)</f>
        <v>0</v>
      </c>
      <c r="BT82" s="56">
        <f>IF($C82=Repart_lignes,0,
(SUMIF(Fonctionnement[Affectation matrice],$A82,Fonctionnement[Montant (€HT)])+SUMIF(Invest[Affectation matrice],$A82,Invest[Amortissement HT + intérêts]))*CT82)</f>
        <v>0</v>
      </c>
      <c r="BU82" s="56">
        <f>IF($C82=Repart_lignes,0,
(SUMIF(Fonctionnement[Affectation matrice],$A82,Fonctionnement[Montant (€HT)])+SUMIF(Invest[Affectation matrice],$A82,Invest[Amortissement HT + intérêts]))*CU82)</f>
        <v>0</v>
      </c>
      <c r="BV82" s="56">
        <f>IF($C82=Repart_lignes,0,
(SUMIF(Fonctionnement[Affectation matrice],$A82,Fonctionnement[Montant (€HT)])+SUMIF(Invest[Affectation matrice],$A82,Invest[Amortissement HT + intérêts]))*CV82)</f>
        <v>0</v>
      </c>
      <c r="BW82" s="56">
        <f>IF($C82=Repart_lignes,0,
(SUMIF(Fonctionnement[Affectation matrice],$A82,Fonctionnement[Montant (€HT)])+SUMIF(Invest[Affectation matrice],$A82,Invest[Amortissement HT + intérêts]))*CW82)</f>
        <v>0</v>
      </c>
      <c r="BX82" s="56">
        <f>IF($C82=Repart_lignes,0,
(SUMIF(Fonctionnement[Affectation matrice],$A82,Fonctionnement[Montant (€HT)])+SUMIF(Invest[Affectation matrice],$A82,Invest[Amortissement HT + intérêts]))*CX82)</f>
        <v>0</v>
      </c>
      <c r="BY82" s="56">
        <f>IF($C82=Repart_lignes,0,
(SUMIF(Fonctionnement[Affectation matrice],$A82,Fonctionnement[Montant (€HT)])+SUMIF(Invest[Affectation matrice],$A82,Invest[Amortissement HT + intérêts]))*CY82)</f>
        <v>0</v>
      </c>
      <c r="BZ82" s="56">
        <f>IF($C82=Repart_lignes,0,
(SUMIF(Fonctionnement[Affectation matrice],$A82,Fonctionnement[Montant (€HT)])+SUMIF(Invest[Affectation matrice],$A82,Invest[Amortissement HT + intérêts]))*CZ82)</f>
        <v>0</v>
      </c>
      <c r="CA82" s="56">
        <f>IF($C82=Repart_lignes,0,
(SUMIF(Fonctionnement[Affectation matrice],$A82,Fonctionnement[Montant (€HT)])+SUMIF(Invest[Affectation matrice],$A82,Invest[Amortissement HT + intérêts]))*DA82)</f>
        <v>0</v>
      </c>
      <c r="CB82" s="56">
        <f>IF($C82=Repart_lignes,0,
(SUMIF(Fonctionnement[Affectation matrice],$A82,Fonctionnement[Montant (€HT)])+SUMIF(Invest[Affectation matrice],$A82,Invest[Amortissement HT + intérêts]))*DB82)</f>
        <v>0</v>
      </c>
      <c r="CC82" s="56">
        <f>IF($C82=Repart_lignes,0,
(SUMIF(Fonctionnement[Affectation matrice],$A82,Fonctionnement[Montant (€HT)])+SUMIF(Invest[Affectation matrice],$A82,Invest[Amortissement HT + intérêts]))*DC82)</f>
        <v>0</v>
      </c>
      <c r="CD82" s="56">
        <f>IF($C82=Repart_lignes,0,
(SUMIF(Fonctionnement[Affectation matrice],$A82,Fonctionnement[Montant (€HT)])+SUMIF(Invest[Affectation matrice],$A82,Invest[Amortissement HT + intérêts]))*DD82)</f>
        <v>0</v>
      </c>
      <c r="CE82" s="59">
        <f t="shared" si="62"/>
        <v>0</v>
      </c>
      <c r="CF82" s="61">
        <f t="shared" si="63"/>
        <v>0</v>
      </c>
      <c r="CG82" s="61">
        <f t="shared" si="64"/>
        <v>0</v>
      </c>
      <c r="CH82" s="61">
        <f t="shared" si="65"/>
        <v>0</v>
      </c>
      <c r="CI82" s="61">
        <f t="shared" si="66"/>
        <v>0</v>
      </c>
      <c r="CJ82" s="61">
        <f t="shared" si="67"/>
        <v>0</v>
      </c>
      <c r="CK82" s="61">
        <f t="shared" si="68"/>
        <v>0</v>
      </c>
      <c r="CL82" s="61">
        <f t="shared" si="69"/>
        <v>0</v>
      </c>
      <c r="CM82" s="61">
        <f t="shared" si="70"/>
        <v>0</v>
      </c>
      <c r="CN82" s="61">
        <f t="shared" si="71"/>
        <v>0</v>
      </c>
      <c r="CO82" s="61">
        <f t="shared" si="72"/>
        <v>0</v>
      </c>
      <c r="CP82" s="61">
        <f t="shared" si="73"/>
        <v>0</v>
      </c>
      <c r="CQ82" s="61">
        <f t="shared" si="74"/>
        <v>0</v>
      </c>
      <c r="CR82" s="61">
        <f t="shared" si="75"/>
        <v>0</v>
      </c>
      <c r="CS82" s="61">
        <f t="shared" si="76"/>
        <v>0</v>
      </c>
      <c r="CT82" s="61">
        <f t="shared" si="77"/>
        <v>0</v>
      </c>
      <c r="CU82" s="61">
        <f t="shared" si="78"/>
        <v>0</v>
      </c>
      <c r="CV82" s="61">
        <f t="shared" si="79"/>
        <v>0</v>
      </c>
      <c r="CW82" s="61">
        <f t="shared" si="80"/>
        <v>0</v>
      </c>
      <c r="CX82" s="61">
        <f t="shared" si="81"/>
        <v>0</v>
      </c>
      <c r="CY82" s="61">
        <f t="shared" si="82"/>
        <v>0</v>
      </c>
      <c r="CZ82" s="61">
        <f t="shared" si="83"/>
        <v>0</v>
      </c>
      <c r="DA82" s="61">
        <f t="shared" si="84"/>
        <v>0</v>
      </c>
      <c r="DB82" s="61">
        <f t="shared" si="85"/>
        <v>0</v>
      </c>
      <c r="DC82" s="61">
        <f t="shared" si="86"/>
        <v>0</v>
      </c>
      <c r="DD82" s="61">
        <f t="shared" si="87"/>
        <v>0</v>
      </c>
      <c r="DE82" s="61">
        <f t="shared" si="88"/>
        <v>0</v>
      </c>
    </row>
    <row r="83" spans="1:109" x14ac:dyDescent="0.25">
      <c r="A83" s="248"/>
      <c r="B83" s="248"/>
      <c r="C83" s="251"/>
      <c r="D83" s="25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1">
        <f t="shared" si="60"/>
        <v>0</v>
      </c>
      <c r="AE83" s="53" t="str">
        <f t="shared" ca="1" si="89"/>
        <v/>
      </c>
      <c r="AF83" s="56">
        <f>IF($C83=Repart_lignes,0,
(SUMIF(Fonctionnement[Affectation matrice],$A83,Fonctionnement[TVA acquittée])+SUMIF(Invest[Affectation matrice],$A83,Invest[TVA acquittée]))*CF83)</f>
        <v>0</v>
      </c>
      <c r="AG83" s="56">
        <f>IF($C83=Repart_lignes,0,
(SUMIF(Fonctionnement[Affectation matrice],$A83,Fonctionnement[TVA acquittée])+SUMIF(Invest[Affectation matrice],$A83,Invest[TVA acquittée]))*CG83)</f>
        <v>0</v>
      </c>
      <c r="AH83" s="56">
        <f>IF($C83=Repart_lignes,0,
(SUMIF(Fonctionnement[Affectation matrice],$A83,Fonctionnement[TVA acquittée])+SUMIF(Invest[Affectation matrice],$A83,Invest[TVA acquittée]))*CH83)</f>
        <v>0</v>
      </c>
      <c r="AI83" s="56">
        <f>IF($C83=Repart_lignes,0,
(SUMIF(Fonctionnement[Affectation matrice],$A83,Fonctionnement[TVA acquittée])+SUMIF(Invest[Affectation matrice],$A83,Invest[TVA acquittée]))*CI83)</f>
        <v>0</v>
      </c>
      <c r="AJ83" s="56">
        <f>IF($C83=Repart_lignes,0,
(SUMIF(Fonctionnement[Affectation matrice],$A83,Fonctionnement[TVA acquittée])+SUMIF(Invest[Affectation matrice],$A83,Invest[TVA acquittée]))*CJ83)</f>
        <v>0</v>
      </c>
      <c r="AK83" s="56">
        <f>IF($C83=Repart_lignes,0,
(SUMIF(Fonctionnement[Affectation matrice],$A83,Fonctionnement[TVA acquittée])+SUMIF(Invest[Affectation matrice],$A83,Invest[TVA acquittée]))*CK83)</f>
        <v>0</v>
      </c>
      <c r="AL83" s="56">
        <f>IF($C83=Repart_lignes,0,
(SUMIF(Fonctionnement[Affectation matrice],$A83,Fonctionnement[TVA acquittée])+SUMIF(Invest[Affectation matrice],$A83,Invest[TVA acquittée]))*CL83)</f>
        <v>0</v>
      </c>
      <c r="AM83" s="56">
        <f>IF($C83=Repart_lignes,0,
(SUMIF(Fonctionnement[Affectation matrice],$A83,Fonctionnement[TVA acquittée])+SUMIF(Invest[Affectation matrice],$A83,Invest[TVA acquittée]))*CM83)</f>
        <v>0</v>
      </c>
      <c r="AN83" s="56">
        <f>IF($C83=Repart_lignes,0,
(SUMIF(Fonctionnement[Affectation matrice],$A83,Fonctionnement[TVA acquittée])+SUMIF(Invest[Affectation matrice],$A83,Invest[TVA acquittée]))*CN83)</f>
        <v>0</v>
      </c>
      <c r="AO83" s="56">
        <f>IF($C83=Repart_lignes,0,
(SUMIF(Fonctionnement[Affectation matrice],$A83,Fonctionnement[TVA acquittée])+SUMIF(Invest[Affectation matrice],$A83,Invest[TVA acquittée]))*CO83)</f>
        <v>0</v>
      </c>
      <c r="AP83" s="56">
        <f>IF($C83=Repart_lignes,0,
(SUMIF(Fonctionnement[Affectation matrice],$A83,Fonctionnement[TVA acquittée])+SUMIF(Invest[Affectation matrice],$A83,Invest[TVA acquittée]))*CP83)</f>
        <v>0</v>
      </c>
      <c r="AQ83" s="56">
        <f>IF($C83=Repart_lignes,0,
(SUMIF(Fonctionnement[Affectation matrice],$A83,Fonctionnement[TVA acquittée])+SUMIF(Invest[Affectation matrice],$A83,Invest[TVA acquittée]))*CQ83)</f>
        <v>0</v>
      </c>
      <c r="AR83" s="56">
        <f>IF($C83=Repart_lignes,0,
(SUMIF(Fonctionnement[Affectation matrice],$A83,Fonctionnement[TVA acquittée])+SUMIF(Invest[Affectation matrice],$A83,Invest[TVA acquittée]))*CR83)</f>
        <v>0</v>
      </c>
      <c r="AS83" s="56">
        <f>IF($C83=Repart_lignes,0,
(SUMIF(Fonctionnement[Affectation matrice],$A83,Fonctionnement[TVA acquittée])+SUMIF(Invest[Affectation matrice],$A83,Invest[TVA acquittée]))*CS83)</f>
        <v>0</v>
      </c>
      <c r="AT83" s="56">
        <f>IF($C83=Repart_lignes,0,
(SUMIF(Fonctionnement[Affectation matrice],$A83,Fonctionnement[TVA acquittée])+SUMIF(Invest[Affectation matrice],$A83,Invest[TVA acquittée]))*CT83)</f>
        <v>0</v>
      </c>
      <c r="AU83" s="56">
        <f>IF($C83=Repart_lignes,0,
(SUMIF(Fonctionnement[Affectation matrice],$A83,Fonctionnement[TVA acquittée])+SUMIF(Invest[Affectation matrice],$A83,Invest[TVA acquittée]))*CU83)</f>
        <v>0</v>
      </c>
      <c r="AV83" s="56">
        <f>IF($C83=Repart_lignes,0,
(SUMIF(Fonctionnement[Affectation matrice],$A83,Fonctionnement[TVA acquittée])+SUMIF(Invest[Affectation matrice],$A83,Invest[TVA acquittée]))*CV83)</f>
        <v>0</v>
      </c>
      <c r="AW83" s="56">
        <f>IF($C83=Repart_lignes,0,
(SUMIF(Fonctionnement[Affectation matrice],$A83,Fonctionnement[TVA acquittée])+SUMIF(Invest[Affectation matrice],$A83,Invest[TVA acquittée]))*CW83)</f>
        <v>0</v>
      </c>
      <c r="AX83" s="56">
        <f>IF($C83=Repart_lignes,0,
(SUMIF(Fonctionnement[Affectation matrice],$A83,Fonctionnement[TVA acquittée])+SUMIF(Invest[Affectation matrice],$A83,Invest[TVA acquittée]))*CX83)</f>
        <v>0</v>
      </c>
      <c r="AY83" s="56">
        <f>IF($C83=Repart_lignes,0,
(SUMIF(Fonctionnement[Affectation matrice],$A83,Fonctionnement[TVA acquittée])+SUMIF(Invest[Affectation matrice],$A83,Invest[TVA acquittée]))*CY83)</f>
        <v>0</v>
      </c>
      <c r="AZ83" s="56">
        <f>IF($C83=Repart_lignes,0,
(SUMIF(Fonctionnement[Affectation matrice],$A83,Fonctionnement[TVA acquittée])+SUMIF(Invest[Affectation matrice],$A83,Invest[TVA acquittée]))*CZ83)</f>
        <v>0</v>
      </c>
      <c r="BA83" s="56">
        <f>IF($C83=Repart_lignes,0,
(SUMIF(Fonctionnement[Affectation matrice],$A83,Fonctionnement[TVA acquittée])+SUMIF(Invest[Affectation matrice],$A83,Invest[TVA acquittée]))*DA83)</f>
        <v>0</v>
      </c>
      <c r="BB83" s="56">
        <f>IF($C83=Repart_lignes,0,
(SUMIF(Fonctionnement[Affectation matrice],$A83,Fonctionnement[TVA acquittée])+SUMIF(Invest[Affectation matrice],$A83,Invest[TVA acquittée]))*DB83)</f>
        <v>0</v>
      </c>
      <c r="BC83" s="56">
        <f>IF($C83=Repart_lignes,0,
(SUMIF(Fonctionnement[Affectation matrice],$A83,Fonctionnement[TVA acquittée])+SUMIF(Invest[Affectation matrice],$A83,Invest[TVA acquittée]))*DC83)</f>
        <v>0</v>
      </c>
      <c r="BD83" s="56">
        <f>IF($C83=Repart_lignes,0,
(SUMIF(Fonctionnement[Affectation matrice],$A83,Fonctionnement[TVA acquittée])+SUMIF(Invest[Affectation matrice],$A83,Invest[TVA acquittée]))*DD83)</f>
        <v>0</v>
      </c>
      <c r="BE83" s="58">
        <f t="shared" si="61"/>
        <v>0</v>
      </c>
      <c r="BF83" s="56">
        <f>IF($C83=Repart_lignes,0,
(SUMIF(Fonctionnement[Affectation matrice],$A83,Fonctionnement[Montant (€HT)])+SUMIF(Invest[Affectation matrice],$A83,Invest[Amortissement HT + intérêts]))*CF83)</f>
        <v>0</v>
      </c>
      <c r="BG83" s="56">
        <f>IF($C83=Repart_lignes,0,
(SUMIF(Fonctionnement[Affectation matrice],$A83,Fonctionnement[Montant (€HT)])+SUMIF(Invest[Affectation matrice],$A83,Invest[Amortissement HT + intérêts]))*CG83)</f>
        <v>0</v>
      </c>
      <c r="BH83" s="56">
        <f>IF($C83=Repart_lignes,0,
(SUMIF(Fonctionnement[Affectation matrice],$A83,Fonctionnement[Montant (€HT)])+SUMIF(Invest[Affectation matrice],$A83,Invest[Amortissement HT + intérêts]))*CH83)</f>
        <v>0</v>
      </c>
      <c r="BI83" s="56">
        <f>IF($C83=Repart_lignes,0,
(SUMIF(Fonctionnement[Affectation matrice],$A83,Fonctionnement[Montant (€HT)])+SUMIF(Invest[Affectation matrice],$A83,Invest[Amortissement HT + intérêts]))*CI83)</f>
        <v>0</v>
      </c>
      <c r="BJ83" s="56">
        <f>IF($C83=Repart_lignes,0,
(SUMIF(Fonctionnement[Affectation matrice],$A83,Fonctionnement[Montant (€HT)])+SUMIF(Invest[Affectation matrice],$A83,Invest[Amortissement HT + intérêts]))*CJ83)</f>
        <v>0</v>
      </c>
      <c r="BK83" s="56">
        <f>IF($C83=Repart_lignes,0,
(SUMIF(Fonctionnement[Affectation matrice],$A83,Fonctionnement[Montant (€HT)])+SUMIF(Invest[Affectation matrice],$A83,Invest[Amortissement HT + intérêts]))*CK83)</f>
        <v>0</v>
      </c>
      <c r="BL83" s="56">
        <f>IF($C83=Repart_lignes,0,
(SUMIF(Fonctionnement[Affectation matrice],$A83,Fonctionnement[Montant (€HT)])+SUMIF(Invest[Affectation matrice],$A83,Invest[Amortissement HT + intérêts]))*CL83)</f>
        <v>0</v>
      </c>
      <c r="BM83" s="56">
        <f>IF($C83=Repart_lignes,0,
(SUMIF(Fonctionnement[Affectation matrice],$A83,Fonctionnement[Montant (€HT)])+SUMIF(Invest[Affectation matrice],$A83,Invest[Amortissement HT + intérêts]))*CM83)</f>
        <v>0</v>
      </c>
      <c r="BN83" s="56">
        <f>IF($C83=Repart_lignes,0,
(SUMIF(Fonctionnement[Affectation matrice],$A83,Fonctionnement[Montant (€HT)])+SUMIF(Invest[Affectation matrice],$A83,Invest[Amortissement HT + intérêts]))*CN83)</f>
        <v>0</v>
      </c>
      <c r="BO83" s="56">
        <f>IF($C83=Repart_lignes,0,
(SUMIF(Fonctionnement[Affectation matrice],$A83,Fonctionnement[Montant (€HT)])+SUMIF(Invest[Affectation matrice],$A83,Invest[Amortissement HT + intérêts]))*CO83)</f>
        <v>0</v>
      </c>
      <c r="BP83" s="56">
        <f>IF($C83=Repart_lignes,0,
(SUMIF(Fonctionnement[Affectation matrice],$A83,Fonctionnement[Montant (€HT)])+SUMIF(Invest[Affectation matrice],$A83,Invest[Amortissement HT + intérêts]))*CP83)</f>
        <v>0</v>
      </c>
      <c r="BQ83" s="56">
        <f>IF($C83=Repart_lignes,0,
(SUMIF(Fonctionnement[Affectation matrice],$A83,Fonctionnement[Montant (€HT)])+SUMIF(Invest[Affectation matrice],$A83,Invest[Amortissement HT + intérêts]))*CQ83)</f>
        <v>0</v>
      </c>
      <c r="BR83" s="56">
        <f>IF($C83=Repart_lignes,0,
(SUMIF(Fonctionnement[Affectation matrice],$A83,Fonctionnement[Montant (€HT)])+SUMIF(Invest[Affectation matrice],$A83,Invest[Amortissement HT + intérêts]))*CR83)</f>
        <v>0</v>
      </c>
      <c r="BS83" s="56">
        <f>IF($C83=Repart_lignes,0,
(SUMIF(Fonctionnement[Affectation matrice],$A83,Fonctionnement[Montant (€HT)])+SUMIF(Invest[Affectation matrice],$A83,Invest[Amortissement HT + intérêts]))*CS83)</f>
        <v>0</v>
      </c>
      <c r="BT83" s="56">
        <f>IF($C83=Repart_lignes,0,
(SUMIF(Fonctionnement[Affectation matrice],$A83,Fonctionnement[Montant (€HT)])+SUMIF(Invest[Affectation matrice],$A83,Invest[Amortissement HT + intérêts]))*CT83)</f>
        <v>0</v>
      </c>
      <c r="BU83" s="56">
        <f>IF($C83=Repart_lignes,0,
(SUMIF(Fonctionnement[Affectation matrice],$A83,Fonctionnement[Montant (€HT)])+SUMIF(Invest[Affectation matrice],$A83,Invest[Amortissement HT + intérêts]))*CU83)</f>
        <v>0</v>
      </c>
      <c r="BV83" s="56">
        <f>IF($C83=Repart_lignes,0,
(SUMIF(Fonctionnement[Affectation matrice],$A83,Fonctionnement[Montant (€HT)])+SUMIF(Invest[Affectation matrice],$A83,Invest[Amortissement HT + intérêts]))*CV83)</f>
        <v>0</v>
      </c>
      <c r="BW83" s="56">
        <f>IF($C83=Repart_lignes,0,
(SUMIF(Fonctionnement[Affectation matrice],$A83,Fonctionnement[Montant (€HT)])+SUMIF(Invest[Affectation matrice],$A83,Invest[Amortissement HT + intérêts]))*CW83)</f>
        <v>0</v>
      </c>
      <c r="BX83" s="56">
        <f>IF($C83=Repart_lignes,0,
(SUMIF(Fonctionnement[Affectation matrice],$A83,Fonctionnement[Montant (€HT)])+SUMIF(Invest[Affectation matrice],$A83,Invest[Amortissement HT + intérêts]))*CX83)</f>
        <v>0</v>
      </c>
      <c r="BY83" s="56">
        <f>IF($C83=Repart_lignes,0,
(SUMIF(Fonctionnement[Affectation matrice],$A83,Fonctionnement[Montant (€HT)])+SUMIF(Invest[Affectation matrice],$A83,Invest[Amortissement HT + intérêts]))*CY83)</f>
        <v>0</v>
      </c>
      <c r="BZ83" s="56">
        <f>IF($C83=Repart_lignes,0,
(SUMIF(Fonctionnement[Affectation matrice],$A83,Fonctionnement[Montant (€HT)])+SUMIF(Invest[Affectation matrice],$A83,Invest[Amortissement HT + intérêts]))*CZ83)</f>
        <v>0</v>
      </c>
      <c r="CA83" s="56">
        <f>IF($C83=Repart_lignes,0,
(SUMIF(Fonctionnement[Affectation matrice],$A83,Fonctionnement[Montant (€HT)])+SUMIF(Invest[Affectation matrice],$A83,Invest[Amortissement HT + intérêts]))*DA83)</f>
        <v>0</v>
      </c>
      <c r="CB83" s="56">
        <f>IF($C83=Repart_lignes,0,
(SUMIF(Fonctionnement[Affectation matrice],$A83,Fonctionnement[Montant (€HT)])+SUMIF(Invest[Affectation matrice],$A83,Invest[Amortissement HT + intérêts]))*DB83)</f>
        <v>0</v>
      </c>
      <c r="CC83" s="56">
        <f>IF($C83=Repart_lignes,0,
(SUMIF(Fonctionnement[Affectation matrice],$A83,Fonctionnement[Montant (€HT)])+SUMIF(Invest[Affectation matrice],$A83,Invest[Amortissement HT + intérêts]))*DC83)</f>
        <v>0</v>
      </c>
      <c r="CD83" s="56">
        <f>IF($C83=Repart_lignes,0,
(SUMIF(Fonctionnement[Affectation matrice],$A83,Fonctionnement[Montant (€HT)])+SUMIF(Invest[Affectation matrice],$A83,Invest[Amortissement HT + intérêts]))*DD83)</f>
        <v>0</v>
      </c>
      <c r="CE83" s="59">
        <f t="shared" si="62"/>
        <v>0</v>
      </c>
      <c r="CF83" s="61">
        <f t="shared" si="63"/>
        <v>0</v>
      </c>
      <c r="CG83" s="61">
        <f t="shared" si="64"/>
        <v>0</v>
      </c>
      <c r="CH83" s="61">
        <f t="shared" si="65"/>
        <v>0</v>
      </c>
      <c r="CI83" s="61">
        <f t="shared" si="66"/>
        <v>0</v>
      </c>
      <c r="CJ83" s="61">
        <f t="shared" si="67"/>
        <v>0</v>
      </c>
      <c r="CK83" s="61">
        <f t="shared" si="68"/>
        <v>0</v>
      </c>
      <c r="CL83" s="61">
        <f t="shared" si="69"/>
        <v>0</v>
      </c>
      <c r="CM83" s="61">
        <f t="shared" si="70"/>
        <v>0</v>
      </c>
      <c r="CN83" s="61">
        <f t="shared" si="71"/>
        <v>0</v>
      </c>
      <c r="CO83" s="61">
        <f t="shared" si="72"/>
        <v>0</v>
      </c>
      <c r="CP83" s="61">
        <f t="shared" si="73"/>
        <v>0</v>
      </c>
      <c r="CQ83" s="61">
        <f t="shared" si="74"/>
        <v>0</v>
      </c>
      <c r="CR83" s="61">
        <f t="shared" si="75"/>
        <v>0</v>
      </c>
      <c r="CS83" s="61">
        <f t="shared" si="76"/>
        <v>0</v>
      </c>
      <c r="CT83" s="61">
        <f t="shared" si="77"/>
        <v>0</v>
      </c>
      <c r="CU83" s="61">
        <f t="shared" si="78"/>
        <v>0</v>
      </c>
      <c r="CV83" s="61">
        <f t="shared" si="79"/>
        <v>0</v>
      </c>
      <c r="CW83" s="61">
        <f t="shared" si="80"/>
        <v>0</v>
      </c>
      <c r="CX83" s="61">
        <f t="shared" si="81"/>
        <v>0</v>
      </c>
      <c r="CY83" s="61">
        <f t="shared" si="82"/>
        <v>0</v>
      </c>
      <c r="CZ83" s="61">
        <f t="shared" si="83"/>
        <v>0</v>
      </c>
      <c r="DA83" s="61">
        <f t="shared" si="84"/>
        <v>0</v>
      </c>
      <c r="DB83" s="61">
        <f t="shared" si="85"/>
        <v>0</v>
      </c>
      <c r="DC83" s="61">
        <f t="shared" si="86"/>
        <v>0</v>
      </c>
      <c r="DD83" s="61">
        <f t="shared" si="87"/>
        <v>0</v>
      </c>
      <c r="DE83" s="61">
        <f t="shared" si="88"/>
        <v>0</v>
      </c>
    </row>
    <row r="84" spans="1:109" x14ac:dyDescent="0.25">
      <c r="A84" s="248"/>
      <c r="B84" s="248"/>
      <c r="C84" s="251"/>
      <c r="D84" s="25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1">
        <f t="shared" si="60"/>
        <v>0</v>
      </c>
      <c r="AE84" s="53" t="str">
        <f t="shared" ca="1" si="89"/>
        <v/>
      </c>
      <c r="AF84" s="56">
        <f>IF($C84=Repart_lignes,0,
(SUMIF(Fonctionnement[Affectation matrice],$A84,Fonctionnement[TVA acquittée])+SUMIF(Invest[Affectation matrice],$A84,Invest[TVA acquittée]))*CF84)</f>
        <v>0</v>
      </c>
      <c r="AG84" s="56">
        <f>IF($C84=Repart_lignes,0,
(SUMIF(Fonctionnement[Affectation matrice],$A84,Fonctionnement[TVA acquittée])+SUMIF(Invest[Affectation matrice],$A84,Invest[TVA acquittée]))*CG84)</f>
        <v>0</v>
      </c>
      <c r="AH84" s="56">
        <f>IF($C84=Repart_lignes,0,
(SUMIF(Fonctionnement[Affectation matrice],$A84,Fonctionnement[TVA acquittée])+SUMIF(Invest[Affectation matrice],$A84,Invest[TVA acquittée]))*CH84)</f>
        <v>0</v>
      </c>
      <c r="AI84" s="56">
        <f>IF($C84=Repart_lignes,0,
(SUMIF(Fonctionnement[Affectation matrice],$A84,Fonctionnement[TVA acquittée])+SUMIF(Invest[Affectation matrice],$A84,Invest[TVA acquittée]))*CI84)</f>
        <v>0</v>
      </c>
      <c r="AJ84" s="56">
        <f>IF($C84=Repart_lignes,0,
(SUMIF(Fonctionnement[Affectation matrice],$A84,Fonctionnement[TVA acquittée])+SUMIF(Invest[Affectation matrice],$A84,Invest[TVA acquittée]))*CJ84)</f>
        <v>0</v>
      </c>
      <c r="AK84" s="56">
        <f>IF($C84=Repart_lignes,0,
(SUMIF(Fonctionnement[Affectation matrice],$A84,Fonctionnement[TVA acquittée])+SUMIF(Invest[Affectation matrice],$A84,Invest[TVA acquittée]))*CK84)</f>
        <v>0</v>
      </c>
      <c r="AL84" s="56">
        <f>IF($C84=Repart_lignes,0,
(SUMIF(Fonctionnement[Affectation matrice],$A84,Fonctionnement[TVA acquittée])+SUMIF(Invest[Affectation matrice],$A84,Invest[TVA acquittée]))*CL84)</f>
        <v>0</v>
      </c>
      <c r="AM84" s="56">
        <f>IF($C84=Repart_lignes,0,
(SUMIF(Fonctionnement[Affectation matrice],$A84,Fonctionnement[TVA acquittée])+SUMIF(Invest[Affectation matrice],$A84,Invest[TVA acquittée]))*CM84)</f>
        <v>0</v>
      </c>
      <c r="AN84" s="56">
        <f>IF($C84=Repart_lignes,0,
(SUMIF(Fonctionnement[Affectation matrice],$A84,Fonctionnement[TVA acquittée])+SUMIF(Invest[Affectation matrice],$A84,Invest[TVA acquittée]))*CN84)</f>
        <v>0</v>
      </c>
      <c r="AO84" s="56">
        <f>IF($C84=Repart_lignes,0,
(SUMIF(Fonctionnement[Affectation matrice],$A84,Fonctionnement[TVA acquittée])+SUMIF(Invest[Affectation matrice],$A84,Invest[TVA acquittée]))*CO84)</f>
        <v>0</v>
      </c>
      <c r="AP84" s="56">
        <f>IF($C84=Repart_lignes,0,
(SUMIF(Fonctionnement[Affectation matrice],$A84,Fonctionnement[TVA acquittée])+SUMIF(Invest[Affectation matrice],$A84,Invest[TVA acquittée]))*CP84)</f>
        <v>0</v>
      </c>
      <c r="AQ84" s="56">
        <f>IF($C84=Repart_lignes,0,
(SUMIF(Fonctionnement[Affectation matrice],$A84,Fonctionnement[TVA acquittée])+SUMIF(Invest[Affectation matrice],$A84,Invest[TVA acquittée]))*CQ84)</f>
        <v>0</v>
      </c>
      <c r="AR84" s="56">
        <f>IF($C84=Repart_lignes,0,
(SUMIF(Fonctionnement[Affectation matrice],$A84,Fonctionnement[TVA acquittée])+SUMIF(Invest[Affectation matrice],$A84,Invest[TVA acquittée]))*CR84)</f>
        <v>0</v>
      </c>
      <c r="AS84" s="56">
        <f>IF($C84=Repart_lignes,0,
(SUMIF(Fonctionnement[Affectation matrice],$A84,Fonctionnement[TVA acquittée])+SUMIF(Invest[Affectation matrice],$A84,Invest[TVA acquittée]))*CS84)</f>
        <v>0</v>
      </c>
      <c r="AT84" s="56">
        <f>IF($C84=Repart_lignes,0,
(SUMIF(Fonctionnement[Affectation matrice],$A84,Fonctionnement[TVA acquittée])+SUMIF(Invest[Affectation matrice],$A84,Invest[TVA acquittée]))*CT84)</f>
        <v>0</v>
      </c>
      <c r="AU84" s="56">
        <f>IF($C84=Repart_lignes,0,
(SUMIF(Fonctionnement[Affectation matrice],$A84,Fonctionnement[TVA acquittée])+SUMIF(Invest[Affectation matrice],$A84,Invest[TVA acquittée]))*CU84)</f>
        <v>0</v>
      </c>
      <c r="AV84" s="56">
        <f>IF($C84=Repart_lignes,0,
(SUMIF(Fonctionnement[Affectation matrice],$A84,Fonctionnement[TVA acquittée])+SUMIF(Invest[Affectation matrice],$A84,Invest[TVA acquittée]))*CV84)</f>
        <v>0</v>
      </c>
      <c r="AW84" s="56">
        <f>IF($C84=Repart_lignes,0,
(SUMIF(Fonctionnement[Affectation matrice],$A84,Fonctionnement[TVA acquittée])+SUMIF(Invest[Affectation matrice],$A84,Invest[TVA acquittée]))*CW84)</f>
        <v>0</v>
      </c>
      <c r="AX84" s="56">
        <f>IF($C84=Repart_lignes,0,
(SUMIF(Fonctionnement[Affectation matrice],$A84,Fonctionnement[TVA acquittée])+SUMIF(Invest[Affectation matrice],$A84,Invest[TVA acquittée]))*CX84)</f>
        <v>0</v>
      </c>
      <c r="AY84" s="56">
        <f>IF($C84=Repart_lignes,0,
(SUMIF(Fonctionnement[Affectation matrice],$A84,Fonctionnement[TVA acquittée])+SUMIF(Invest[Affectation matrice],$A84,Invest[TVA acquittée]))*CY84)</f>
        <v>0</v>
      </c>
      <c r="AZ84" s="56">
        <f>IF($C84=Repart_lignes,0,
(SUMIF(Fonctionnement[Affectation matrice],$A84,Fonctionnement[TVA acquittée])+SUMIF(Invest[Affectation matrice],$A84,Invest[TVA acquittée]))*CZ84)</f>
        <v>0</v>
      </c>
      <c r="BA84" s="56">
        <f>IF($C84=Repart_lignes,0,
(SUMIF(Fonctionnement[Affectation matrice],$A84,Fonctionnement[TVA acquittée])+SUMIF(Invest[Affectation matrice],$A84,Invest[TVA acquittée]))*DA84)</f>
        <v>0</v>
      </c>
      <c r="BB84" s="56">
        <f>IF($C84=Repart_lignes,0,
(SUMIF(Fonctionnement[Affectation matrice],$A84,Fonctionnement[TVA acquittée])+SUMIF(Invest[Affectation matrice],$A84,Invest[TVA acquittée]))*DB84)</f>
        <v>0</v>
      </c>
      <c r="BC84" s="56">
        <f>IF($C84=Repart_lignes,0,
(SUMIF(Fonctionnement[Affectation matrice],$A84,Fonctionnement[TVA acquittée])+SUMIF(Invest[Affectation matrice],$A84,Invest[TVA acquittée]))*DC84)</f>
        <v>0</v>
      </c>
      <c r="BD84" s="56">
        <f>IF($C84=Repart_lignes,0,
(SUMIF(Fonctionnement[Affectation matrice],$A84,Fonctionnement[TVA acquittée])+SUMIF(Invest[Affectation matrice],$A84,Invest[TVA acquittée]))*DD84)</f>
        <v>0</v>
      </c>
      <c r="BE84" s="58">
        <f t="shared" si="61"/>
        <v>0</v>
      </c>
      <c r="BF84" s="56">
        <f>IF($C84=Repart_lignes,0,
(SUMIF(Fonctionnement[Affectation matrice],$A84,Fonctionnement[Montant (€HT)])+SUMIF(Invest[Affectation matrice],$A84,Invest[Amortissement HT + intérêts]))*CF84)</f>
        <v>0</v>
      </c>
      <c r="BG84" s="56">
        <f>IF($C84=Repart_lignes,0,
(SUMIF(Fonctionnement[Affectation matrice],$A84,Fonctionnement[Montant (€HT)])+SUMIF(Invest[Affectation matrice],$A84,Invest[Amortissement HT + intérêts]))*CG84)</f>
        <v>0</v>
      </c>
      <c r="BH84" s="56">
        <f>IF($C84=Repart_lignes,0,
(SUMIF(Fonctionnement[Affectation matrice],$A84,Fonctionnement[Montant (€HT)])+SUMIF(Invest[Affectation matrice],$A84,Invest[Amortissement HT + intérêts]))*CH84)</f>
        <v>0</v>
      </c>
      <c r="BI84" s="56">
        <f>IF($C84=Repart_lignes,0,
(SUMIF(Fonctionnement[Affectation matrice],$A84,Fonctionnement[Montant (€HT)])+SUMIF(Invest[Affectation matrice],$A84,Invest[Amortissement HT + intérêts]))*CI84)</f>
        <v>0</v>
      </c>
      <c r="BJ84" s="56">
        <f>IF($C84=Repart_lignes,0,
(SUMIF(Fonctionnement[Affectation matrice],$A84,Fonctionnement[Montant (€HT)])+SUMIF(Invest[Affectation matrice],$A84,Invest[Amortissement HT + intérêts]))*CJ84)</f>
        <v>0</v>
      </c>
      <c r="BK84" s="56">
        <f>IF($C84=Repart_lignes,0,
(SUMIF(Fonctionnement[Affectation matrice],$A84,Fonctionnement[Montant (€HT)])+SUMIF(Invest[Affectation matrice],$A84,Invest[Amortissement HT + intérêts]))*CK84)</f>
        <v>0</v>
      </c>
      <c r="BL84" s="56">
        <f>IF($C84=Repart_lignes,0,
(SUMIF(Fonctionnement[Affectation matrice],$A84,Fonctionnement[Montant (€HT)])+SUMIF(Invest[Affectation matrice],$A84,Invest[Amortissement HT + intérêts]))*CL84)</f>
        <v>0</v>
      </c>
      <c r="BM84" s="56">
        <f>IF($C84=Repart_lignes,0,
(SUMIF(Fonctionnement[Affectation matrice],$A84,Fonctionnement[Montant (€HT)])+SUMIF(Invest[Affectation matrice],$A84,Invest[Amortissement HT + intérêts]))*CM84)</f>
        <v>0</v>
      </c>
      <c r="BN84" s="56">
        <f>IF($C84=Repart_lignes,0,
(SUMIF(Fonctionnement[Affectation matrice],$A84,Fonctionnement[Montant (€HT)])+SUMIF(Invest[Affectation matrice],$A84,Invest[Amortissement HT + intérêts]))*CN84)</f>
        <v>0</v>
      </c>
      <c r="BO84" s="56">
        <f>IF($C84=Repart_lignes,0,
(SUMIF(Fonctionnement[Affectation matrice],$A84,Fonctionnement[Montant (€HT)])+SUMIF(Invest[Affectation matrice],$A84,Invest[Amortissement HT + intérêts]))*CO84)</f>
        <v>0</v>
      </c>
      <c r="BP84" s="56">
        <f>IF($C84=Repart_lignes,0,
(SUMIF(Fonctionnement[Affectation matrice],$A84,Fonctionnement[Montant (€HT)])+SUMIF(Invest[Affectation matrice],$A84,Invest[Amortissement HT + intérêts]))*CP84)</f>
        <v>0</v>
      </c>
      <c r="BQ84" s="56">
        <f>IF($C84=Repart_lignes,0,
(SUMIF(Fonctionnement[Affectation matrice],$A84,Fonctionnement[Montant (€HT)])+SUMIF(Invest[Affectation matrice],$A84,Invest[Amortissement HT + intérêts]))*CQ84)</f>
        <v>0</v>
      </c>
      <c r="BR84" s="56">
        <f>IF($C84=Repart_lignes,0,
(SUMIF(Fonctionnement[Affectation matrice],$A84,Fonctionnement[Montant (€HT)])+SUMIF(Invest[Affectation matrice],$A84,Invest[Amortissement HT + intérêts]))*CR84)</f>
        <v>0</v>
      </c>
      <c r="BS84" s="56">
        <f>IF($C84=Repart_lignes,0,
(SUMIF(Fonctionnement[Affectation matrice],$A84,Fonctionnement[Montant (€HT)])+SUMIF(Invest[Affectation matrice],$A84,Invest[Amortissement HT + intérêts]))*CS84)</f>
        <v>0</v>
      </c>
      <c r="BT84" s="56">
        <f>IF($C84=Repart_lignes,0,
(SUMIF(Fonctionnement[Affectation matrice],$A84,Fonctionnement[Montant (€HT)])+SUMIF(Invest[Affectation matrice],$A84,Invest[Amortissement HT + intérêts]))*CT84)</f>
        <v>0</v>
      </c>
      <c r="BU84" s="56">
        <f>IF($C84=Repart_lignes,0,
(SUMIF(Fonctionnement[Affectation matrice],$A84,Fonctionnement[Montant (€HT)])+SUMIF(Invest[Affectation matrice],$A84,Invest[Amortissement HT + intérêts]))*CU84)</f>
        <v>0</v>
      </c>
      <c r="BV84" s="56">
        <f>IF($C84=Repart_lignes,0,
(SUMIF(Fonctionnement[Affectation matrice],$A84,Fonctionnement[Montant (€HT)])+SUMIF(Invest[Affectation matrice],$A84,Invest[Amortissement HT + intérêts]))*CV84)</f>
        <v>0</v>
      </c>
      <c r="BW84" s="56">
        <f>IF($C84=Repart_lignes,0,
(SUMIF(Fonctionnement[Affectation matrice],$A84,Fonctionnement[Montant (€HT)])+SUMIF(Invest[Affectation matrice],$A84,Invest[Amortissement HT + intérêts]))*CW84)</f>
        <v>0</v>
      </c>
      <c r="BX84" s="56">
        <f>IF($C84=Repart_lignes,0,
(SUMIF(Fonctionnement[Affectation matrice],$A84,Fonctionnement[Montant (€HT)])+SUMIF(Invest[Affectation matrice],$A84,Invest[Amortissement HT + intérêts]))*CX84)</f>
        <v>0</v>
      </c>
      <c r="BY84" s="56">
        <f>IF($C84=Repart_lignes,0,
(SUMIF(Fonctionnement[Affectation matrice],$A84,Fonctionnement[Montant (€HT)])+SUMIF(Invest[Affectation matrice],$A84,Invest[Amortissement HT + intérêts]))*CY84)</f>
        <v>0</v>
      </c>
      <c r="BZ84" s="56">
        <f>IF($C84=Repart_lignes,0,
(SUMIF(Fonctionnement[Affectation matrice],$A84,Fonctionnement[Montant (€HT)])+SUMIF(Invest[Affectation matrice],$A84,Invest[Amortissement HT + intérêts]))*CZ84)</f>
        <v>0</v>
      </c>
      <c r="CA84" s="56">
        <f>IF($C84=Repart_lignes,0,
(SUMIF(Fonctionnement[Affectation matrice],$A84,Fonctionnement[Montant (€HT)])+SUMIF(Invest[Affectation matrice],$A84,Invest[Amortissement HT + intérêts]))*DA84)</f>
        <v>0</v>
      </c>
      <c r="CB84" s="56">
        <f>IF($C84=Repart_lignes,0,
(SUMIF(Fonctionnement[Affectation matrice],$A84,Fonctionnement[Montant (€HT)])+SUMIF(Invest[Affectation matrice],$A84,Invest[Amortissement HT + intérêts]))*DB84)</f>
        <v>0</v>
      </c>
      <c r="CC84" s="56">
        <f>IF($C84=Repart_lignes,0,
(SUMIF(Fonctionnement[Affectation matrice],$A84,Fonctionnement[Montant (€HT)])+SUMIF(Invest[Affectation matrice],$A84,Invest[Amortissement HT + intérêts]))*DC84)</f>
        <v>0</v>
      </c>
      <c r="CD84" s="56">
        <f>IF($C84=Repart_lignes,0,
(SUMIF(Fonctionnement[Affectation matrice],$A84,Fonctionnement[Montant (€HT)])+SUMIF(Invest[Affectation matrice],$A84,Invest[Amortissement HT + intérêts]))*DD84)</f>
        <v>0</v>
      </c>
      <c r="CE84" s="59">
        <f t="shared" si="62"/>
        <v>0</v>
      </c>
      <c r="CF84" s="61">
        <f t="shared" si="63"/>
        <v>0</v>
      </c>
      <c r="CG84" s="61">
        <f t="shared" si="64"/>
        <v>0</v>
      </c>
      <c r="CH84" s="61">
        <f t="shared" si="65"/>
        <v>0</v>
      </c>
      <c r="CI84" s="61">
        <f t="shared" si="66"/>
        <v>0</v>
      </c>
      <c r="CJ84" s="61">
        <f t="shared" si="67"/>
        <v>0</v>
      </c>
      <c r="CK84" s="61">
        <f t="shared" si="68"/>
        <v>0</v>
      </c>
      <c r="CL84" s="61">
        <f t="shared" si="69"/>
        <v>0</v>
      </c>
      <c r="CM84" s="61">
        <f t="shared" si="70"/>
        <v>0</v>
      </c>
      <c r="CN84" s="61">
        <f t="shared" si="71"/>
        <v>0</v>
      </c>
      <c r="CO84" s="61">
        <f t="shared" si="72"/>
        <v>0</v>
      </c>
      <c r="CP84" s="61">
        <f t="shared" si="73"/>
        <v>0</v>
      </c>
      <c r="CQ84" s="61">
        <f t="shared" si="74"/>
        <v>0</v>
      </c>
      <c r="CR84" s="61">
        <f t="shared" si="75"/>
        <v>0</v>
      </c>
      <c r="CS84" s="61">
        <f t="shared" si="76"/>
        <v>0</v>
      </c>
      <c r="CT84" s="61">
        <f t="shared" si="77"/>
        <v>0</v>
      </c>
      <c r="CU84" s="61">
        <f t="shared" si="78"/>
        <v>0</v>
      </c>
      <c r="CV84" s="61">
        <f t="shared" si="79"/>
        <v>0</v>
      </c>
      <c r="CW84" s="61">
        <f t="shared" si="80"/>
        <v>0</v>
      </c>
      <c r="CX84" s="61">
        <f t="shared" si="81"/>
        <v>0</v>
      </c>
      <c r="CY84" s="61">
        <f t="shared" si="82"/>
        <v>0</v>
      </c>
      <c r="CZ84" s="61">
        <f t="shared" si="83"/>
        <v>0</v>
      </c>
      <c r="DA84" s="61">
        <f t="shared" si="84"/>
        <v>0</v>
      </c>
      <c r="DB84" s="61">
        <f t="shared" si="85"/>
        <v>0</v>
      </c>
      <c r="DC84" s="61">
        <f t="shared" si="86"/>
        <v>0</v>
      </c>
      <c r="DD84" s="61">
        <f t="shared" si="87"/>
        <v>0</v>
      </c>
      <c r="DE84" s="61">
        <f t="shared" si="88"/>
        <v>0</v>
      </c>
    </row>
    <row r="85" spans="1:109" x14ac:dyDescent="0.25">
      <c r="A85" s="248"/>
      <c r="B85" s="248"/>
      <c r="C85" s="251"/>
      <c r="D85" s="25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1">
        <f t="shared" si="60"/>
        <v>0</v>
      </c>
      <c r="AE85" s="53" t="str">
        <f t="shared" ca="1" si="89"/>
        <v/>
      </c>
      <c r="AF85" s="56">
        <f>IF($C85=Repart_lignes,0,
(SUMIF(Fonctionnement[Affectation matrice],$A85,Fonctionnement[TVA acquittée])+SUMIF(Invest[Affectation matrice],$A85,Invest[TVA acquittée]))*CF85)</f>
        <v>0</v>
      </c>
      <c r="AG85" s="56">
        <f>IF($C85=Repart_lignes,0,
(SUMIF(Fonctionnement[Affectation matrice],$A85,Fonctionnement[TVA acquittée])+SUMIF(Invest[Affectation matrice],$A85,Invest[TVA acquittée]))*CG85)</f>
        <v>0</v>
      </c>
      <c r="AH85" s="56">
        <f>IF($C85=Repart_lignes,0,
(SUMIF(Fonctionnement[Affectation matrice],$A85,Fonctionnement[TVA acquittée])+SUMIF(Invest[Affectation matrice],$A85,Invest[TVA acquittée]))*CH85)</f>
        <v>0</v>
      </c>
      <c r="AI85" s="56">
        <f>IF($C85=Repart_lignes,0,
(SUMIF(Fonctionnement[Affectation matrice],$A85,Fonctionnement[TVA acquittée])+SUMIF(Invest[Affectation matrice],$A85,Invest[TVA acquittée]))*CI85)</f>
        <v>0</v>
      </c>
      <c r="AJ85" s="56">
        <f>IF($C85=Repart_lignes,0,
(SUMIF(Fonctionnement[Affectation matrice],$A85,Fonctionnement[TVA acquittée])+SUMIF(Invest[Affectation matrice],$A85,Invest[TVA acquittée]))*CJ85)</f>
        <v>0</v>
      </c>
      <c r="AK85" s="56">
        <f>IF($C85=Repart_lignes,0,
(SUMIF(Fonctionnement[Affectation matrice],$A85,Fonctionnement[TVA acquittée])+SUMIF(Invest[Affectation matrice],$A85,Invest[TVA acquittée]))*CK85)</f>
        <v>0</v>
      </c>
      <c r="AL85" s="56">
        <f>IF($C85=Repart_lignes,0,
(SUMIF(Fonctionnement[Affectation matrice],$A85,Fonctionnement[TVA acquittée])+SUMIF(Invest[Affectation matrice],$A85,Invest[TVA acquittée]))*CL85)</f>
        <v>0</v>
      </c>
      <c r="AM85" s="56">
        <f>IF($C85=Repart_lignes,0,
(SUMIF(Fonctionnement[Affectation matrice],$A85,Fonctionnement[TVA acquittée])+SUMIF(Invest[Affectation matrice],$A85,Invest[TVA acquittée]))*CM85)</f>
        <v>0</v>
      </c>
      <c r="AN85" s="56">
        <f>IF($C85=Repart_lignes,0,
(SUMIF(Fonctionnement[Affectation matrice],$A85,Fonctionnement[TVA acquittée])+SUMIF(Invest[Affectation matrice],$A85,Invest[TVA acquittée]))*CN85)</f>
        <v>0</v>
      </c>
      <c r="AO85" s="56">
        <f>IF($C85=Repart_lignes,0,
(SUMIF(Fonctionnement[Affectation matrice],$A85,Fonctionnement[TVA acquittée])+SUMIF(Invest[Affectation matrice],$A85,Invest[TVA acquittée]))*CO85)</f>
        <v>0</v>
      </c>
      <c r="AP85" s="56">
        <f>IF($C85=Repart_lignes,0,
(SUMIF(Fonctionnement[Affectation matrice],$A85,Fonctionnement[TVA acquittée])+SUMIF(Invest[Affectation matrice],$A85,Invest[TVA acquittée]))*CP85)</f>
        <v>0</v>
      </c>
      <c r="AQ85" s="56">
        <f>IF($C85=Repart_lignes,0,
(SUMIF(Fonctionnement[Affectation matrice],$A85,Fonctionnement[TVA acquittée])+SUMIF(Invest[Affectation matrice],$A85,Invest[TVA acquittée]))*CQ85)</f>
        <v>0</v>
      </c>
      <c r="AR85" s="56">
        <f>IF($C85=Repart_lignes,0,
(SUMIF(Fonctionnement[Affectation matrice],$A85,Fonctionnement[TVA acquittée])+SUMIF(Invest[Affectation matrice],$A85,Invest[TVA acquittée]))*CR85)</f>
        <v>0</v>
      </c>
      <c r="AS85" s="56">
        <f>IF($C85=Repart_lignes,0,
(SUMIF(Fonctionnement[Affectation matrice],$A85,Fonctionnement[TVA acquittée])+SUMIF(Invest[Affectation matrice],$A85,Invest[TVA acquittée]))*CS85)</f>
        <v>0</v>
      </c>
      <c r="AT85" s="56">
        <f>IF($C85=Repart_lignes,0,
(SUMIF(Fonctionnement[Affectation matrice],$A85,Fonctionnement[TVA acquittée])+SUMIF(Invest[Affectation matrice],$A85,Invest[TVA acquittée]))*CT85)</f>
        <v>0</v>
      </c>
      <c r="AU85" s="56">
        <f>IF($C85=Repart_lignes,0,
(SUMIF(Fonctionnement[Affectation matrice],$A85,Fonctionnement[TVA acquittée])+SUMIF(Invest[Affectation matrice],$A85,Invest[TVA acquittée]))*CU85)</f>
        <v>0</v>
      </c>
      <c r="AV85" s="56">
        <f>IF($C85=Repart_lignes,0,
(SUMIF(Fonctionnement[Affectation matrice],$A85,Fonctionnement[TVA acquittée])+SUMIF(Invest[Affectation matrice],$A85,Invest[TVA acquittée]))*CV85)</f>
        <v>0</v>
      </c>
      <c r="AW85" s="56">
        <f>IF($C85=Repart_lignes,0,
(SUMIF(Fonctionnement[Affectation matrice],$A85,Fonctionnement[TVA acquittée])+SUMIF(Invest[Affectation matrice],$A85,Invest[TVA acquittée]))*CW85)</f>
        <v>0</v>
      </c>
      <c r="AX85" s="56">
        <f>IF($C85=Repart_lignes,0,
(SUMIF(Fonctionnement[Affectation matrice],$A85,Fonctionnement[TVA acquittée])+SUMIF(Invest[Affectation matrice],$A85,Invest[TVA acquittée]))*CX85)</f>
        <v>0</v>
      </c>
      <c r="AY85" s="56">
        <f>IF($C85=Repart_lignes,0,
(SUMIF(Fonctionnement[Affectation matrice],$A85,Fonctionnement[TVA acquittée])+SUMIF(Invest[Affectation matrice],$A85,Invest[TVA acquittée]))*CY85)</f>
        <v>0</v>
      </c>
      <c r="AZ85" s="56">
        <f>IF($C85=Repart_lignes,0,
(SUMIF(Fonctionnement[Affectation matrice],$A85,Fonctionnement[TVA acquittée])+SUMIF(Invest[Affectation matrice],$A85,Invest[TVA acquittée]))*CZ85)</f>
        <v>0</v>
      </c>
      <c r="BA85" s="56">
        <f>IF($C85=Repart_lignes,0,
(SUMIF(Fonctionnement[Affectation matrice],$A85,Fonctionnement[TVA acquittée])+SUMIF(Invest[Affectation matrice],$A85,Invest[TVA acquittée]))*DA85)</f>
        <v>0</v>
      </c>
      <c r="BB85" s="56">
        <f>IF($C85=Repart_lignes,0,
(SUMIF(Fonctionnement[Affectation matrice],$A85,Fonctionnement[TVA acquittée])+SUMIF(Invest[Affectation matrice],$A85,Invest[TVA acquittée]))*DB85)</f>
        <v>0</v>
      </c>
      <c r="BC85" s="56">
        <f>IF($C85=Repart_lignes,0,
(SUMIF(Fonctionnement[Affectation matrice],$A85,Fonctionnement[TVA acquittée])+SUMIF(Invest[Affectation matrice],$A85,Invest[TVA acquittée]))*DC85)</f>
        <v>0</v>
      </c>
      <c r="BD85" s="56">
        <f>IF($C85=Repart_lignes,0,
(SUMIF(Fonctionnement[Affectation matrice],$A85,Fonctionnement[TVA acquittée])+SUMIF(Invest[Affectation matrice],$A85,Invest[TVA acquittée]))*DD85)</f>
        <v>0</v>
      </c>
      <c r="BE85" s="58">
        <f t="shared" si="61"/>
        <v>0</v>
      </c>
      <c r="BF85" s="56">
        <f>IF($C85=Repart_lignes,0,
(SUMIF(Fonctionnement[Affectation matrice],$A85,Fonctionnement[Montant (€HT)])+SUMIF(Invest[Affectation matrice],$A85,Invest[Amortissement HT + intérêts]))*CF85)</f>
        <v>0</v>
      </c>
      <c r="BG85" s="56">
        <f>IF($C85=Repart_lignes,0,
(SUMIF(Fonctionnement[Affectation matrice],$A85,Fonctionnement[Montant (€HT)])+SUMIF(Invest[Affectation matrice],$A85,Invest[Amortissement HT + intérêts]))*CG85)</f>
        <v>0</v>
      </c>
      <c r="BH85" s="56">
        <f>IF($C85=Repart_lignes,0,
(SUMIF(Fonctionnement[Affectation matrice],$A85,Fonctionnement[Montant (€HT)])+SUMIF(Invest[Affectation matrice],$A85,Invest[Amortissement HT + intérêts]))*CH85)</f>
        <v>0</v>
      </c>
      <c r="BI85" s="56">
        <f>IF($C85=Repart_lignes,0,
(SUMIF(Fonctionnement[Affectation matrice],$A85,Fonctionnement[Montant (€HT)])+SUMIF(Invest[Affectation matrice],$A85,Invest[Amortissement HT + intérêts]))*CI85)</f>
        <v>0</v>
      </c>
      <c r="BJ85" s="56">
        <f>IF($C85=Repart_lignes,0,
(SUMIF(Fonctionnement[Affectation matrice],$A85,Fonctionnement[Montant (€HT)])+SUMIF(Invest[Affectation matrice],$A85,Invest[Amortissement HT + intérêts]))*CJ85)</f>
        <v>0</v>
      </c>
      <c r="BK85" s="56">
        <f>IF($C85=Repart_lignes,0,
(SUMIF(Fonctionnement[Affectation matrice],$A85,Fonctionnement[Montant (€HT)])+SUMIF(Invest[Affectation matrice],$A85,Invest[Amortissement HT + intérêts]))*CK85)</f>
        <v>0</v>
      </c>
      <c r="BL85" s="56">
        <f>IF($C85=Repart_lignes,0,
(SUMIF(Fonctionnement[Affectation matrice],$A85,Fonctionnement[Montant (€HT)])+SUMIF(Invest[Affectation matrice],$A85,Invest[Amortissement HT + intérêts]))*CL85)</f>
        <v>0</v>
      </c>
      <c r="BM85" s="56">
        <f>IF($C85=Repart_lignes,0,
(SUMIF(Fonctionnement[Affectation matrice],$A85,Fonctionnement[Montant (€HT)])+SUMIF(Invest[Affectation matrice],$A85,Invest[Amortissement HT + intérêts]))*CM85)</f>
        <v>0</v>
      </c>
      <c r="BN85" s="56">
        <f>IF($C85=Repart_lignes,0,
(SUMIF(Fonctionnement[Affectation matrice],$A85,Fonctionnement[Montant (€HT)])+SUMIF(Invest[Affectation matrice],$A85,Invest[Amortissement HT + intérêts]))*CN85)</f>
        <v>0</v>
      </c>
      <c r="BO85" s="56">
        <f>IF($C85=Repart_lignes,0,
(SUMIF(Fonctionnement[Affectation matrice],$A85,Fonctionnement[Montant (€HT)])+SUMIF(Invest[Affectation matrice],$A85,Invest[Amortissement HT + intérêts]))*CO85)</f>
        <v>0</v>
      </c>
      <c r="BP85" s="56">
        <f>IF($C85=Repart_lignes,0,
(SUMIF(Fonctionnement[Affectation matrice],$A85,Fonctionnement[Montant (€HT)])+SUMIF(Invest[Affectation matrice],$A85,Invest[Amortissement HT + intérêts]))*CP85)</f>
        <v>0</v>
      </c>
      <c r="BQ85" s="56">
        <f>IF($C85=Repart_lignes,0,
(SUMIF(Fonctionnement[Affectation matrice],$A85,Fonctionnement[Montant (€HT)])+SUMIF(Invest[Affectation matrice],$A85,Invest[Amortissement HT + intérêts]))*CQ85)</f>
        <v>0</v>
      </c>
      <c r="BR85" s="56">
        <f>IF($C85=Repart_lignes,0,
(SUMIF(Fonctionnement[Affectation matrice],$A85,Fonctionnement[Montant (€HT)])+SUMIF(Invest[Affectation matrice],$A85,Invest[Amortissement HT + intérêts]))*CR85)</f>
        <v>0</v>
      </c>
      <c r="BS85" s="56">
        <f>IF($C85=Repart_lignes,0,
(SUMIF(Fonctionnement[Affectation matrice],$A85,Fonctionnement[Montant (€HT)])+SUMIF(Invest[Affectation matrice],$A85,Invest[Amortissement HT + intérêts]))*CS85)</f>
        <v>0</v>
      </c>
      <c r="BT85" s="56">
        <f>IF($C85=Repart_lignes,0,
(SUMIF(Fonctionnement[Affectation matrice],$A85,Fonctionnement[Montant (€HT)])+SUMIF(Invest[Affectation matrice],$A85,Invest[Amortissement HT + intérêts]))*CT85)</f>
        <v>0</v>
      </c>
      <c r="BU85" s="56">
        <f>IF($C85=Repart_lignes,0,
(SUMIF(Fonctionnement[Affectation matrice],$A85,Fonctionnement[Montant (€HT)])+SUMIF(Invest[Affectation matrice],$A85,Invest[Amortissement HT + intérêts]))*CU85)</f>
        <v>0</v>
      </c>
      <c r="BV85" s="56">
        <f>IF($C85=Repart_lignes,0,
(SUMIF(Fonctionnement[Affectation matrice],$A85,Fonctionnement[Montant (€HT)])+SUMIF(Invest[Affectation matrice],$A85,Invest[Amortissement HT + intérêts]))*CV85)</f>
        <v>0</v>
      </c>
      <c r="BW85" s="56">
        <f>IF($C85=Repart_lignes,0,
(SUMIF(Fonctionnement[Affectation matrice],$A85,Fonctionnement[Montant (€HT)])+SUMIF(Invest[Affectation matrice],$A85,Invest[Amortissement HT + intérêts]))*CW85)</f>
        <v>0</v>
      </c>
      <c r="BX85" s="56">
        <f>IF($C85=Repart_lignes,0,
(SUMIF(Fonctionnement[Affectation matrice],$A85,Fonctionnement[Montant (€HT)])+SUMIF(Invest[Affectation matrice],$A85,Invest[Amortissement HT + intérêts]))*CX85)</f>
        <v>0</v>
      </c>
      <c r="BY85" s="56">
        <f>IF($C85=Repart_lignes,0,
(SUMIF(Fonctionnement[Affectation matrice],$A85,Fonctionnement[Montant (€HT)])+SUMIF(Invest[Affectation matrice],$A85,Invest[Amortissement HT + intérêts]))*CY85)</f>
        <v>0</v>
      </c>
      <c r="BZ85" s="56">
        <f>IF($C85=Repart_lignes,0,
(SUMIF(Fonctionnement[Affectation matrice],$A85,Fonctionnement[Montant (€HT)])+SUMIF(Invest[Affectation matrice],$A85,Invest[Amortissement HT + intérêts]))*CZ85)</f>
        <v>0</v>
      </c>
      <c r="CA85" s="56">
        <f>IF($C85=Repart_lignes,0,
(SUMIF(Fonctionnement[Affectation matrice],$A85,Fonctionnement[Montant (€HT)])+SUMIF(Invest[Affectation matrice],$A85,Invest[Amortissement HT + intérêts]))*DA85)</f>
        <v>0</v>
      </c>
      <c r="CB85" s="56">
        <f>IF($C85=Repart_lignes,0,
(SUMIF(Fonctionnement[Affectation matrice],$A85,Fonctionnement[Montant (€HT)])+SUMIF(Invest[Affectation matrice],$A85,Invest[Amortissement HT + intérêts]))*DB85)</f>
        <v>0</v>
      </c>
      <c r="CC85" s="56">
        <f>IF($C85=Repart_lignes,0,
(SUMIF(Fonctionnement[Affectation matrice],$A85,Fonctionnement[Montant (€HT)])+SUMIF(Invest[Affectation matrice],$A85,Invest[Amortissement HT + intérêts]))*DC85)</f>
        <v>0</v>
      </c>
      <c r="CD85" s="56">
        <f>IF($C85=Repart_lignes,0,
(SUMIF(Fonctionnement[Affectation matrice],$A85,Fonctionnement[Montant (€HT)])+SUMIF(Invest[Affectation matrice],$A85,Invest[Amortissement HT + intérêts]))*DD85)</f>
        <v>0</v>
      </c>
      <c r="CE85" s="59">
        <f t="shared" si="62"/>
        <v>0</v>
      </c>
      <c r="CF85" s="61">
        <f t="shared" si="63"/>
        <v>0</v>
      </c>
      <c r="CG85" s="61">
        <f t="shared" si="64"/>
        <v>0</v>
      </c>
      <c r="CH85" s="61">
        <f t="shared" si="65"/>
        <v>0</v>
      </c>
      <c r="CI85" s="61">
        <f t="shared" si="66"/>
        <v>0</v>
      </c>
      <c r="CJ85" s="61">
        <f t="shared" si="67"/>
        <v>0</v>
      </c>
      <c r="CK85" s="61">
        <f t="shared" si="68"/>
        <v>0</v>
      </c>
      <c r="CL85" s="61">
        <f t="shared" si="69"/>
        <v>0</v>
      </c>
      <c r="CM85" s="61">
        <f t="shared" si="70"/>
        <v>0</v>
      </c>
      <c r="CN85" s="61">
        <f t="shared" si="71"/>
        <v>0</v>
      </c>
      <c r="CO85" s="61">
        <f t="shared" si="72"/>
        <v>0</v>
      </c>
      <c r="CP85" s="61">
        <f t="shared" si="73"/>
        <v>0</v>
      </c>
      <c r="CQ85" s="61">
        <f t="shared" si="74"/>
        <v>0</v>
      </c>
      <c r="CR85" s="61">
        <f t="shared" si="75"/>
        <v>0</v>
      </c>
      <c r="CS85" s="61">
        <f t="shared" si="76"/>
        <v>0</v>
      </c>
      <c r="CT85" s="61">
        <f t="shared" si="77"/>
        <v>0</v>
      </c>
      <c r="CU85" s="61">
        <f t="shared" si="78"/>
        <v>0</v>
      </c>
      <c r="CV85" s="61">
        <f t="shared" si="79"/>
        <v>0</v>
      </c>
      <c r="CW85" s="61">
        <f t="shared" si="80"/>
        <v>0</v>
      </c>
      <c r="CX85" s="61">
        <f t="shared" si="81"/>
        <v>0</v>
      </c>
      <c r="CY85" s="61">
        <f t="shared" si="82"/>
        <v>0</v>
      </c>
      <c r="CZ85" s="61">
        <f t="shared" si="83"/>
        <v>0</v>
      </c>
      <c r="DA85" s="61">
        <f t="shared" si="84"/>
        <v>0</v>
      </c>
      <c r="DB85" s="61">
        <f t="shared" si="85"/>
        <v>0</v>
      </c>
      <c r="DC85" s="61">
        <f t="shared" si="86"/>
        <v>0</v>
      </c>
      <c r="DD85" s="61">
        <f t="shared" si="87"/>
        <v>0</v>
      </c>
      <c r="DE85" s="61">
        <f t="shared" si="88"/>
        <v>0</v>
      </c>
    </row>
    <row r="86" spans="1:109" x14ac:dyDescent="0.25">
      <c r="A86" s="248"/>
      <c r="B86" s="248"/>
      <c r="C86" s="251"/>
      <c r="D86" s="25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1">
        <f t="shared" si="60"/>
        <v>0</v>
      </c>
      <c r="AE86" s="53" t="str">
        <f t="shared" ca="1" si="89"/>
        <v/>
      </c>
      <c r="AF86" s="56">
        <f>IF($C86=Repart_lignes,0,
(SUMIF(Fonctionnement[Affectation matrice],$A86,Fonctionnement[TVA acquittée])+SUMIF(Invest[Affectation matrice],$A86,Invest[TVA acquittée]))*CF86)</f>
        <v>0</v>
      </c>
      <c r="AG86" s="56">
        <f>IF($C86=Repart_lignes,0,
(SUMIF(Fonctionnement[Affectation matrice],$A86,Fonctionnement[TVA acquittée])+SUMIF(Invest[Affectation matrice],$A86,Invest[TVA acquittée]))*CG86)</f>
        <v>0</v>
      </c>
      <c r="AH86" s="56">
        <f>IF($C86=Repart_lignes,0,
(SUMIF(Fonctionnement[Affectation matrice],$A86,Fonctionnement[TVA acquittée])+SUMIF(Invest[Affectation matrice],$A86,Invest[TVA acquittée]))*CH86)</f>
        <v>0</v>
      </c>
      <c r="AI86" s="56">
        <f>IF($C86=Repart_lignes,0,
(SUMIF(Fonctionnement[Affectation matrice],$A86,Fonctionnement[TVA acquittée])+SUMIF(Invest[Affectation matrice],$A86,Invest[TVA acquittée]))*CI86)</f>
        <v>0</v>
      </c>
      <c r="AJ86" s="56">
        <f>IF($C86=Repart_lignes,0,
(SUMIF(Fonctionnement[Affectation matrice],$A86,Fonctionnement[TVA acquittée])+SUMIF(Invest[Affectation matrice],$A86,Invest[TVA acquittée]))*CJ86)</f>
        <v>0</v>
      </c>
      <c r="AK86" s="56">
        <f>IF($C86=Repart_lignes,0,
(SUMIF(Fonctionnement[Affectation matrice],$A86,Fonctionnement[TVA acquittée])+SUMIF(Invest[Affectation matrice],$A86,Invest[TVA acquittée]))*CK86)</f>
        <v>0</v>
      </c>
      <c r="AL86" s="56">
        <f>IF($C86=Repart_lignes,0,
(SUMIF(Fonctionnement[Affectation matrice],$A86,Fonctionnement[TVA acquittée])+SUMIF(Invest[Affectation matrice],$A86,Invest[TVA acquittée]))*CL86)</f>
        <v>0</v>
      </c>
      <c r="AM86" s="56">
        <f>IF($C86=Repart_lignes,0,
(SUMIF(Fonctionnement[Affectation matrice],$A86,Fonctionnement[TVA acquittée])+SUMIF(Invest[Affectation matrice],$A86,Invest[TVA acquittée]))*CM86)</f>
        <v>0</v>
      </c>
      <c r="AN86" s="56">
        <f>IF($C86=Repart_lignes,0,
(SUMIF(Fonctionnement[Affectation matrice],$A86,Fonctionnement[TVA acquittée])+SUMIF(Invest[Affectation matrice],$A86,Invest[TVA acquittée]))*CN86)</f>
        <v>0</v>
      </c>
      <c r="AO86" s="56">
        <f>IF($C86=Repart_lignes,0,
(SUMIF(Fonctionnement[Affectation matrice],$A86,Fonctionnement[TVA acquittée])+SUMIF(Invest[Affectation matrice],$A86,Invest[TVA acquittée]))*CO86)</f>
        <v>0</v>
      </c>
      <c r="AP86" s="56">
        <f>IF($C86=Repart_lignes,0,
(SUMIF(Fonctionnement[Affectation matrice],$A86,Fonctionnement[TVA acquittée])+SUMIF(Invest[Affectation matrice],$A86,Invest[TVA acquittée]))*CP86)</f>
        <v>0</v>
      </c>
      <c r="AQ86" s="56">
        <f>IF($C86=Repart_lignes,0,
(SUMIF(Fonctionnement[Affectation matrice],$A86,Fonctionnement[TVA acquittée])+SUMIF(Invest[Affectation matrice],$A86,Invest[TVA acquittée]))*CQ86)</f>
        <v>0</v>
      </c>
      <c r="AR86" s="56">
        <f>IF($C86=Repart_lignes,0,
(SUMIF(Fonctionnement[Affectation matrice],$A86,Fonctionnement[TVA acquittée])+SUMIF(Invest[Affectation matrice],$A86,Invest[TVA acquittée]))*CR86)</f>
        <v>0</v>
      </c>
      <c r="AS86" s="56">
        <f>IF($C86=Repart_lignes,0,
(SUMIF(Fonctionnement[Affectation matrice],$A86,Fonctionnement[TVA acquittée])+SUMIF(Invest[Affectation matrice],$A86,Invest[TVA acquittée]))*CS86)</f>
        <v>0</v>
      </c>
      <c r="AT86" s="56">
        <f>IF($C86=Repart_lignes,0,
(SUMIF(Fonctionnement[Affectation matrice],$A86,Fonctionnement[TVA acquittée])+SUMIF(Invest[Affectation matrice],$A86,Invest[TVA acquittée]))*CT86)</f>
        <v>0</v>
      </c>
      <c r="AU86" s="56">
        <f>IF($C86=Repart_lignes,0,
(SUMIF(Fonctionnement[Affectation matrice],$A86,Fonctionnement[TVA acquittée])+SUMIF(Invest[Affectation matrice],$A86,Invest[TVA acquittée]))*CU86)</f>
        <v>0</v>
      </c>
      <c r="AV86" s="56">
        <f>IF($C86=Repart_lignes,0,
(SUMIF(Fonctionnement[Affectation matrice],$A86,Fonctionnement[TVA acquittée])+SUMIF(Invest[Affectation matrice],$A86,Invest[TVA acquittée]))*CV86)</f>
        <v>0</v>
      </c>
      <c r="AW86" s="56">
        <f>IF($C86=Repart_lignes,0,
(SUMIF(Fonctionnement[Affectation matrice],$A86,Fonctionnement[TVA acquittée])+SUMIF(Invest[Affectation matrice],$A86,Invest[TVA acquittée]))*CW86)</f>
        <v>0</v>
      </c>
      <c r="AX86" s="56">
        <f>IF($C86=Repart_lignes,0,
(SUMIF(Fonctionnement[Affectation matrice],$A86,Fonctionnement[TVA acquittée])+SUMIF(Invest[Affectation matrice],$A86,Invest[TVA acquittée]))*CX86)</f>
        <v>0</v>
      </c>
      <c r="AY86" s="56">
        <f>IF($C86=Repart_lignes,0,
(SUMIF(Fonctionnement[Affectation matrice],$A86,Fonctionnement[TVA acquittée])+SUMIF(Invest[Affectation matrice],$A86,Invest[TVA acquittée]))*CY86)</f>
        <v>0</v>
      </c>
      <c r="AZ86" s="56">
        <f>IF($C86=Repart_lignes,0,
(SUMIF(Fonctionnement[Affectation matrice],$A86,Fonctionnement[TVA acquittée])+SUMIF(Invest[Affectation matrice],$A86,Invest[TVA acquittée]))*CZ86)</f>
        <v>0</v>
      </c>
      <c r="BA86" s="56">
        <f>IF($C86=Repart_lignes,0,
(SUMIF(Fonctionnement[Affectation matrice],$A86,Fonctionnement[TVA acquittée])+SUMIF(Invest[Affectation matrice],$A86,Invest[TVA acquittée]))*DA86)</f>
        <v>0</v>
      </c>
      <c r="BB86" s="56">
        <f>IF($C86=Repart_lignes,0,
(SUMIF(Fonctionnement[Affectation matrice],$A86,Fonctionnement[TVA acquittée])+SUMIF(Invest[Affectation matrice],$A86,Invest[TVA acquittée]))*DB86)</f>
        <v>0</v>
      </c>
      <c r="BC86" s="56">
        <f>IF($C86=Repart_lignes,0,
(SUMIF(Fonctionnement[Affectation matrice],$A86,Fonctionnement[TVA acquittée])+SUMIF(Invest[Affectation matrice],$A86,Invest[TVA acquittée]))*DC86)</f>
        <v>0</v>
      </c>
      <c r="BD86" s="56">
        <f>IF($C86=Repart_lignes,0,
(SUMIF(Fonctionnement[Affectation matrice],$A86,Fonctionnement[TVA acquittée])+SUMIF(Invest[Affectation matrice],$A86,Invest[TVA acquittée]))*DD86)</f>
        <v>0</v>
      </c>
      <c r="BE86" s="58">
        <f t="shared" si="61"/>
        <v>0</v>
      </c>
      <c r="BF86" s="56">
        <f>IF($C86=Repart_lignes,0,
(SUMIF(Fonctionnement[Affectation matrice],$A86,Fonctionnement[Montant (€HT)])+SUMIF(Invest[Affectation matrice],$A86,Invest[Amortissement HT + intérêts]))*CF86)</f>
        <v>0</v>
      </c>
      <c r="BG86" s="56">
        <f>IF($C86=Repart_lignes,0,
(SUMIF(Fonctionnement[Affectation matrice],$A86,Fonctionnement[Montant (€HT)])+SUMIF(Invest[Affectation matrice],$A86,Invest[Amortissement HT + intérêts]))*CG86)</f>
        <v>0</v>
      </c>
      <c r="BH86" s="56">
        <f>IF($C86=Repart_lignes,0,
(SUMIF(Fonctionnement[Affectation matrice],$A86,Fonctionnement[Montant (€HT)])+SUMIF(Invest[Affectation matrice],$A86,Invest[Amortissement HT + intérêts]))*CH86)</f>
        <v>0</v>
      </c>
      <c r="BI86" s="56">
        <f>IF($C86=Repart_lignes,0,
(SUMIF(Fonctionnement[Affectation matrice],$A86,Fonctionnement[Montant (€HT)])+SUMIF(Invest[Affectation matrice],$A86,Invest[Amortissement HT + intérêts]))*CI86)</f>
        <v>0</v>
      </c>
      <c r="BJ86" s="56">
        <f>IF($C86=Repart_lignes,0,
(SUMIF(Fonctionnement[Affectation matrice],$A86,Fonctionnement[Montant (€HT)])+SUMIF(Invest[Affectation matrice],$A86,Invest[Amortissement HT + intérêts]))*CJ86)</f>
        <v>0</v>
      </c>
      <c r="BK86" s="56">
        <f>IF($C86=Repart_lignes,0,
(SUMIF(Fonctionnement[Affectation matrice],$A86,Fonctionnement[Montant (€HT)])+SUMIF(Invest[Affectation matrice],$A86,Invest[Amortissement HT + intérêts]))*CK86)</f>
        <v>0</v>
      </c>
      <c r="BL86" s="56">
        <f>IF($C86=Repart_lignes,0,
(SUMIF(Fonctionnement[Affectation matrice],$A86,Fonctionnement[Montant (€HT)])+SUMIF(Invest[Affectation matrice],$A86,Invest[Amortissement HT + intérêts]))*CL86)</f>
        <v>0</v>
      </c>
      <c r="BM86" s="56">
        <f>IF($C86=Repart_lignes,0,
(SUMIF(Fonctionnement[Affectation matrice],$A86,Fonctionnement[Montant (€HT)])+SUMIF(Invest[Affectation matrice],$A86,Invest[Amortissement HT + intérêts]))*CM86)</f>
        <v>0</v>
      </c>
      <c r="BN86" s="56">
        <f>IF($C86=Repart_lignes,0,
(SUMIF(Fonctionnement[Affectation matrice],$A86,Fonctionnement[Montant (€HT)])+SUMIF(Invest[Affectation matrice],$A86,Invest[Amortissement HT + intérêts]))*CN86)</f>
        <v>0</v>
      </c>
      <c r="BO86" s="56">
        <f>IF($C86=Repart_lignes,0,
(SUMIF(Fonctionnement[Affectation matrice],$A86,Fonctionnement[Montant (€HT)])+SUMIF(Invest[Affectation matrice],$A86,Invest[Amortissement HT + intérêts]))*CO86)</f>
        <v>0</v>
      </c>
      <c r="BP86" s="56">
        <f>IF($C86=Repart_lignes,0,
(SUMIF(Fonctionnement[Affectation matrice],$A86,Fonctionnement[Montant (€HT)])+SUMIF(Invest[Affectation matrice],$A86,Invest[Amortissement HT + intérêts]))*CP86)</f>
        <v>0</v>
      </c>
      <c r="BQ86" s="56">
        <f>IF($C86=Repart_lignes,0,
(SUMIF(Fonctionnement[Affectation matrice],$A86,Fonctionnement[Montant (€HT)])+SUMIF(Invest[Affectation matrice],$A86,Invest[Amortissement HT + intérêts]))*CQ86)</f>
        <v>0</v>
      </c>
      <c r="BR86" s="56">
        <f>IF($C86=Repart_lignes,0,
(SUMIF(Fonctionnement[Affectation matrice],$A86,Fonctionnement[Montant (€HT)])+SUMIF(Invest[Affectation matrice],$A86,Invest[Amortissement HT + intérêts]))*CR86)</f>
        <v>0</v>
      </c>
      <c r="BS86" s="56">
        <f>IF($C86=Repart_lignes,0,
(SUMIF(Fonctionnement[Affectation matrice],$A86,Fonctionnement[Montant (€HT)])+SUMIF(Invest[Affectation matrice],$A86,Invest[Amortissement HT + intérêts]))*CS86)</f>
        <v>0</v>
      </c>
      <c r="BT86" s="56">
        <f>IF($C86=Repart_lignes,0,
(SUMIF(Fonctionnement[Affectation matrice],$A86,Fonctionnement[Montant (€HT)])+SUMIF(Invest[Affectation matrice],$A86,Invest[Amortissement HT + intérêts]))*CT86)</f>
        <v>0</v>
      </c>
      <c r="BU86" s="56">
        <f>IF($C86=Repart_lignes,0,
(SUMIF(Fonctionnement[Affectation matrice],$A86,Fonctionnement[Montant (€HT)])+SUMIF(Invest[Affectation matrice],$A86,Invest[Amortissement HT + intérêts]))*CU86)</f>
        <v>0</v>
      </c>
      <c r="BV86" s="56">
        <f>IF($C86=Repart_lignes,0,
(SUMIF(Fonctionnement[Affectation matrice],$A86,Fonctionnement[Montant (€HT)])+SUMIF(Invest[Affectation matrice],$A86,Invest[Amortissement HT + intérêts]))*CV86)</f>
        <v>0</v>
      </c>
      <c r="BW86" s="56">
        <f>IF($C86=Repart_lignes,0,
(SUMIF(Fonctionnement[Affectation matrice],$A86,Fonctionnement[Montant (€HT)])+SUMIF(Invest[Affectation matrice],$A86,Invest[Amortissement HT + intérêts]))*CW86)</f>
        <v>0</v>
      </c>
      <c r="BX86" s="56">
        <f>IF($C86=Repart_lignes,0,
(SUMIF(Fonctionnement[Affectation matrice],$A86,Fonctionnement[Montant (€HT)])+SUMIF(Invest[Affectation matrice],$A86,Invest[Amortissement HT + intérêts]))*CX86)</f>
        <v>0</v>
      </c>
      <c r="BY86" s="56">
        <f>IF($C86=Repart_lignes,0,
(SUMIF(Fonctionnement[Affectation matrice],$A86,Fonctionnement[Montant (€HT)])+SUMIF(Invest[Affectation matrice],$A86,Invest[Amortissement HT + intérêts]))*CY86)</f>
        <v>0</v>
      </c>
      <c r="BZ86" s="56">
        <f>IF($C86=Repart_lignes,0,
(SUMIF(Fonctionnement[Affectation matrice],$A86,Fonctionnement[Montant (€HT)])+SUMIF(Invest[Affectation matrice],$A86,Invest[Amortissement HT + intérêts]))*CZ86)</f>
        <v>0</v>
      </c>
      <c r="CA86" s="56">
        <f>IF($C86=Repart_lignes,0,
(SUMIF(Fonctionnement[Affectation matrice],$A86,Fonctionnement[Montant (€HT)])+SUMIF(Invest[Affectation matrice],$A86,Invest[Amortissement HT + intérêts]))*DA86)</f>
        <v>0</v>
      </c>
      <c r="CB86" s="56">
        <f>IF($C86=Repart_lignes,0,
(SUMIF(Fonctionnement[Affectation matrice],$A86,Fonctionnement[Montant (€HT)])+SUMIF(Invest[Affectation matrice],$A86,Invest[Amortissement HT + intérêts]))*DB86)</f>
        <v>0</v>
      </c>
      <c r="CC86" s="56">
        <f>IF($C86=Repart_lignes,0,
(SUMIF(Fonctionnement[Affectation matrice],$A86,Fonctionnement[Montant (€HT)])+SUMIF(Invest[Affectation matrice],$A86,Invest[Amortissement HT + intérêts]))*DC86)</f>
        <v>0</v>
      </c>
      <c r="CD86" s="56">
        <f>IF($C86=Repart_lignes,0,
(SUMIF(Fonctionnement[Affectation matrice],$A86,Fonctionnement[Montant (€HT)])+SUMIF(Invest[Affectation matrice],$A86,Invest[Amortissement HT + intérêts]))*DD86)</f>
        <v>0</v>
      </c>
      <c r="CE86" s="59">
        <f t="shared" si="62"/>
        <v>0</v>
      </c>
      <c r="CF86" s="61">
        <f t="shared" si="63"/>
        <v>0</v>
      </c>
      <c r="CG86" s="61">
        <f t="shared" si="64"/>
        <v>0</v>
      </c>
      <c r="CH86" s="61">
        <f t="shared" si="65"/>
        <v>0</v>
      </c>
      <c r="CI86" s="61">
        <f t="shared" si="66"/>
        <v>0</v>
      </c>
      <c r="CJ86" s="61">
        <f t="shared" si="67"/>
        <v>0</v>
      </c>
      <c r="CK86" s="61">
        <f t="shared" si="68"/>
        <v>0</v>
      </c>
      <c r="CL86" s="61">
        <f t="shared" si="69"/>
        <v>0</v>
      </c>
      <c r="CM86" s="61">
        <f t="shared" si="70"/>
        <v>0</v>
      </c>
      <c r="CN86" s="61">
        <f t="shared" si="71"/>
        <v>0</v>
      </c>
      <c r="CO86" s="61">
        <f t="shared" si="72"/>
        <v>0</v>
      </c>
      <c r="CP86" s="61">
        <f t="shared" si="73"/>
        <v>0</v>
      </c>
      <c r="CQ86" s="61">
        <f t="shared" si="74"/>
        <v>0</v>
      </c>
      <c r="CR86" s="61">
        <f t="shared" si="75"/>
        <v>0</v>
      </c>
      <c r="CS86" s="61">
        <f t="shared" si="76"/>
        <v>0</v>
      </c>
      <c r="CT86" s="61">
        <f t="shared" si="77"/>
        <v>0</v>
      </c>
      <c r="CU86" s="61">
        <f t="shared" si="78"/>
        <v>0</v>
      </c>
      <c r="CV86" s="61">
        <f t="shared" si="79"/>
        <v>0</v>
      </c>
      <c r="CW86" s="61">
        <f t="shared" si="80"/>
        <v>0</v>
      </c>
      <c r="CX86" s="61">
        <f t="shared" si="81"/>
        <v>0</v>
      </c>
      <c r="CY86" s="61">
        <f t="shared" si="82"/>
        <v>0</v>
      </c>
      <c r="CZ86" s="61">
        <f t="shared" si="83"/>
        <v>0</v>
      </c>
      <c r="DA86" s="61">
        <f t="shared" si="84"/>
        <v>0</v>
      </c>
      <c r="DB86" s="61">
        <f t="shared" si="85"/>
        <v>0</v>
      </c>
      <c r="DC86" s="61">
        <f t="shared" si="86"/>
        <v>0</v>
      </c>
      <c r="DD86" s="61">
        <f t="shared" si="87"/>
        <v>0</v>
      </c>
      <c r="DE86" s="61">
        <f t="shared" si="88"/>
        <v>0</v>
      </c>
    </row>
    <row r="87" spans="1:109" x14ac:dyDescent="0.25">
      <c r="A87" s="248"/>
      <c r="B87" s="248"/>
      <c r="C87" s="251"/>
      <c r="D87" s="25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1">
        <f t="shared" si="60"/>
        <v>0</v>
      </c>
      <c r="AE87" s="53" t="str">
        <f t="shared" ca="1" si="89"/>
        <v/>
      </c>
      <c r="AF87" s="56">
        <f>IF($C87=Repart_lignes,0,
(SUMIF(Fonctionnement[Affectation matrice],$A87,Fonctionnement[TVA acquittée])+SUMIF(Invest[Affectation matrice],$A87,Invest[TVA acquittée]))*CF87)</f>
        <v>0</v>
      </c>
      <c r="AG87" s="56">
        <f>IF($C87=Repart_lignes,0,
(SUMIF(Fonctionnement[Affectation matrice],$A87,Fonctionnement[TVA acquittée])+SUMIF(Invest[Affectation matrice],$A87,Invest[TVA acquittée]))*CG87)</f>
        <v>0</v>
      </c>
      <c r="AH87" s="56">
        <f>IF($C87=Repart_lignes,0,
(SUMIF(Fonctionnement[Affectation matrice],$A87,Fonctionnement[TVA acquittée])+SUMIF(Invest[Affectation matrice],$A87,Invest[TVA acquittée]))*CH87)</f>
        <v>0</v>
      </c>
      <c r="AI87" s="56">
        <f>IF($C87=Repart_lignes,0,
(SUMIF(Fonctionnement[Affectation matrice],$A87,Fonctionnement[TVA acquittée])+SUMIF(Invest[Affectation matrice],$A87,Invest[TVA acquittée]))*CI87)</f>
        <v>0</v>
      </c>
      <c r="AJ87" s="56">
        <f>IF($C87=Repart_lignes,0,
(SUMIF(Fonctionnement[Affectation matrice],$A87,Fonctionnement[TVA acquittée])+SUMIF(Invest[Affectation matrice],$A87,Invest[TVA acquittée]))*CJ87)</f>
        <v>0</v>
      </c>
      <c r="AK87" s="56">
        <f>IF($C87=Repart_lignes,0,
(SUMIF(Fonctionnement[Affectation matrice],$A87,Fonctionnement[TVA acquittée])+SUMIF(Invest[Affectation matrice],$A87,Invest[TVA acquittée]))*CK87)</f>
        <v>0</v>
      </c>
      <c r="AL87" s="56">
        <f>IF($C87=Repart_lignes,0,
(SUMIF(Fonctionnement[Affectation matrice],$A87,Fonctionnement[TVA acquittée])+SUMIF(Invest[Affectation matrice],$A87,Invest[TVA acquittée]))*CL87)</f>
        <v>0</v>
      </c>
      <c r="AM87" s="56">
        <f>IF($C87=Repart_lignes,0,
(SUMIF(Fonctionnement[Affectation matrice],$A87,Fonctionnement[TVA acquittée])+SUMIF(Invest[Affectation matrice],$A87,Invest[TVA acquittée]))*CM87)</f>
        <v>0</v>
      </c>
      <c r="AN87" s="56">
        <f>IF($C87=Repart_lignes,0,
(SUMIF(Fonctionnement[Affectation matrice],$A87,Fonctionnement[TVA acquittée])+SUMIF(Invest[Affectation matrice],$A87,Invest[TVA acquittée]))*CN87)</f>
        <v>0</v>
      </c>
      <c r="AO87" s="56">
        <f>IF($C87=Repart_lignes,0,
(SUMIF(Fonctionnement[Affectation matrice],$A87,Fonctionnement[TVA acquittée])+SUMIF(Invest[Affectation matrice],$A87,Invest[TVA acquittée]))*CO87)</f>
        <v>0</v>
      </c>
      <c r="AP87" s="56">
        <f>IF($C87=Repart_lignes,0,
(SUMIF(Fonctionnement[Affectation matrice],$A87,Fonctionnement[TVA acquittée])+SUMIF(Invest[Affectation matrice],$A87,Invest[TVA acquittée]))*CP87)</f>
        <v>0</v>
      </c>
      <c r="AQ87" s="56">
        <f>IF($C87=Repart_lignes,0,
(SUMIF(Fonctionnement[Affectation matrice],$A87,Fonctionnement[TVA acquittée])+SUMIF(Invest[Affectation matrice],$A87,Invest[TVA acquittée]))*CQ87)</f>
        <v>0</v>
      </c>
      <c r="AR87" s="56">
        <f>IF($C87=Repart_lignes,0,
(SUMIF(Fonctionnement[Affectation matrice],$A87,Fonctionnement[TVA acquittée])+SUMIF(Invest[Affectation matrice],$A87,Invest[TVA acquittée]))*CR87)</f>
        <v>0</v>
      </c>
      <c r="AS87" s="56">
        <f>IF($C87=Repart_lignes,0,
(SUMIF(Fonctionnement[Affectation matrice],$A87,Fonctionnement[TVA acquittée])+SUMIF(Invest[Affectation matrice],$A87,Invest[TVA acquittée]))*CS87)</f>
        <v>0</v>
      </c>
      <c r="AT87" s="56">
        <f>IF($C87=Repart_lignes,0,
(SUMIF(Fonctionnement[Affectation matrice],$A87,Fonctionnement[TVA acquittée])+SUMIF(Invest[Affectation matrice],$A87,Invest[TVA acquittée]))*CT87)</f>
        <v>0</v>
      </c>
      <c r="AU87" s="56">
        <f>IF($C87=Repart_lignes,0,
(SUMIF(Fonctionnement[Affectation matrice],$A87,Fonctionnement[TVA acquittée])+SUMIF(Invest[Affectation matrice],$A87,Invest[TVA acquittée]))*CU87)</f>
        <v>0</v>
      </c>
      <c r="AV87" s="56">
        <f>IF($C87=Repart_lignes,0,
(SUMIF(Fonctionnement[Affectation matrice],$A87,Fonctionnement[TVA acquittée])+SUMIF(Invest[Affectation matrice],$A87,Invest[TVA acquittée]))*CV87)</f>
        <v>0</v>
      </c>
      <c r="AW87" s="56">
        <f>IF($C87=Repart_lignes,0,
(SUMIF(Fonctionnement[Affectation matrice],$A87,Fonctionnement[TVA acquittée])+SUMIF(Invest[Affectation matrice],$A87,Invest[TVA acquittée]))*CW87)</f>
        <v>0</v>
      </c>
      <c r="AX87" s="56">
        <f>IF($C87=Repart_lignes,0,
(SUMIF(Fonctionnement[Affectation matrice],$A87,Fonctionnement[TVA acquittée])+SUMIF(Invest[Affectation matrice],$A87,Invest[TVA acquittée]))*CX87)</f>
        <v>0</v>
      </c>
      <c r="AY87" s="56">
        <f>IF($C87=Repart_lignes,0,
(SUMIF(Fonctionnement[Affectation matrice],$A87,Fonctionnement[TVA acquittée])+SUMIF(Invest[Affectation matrice],$A87,Invest[TVA acquittée]))*CY87)</f>
        <v>0</v>
      </c>
      <c r="AZ87" s="56">
        <f>IF($C87=Repart_lignes,0,
(SUMIF(Fonctionnement[Affectation matrice],$A87,Fonctionnement[TVA acquittée])+SUMIF(Invest[Affectation matrice],$A87,Invest[TVA acquittée]))*CZ87)</f>
        <v>0</v>
      </c>
      <c r="BA87" s="56">
        <f>IF($C87=Repart_lignes,0,
(SUMIF(Fonctionnement[Affectation matrice],$A87,Fonctionnement[TVA acquittée])+SUMIF(Invest[Affectation matrice],$A87,Invest[TVA acquittée]))*DA87)</f>
        <v>0</v>
      </c>
      <c r="BB87" s="56">
        <f>IF($C87=Repart_lignes,0,
(SUMIF(Fonctionnement[Affectation matrice],$A87,Fonctionnement[TVA acquittée])+SUMIF(Invest[Affectation matrice],$A87,Invest[TVA acquittée]))*DB87)</f>
        <v>0</v>
      </c>
      <c r="BC87" s="56">
        <f>IF($C87=Repart_lignes,0,
(SUMIF(Fonctionnement[Affectation matrice],$A87,Fonctionnement[TVA acquittée])+SUMIF(Invest[Affectation matrice],$A87,Invest[TVA acquittée]))*DC87)</f>
        <v>0</v>
      </c>
      <c r="BD87" s="56">
        <f>IF($C87=Repart_lignes,0,
(SUMIF(Fonctionnement[Affectation matrice],$A87,Fonctionnement[TVA acquittée])+SUMIF(Invest[Affectation matrice],$A87,Invest[TVA acquittée]))*DD87)</f>
        <v>0</v>
      </c>
      <c r="BE87" s="58">
        <f t="shared" si="61"/>
        <v>0</v>
      </c>
      <c r="BF87" s="56">
        <f>IF($C87=Repart_lignes,0,
(SUMIF(Fonctionnement[Affectation matrice],$A87,Fonctionnement[Montant (€HT)])+SUMIF(Invest[Affectation matrice],$A87,Invest[Amortissement HT + intérêts]))*CF87)</f>
        <v>0</v>
      </c>
      <c r="BG87" s="56">
        <f>IF($C87=Repart_lignes,0,
(SUMIF(Fonctionnement[Affectation matrice],$A87,Fonctionnement[Montant (€HT)])+SUMIF(Invest[Affectation matrice],$A87,Invest[Amortissement HT + intérêts]))*CG87)</f>
        <v>0</v>
      </c>
      <c r="BH87" s="56">
        <f>IF($C87=Repart_lignes,0,
(SUMIF(Fonctionnement[Affectation matrice],$A87,Fonctionnement[Montant (€HT)])+SUMIF(Invest[Affectation matrice],$A87,Invest[Amortissement HT + intérêts]))*CH87)</f>
        <v>0</v>
      </c>
      <c r="BI87" s="56">
        <f>IF($C87=Repart_lignes,0,
(SUMIF(Fonctionnement[Affectation matrice],$A87,Fonctionnement[Montant (€HT)])+SUMIF(Invest[Affectation matrice],$A87,Invest[Amortissement HT + intérêts]))*CI87)</f>
        <v>0</v>
      </c>
      <c r="BJ87" s="56">
        <f>IF($C87=Repart_lignes,0,
(SUMIF(Fonctionnement[Affectation matrice],$A87,Fonctionnement[Montant (€HT)])+SUMIF(Invest[Affectation matrice],$A87,Invest[Amortissement HT + intérêts]))*CJ87)</f>
        <v>0</v>
      </c>
      <c r="BK87" s="56">
        <f>IF($C87=Repart_lignes,0,
(SUMIF(Fonctionnement[Affectation matrice],$A87,Fonctionnement[Montant (€HT)])+SUMIF(Invest[Affectation matrice],$A87,Invest[Amortissement HT + intérêts]))*CK87)</f>
        <v>0</v>
      </c>
      <c r="BL87" s="56">
        <f>IF($C87=Repart_lignes,0,
(SUMIF(Fonctionnement[Affectation matrice],$A87,Fonctionnement[Montant (€HT)])+SUMIF(Invest[Affectation matrice],$A87,Invest[Amortissement HT + intérêts]))*CL87)</f>
        <v>0</v>
      </c>
      <c r="BM87" s="56">
        <f>IF($C87=Repart_lignes,0,
(SUMIF(Fonctionnement[Affectation matrice],$A87,Fonctionnement[Montant (€HT)])+SUMIF(Invest[Affectation matrice],$A87,Invest[Amortissement HT + intérêts]))*CM87)</f>
        <v>0</v>
      </c>
      <c r="BN87" s="56">
        <f>IF($C87=Repart_lignes,0,
(SUMIF(Fonctionnement[Affectation matrice],$A87,Fonctionnement[Montant (€HT)])+SUMIF(Invest[Affectation matrice],$A87,Invest[Amortissement HT + intérêts]))*CN87)</f>
        <v>0</v>
      </c>
      <c r="BO87" s="56">
        <f>IF($C87=Repart_lignes,0,
(SUMIF(Fonctionnement[Affectation matrice],$A87,Fonctionnement[Montant (€HT)])+SUMIF(Invest[Affectation matrice],$A87,Invest[Amortissement HT + intérêts]))*CO87)</f>
        <v>0</v>
      </c>
      <c r="BP87" s="56">
        <f>IF($C87=Repart_lignes,0,
(SUMIF(Fonctionnement[Affectation matrice],$A87,Fonctionnement[Montant (€HT)])+SUMIF(Invest[Affectation matrice],$A87,Invest[Amortissement HT + intérêts]))*CP87)</f>
        <v>0</v>
      </c>
      <c r="BQ87" s="56">
        <f>IF($C87=Repart_lignes,0,
(SUMIF(Fonctionnement[Affectation matrice],$A87,Fonctionnement[Montant (€HT)])+SUMIF(Invest[Affectation matrice],$A87,Invest[Amortissement HT + intérêts]))*CQ87)</f>
        <v>0</v>
      </c>
      <c r="BR87" s="56">
        <f>IF($C87=Repart_lignes,0,
(SUMIF(Fonctionnement[Affectation matrice],$A87,Fonctionnement[Montant (€HT)])+SUMIF(Invest[Affectation matrice],$A87,Invest[Amortissement HT + intérêts]))*CR87)</f>
        <v>0</v>
      </c>
      <c r="BS87" s="56">
        <f>IF($C87=Repart_lignes,0,
(SUMIF(Fonctionnement[Affectation matrice],$A87,Fonctionnement[Montant (€HT)])+SUMIF(Invest[Affectation matrice],$A87,Invest[Amortissement HT + intérêts]))*CS87)</f>
        <v>0</v>
      </c>
      <c r="BT87" s="56">
        <f>IF($C87=Repart_lignes,0,
(SUMIF(Fonctionnement[Affectation matrice],$A87,Fonctionnement[Montant (€HT)])+SUMIF(Invest[Affectation matrice],$A87,Invest[Amortissement HT + intérêts]))*CT87)</f>
        <v>0</v>
      </c>
      <c r="BU87" s="56">
        <f>IF($C87=Repart_lignes,0,
(SUMIF(Fonctionnement[Affectation matrice],$A87,Fonctionnement[Montant (€HT)])+SUMIF(Invest[Affectation matrice],$A87,Invest[Amortissement HT + intérêts]))*CU87)</f>
        <v>0</v>
      </c>
      <c r="BV87" s="56">
        <f>IF($C87=Repart_lignes,0,
(SUMIF(Fonctionnement[Affectation matrice],$A87,Fonctionnement[Montant (€HT)])+SUMIF(Invest[Affectation matrice],$A87,Invest[Amortissement HT + intérêts]))*CV87)</f>
        <v>0</v>
      </c>
      <c r="BW87" s="56">
        <f>IF($C87=Repart_lignes,0,
(SUMIF(Fonctionnement[Affectation matrice],$A87,Fonctionnement[Montant (€HT)])+SUMIF(Invest[Affectation matrice],$A87,Invest[Amortissement HT + intérêts]))*CW87)</f>
        <v>0</v>
      </c>
      <c r="BX87" s="56">
        <f>IF($C87=Repart_lignes,0,
(SUMIF(Fonctionnement[Affectation matrice],$A87,Fonctionnement[Montant (€HT)])+SUMIF(Invest[Affectation matrice],$A87,Invest[Amortissement HT + intérêts]))*CX87)</f>
        <v>0</v>
      </c>
      <c r="BY87" s="56">
        <f>IF($C87=Repart_lignes,0,
(SUMIF(Fonctionnement[Affectation matrice],$A87,Fonctionnement[Montant (€HT)])+SUMIF(Invest[Affectation matrice],$A87,Invest[Amortissement HT + intérêts]))*CY87)</f>
        <v>0</v>
      </c>
      <c r="BZ87" s="56">
        <f>IF($C87=Repart_lignes,0,
(SUMIF(Fonctionnement[Affectation matrice],$A87,Fonctionnement[Montant (€HT)])+SUMIF(Invest[Affectation matrice],$A87,Invest[Amortissement HT + intérêts]))*CZ87)</f>
        <v>0</v>
      </c>
      <c r="CA87" s="56">
        <f>IF($C87=Repart_lignes,0,
(SUMIF(Fonctionnement[Affectation matrice],$A87,Fonctionnement[Montant (€HT)])+SUMIF(Invest[Affectation matrice],$A87,Invest[Amortissement HT + intérêts]))*DA87)</f>
        <v>0</v>
      </c>
      <c r="CB87" s="56">
        <f>IF($C87=Repart_lignes,0,
(SUMIF(Fonctionnement[Affectation matrice],$A87,Fonctionnement[Montant (€HT)])+SUMIF(Invest[Affectation matrice],$A87,Invest[Amortissement HT + intérêts]))*DB87)</f>
        <v>0</v>
      </c>
      <c r="CC87" s="56">
        <f>IF($C87=Repart_lignes,0,
(SUMIF(Fonctionnement[Affectation matrice],$A87,Fonctionnement[Montant (€HT)])+SUMIF(Invest[Affectation matrice],$A87,Invest[Amortissement HT + intérêts]))*DC87)</f>
        <v>0</v>
      </c>
      <c r="CD87" s="56">
        <f>IF($C87=Repart_lignes,0,
(SUMIF(Fonctionnement[Affectation matrice],$A87,Fonctionnement[Montant (€HT)])+SUMIF(Invest[Affectation matrice],$A87,Invest[Amortissement HT + intérêts]))*DD87)</f>
        <v>0</v>
      </c>
      <c r="CE87" s="59">
        <f t="shared" si="62"/>
        <v>0</v>
      </c>
      <c r="CF87" s="61">
        <f t="shared" si="63"/>
        <v>0</v>
      </c>
      <c r="CG87" s="61">
        <f t="shared" si="64"/>
        <v>0</v>
      </c>
      <c r="CH87" s="61">
        <f t="shared" si="65"/>
        <v>0</v>
      </c>
      <c r="CI87" s="61">
        <f t="shared" si="66"/>
        <v>0</v>
      </c>
      <c r="CJ87" s="61">
        <f t="shared" si="67"/>
        <v>0</v>
      </c>
      <c r="CK87" s="61">
        <f t="shared" si="68"/>
        <v>0</v>
      </c>
      <c r="CL87" s="61">
        <f t="shared" si="69"/>
        <v>0</v>
      </c>
      <c r="CM87" s="61">
        <f t="shared" si="70"/>
        <v>0</v>
      </c>
      <c r="CN87" s="61">
        <f t="shared" si="71"/>
        <v>0</v>
      </c>
      <c r="CO87" s="61">
        <f t="shared" si="72"/>
        <v>0</v>
      </c>
      <c r="CP87" s="61">
        <f t="shared" si="73"/>
        <v>0</v>
      </c>
      <c r="CQ87" s="61">
        <f t="shared" si="74"/>
        <v>0</v>
      </c>
      <c r="CR87" s="61">
        <f t="shared" si="75"/>
        <v>0</v>
      </c>
      <c r="CS87" s="61">
        <f t="shared" si="76"/>
        <v>0</v>
      </c>
      <c r="CT87" s="61">
        <f t="shared" si="77"/>
        <v>0</v>
      </c>
      <c r="CU87" s="61">
        <f t="shared" si="78"/>
        <v>0</v>
      </c>
      <c r="CV87" s="61">
        <f t="shared" si="79"/>
        <v>0</v>
      </c>
      <c r="CW87" s="61">
        <f t="shared" si="80"/>
        <v>0</v>
      </c>
      <c r="CX87" s="61">
        <f t="shared" si="81"/>
        <v>0</v>
      </c>
      <c r="CY87" s="61">
        <f t="shared" si="82"/>
        <v>0</v>
      </c>
      <c r="CZ87" s="61">
        <f t="shared" si="83"/>
        <v>0</v>
      </c>
      <c r="DA87" s="61">
        <f t="shared" si="84"/>
        <v>0</v>
      </c>
      <c r="DB87" s="61">
        <f t="shared" si="85"/>
        <v>0</v>
      </c>
      <c r="DC87" s="61">
        <f t="shared" si="86"/>
        <v>0</v>
      </c>
      <c r="DD87" s="61">
        <f t="shared" si="87"/>
        <v>0</v>
      </c>
      <c r="DE87" s="61">
        <f t="shared" si="88"/>
        <v>0</v>
      </c>
    </row>
    <row r="88" spans="1:109" x14ac:dyDescent="0.25">
      <c r="A88" s="248"/>
      <c r="B88" s="248"/>
      <c r="C88" s="251"/>
      <c r="D88" s="25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1">
        <f t="shared" si="60"/>
        <v>0</v>
      </c>
      <c r="AE88" s="53" t="str">
        <f t="shared" ca="1" si="89"/>
        <v/>
      </c>
      <c r="AF88" s="56">
        <f>IF($C88=Repart_lignes,0,
(SUMIF(Fonctionnement[Affectation matrice],$A88,Fonctionnement[TVA acquittée])+SUMIF(Invest[Affectation matrice],$A88,Invest[TVA acquittée]))*CF88)</f>
        <v>0</v>
      </c>
      <c r="AG88" s="56">
        <f>IF($C88=Repart_lignes,0,
(SUMIF(Fonctionnement[Affectation matrice],$A88,Fonctionnement[TVA acquittée])+SUMIF(Invest[Affectation matrice],$A88,Invest[TVA acquittée]))*CG88)</f>
        <v>0</v>
      </c>
      <c r="AH88" s="56">
        <f>IF($C88=Repart_lignes,0,
(SUMIF(Fonctionnement[Affectation matrice],$A88,Fonctionnement[TVA acquittée])+SUMIF(Invest[Affectation matrice],$A88,Invest[TVA acquittée]))*CH88)</f>
        <v>0</v>
      </c>
      <c r="AI88" s="56">
        <f>IF($C88=Repart_lignes,0,
(SUMIF(Fonctionnement[Affectation matrice],$A88,Fonctionnement[TVA acquittée])+SUMIF(Invest[Affectation matrice],$A88,Invest[TVA acquittée]))*CI88)</f>
        <v>0</v>
      </c>
      <c r="AJ88" s="56">
        <f>IF($C88=Repart_lignes,0,
(SUMIF(Fonctionnement[Affectation matrice],$A88,Fonctionnement[TVA acquittée])+SUMIF(Invest[Affectation matrice],$A88,Invest[TVA acquittée]))*CJ88)</f>
        <v>0</v>
      </c>
      <c r="AK88" s="56">
        <f>IF($C88=Repart_lignes,0,
(SUMIF(Fonctionnement[Affectation matrice],$A88,Fonctionnement[TVA acquittée])+SUMIF(Invest[Affectation matrice],$A88,Invest[TVA acquittée]))*CK88)</f>
        <v>0</v>
      </c>
      <c r="AL88" s="56">
        <f>IF($C88=Repart_lignes,0,
(SUMIF(Fonctionnement[Affectation matrice],$A88,Fonctionnement[TVA acquittée])+SUMIF(Invest[Affectation matrice],$A88,Invest[TVA acquittée]))*CL88)</f>
        <v>0</v>
      </c>
      <c r="AM88" s="56">
        <f>IF($C88=Repart_lignes,0,
(SUMIF(Fonctionnement[Affectation matrice],$A88,Fonctionnement[TVA acquittée])+SUMIF(Invest[Affectation matrice],$A88,Invest[TVA acquittée]))*CM88)</f>
        <v>0</v>
      </c>
      <c r="AN88" s="56">
        <f>IF($C88=Repart_lignes,0,
(SUMIF(Fonctionnement[Affectation matrice],$A88,Fonctionnement[TVA acquittée])+SUMIF(Invest[Affectation matrice],$A88,Invest[TVA acquittée]))*CN88)</f>
        <v>0</v>
      </c>
      <c r="AO88" s="56">
        <f>IF($C88=Repart_lignes,0,
(SUMIF(Fonctionnement[Affectation matrice],$A88,Fonctionnement[TVA acquittée])+SUMIF(Invest[Affectation matrice],$A88,Invest[TVA acquittée]))*CO88)</f>
        <v>0</v>
      </c>
      <c r="AP88" s="56">
        <f>IF($C88=Repart_lignes,0,
(SUMIF(Fonctionnement[Affectation matrice],$A88,Fonctionnement[TVA acquittée])+SUMIF(Invest[Affectation matrice],$A88,Invest[TVA acquittée]))*CP88)</f>
        <v>0</v>
      </c>
      <c r="AQ88" s="56">
        <f>IF($C88=Repart_lignes,0,
(SUMIF(Fonctionnement[Affectation matrice],$A88,Fonctionnement[TVA acquittée])+SUMIF(Invest[Affectation matrice],$A88,Invest[TVA acquittée]))*CQ88)</f>
        <v>0</v>
      </c>
      <c r="AR88" s="56">
        <f>IF($C88=Repart_lignes,0,
(SUMIF(Fonctionnement[Affectation matrice],$A88,Fonctionnement[TVA acquittée])+SUMIF(Invest[Affectation matrice],$A88,Invest[TVA acquittée]))*CR88)</f>
        <v>0</v>
      </c>
      <c r="AS88" s="56">
        <f>IF($C88=Repart_lignes,0,
(SUMIF(Fonctionnement[Affectation matrice],$A88,Fonctionnement[TVA acquittée])+SUMIF(Invest[Affectation matrice],$A88,Invest[TVA acquittée]))*CS88)</f>
        <v>0</v>
      </c>
      <c r="AT88" s="56">
        <f>IF($C88=Repart_lignes,0,
(SUMIF(Fonctionnement[Affectation matrice],$A88,Fonctionnement[TVA acquittée])+SUMIF(Invest[Affectation matrice],$A88,Invest[TVA acquittée]))*CT88)</f>
        <v>0</v>
      </c>
      <c r="AU88" s="56">
        <f>IF($C88=Repart_lignes,0,
(SUMIF(Fonctionnement[Affectation matrice],$A88,Fonctionnement[TVA acquittée])+SUMIF(Invest[Affectation matrice],$A88,Invest[TVA acquittée]))*CU88)</f>
        <v>0</v>
      </c>
      <c r="AV88" s="56">
        <f>IF($C88=Repart_lignes,0,
(SUMIF(Fonctionnement[Affectation matrice],$A88,Fonctionnement[TVA acquittée])+SUMIF(Invest[Affectation matrice],$A88,Invest[TVA acquittée]))*CV88)</f>
        <v>0</v>
      </c>
      <c r="AW88" s="56">
        <f>IF($C88=Repart_lignes,0,
(SUMIF(Fonctionnement[Affectation matrice],$A88,Fonctionnement[TVA acquittée])+SUMIF(Invest[Affectation matrice],$A88,Invest[TVA acquittée]))*CW88)</f>
        <v>0</v>
      </c>
      <c r="AX88" s="56">
        <f>IF($C88=Repart_lignes,0,
(SUMIF(Fonctionnement[Affectation matrice],$A88,Fonctionnement[TVA acquittée])+SUMIF(Invest[Affectation matrice],$A88,Invest[TVA acquittée]))*CX88)</f>
        <v>0</v>
      </c>
      <c r="AY88" s="56">
        <f>IF($C88=Repart_lignes,0,
(SUMIF(Fonctionnement[Affectation matrice],$A88,Fonctionnement[TVA acquittée])+SUMIF(Invest[Affectation matrice],$A88,Invest[TVA acquittée]))*CY88)</f>
        <v>0</v>
      </c>
      <c r="AZ88" s="56">
        <f>IF($C88=Repart_lignes,0,
(SUMIF(Fonctionnement[Affectation matrice],$A88,Fonctionnement[TVA acquittée])+SUMIF(Invest[Affectation matrice],$A88,Invest[TVA acquittée]))*CZ88)</f>
        <v>0</v>
      </c>
      <c r="BA88" s="56">
        <f>IF($C88=Repart_lignes,0,
(SUMIF(Fonctionnement[Affectation matrice],$A88,Fonctionnement[TVA acquittée])+SUMIF(Invest[Affectation matrice],$A88,Invest[TVA acquittée]))*DA88)</f>
        <v>0</v>
      </c>
      <c r="BB88" s="56">
        <f>IF($C88=Repart_lignes,0,
(SUMIF(Fonctionnement[Affectation matrice],$A88,Fonctionnement[TVA acquittée])+SUMIF(Invest[Affectation matrice],$A88,Invest[TVA acquittée]))*DB88)</f>
        <v>0</v>
      </c>
      <c r="BC88" s="56">
        <f>IF($C88=Repart_lignes,0,
(SUMIF(Fonctionnement[Affectation matrice],$A88,Fonctionnement[TVA acquittée])+SUMIF(Invest[Affectation matrice],$A88,Invest[TVA acquittée]))*DC88)</f>
        <v>0</v>
      </c>
      <c r="BD88" s="56">
        <f>IF($C88=Repart_lignes,0,
(SUMIF(Fonctionnement[Affectation matrice],$A88,Fonctionnement[TVA acquittée])+SUMIF(Invest[Affectation matrice],$A88,Invest[TVA acquittée]))*DD88)</f>
        <v>0</v>
      </c>
      <c r="BE88" s="58">
        <f t="shared" si="61"/>
        <v>0</v>
      </c>
      <c r="BF88" s="56">
        <f>IF($C88=Repart_lignes,0,
(SUMIF(Fonctionnement[Affectation matrice],$A88,Fonctionnement[Montant (€HT)])+SUMIF(Invest[Affectation matrice],$A88,Invest[Amortissement HT + intérêts]))*CF88)</f>
        <v>0</v>
      </c>
      <c r="BG88" s="56">
        <f>IF($C88=Repart_lignes,0,
(SUMIF(Fonctionnement[Affectation matrice],$A88,Fonctionnement[Montant (€HT)])+SUMIF(Invest[Affectation matrice],$A88,Invest[Amortissement HT + intérêts]))*CG88)</f>
        <v>0</v>
      </c>
      <c r="BH88" s="56">
        <f>IF($C88=Repart_lignes,0,
(SUMIF(Fonctionnement[Affectation matrice],$A88,Fonctionnement[Montant (€HT)])+SUMIF(Invest[Affectation matrice],$A88,Invest[Amortissement HT + intérêts]))*CH88)</f>
        <v>0</v>
      </c>
      <c r="BI88" s="56">
        <f>IF($C88=Repart_lignes,0,
(SUMIF(Fonctionnement[Affectation matrice],$A88,Fonctionnement[Montant (€HT)])+SUMIF(Invest[Affectation matrice],$A88,Invest[Amortissement HT + intérêts]))*CI88)</f>
        <v>0</v>
      </c>
      <c r="BJ88" s="56">
        <f>IF($C88=Repart_lignes,0,
(SUMIF(Fonctionnement[Affectation matrice],$A88,Fonctionnement[Montant (€HT)])+SUMIF(Invest[Affectation matrice],$A88,Invest[Amortissement HT + intérêts]))*CJ88)</f>
        <v>0</v>
      </c>
      <c r="BK88" s="56">
        <f>IF($C88=Repart_lignes,0,
(SUMIF(Fonctionnement[Affectation matrice],$A88,Fonctionnement[Montant (€HT)])+SUMIF(Invest[Affectation matrice],$A88,Invest[Amortissement HT + intérêts]))*CK88)</f>
        <v>0</v>
      </c>
      <c r="BL88" s="56">
        <f>IF($C88=Repart_lignes,0,
(SUMIF(Fonctionnement[Affectation matrice],$A88,Fonctionnement[Montant (€HT)])+SUMIF(Invest[Affectation matrice],$A88,Invest[Amortissement HT + intérêts]))*CL88)</f>
        <v>0</v>
      </c>
      <c r="BM88" s="56">
        <f>IF($C88=Repart_lignes,0,
(SUMIF(Fonctionnement[Affectation matrice],$A88,Fonctionnement[Montant (€HT)])+SUMIF(Invest[Affectation matrice],$A88,Invest[Amortissement HT + intérêts]))*CM88)</f>
        <v>0</v>
      </c>
      <c r="BN88" s="56">
        <f>IF($C88=Repart_lignes,0,
(SUMIF(Fonctionnement[Affectation matrice],$A88,Fonctionnement[Montant (€HT)])+SUMIF(Invest[Affectation matrice],$A88,Invest[Amortissement HT + intérêts]))*CN88)</f>
        <v>0</v>
      </c>
      <c r="BO88" s="56">
        <f>IF($C88=Repart_lignes,0,
(SUMIF(Fonctionnement[Affectation matrice],$A88,Fonctionnement[Montant (€HT)])+SUMIF(Invest[Affectation matrice],$A88,Invest[Amortissement HT + intérêts]))*CO88)</f>
        <v>0</v>
      </c>
      <c r="BP88" s="56">
        <f>IF($C88=Repart_lignes,0,
(SUMIF(Fonctionnement[Affectation matrice],$A88,Fonctionnement[Montant (€HT)])+SUMIF(Invest[Affectation matrice],$A88,Invest[Amortissement HT + intérêts]))*CP88)</f>
        <v>0</v>
      </c>
      <c r="BQ88" s="56">
        <f>IF($C88=Repart_lignes,0,
(SUMIF(Fonctionnement[Affectation matrice],$A88,Fonctionnement[Montant (€HT)])+SUMIF(Invest[Affectation matrice],$A88,Invest[Amortissement HT + intérêts]))*CQ88)</f>
        <v>0</v>
      </c>
      <c r="BR88" s="56">
        <f>IF($C88=Repart_lignes,0,
(SUMIF(Fonctionnement[Affectation matrice],$A88,Fonctionnement[Montant (€HT)])+SUMIF(Invest[Affectation matrice],$A88,Invest[Amortissement HT + intérêts]))*CR88)</f>
        <v>0</v>
      </c>
      <c r="BS88" s="56">
        <f>IF($C88=Repart_lignes,0,
(SUMIF(Fonctionnement[Affectation matrice],$A88,Fonctionnement[Montant (€HT)])+SUMIF(Invest[Affectation matrice],$A88,Invest[Amortissement HT + intérêts]))*CS88)</f>
        <v>0</v>
      </c>
      <c r="BT88" s="56">
        <f>IF($C88=Repart_lignes,0,
(SUMIF(Fonctionnement[Affectation matrice],$A88,Fonctionnement[Montant (€HT)])+SUMIF(Invest[Affectation matrice],$A88,Invest[Amortissement HT + intérêts]))*CT88)</f>
        <v>0</v>
      </c>
      <c r="BU88" s="56">
        <f>IF($C88=Repart_lignes,0,
(SUMIF(Fonctionnement[Affectation matrice],$A88,Fonctionnement[Montant (€HT)])+SUMIF(Invest[Affectation matrice],$A88,Invest[Amortissement HT + intérêts]))*CU88)</f>
        <v>0</v>
      </c>
      <c r="BV88" s="56">
        <f>IF($C88=Repart_lignes,0,
(SUMIF(Fonctionnement[Affectation matrice],$A88,Fonctionnement[Montant (€HT)])+SUMIF(Invest[Affectation matrice],$A88,Invest[Amortissement HT + intérêts]))*CV88)</f>
        <v>0</v>
      </c>
      <c r="BW88" s="56">
        <f>IF($C88=Repart_lignes,0,
(SUMIF(Fonctionnement[Affectation matrice],$A88,Fonctionnement[Montant (€HT)])+SUMIF(Invest[Affectation matrice],$A88,Invest[Amortissement HT + intérêts]))*CW88)</f>
        <v>0</v>
      </c>
      <c r="BX88" s="56">
        <f>IF($C88=Repart_lignes,0,
(SUMIF(Fonctionnement[Affectation matrice],$A88,Fonctionnement[Montant (€HT)])+SUMIF(Invest[Affectation matrice],$A88,Invest[Amortissement HT + intérêts]))*CX88)</f>
        <v>0</v>
      </c>
      <c r="BY88" s="56">
        <f>IF($C88=Repart_lignes,0,
(SUMIF(Fonctionnement[Affectation matrice],$A88,Fonctionnement[Montant (€HT)])+SUMIF(Invest[Affectation matrice],$A88,Invest[Amortissement HT + intérêts]))*CY88)</f>
        <v>0</v>
      </c>
      <c r="BZ88" s="56">
        <f>IF($C88=Repart_lignes,0,
(SUMIF(Fonctionnement[Affectation matrice],$A88,Fonctionnement[Montant (€HT)])+SUMIF(Invest[Affectation matrice],$A88,Invest[Amortissement HT + intérêts]))*CZ88)</f>
        <v>0</v>
      </c>
      <c r="CA88" s="56">
        <f>IF($C88=Repart_lignes,0,
(SUMIF(Fonctionnement[Affectation matrice],$A88,Fonctionnement[Montant (€HT)])+SUMIF(Invest[Affectation matrice],$A88,Invest[Amortissement HT + intérêts]))*DA88)</f>
        <v>0</v>
      </c>
      <c r="CB88" s="56">
        <f>IF($C88=Repart_lignes,0,
(SUMIF(Fonctionnement[Affectation matrice],$A88,Fonctionnement[Montant (€HT)])+SUMIF(Invest[Affectation matrice],$A88,Invest[Amortissement HT + intérêts]))*DB88)</f>
        <v>0</v>
      </c>
      <c r="CC88" s="56">
        <f>IF($C88=Repart_lignes,0,
(SUMIF(Fonctionnement[Affectation matrice],$A88,Fonctionnement[Montant (€HT)])+SUMIF(Invest[Affectation matrice],$A88,Invest[Amortissement HT + intérêts]))*DC88)</f>
        <v>0</v>
      </c>
      <c r="CD88" s="56">
        <f>IF($C88=Repart_lignes,0,
(SUMIF(Fonctionnement[Affectation matrice],$A88,Fonctionnement[Montant (€HT)])+SUMIF(Invest[Affectation matrice],$A88,Invest[Amortissement HT + intérêts]))*DD88)</f>
        <v>0</v>
      </c>
      <c r="CE88" s="59">
        <f t="shared" si="62"/>
        <v>0</v>
      </c>
      <c r="CF88" s="61">
        <f t="shared" si="63"/>
        <v>0</v>
      </c>
      <c r="CG88" s="61">
        <f t="shared" si="64"/>
        <v>0</v>
      </c>
      <c r="CH88" s="61">
        <f t="shared" si="65"/>
        <v>0</v>
      </c>
      <c r="CI88" s="61">
        <f t="shared" si="66"/>
        <v>0</v>
      </c>
      <c r="CJ88" s="61">
        <f t="shared" si="67"/>
        <v>0</v>
      </c>
      <c r="CK88" s="61">
        <f t="shared" si="68"/>
        <v>0</v>
      </c>
      <c r="CL88" s="61">
        <f t="shared" si="69"/>
        <v>0</v>
      </c>
      <c r="CM88" s="61">
        <f t="shared" si="70"/>
        <v>0</v>
      </c>
      <c r="CN88" s="61">
        <f t="shared" si="71"/>
        <v>0</v>
      </c>
      <c r="CO88" s="61">
        <f t="shared" si="72"/>
        <v>0</v>
      </c>
      <c r="CP88" s="61">
        <f t="shared" si="73"/>
        <v>0</v>
      </c>
      <c r="CQ88" s="61">
        <f t="shared" si="74"/>
        <v>0</v>
      </c>
      <c r="CR88" s="61">
        <f t="shared" si="75"/>
        <v>0</v>
      </c>
      <c r="CS88" s="61">
        <f t="shared" si="76"/>
        <v>0</v>
      </c>
      <c r="CT88" s="61">
        <f t="shared" si="77"/>
        <v>0</v>
      </c>
      <c r="CU88" s="61">
        <f t="shared" si="78"/>
        <v>0</v>
      </c>
      <c r="CV88" s="61">
        <f t="shared" si="79"/>
        <v>0</v>
      </c>
      <c r="CW88" s="61">
        <f t="shared" si="80"/>
        <v>0</v>
      </c>
      <c r="CX88" s="61">
        <f t="shared" si="81"/>
        <v>0</v>
      </c>
      <c r="CY88" s="61">
        <f t="shared" si="82"/>
        <v>0</v>
      </c>
      <c r="CZ88" s="61">
        <f t="shared" si="83"/>
        <v>0</v>
      </c>
      <c r="DA88" s="61">
        <f t="shared" si="84"/>
        <v>0</v>
      </c>
      <c r="DB88" s="61">
        <f t="shared" si="85"/>
        <v>0</v>
      </c>
      <c r="DC88" s="61">
        <f t="shared" si="86"/>
        <v>0</v>
      </c>
      <c r="DD88" s="61">
        <f t="shared" si="87"/>
        <v>0</v>
      </c>
      <c r="DE88" s="61">
        <f t="shared" si="88"/>
        <v>0</v>
      </c>
    </row>
    <row r="89" spans="1:109" x14ac:dyDescent="0.25">
      <c r="A89" s="248"/>
      <c r="B89" s="248"/>
      <c r="C89" s="251"/>
      <c r="D89" s="25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1">
        <f t="shared" si="60"/>
        <v>0</v>
      </c>
      <c r="AE89" s="53" t="str">
        <f t="shared" ca="1" si="89"/>
        <v/>
      </c>
      <c r="AF89" s="56">
        <f>IF($C89=Repart_lignes,0,
(SUMIF(Fonctionnement[Affectation matrice],$A89,Fonctionnement[TVA acquittée])+SUMIF(Invest[Affectation matrice],$A89,Invest[TVA acquittée]))*CF89)</f>
        <v>0</v>
      </c>
      <c r="AG89" s="56">
        <f>IF($C89=Repart_lignes,0,
(SUMIF(Fonctionnement[Affectation matrice],$A89,Fonctionnement[TVA acquittée])+SUMIF(Invest[Affectation matrice],$A89,Invest[TVA acquittée]))*CG89)</f>
        <v>0</v>
      </c>
      <c r="AH89" s="56">
        <f>IF($C89=Repart_lignes,0,
(SUMIF(Fonctionnement[Affectation matrice],$A89,Fonctionnement[TVA acquittée])+SUMIF(Invest[Affectation matrice],$A89,Invest[TVA acquittée]))*CH89)</f>
        <v>0</v>
      </c>
      <c r="AI89" s="56">
        <f>IF($C89=Repart_lignes,0,
(SUMIF(Fonctionnement[Affectation matrice],$A89,Fonctionnement[TVA acquittée])+SUMIF(Invest[Affectation matrice],$A89,Invest[TVA acquittée]))*CI89)</f>
        <v>0</v>
      </c>
      <c r="AJ89" s="56">
        <f>IF($C89=Repart_lignes,0,
(SUMIF(Fonctionnement[Affectation matrice],$A89,Fonctionnement[TVA acquittée])+SUMIF(Invest[Affectation matrice],$A89,Invest[TVA acquittée]))*CJ89)</f>
        <v>0</v>
      </c>
      <c r="AK89" s="56">
        <f>IF($C89=Repart_lignes,0,
(SUMIF(Fonctionnement[Affectation matrice],$A89,Fonctionnement[TVA acquittée])+SUMIF(Invest[Affectation matrice],$A89,Invest[TVA acquittée]))*CK89)</f>
        <v>0</v>
      </c>
      <c r="AL89" s="56">
        <f>IF($C89=Repart_lignes,0,
(SUMIF(Fonctionnement[Affectation matrice],$A89,Fonctionnement[TVA acquittée])+SUMIF(Invest[Affectation matrice],$A89,Invest[TVA acquittée]))*CL89)</f>
        <v>0</v>
      </c>
      <c r="AM89" s="56">
        <f>IF($C89=Repart_lignes,0,
(SUMIF(Fonctionnement[Affectation matrice],$A89,Fonctionnement[TVA acquittée])+SUMIF(Invest[Affectation matrice],$A89,Invest[TVA acquittée]))*CM89)</f>
        <v>0</v>
      </c>
      <c r="AN89" s="56">
        <f>IF($C89=Repart_lignes,0,
(SUMIF(Fonctionnement[Affectation matrice],$A89,Fonctionnement[TVA acquittée])+SUMIF(Invest[Affectation matrice],$A89,Invest[TVA acquittée]))*CN89)</f>
        <v>0</v>
      </c>
      <c r="AO89" s="56">
        <f>IF($C89=Repart_lignes,0,
(SUMIF(Fonctionnement[Affectation matrice],$A89,Fonctionnement[TVA acquittée])+SUMIF(Invest[Affectation matrice],$A89,Invest[TVA acquittée]))*CO89)</f>
        <v>0</v>
      </c>
      <c r="AP89" s="56">
        <f>IF($C89=Repart_lignes,0,
(SUMIF(Fonctionnement[Affectation matrice],$A89,Fonctionnement[TVA acquittée])+SUMIF(Invest[Affectation matrice],$A89,Invest[TVA acquittée]))*CP89)</f>
        <v>0</v>
      </c>
      <c r="AQ89" s="56">
        <f>IF($C89=Repart_lignes,0,
(SUMIF(Fonctionnement[Affectation matrice],$A89,Fonctionnement[TVA acquittée])+SUMIF(Invest[Affectation matrice],$A89,Invest[TVA acquittée]))*CQ89)</f>
        <v>0</v>
      </c>
      <c r="AR89" s="56">
        <f>IF($C89=Repart_lignes,0,
(SUMIF(Fonctionnement[Affectation matrice],$A89,Fonctionnement[TVA acquittée])+SUMIF(Invest[Affectation matrice],$A89,Invest[TVA acquittée]))*CR89)</f>
        <v>0</v>
      </c>
      <c r="AS89" s="56">
        <f>IF($C89=Repart_lignes,0,
(SUMIF(Fonctionnement[Affectation matrice],$A89,Fonctionnement[TVA acquittée])+SUMIF(Invest[Affectation matrice],$A89,Invest[TVA acquittée]))*CS89)</f>
        <v>0</v>
      </c>
      <c r="AT89" s="56">
        <f>IF($C89=Repart_lignes,0,
(SUMIF(Fonctionnement[Affectation matrice],$A89,Fonctionnement[TVA acquittée])+SUMIF(Invest[Affectation matrice],$A89,Invest[TVA acquittée]))*CT89)</f>
        <v>0</v>
      </c>
      <c r="AU89" s="56">
        <f>IF($C89=Repart_lignes,0,
(SUMIF(Fonctionnement[Affectation matrice],$A89,Fonctionnement[TVA acquittée])+SUMIF(Invest[Affectation matrice],$A89,Invest[TVA acquittée]))*CU89)</f>
        <v>0</v>
      </c>
      <c r="AV89" s="56">
        <f>IF($C89=Repart_lignes,0,
(SUMIF(Fonctionnement[Affectation matrice],$A89,Fonctionnement[TVA acquittée])+SUMIF(Invest[Affectation matrice],$A89,Invest[TVA acquittée]))*CV89)</f>
        <v>0</v>
      </c>
      <c r="AW89" s="56">
        <f>IF($C89=Repart_lignes,0,
(SUMIF(Fonctionnement[Affectation matrice],$A89,Fonctionnement[TVA acquittée])+SUMIF(Invest[Affectation matrice],$A89,Invest[TVA acquittée]))*CW89)</f>
        <v>0</v>
      </c>
      <c r="AX89" s="56">
        <f>IF($C89=Repart_lignes,0,
(SUMIF(Fonctionnement[Affectation matrice],$A89,Fonctionnement[TVA acquittée])+SUMIF(Invest[Affectation matrice],$A89,Invest[TVA acquittée]))*CX89)</f>
        <v>0</v>
      </c>
      <c r="AY89" s="56">
        <f>IF($C89=Repart_lignes,0,
(SUMIF(Fonctionnement[Affectation matrice],$A89,Fonctionnement[TVA acquittée])+SUMIF(Invest[Affectation matrice],$A89,Invest[TVA acquittée]))*CY89)</f>
        <v>0</v>
      </c>
      <c r="AZ89" s="56">
        <f>IF($C89=Repart_lignes,0,
(SUMIF(Fonctionnement[Affectation matrice],$A89,Fonctionnement[TVA acquittée])+SUMIF(Invest[Affectation matrice],$A89,Invest[TVA acquittée]))*CZ89)</f>
        <v>0</v>
      </c>
      <c r="BA89" s="56">
        <f>IF($C89=Repart_lignes,0,
(SUMIF(Fonctionnement[Affectation matrice],$A89,Fonctionnement[TVA acquittée])+SUMIF(Invest[Affectation matrice],$A89,Invest[TVA acquittée]))*DA89)</f>
        <v>0</v>
      </c>
      <c r="BB89" s="56">
        <f>IF($C89=Repart_lignes,0,
(SUMIF(Fonctionnement[Affectation matrice],$A89,Fonctionnement[TVA acquittée])+SUMIF(Invest[Affectation matrice],$A89,Invest[TVA acquittée]))*DB89)</f>
        <v>0</v>
      </c>
      <c r="BC89" s="56">
        <f>IF($C89=Repart_lignes,0,
(SUMIF(Fonctionnement[Affectation matrice],$A89,Fonctionnement[TVA acquittée])+SUMIF(Invest[Affectation matrice],$A89,Invest[TVA acquittée]))*DC89)</f>
        <v>0</v>
      </c>
      <c r="BD89" s="56">
        <f>IF($C89=Repart_lignes,0,
(SUMIF(Fonctionnement[Affectation matrice],$A89,Fonctionnement[TVA acquittée])+SUMIF(Invest[Affectation matrice],$A89,Invest[TVA acquittée]))*DD89)</f>
        <v>0</v>
      </c>
      <c r="BE89" s="58">
        <f t="shared" si="61"/>
        <v>0</v>
      </c>
      <c r="BF89" s="56">
        <f>IF($C89=Repart_lignes,0,
(SUMIF(Fonctionnement[Affectation matrice],$A89,Fonctionnement[Montant (€HT)])+SUMIF(Invest[Affectation matrice],$A89,Invest[Amortissement HT + intérêts]))*CF89)</f>
        <v>0</v>
      </c>
      <c r="BG89" s="56">
        <f>IF($C89=Repart_lignes,0,
(SUMIF(Fonctionnement[Affectation matrice],$A89,Fonctionnement[Montant (€HT)])+SUMIF(Invest[Affectation matrice],$A89,Invest[Amortissement HT + intérêts]))*CG89)</f>
        <v>0</v>
      </c>
      <c r="BH89" s="56">
        <f>IF($C89=Repart_lignes,0,
(SUMIF(Fonctionnement[Affectation matrice],$A89,Fonctionnement[Montant (€HT)])+SUMIF(Invest[Affectation matrice],$A89,Invest[Amortissement HT + intérêts]))*CH89)</f>
        <v>0</v>
      </c>
      <c r="BI89" s="56">
        <f>IF($C89=Repart_lignes,0,
(SUMIF(Fonctionnement[Affectation matrice],$A89,Fonctionnement[Montant (€HT)])+SUMIF(Invest[Affectation matrice],$A89,Invest[Amortissement HT + intérêts]))*CI89)</f>
        <v>0</v>
      </c>
      <c r="BJ89" s="56">
        <f>IF($C89=Repart_lignes,0,
(SUMIF(Fonctionnement[Affectation matrice],$A89,Fonctionnement[Montant (€HT)])+SUMIF(Invest[Affectation matrice],$A89,Invest[Amortissement HT + intérêts]))*CJ89)</f>
        <v>0</v>
      </c>
      <c r="BK89" s="56">
        <f>IF($C89=Repart_lignes,0,
(SUMIF(Fonctionnement[Affectation matrice],$A89,Fonctionnement[Montant (€HT)])+SUMIF(Invest[Affectation matrice],$A89,Invest[Amortissement HT + intérêts]))*CK89)</f>
        <v>0</v>
      </c>
      <c r="BL89" s="56">
        <f>IF($C89=Repart_lignes,0,
(SUMIF(Fonctionnement[Affectation matrice],$A89,Fonctionnement[Montant (€HT)])+SUMIF(Invest[Affectation matrice],$A89,Invest[Amortissement HT + intérêts]))*CL89)</f>
        <v>0</v>
      </c>
      <c r="BM89" s="56">
        <f>IF($C89=Repart_lignes,0,
(SUMIF(Fonctionnement[Affectation matrice],$A89,Fonctionnement[Montant (€HT)])+SUMIF(Invest[Affectation matrice],$A89,Invest[Amortissement HT + intérêts]))*CM89)</f>
        <v>0</v>
      </c>
      <c r="BN89" s="56">
        <f>IF($C89=Repart_lignes,0,
(SUMIF(Fonctionnement[Affectation matrice],$A89,Fonctionnement[Montant (€HT)])+SUMIF(Invest[Affectation matrice],$A89,Invest[Amortissement HT + intérêts]))*CN89)</f>
        <v>0</v>
      </c>
      <c r="BO89" s="56">
        <f>IF($C89=Repart_lignes,0,
(SUMIF(Fonctionnement[Affectation matrice],$A89,Fonctionnement[Montant (€HT)])+SUMIF(Invest[Affectation matrice],$A89,Invest[Amortissement HT + intérêts]))*CO89)</f>
        <v>0</v>
      </c>
      <c r="BP89" s="56">
        <f>IF($C89=Repart_lignes,0,
(SUMIF(Fonctionnement[Affectation matrice],$A89,Fonctionnement[Montant (€HT)])+SUMIF(Invest[Affectation matrice],$A89,Invest[Amortissement HT + intérêts]))*CP89)</f>
        <v>0</v>
      </c>
      <c r="BQ89" s="56">
        <f>IF($C89=Repart_lignes,0,
(SUMIF(Fonctionnement[Affectation matrice],$A89,Fonctionnement[Montant (€HT)])+SUMIF(Invest[Affectation matrice],$A89,Invest[Amortissement HT + intérêts]))*CQ89)</f>
        <v>0</v>
      </c>
      <c r="BR89" s="56">
        <f>IF($C89=Repart_lignes,0,
(SUMIF(Fonctionnement[Affectation matrice],$A89,Fonctionnement[Montant (€HT)])+SUMIF(Invest[Affectation matrice],$A89,Invest[Amortissement HT + intérêts]))*CR89)</f>
        <v>0</v>
      </c>
      <c r="BS89" s="56">
        <f>IF($C89=Repart_lignes,0,
(SUMIF(Fonctionnement[Affectation matrice],$A89,Fonctionnement[Montant (€HT)])+SUMIF(Invest[Affectation matrice],$A89,Invest[Amortissement HT + intérêts]))*CS89)</f>
        <v>0</v>
      </c>
      <c r="BT89" s="56">
        <f>IF($C89=Repart_lignes,0,
(SUMIF(Fonctionnement[Affectation matrice],$A89,Fonctionnement[Montant (€HT)])+SUMIF(Invest[Affectation matrice],$A89,Invest[Amortissement HT + intérêts]))*CT89)</f>
        <v>0</v>
      </c>
      <c r="BU89" s="56">
        <f>IF($C89=Repart_lignes,0,
(SUMIF(Fonctionnement[Affectation matrice],$A89,Fonctionnement[Montant (€HT)])+SUMIF(Invest[Affectation matrice],$A89,Invest[Amortissement HT + intérêts]))*CU89)</f>
        <v>0</v>
      </c>
      <c r="BV89" s="56">
        <f>IF($C89=Repart_lignes,0,
(SUMIF(Fonctionnement[Affectation matrice],$A89,Fonctionnement[Montant (€HT)])+SUMIF(Invest[Affectation matrice],$A89,Invest[Amortissement HT + intérêts]))*CV89)</f>
        <v>0</v>
      </c>
      <c r="BW89" s="56">
        <f>IF($C89=Repart_lignes,0,
(SUMIF(Fonctionnement[Affectation matrice],$A89,Fonctionnement[Montant (€HT)])+SUMIF(Invest[Affectation matrice],$A89,Invest[Amortissement HT + intérêts]))*CW89)</f>
        <v>0</v>
      </c>
      <c r="BX89" s="56">
        <f>IF($C89=Repart_lignes,0,
(SUMIF(Fonctionnement[Affectation matrice],$A89,Fonctionnement[Montant (€HT)])+SUMIF(Invest[Affectation matrice],$A89,Invest[Amortissement HT + intérêts]))*CX89)</f>
        <v>0</v>
      </c>
      <c r="BY89" s="56">
        <f>IF($C89=Repart_lignes,0,
(SUMIF(Fonctionnement[Affectation matrice],$A89,Fonctionnement[Montant (€HT)])+SUMIF(Invest[Affectation matrice],$A89,Invest[Amortissement HT + intérêts]))*CY89)</f>
        <v>0</v>
      </c>
      <c r="BZ89" s="56">
        <f>IF($C89=Repart_lignes,0,
(SUMIF(Fonctionnement[Affectation matrice],$A89,Fonctionnement[Montant (€HT)])+SUMIF(Invest[Affectation matrice],$A89,Invest[Amortissement HT + intérêts]))*CZ89)</f>
        <v>0</v>
      </c>
      <c r="CA89" s="56">
        <f>IF($C89=Repart_lignes,0,
(SUMIF(Fonctionnement[Affectation matrice],$A89,Fonctionnement[Montant (€HT)])+SUMIF(Invest[Affectation matrice],$A89,Invest[Amortissement HT + intérêts]))*DA89)</f>
        <v>0</v>
      </c>
      <c r="CB89" s="56">
        <f>IF($C89=Repart_lignes,0,
(SUMIF(Fonctionnement[Affectation matrice],$A89,Fonctionnement[Montant (€HT)])+SUMIF(Invest[Affectation matrice],$A89,Invest[Amortissement HT + intérêts]))*DB89)</f>
        <v>0</v>
      </c>
      <c r="CC89" s="56">
        <f>IF($C89=Repart_lignes,0,
(SUMIF(Fonctionnement[Affectation matrice],$A89,Fonctionnement[Montant (€HT)])+SUMIF(Invest[Affectation matrice],$A89,Invest[Amortissement HT + intérêts]))*DC89)</f>
        <v>0</v>
      </c>
      <c r="CD89" s="56">
        <f>IF($C89=Repart_lignes,0,
(SUMIF(Fonctionnement[Affectation matrice],$A89,Fonctionnement[Montant (€HT)])+SUMIF(Invest[Affectation matrice],$A89,Invest[Amortissement HT + intérêts]))*DD89)</f>
        <v>0</v>
      </c>
      <c r="CE89" s="59">
        <f t="shared" si="62"/>
        <v>0</v>
      </c>
      <c r="CF89" s="61">
        <f t="shared" si="63"/>
        <v>0</v>
      </c>
      <c r="CG89" s="61">
        <f t="shared" si="64"/>
        <v>0</v>
      </c>
      <c r="CH89" s="61">
        <f t="shared" si="65"/>
        <v>0</v>
      </c>
      <c r="CI89" s="61">
        <f t="shared" si="66"/>
        <v>0</v>
      </c>
      <c r="CJ89" s="61">
        <f t="shared" si="67"/>
        <v>0</v>
      </c>
      <c r="CK89" s="61">
        <f t="shared" si="68"/>
        <v>0</v>
      </c>
      <c r="CL89" s="61">
        <f t="shared" si="69"/>
        <v>0</v>
      </c>
      <c r="CM89" s="61">
        <f t="shared" si="70"/>
        <v>0</v>
      </c>
      <c r="CN89" s="61">
        <f t="shared" si="71"/>
        <v>0</v>
      </c>
      <c r="CO89" s="61">
        <f t="shared" si="72"/>
        <v>0</v>
      </c>
      <c r="CP89" s="61">
        <f t="shared" si="73"/>
        <v>0</v>
      </c>
      <c r="CQ89" s="61">
        <f t="shared" si="74"/>
        <v>0</v>
      </c>
      <c r="CR89" s="61">
        <f t="shared" si="75"/>
        <v>0</v>
      </c>
      <c r="CS89" s="61">
        <f t="shared" si="76"/>
        <v>0</v>
      </c>
      <c r="CT89" s="61">
        <f t="shared" si="77"/>
        <v>0</v>
      </c>
      <c r="CU89" s="61">
        <f t="shared" si="78"/>
        <v>0</v>
      </c>
      <c r="CV89" s="61">
        <f t="shared" si="79"/>
        <v>0</v>
      </c>
      <c r="CW89" s="61">
        <f t="shared" si="80"/>
        <v>0</v>
      </c>
      <c r="CX89" s="61">
        <f t="shared" si="81"/>
        <v>0</v>
      </c>
      <c r="CY89" s="61">
        <f t="shared" si="82"/>
        <v>0</v>
      </c>
      <c r="CZ89" s="61">
        <f t="shared" si="83"/>
        <v>0</v>
      </c>
      <c r="DA89" s="61">
        <f t="shared" si="84"/>
        <v>0</v>
      </c>
      <c r="DB89" s="61">
        <f t="shared" si="85"/>
        <v>0</v>
      </c>
      <c r="DC89" s="61">
        <f t="shared" si="86"/>
        <v>0</v>
      </c>
      <c r="DD89" s="61">
        <f t="shared" si="87"/>
        <v>0</v>
      </c>
      <c r="DE89" s="61">
        <f t="shared" si="88"/>
        <v>0</v>
      </c>
    </row>
    <row r="90" spans="1:109" x14ac:dyDescent="0.25">
      <c r="A90" s="248"/>
      <c r="B90" s="248"/>
      <c r="C90" s="251"/>
      <c r="D90" s="25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1">
        <f t="shared" si="60"/>
        <v>0</v>
      </c>
      <c r="AE90" s="53" t="str">
        <f t="shared" ca="1" si="89"/>
        <v/>
      </c>
      <c r="AF90" s="56">
        <f>IF($C90=Repart_lignes,0,
(SUMIF(Fonctionnement[Affectation matrice],$A90,Fonctionnement[TVA acquittée])+SUMIF(Invest[Affectation matrice],$A90,Invest[TVA acquittée]))*CF90)</f>
        <v>0</v>
      </c>
      <c r="AG90" s="56">
        <f>IF($C90=Repart_lignes,0,
(SUMIF(Fonctionnement[Affectation matrice],$A90,Fonctionnement[TVA acquittée])+SUMIF(Invest[Affectation matrice],$A90,Invest[TVA acquittée]))*CG90)</f>
        <v>0</v>
      </c>
      <c r="AH90" s="56">
        <f>IF($C90=Repart_lignes,0,
(SUMIF(Fonctionnement[Affectation matrice],$A90,Fonctionnement[TVA acquittée])+SUMIF(Invest[Affectation matrice],$A90,Invest[TVA acquittée]))*CH90)</f>
        <v>0</v>
      </c>
      <c r="AI90" s="56">
        <f>IF($C90=Repart_lignes,0,
(SUMIF(Fonctionnement[Affectation matrice],$A90,Fonctionnement[TVA acquittée])+SUMIF(Invest[Affectation matrice],$A90,Invest[TVA acquittée]))*CI90)</f>
        <v>0</v>
      </c>
      <c r="AJ90" s="56">
        <f>IF($C90=Repart_lignes,0,
(SUMIF(Fonctionnement[Affectation matrice],$A90,Fonctionnement[TVA acquittée])+SUMIF(Invest[Affectation matrice],$A90,Invest[TVA acquittée]))*CJ90)</f>
        <v>0</v>
      </c>
      <c r="AK90" s="56">
        <f>IF($C90=Repart_lignes,0,
(SUMIF(Fonctionnement[Affectation matrice],$A90,Fonctionnement[TVA acquittée])+SUMIF(Invest[Affectation matrice],$A90,Invest[TVA acquittée]))*CK90)</f>
        <v>0</v>
      </c>
      <c r="AL90" s="56">
        <f>IF($C90=Repart_lignes,0,
(SUMIF(Fonctionnement[Affectation matrice],$A90,Fonctionnement[TVA acquittée])+SUMIF(Invest[Affectation matrice],$A90,Invest[TVA acquittée]))*CL90)</f>
        <v>0</v>
      </c>
      <c r="AM90" s="56">
        <f>IF($C90=Repart_lignes,0,
(SUMIF(Fonctionnement[Affectation matrice],$A90,Fonctionnement[TVA acquittée])+SUMIF(Invest[Affectation matrice],$A90,Invest[TVA acquittée]))*CM90)</f>
        <v>0</v>
      </c>
      <c r="AN90" s="56">
        <f>IF($C90=Repart_lignes,0,
(SUMIF(Fonctionnement[Affectation matrice],$A90,Fonctionnement[TVA acquittée])+SUMIF(Invest[Affectation matrice],$A90,Invest[TVA acquittée]))*CN90)</f>
        <v>0</v>
      </c>
      <c r="AO90" s="56">
        <f>IF($C90=Repart_lignes,0,
(SUMIF(Fonctionnement[Affectation matrice],$A90,Fonctionnement[TVA acquittée])+SUMIF(Invest[Affectation matrice],$A90,Invest[TVA acquittée]))*CO90)</f>
        <v>0</v>
      </c>
      <c r="AP90" s="56">
        <f>IF($C90=Repart_lignes,0,
(SUMIF(Fonctionnement[Affectation matrice],$A90,Fonctionnement[TVA acquittée])+SUMIF(Invest[Affectation matrice],$A90,Invest[TVA acquittée]))*CP90)</f>
        <v>0</v>
      </c>
      <c r="AQ90" s="56">
        <f>IF($C90=Repart_lignes,0,
(SUMIF(Fonctionnement[Affectation matrice],$A90,Fonctionnement[TVA acquittée])+SUMIF(Invest[Affectation matrice],$A90,Invest[TVA acquittée]))*CQ90)</f>
        <v>0</v>
      </c>
      <c r="AR90" s="56">
        <f>IF($C90=Repart_lignes,0,
(SUMIF(Fonctionnement[Affectation matrice],$A90,Fonctionnement[TVA acquittée])+SUMIF(Invest[Affectation matrice],$A90,Invest[TVA acquittée]))*CR90)</f>
        <v>0</v>
      </c>
      <c r="AS90" s="56">
        <f>IF($C90=Repart_lignes,0,
(SUMIF(Fonctionnement[Affectation matrice],$A90,Fonctionnement[TVA acquittée])+SUMIF(Invest[Affectation matrice],$A90,Invest[TVA acquittée]))*CS90)</f>
        <v>0</v>
      </c>
      <c r="AT90" s="56">
        <f>IF($C90=Repart_lignes,0,
(SUMIF(Fonctionnement[Affectation matrice],$A90,Fonctionnement[TVA acquittée])+SUMIF(Invest[Affectation matrice],$A90,Invest[TVA acquittée]))*CT90)</f>
        <v>0</v>
      </c>
      <c r="AU90" s="56">
        <f>IF($C90=Repart_lignes,0,
(SUMIF(Fonctionnement[Affectation matrice],$A90,Fonctionnement[TVA acquittée])+SUMIF(Invest[Affectation matrice],$A90,Invest[TVA acquittée]))*CU90)</f>
        <v>0</v>
      </c>
      <c r="AV90" s="56">
        <f>IF($C90=Repart_lignes,0,
(SUMIF(Fonctionnement[Affectation matrice],$A90,Fonctionnement[TVA acquittée])+SUMIF(Invest[Affectation matrice],$A90,Invest[TVA acquittée]))*CV90)</f>
        <v>0</v>
      </c>
      <c r="AW90" s="56">
        <f>IF($C90=Repart_lignes,0,
(SUMIF(Fonctionnement[Affectation matrice],$A90,Fonctionnement[TVA acquittée])+SUMIF(Invest[Affectation matrice],$A90,Invest[TVA acquittée]))*CW90)</f>
        <v>0</v>
      </c>
      <c r="AX90" s="56">
        <f>IF($C90=Repart_lignes,0,
(SUMIF(Fonctionnement[Affectation matrice],$A90,Fonctionnement[TVA acquittée])+SUMIF(Invest[Affectation matrice],$A90,Invest[TVA acquittée]))*CX90)</f>
        <v>0</v>
      </c>
      <c r="AY90" s="56">
        <f>IF($C90=Repart_lignes,0,
(SUMIF(Fonctionnement[Affectation matrice],$A90,Fonctionnement[TVA acquittée])+SUMIF(Invest[Affectation matrice],$A90,Invest[TVA acquittée]))*CY90)</f>
        <v>0</v>
      </c>
      <c r="AZ90" s="56">
        <f>IF($C90=Repart_lignes,0,
(SUMIF(Fonctionnement[Affectation matrice],$A90,Fonctionnement[TVA acquittée])+SUMIF(Invest[Affectation matrice],$A90,Invest[TVA acquittée]))*CZ90)</f>
        <v>0</v>
      </c>
      <c r="BA90" s="56">
        <f>IF($C90=Repart_lignes,0,
(SUMIF(Fonctionnement[Affectation matrice],$A90,Fonctionnement[TVA acquittée])+SUMIF(Invest[Affectation matrice],$A90,Invest[TVA acquittée]))*DA90)</f>
        <v>0</v>
      </c>
      <c r="BB90" s="56">
        <f>IF($C90=Repart_lignes,0,
(SUMIF(Fonctionnement[Affectation matrice],$A90,Fonctionnement[TVA acquittée])+SUMIF(Invest[Affectation matrice],$A90,Invest[TVA acquittée]))*DB90)</f>
        <v>0</v>
      </c>
      <c r="BC90" s="56">
        <f>IF($C90=Repart_lignes,0,
(SUMIF(Fonctionnement[Affectation matrice],$A90,Fonctionnement[TVA acquittée])+SUMIF(Invest[Affectation matrice],$A90,Invest[TVA acquittée]))*DC90)</f>
        <v>0</v>
      </c>
      <c r="BD90" s="56">
        <f>IF($C90=Repart_lignes,0,
(SUMIF(Fonctionnement[Affectation matrice],$A90,Fonctionnement[TVA acquittée])+SUMIF(Invest[Affectation matrice],$A90,Invest[TVA acquittée]))*DD90)</f>
        <v>0</v>
      </c>
      <c r="BE90" s="58">
        <f t="shared" si="61"/>
        <v>0</v>
      </c>
      <c r="BF90" s="56">
        <f>IF($C90=Repart_lignes,0,
(SUMIF(Fonctionnement[Affectation matrice],$A90,Fonctionnement[Montant (€HT)])+SUMIF(Invest[Affectation matrice],$A90,Invest[Amortissement HT + intérêts]))*CF90)</f>
        <v>0</v>
      </c>
      <c r="BG90" s="56">
        <f>IF($C90=Repart_lignes,0,
(SUMIF(Fonctionnement[Affectation matrice],$A90,Fonctionnement[Montant (€HT)])+SUMIF(Invest[Affectation matrice],$A90,Invest[Amortissement HT + intérêts]))*CG90)</f>
        <v>0</v>
      </c>
      <c r="BH90" s="56">
        <f>IF($C90=Repart_lignes,0,
(SUMIF(Fonctionnement[Affectation matrice],$A90,Fonctionnement[Montant (€HT)])+SUMIF(Invest[Affectation matrice],$A90,Invest[Amortissement HT + intérêts]))*CH90)</f>
        <v>0</v>
      </c>
      <c r="BI90" s="56">
        <f>IF($C90=Repart_lignes,0,
(SUMIF(Fonctionnement[Affectation matrice],$A90,Fonctionnement[Montant (€HT)])+SUMIF(Invest[Affectation matrice],$A90,Invest[Amortissement HT + intérêts]))*CI90)</f>
        <v>0</v>
      </c>
      <c r="BJ90" s="56">
        <f>IF($C90=Repart_lignes,0,
(SUMIF(Fonctionnement[Affectation matrice],$A90,Fonctionnement[Montant (€HT)])+SUMIF(Invest[Affectation matrice],$A90,Invest[Amortissement HT + intérêts]))*CJ90)</f>
        <v>0</v>
      </c>
      <c r="BK90" s="56">
        <f>IF($C90=Repart_lignes,0,
(SUMIF(Fonctionnement[Affectation matrice],$A90,Fonctionnement[Montant (€HT)])+SUMIF(Invest[Affectation matrice],$A90,Invest[Amortissement HT + intérêts]))*CK90)</f>
        <v>0</v>
      </c>
      <c r="BL90" s="56">
        <f>IF($C90=Repart_lignes,0,
(SUMIF(Fonctionnement[Affectation matrice],$A90,Fonctionnement[Montant (€HT)])+SUMIF(Invest[Affectation matrice],$A90,Invest[Amortissement HT + intérêts]))*CL90)</f>
        <v>0</v>
      </c>
      <c r="BM90" s="56">
        <f>IF($C90=Repart_lignes,0,
(SUMIF(Fonctionnement[Affectation matrice],$A90,Fonctionnement[Montant (€HT)])+SUMIF(Invest[Affectation matrice],$A90,Invest[Amortissement HT + intérêts]))*CM90)</f>
        <v>0</v>
      </c>
      <c r="BN90" s="56">
        <f>IF($C90=Repart_lignes,0,
(SUMIF(Fonctionnement[Affectation matrice],$A90,Fonctionnement[Montant (€HT)])+SUMIF(Invest[Affectation matrice],$A90,Invest[Amortissement HT + intérêts]))*CN90)</f>
        <v>0</v>
      </c>
      <c r="BO90" s="56">
        <f>IF($C90=Repart_lignes,0,
(SUMIF(Fonctionnement[Affectation matrice],$A90,Fonctionnement[Montant (€HT)])+SUMIF(Invest[Affectation matrice],$A90,Invest[Amortissement HT + intérêts]))*CO90)</f>
        <v>0</v>
      </c>
      <c r="BP90" s="56">
        <f>IF($C90=Repart_lignes,0,
(SUMIF(Fonctionnement[Affectation matrice],$A90,Fonctionnement[Montant (€HT)])+SUMIF(Invest[Affectation matrice],$A90,Invest[Amortissement HT + intérêts]))*CP90)</f>
        <v>0</v>
      </c>
      <c r="BQ90" s="56">
        <f>IF($C90=Repart_lignes,0,
(SUMIF(Fonctionnement[Affectation matrice],$A90,Fonctionnement[Montant (€HT)])+SUMIF(Invest[Affectation matrice],$A90,Invest[Amortissement HT + intérêts]))*CQ90)</f>
        <v>0</v>
      </c>
      <c r="BR90" s="56">
        <f>IF($C90=Repart_lignes,0,
(SUMIF(Fonctionnement[Affectation matrice],$A90,Fonctionnement[Montant (€HT)])+SUMIF(Invest[Affectation matrice],$A90,Invest[Amortissement HT + intérêts]))*CR90)</f>
        <v>0</v>
      </c>
      <c r="BS90" s="56">
        <f>IF($C90=Repart_lignes,0,
(SUMIF(Fonctionnement[Affectation matrice],$A90,Fonctionnement[Montant (€HT)])+SUMIF(Invest[Affectation matrice],$A90,Invest[Amortissement HT + intérêts]))*CS90)</f>
        <v>0</v>
      </c>
      <c r="BT90" s="56">
        <f>IF($C90=Repart_lignes,0,
(SUMIF(Fonctionnement[Affectation matrice],$A90,Fonctionnement[Montant (€HT)])+SUMIF(Invest[Affectation matrice],$A90,Invest[Amortissement HT + intérêts]))*CT90)</f>
        <v>0</v>
      </c>
      <c r="BU90" s="56">
        <f>IF($C90=Repart_lignes,0,
(SUMIF(Fonctionnement[Affectation matrice],$A90,Fonctionnement[Montant (€HT)])+SUMIF(Invest[Affectation matrice],$A90,Invest[Amortissement HT + intérêts]))*CU90)</f>
        <v>0</v>
      </c>
      <c r="BV90" s="56">
        <f>IF($C90=Repart_lignes,0,
(SUMIF(Fonctionnement[Affectation matrice],$A90,Fonctionnement[Montant (€HT)])+SUMIF(Invest[Affectation matrice],$A90,Invest[Amortissement HT + intérêts]))*CV90)</f>
        <v>0</v>
      </c>
      <c r="BW90" s="56">
        <f>IF($C90=Repart_lignes,0,
(SUMIF(Fonctionnement[Affectation matrice],$A90,Fonctionnement[Montant (€HT)])+SUMIF(Invest[Affectation matrice],$A90,Invest[Amortissement HT + intérêts]))*CW90)</f>
        <v>0</v>
      </c>
      <c r="BX90" s="56">
        <f>IF($C90=Repart_lignes,0,
(SUMIF(Fonctionnement[Affectation matrice],$A90,Fonctionnement[Montant (€HT)])+SUMIF(Invest[Affectation matrice],$A90,Invest[Amortissement HT + intérêts]))*CX90)</f>
        <v>0</v>
      </c>
      <c r="BY90" s="56">
        <f>IF($C90=Repart_lignes,0,
(SUMIF(Fonctionnement[Affectation matrice],$A90,Fonctionnement[Montant (€HT)])+SUMIF(Invest[Affectation matrice],$A90,Invest[Amortissement HT + intérêts]))*CY90)</f>
        <v>0</v>
      </c>
      <c r="BZ90" s="56">
        <f>IF($C90=Repart_lignes,0,
(SUMIF(Fonctionnement[Affectation matrice],$A90,Fonctionnement[Montant (€HT)])+SUMIF(Invest[Affectation matrice],$A90,Invest[Amortissement HT + intérêts]))*CZ90)</f>
        <v>0</v>
      </c>
      <c r="CA90" s="56">
        <f>IF($C90=Repart_lignes,0,
(SUMIF(Fonctionnement[Affectation matrice],$A90,Fonctionnement[Montant (€HT)])+SUMIF(Invest[Affectation matrice],$A90,Invest[Amortissement HT + intérêts]))*DA90)</f>
        <v>0</v>
      </c>
      <c r="CB90" s="56">
        <f>IF($C90=Repart_lignes,0,
(SUMIF(Fonctionnement[Affectation matrice],$A90,Fonctionnement[Montant (€HT)])+SUMIF(Invest[Affectation matrice],$A90,Invest[Amortissement HT + intérêts]))*DB90)</f>
        <v>0</v>
      </c>
      <c r="CC90" s="56">
        <f>IF($C90=Repart_lignes,0,
(SUMIF(Fonctionnement[Affectation matrice],$A90,Fonctionnement[Montant (€HT)])+SUMIF(Invest[Affectation matrice],$A90,Invest[Amortissement HT + intérêts]))*DC90)</f>
        <v>0</v>
      </c>
      <c r="CD90" s="56">
        <f>IF($C90=Repart_lignes,0,
(SUMIF(Fonctionnement[Affectation matrice],$A90,Fonctionnement[Montant (€HT)])+SUMIF(Invest[Affectation matrice],$A90,Invest[Amortissement HT + intérêts]))*DD90)</f>
        <v>0</v>
      </c>
      <c r="CE90" s="59">
        <f t="shared" si="62"/>
        <v>0</v>
      </c>
      <c r="CF90" s="61">
        <f t="shared" si="63"/>
        <v>0</v>
      </c>
      <c r="CG90" s="61">
        <f t="shared" si="64"/>
        <v>0</v>
      </c>
      <c r="CH90" s="61">
        <f t="shared" si="65"/>
        <v>0</v>
      </c>
      <c r="CI90" s="61">
        <f t="shared" si="66"/>
        <v>0</v>
      </c>
      <c r="CJ90" s="61">
        <f t="shared" si="67"/>
        <v>0</v>
      </c>
      <c r="CK90" s="61">
        <f t="shared" si="68"/>
        <v>0</v>
      </c>
      <c r="CL90" s="61">
        <f t="shared" si="69"/>
        <v>0</v>
      </c>
      <c r="CM90" s="61">
        <f t="shared" si="70"/>
        <v>0</v>
      </c>
      <c r="CN90" s="61">
        <f t="shared" si="71"/>
        <v>0</v>
      </c>
      <c r="CO90" s="61">
        <f t="shared" si="72"/>
        <v>0</v>
      </c>
      <c r="CP90" s="61">
        <f t="shared" si="73"/>
        <v>0</v>
      </c>
      <c r="CQ90" s="61">
        <f t="shared" si="74"/>
        <v>0</v>
      </c>
      <c r="CR90" s="61">
        <f t="shared" si="75"/>
        <v>0</v>
      </c>
      <c r="CS90" s="61">
        <f t="shared" si="76"/>
        <v>0</v>
      </c>
      <c r="CT90" s="61">
        <f t="shared" si="77"/>
        <v>0</v>
      </c>
      <c r="CU90" s="61">
        <f t="shared" si="78"/>
        <v>0</v>
      </c>
      <c r="CV90" s="61">
        <f t="shared" si="79"/>
        <v>0</v>
      </c>
      <c r="CW90" s="61">
        <f t="shared" si="80"/>
        <v>0</v>
      </c>
      <c r="CX90" s="61">
        <f t="shared" si="81"/>
        <v>0</v>
      </c>
      <c r="CY90" s="61">
        <f t="shared" si="82"/>
        <v>0</v>
      </c>
      <c r="CZ90" s="61">
        <f t="shared" si="83"/>
        <v>0</v>
      </c>
      <c r="DA90" s="61">
        <f t="shared" si="84"/>
        <v>0</v>
      </c>
      <c r="DB90" s="61">
        <f t="shared" si="85"/>
        <v>0</v>
      </c>
      <c r="DC90" s="61">
        <f t="shared" si="86"/>
        <v>0</v>
      </c>
      <c r="DD90" s="61">
        <f t="shared" si="87"/>
        <v>0</v>
      </c>
      <c r="DE90" s="61">
        <f t="shared" si="88"/>
        <v>0</v>
      </c>
    </row>
    <row r="91" spans="1:109" x14ac:dyDescent="0.25">
      <c r="A91" s="248"/>
      <c r="B91" s="248"/>
      <c r="C91" s="251"/>
      <c r="D91" s="25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1">
        <f t="shared" si="60"/>
        <v>0</v>
      </c>
      <c r="AE91" s="53" t="str">
        <f t="shared" ca="1" si="89"/>
        <v/>
      </c>
      <c r="AF91" s="56">
        <f>IF($C91=Repart_lignes,0,
(SUMIF(Fonctionnement[Affectation matrice],$A91,Fonctionnement[TVA acquittée])+SUMIF(Invest[Affectation matrice],$A91,Invest[TVA acquittée]))*CF91)</f>
        <v>0</v>
      </c>
      <c r="AG91" s="56">
        <f>IF($C91=Repart_lignes,0,
(SUMIF(Fonctionnement[Affectation matrice],$A91,Fonctionnement[TVA acquittée])+SUMIF(Invest[Affectation matrice],$A91,Invest[TVA acquittée]))*CG91)</f>
        <v>0</v>
      </c>
      <c r="AH91" s="56">
        <f>IF($C91=Repart_lignes,0,
(SUMIF(Fonctionnement[Affectation matrice],$A91,Fonctionnement[TVA acquittée])+SUMIF(Invest[Affectation matrice],$A91,Invest[TVA acquittée]))*CH91)</f>
        <v>0</v>
      </c>
      <c r="AI91" s="56">
        <f>IF($C91=Repart_lignes,0,
(SUMIF(Fonctionnement[Affectation matrice],$A91,Fonctionnement[TVA acquittée])+SUMIF(Invest[Affectation matrice],$A91,Invest[TVA acquittée]))*CI91)</f>
        <v>0</v>
      </c>
      <c r="AJ91" s="56">
        <f>IF($C91=Repart_lignes,0,
(SUMIF(Fonctionnement[Affectation matrice],$A91,Fonctionnement[TVA acquittée])+SUMIF(Invest[Affectation matrice],$A91,Invest[TVA acquittée]))*CJ91)</f>
        <v>0</v>
      </c>
      <c r="AK91" s="56">
        <f>IF($C91=Repart_lignes,0,
(SUMIF(Fonctionnement[Affectation matrice],$A91,Fonctionnement[TVA acquittée])+SUMIF(Invest[Affectation matrice],$A91,Invest[TVA acquittée]))*CK91)</f>
        <v>0</v>
      </c>
      <c r="AL91" s="56">
        <f>IF($C91=Repart_lignes,0,
(SUMIF(Fonctionnement[Affectation matrice],$A91,Fonctionnement[TVA acquittée])+SUMIF(Invest[Affectation matrice],$A91,Invest[TVA acquittée]))*CL91)</f>
        <v>0</v>
      </c>
      <c r="AM91" s="56">
        <f>IF($C91=Repart_lignes,0,
(SUMIF(Fonctionnement[Affectation matrice],$A91,Fonctionnement[TVA acquittée])+SUMIF(Invest[Affectation matrice],$A91,Invest[TVA acquittée]))*CM91)</f>
        <v>0</v>
      </c>
      <c r="AN91" s="56">
        <f>IF($C91=Repart_lignes,0,
(SUMIF(Fonctionnement[Affectation matrice],$A91,Fonctionnement[TVA acquittée])+SUMIF(Invest[Affectation matrice],$A91,Invest[TVA acquittée]))*CN91)</f>
        <v>0</v>
      </c>
      <c r="AO91" s="56">
        <f>IF($C91=Repart_lignes,0,
(SUMIF(Fonctionnement[Affectation matrice],$A91,Fonctionnement[TVA acquittée])+SUMIF(Invest[Affectation matrice],$A91,Invest[TVA acquittée]))*CO91)</f>
        <v>0</v>
      </c>
      <c r="AP91" s="56">
        <f>IF($C91=Repart_lignes,0,
(SUMIF(Fonctionnement[Affectation matrice],$A91,Fonctionnement[TVA acquittée])+SUMIF(Invest[Affectation matrice],$A91,Invest[TVA acquittée]))*CP91)</f>
        <v>0</v>
      </c>
      <c r="AQ91" s="56">
        <f>IF($C91=Repart_lignes,0,
(SUMIF(Fonctionnement[Affectation matrice],$A91,Fonctionnement[TVA acquittée])+SUMIF(Invest[Affectation matrice],$A91,Invest[TVA acquittée]))*CQ91)</f>
        <v>0</v>
      </c>
      <c r="AR91" s="56">
        <f>IF($C91=Repart_lignes,0,
(SUMIF(Fonctionnement[Affectation matrice],$A91,Fonctionnement[TVA acquittée])+SUMIF(Invest[Affectation matrice],$A91,Invest[TVA acquittée]))*CR91)</f>
        <v>0</v>
      </c>
      <c r="AS91" s="56">
        <f>IF($C91=Repart_lignes,0,
(SUMIF(Fonctionnement[Affectation matrice],$A91,Fonctionnement[TVA acquittée])+SUMIF(Invest[Affectation matrice],$A91,Invest[TVA acquittée]))*CS91)</f>
        <v>0</v>
      </c>
      <c r="AT91" s="56">
        <f>IF($C91=Repart_lignes,0,
(SUMIF(Fonctionnement[Affectation matrice],$A91,Fonctionnement[TVA acquittée])+SUMIF(Invest[Affectation matrice],$A91,Invest[TVA acquittée]))*CT91)</f>
        <v>0</v>
      </c>
      <c r="AU91" s="56">
        <f>IF($C91=Repart_lignes,0,
(SUMIF(Fonctionnement[Affectation matrice],$A91,Fonctionnement[TVA acquittée])+SUMIF(Invest[Affectation matrice],$A91,Invest[TVA acquittée]))*CU91)</f>
        <v>0</v>
      </c>
      <c r="AV91" s="56">
        <f>IF($C91=Repart_lignes,0,
(SUMIF(Fonctionnement[Affectation matrice],$A91,Fonctionnement[TVA acquittée])+SUMIF(Invest[Affectation matrice],$A91,Invest[TVA acquittée]))*CV91)</f>
        <v>0</v>
      </c>
      <c r="AW91" s="56">
        <f>IF($C91=Repart_lignes,0,
(SUMIF(Fonctionnement[Affectation matrice],$A91,Fonctionnement[TVA acquittée])+SUMIF(Invest[Affectation matrice],$A91,Invest[TVA acquittée]))*CW91)</f>
        <v>0</v>
      </c>
      <c r="AX91" s="56">
        <f>IF($C91=Repart_lignes,0,
(SUMIF(Fonctionnement[Affectation matrice],$A91,Fonctionnement[TVA acquittée])+SUMIF(Invest[Affectation matrice],$A91,Invest[TVA acquittée]))*CX91)</f>
        <v>0</v>
      </c>
      <c r="AY91" s="56">
        <f>IF($C91=Repart_lignes,0,
(SUMIF(Fonctionnement[Affectation matrice],$A91,Fonctionnement[TVA acquittée])+SUMIF(Invest[Affectation matrice],$A91,Invest[TVA acquittée]))*CY91)</f>
        <v>0</v>
      </c>
      <c r="AZ91" s="56">
        <f>IF($C91=Repart_lignes,0,
(SUMIF(Fonctionnement[Affectation matrice],$A91,Fonctionnement[TVA acquittée])+SUMIF(Invest[Affectation matrice],$A91,Invest[TVA acquittée]))*CZ91)</f>
        <v>0</v>
      </c>
      <c r="BA91" s="56">
        <f>IF($C91=Repart_lignes,0,
(SUMIF(Fonctionnement[Affectation matrice],$A91,Fonctionnement[TVA acquittée])+SUMIF(Invest[Affectation matrice],$A91,Invest[TVA acquittée]))*DA91)</f>
        <v>0</v>
      </c>
      <c r="BB91" s="56">
        <f>IF($C91=Repart_lignes,0,
(SUMIF(Fonctionnement[Affectation matrice],$A91,Fonctionnement[TVA acquittée])+SUMIF(Invest[Affectation matrice],$A91,Invest[TVA acquittée]))*DB91)</f>
        <v>0</v>
      </c>
      <c r="BC91" s="56">
        <f>IF($C91=Repart_lignes,0,
(SUMIF(Fonctionnement[Affectation matrice],$A91,Fonctionnement[TVA acquittée])+SUMIF(Invest[Affectation matrice],$A91,Invest[TVA acquittée]))*DC91)</f>
        <v>0</v>
      </c>
      <c r="BD91" s="56">
        <f>IF($C91=Repart_lignes,0,
(SUMIF(Fonctionnement[Affectation matrice],$A91,Fonctionnement[TVA acquittée])+SUMIF(Invest[Affectation matrice],$A91,Invest[TVA acquittée]))*DD91)</f>
        <v>0</v>
      </c>
      <c r="BE91" s="58">
        <f t="shared" si="61"/>
        <v>0</v>
      </c>
      <c r="BF91" s="56">
        <f>IF($C91=Repart_lignes,0,
(SUMIF(Fonctionnement[Affectation matrice],$A91,Fonctionnement[Montant (€HT)])+SUMIF(Invest[Affectation matrice],$A91,Invest[Amortissement HT + intérêts]))*CF91)</f>
        <v>0</v>
      </c>
      <c r="BG91" s="56">
        <f>IF($C91=Repart_lignes,0,
(SUMIF(Fonctionnement[Affectation matrice],$A91,Fonctionnement[Montant (€HT)])+SUMIF(Invest[Affectation matrice],$A91,Invest[Amortissement HT + intérêts]))*CG91)</f>
        <v>0</v>
      </c>
      <c r="BH91" s="56">
        <f>IF($C91=Repart_lignes,0,
(SUMIF(Fonctionnement[Affectation matrice],$A91,Fonctionnement[Montant (€HT)])+SUMIF(Invest[Affectation matrice],$A91,Invest[Amortissement HT + intérêts]))*CH91)</f>
        <v>0</v>
      </c>
      <c r="BI91" s="56">
        <f>IF($C91=Repart_lignes,0,
(SUMIF(Fonctionnement[Affectation matrice],$A91,Fonctionnement[Montant (€HT)])+SUMIF(Invest[Affectation matrice],$A91,Invest[Amortissement HT + intérêts]))*CI91)</f>
        <v>0</v>
      </c>
      <c r="BJ91" s="56">
        <f>IF($C91=Repart_lignes,0,
(SUMIF(Fonctionnement[Affectation matrice],$A91,Fonctionnement[Montant (€HT)])+SUMIF(Invest[Affectation matrice],$A91,Invest[Amortissement HT + intérêts]))*CJ91)</f>
        <v>0</v>
      </c>
      <c r="BK91" s="56">
        <f>IF($C91=Repart_lignes,0,
(SUMIF(Fonctionnement[Affectation matrice],$A91,Fonctionnement[Montant (€HT)])+SUMIF(Invest[Affectation matrice],$A91,Invest[Amortissement HT + intérêts]))*CK91)</f>
        <v>0</v>
      </c>
      <c r="BL91" s="56">
        <f>IF($C91=Repart_lignes,0,
(SUMIF(Fonctionnement[Affectation matrice],$A91,Fonctionnement[Montant (€HT)])+SUMIF(Invest[Affectation matrice],$A91,Invest[Amortissement HT + intérêts]))*CL91)</f>
        <v>0</v>
      </c>
      <c r="BM91" s="56">
        <f>IF($C91=Repart_lignes,0,
(SUMIF(Fonctionnement[Affectation matrice],$A91,Fonctionnement[Montant (€HT)])+SUMIF(Invest[Affectation matrice],$A91,Invest[Amortissement HT + intérêts]))*CM91)</f>
        <v>0</v>
      </c>
      <c r="BN91" s="56">
        <f>IF($C91=Repart_lignes,0,
(SUMIF(Fonctionnement[Affectation matrice],$A91,Fonctionnement[Montant (€HT)])+SUMIF(Invest[Affectation matrice],$A91,Invest[Amortissement HT + intérêts]))*CN91)</f>
        <v>0</v>
      </c>
      <c r="BO91" s="56">
        <f>IF($C91=Repart_lignes,0,
(SUMIF(Fonctionnement[Affectation matrice],$A91,Fonctionnement[Montant (€HT)])+SUMIF(Invest[Affectation matrice],$A91,Invest[Amortissement HT + intérêts]))*CO91)</f>
        <v>0</v>
      </c>
      <c r="BP91" s="56">
        <f>IF($C91=Repart_lignes,0,
(SUMIF(Fonctionnement[Affectation matrice],$A91,Fonctionnement[Montant (€HT)])+SUMIF(Invest[Affectation matrice],$A91,Invest[Amortissement HT + intérêts]))*CP91)</f>
        <v>0</v>
      </c>
      <c r="BQ91" s="56">
        <f>IF($C91=Repart_lignes,0,
(SUMIF(Fonctionnement[Affectation matrice],$A91,Fonctionnement[Montant (€HT)])+SUMIF(Invest[Affectation matrice],$A91,Invest[Amortissement HT + intérêts]))*CQ91)</f>
        <v>0</v>
      </c>
      <c r="BR91" s="56">
        <f>IF($C91=Repart_lignes,0,
(SUMIF(Fonctionnement[Affectation matrice],$A91,Fonctionnement[Montant (€HT)])+SUMIF(Invest[Affectation matrice],$A91,Invest[Amortissement HT + intérêts]))*CR91)</f>
        <v>0</v>
      </c>
      <c r="BS91" s="56">
        <f>IF($C91=Repart_lignes,0,
(SUMIF(Fonctionnement[Affectation matrice],$A91,Fonctionnement[Montant (€HT)])+SUMIF(Invest[Affectation matrice],$A91,Invest[Amortissement HT + intérêts]))*CS91)</f>
        <v>0</v>
      </c>
      <c r="BT91" s="56">
        <f>IF($C91=Repart_lignes,0,
(SUMIF(Fonctionnement[Affectation matrice],$A91,Fonctionnement[Montant (€HT)])+SUMIF(Invest[Affectation matrice],$A91,Invest[Amortissement HT + intérêts]))*CT91)</f>
        <v>0</v>
      </c>
      <c r="BU91" s="56">
        <f>IF($C91=Repart_lignes,0,
(SUMIF(Fonctionnement[Affectation matrice],$A91,Fonctionnement[Montant (€HT)])+SUMIF(Invest[Affectation matrice],$A91,Invest[Amortissement HT + intérêts]))*CU91)</f>
        <v>0</v>
      </c>
      <c r="BV91" s="56">
        <f>IF($C91=Repart_lignes,0,
(SUMIF(Fonctionnement[Affectation matrice],$A91,Fonctionnement[Montant (€HT)])+SUMIF(Invest[Affectation matrice],$A91,Invest[Amortissement HT + intérêts]))*CV91)</f>
        <v>0</v>
      </c>
      <c r="BW91" s="56">
        <f>IF($C91=Repart_lignes,0,
(SUMIF(Fonctionnement[Affectation matrice],$A91,Fonctionnement[Montant (€HT)])+SUMIF(Invest[Affectation matrice],$A91,Invest[Amortissement HT + intérêts]))*CW91)</f>
        <v>0</v>
      </c>
      <c r="BX91" s="56">
        <f>IF($C91=Repart_lignes,0,
(SUMIF(Fonctionnement[Affectation matrice],$A91,Fonctionnement[Montant (€HT)])+SUMIF(Invest[Affectation matrice],$A91,Invest[Amortissement HT + intérêts]))*CX91)</f>
        <v>0</v>
      </c>
      <c r="BY91" s="56">
        <f>IF($C91=Repart_lignes,0,
(SUMIF(Fonctionnement[Affectation matrice],$A91,Fonctionnement[Montant (€HT)])+SUMIF(Invest[Affectation matrice],$A91,Invest[Amortissement HT + intérêts]))*CY91)</f>
        <v>0</v>
      </c>
      <c r="BZ91" s="56">
        <f>IF($C91=Repart_lignes,0,
(SUMIF(Fonctionnement[Affectation matrice],$A91,Fonctionnement[Montant (€HT)])+SUMIF(Invest[Affectation matrice],$A91,Invest[Amortissement HT + intérêts]))*CZ91)</f>
        <v>0</v>
      </c>
      <c r="CA91" s="56">
        <f>IF($C91=Repart_lignes,0,
(SUMIF(Fonctionnement[Affectation matrice],$A91,Fonctionnement[Montant (€HT)])+SUMIF(Invest[Affectation matrice],$A91,Invest[Amortissement HT + intérêts]))*DA91)</f>
        <v>0</v>
      </c>
      <c r="CB91" s="56">
        <f>IF($C91=Repart_lignes,0,
(SUMIF(Fonctionnement[Affectation matrice],$A91,Fonctionnement[Montant (€HT)])+SUMIF(Invest[Affectation matrice],$A91,Invest[Amortissement HT + intérêts]))*DB91)</f>
        <v>0</v>
      </c>
      <c r="CC91" s="56">
        <f>IF($C91=Repart_lignes,0,
(SUMIF(Fonctionnement[Affectation matrice],$A91,Fonctionnement[Montant (€HT)])+SUMIF(Invest[Affectation matrice],$A91,Invest[Amortissement HT + intérêts]))*DC91)</f>
        <v>0</v>
      </c>
      <c r="CD91" s="56">
        <f>IF($C91=Repart_lignes,0,
(SUMIF(Fonctionnement[Affectation matrice],$A91,Fonctionnement[Montant (€HT)])+SUMIF(Invest[Affectation matrice],$A91,Invest[Amortissement HT + intérêts]))*DD91)</f>
        <v>0</v>
      </c>
      <c r="CE91" s="59">
        <f t="shared" si="62"/>
        <v>0</v>
      </c>
      <c r="CF91" s="61">
        <f t="shared" si="63"/>
        <v>0</v>
      </c>
      <c r="CG91" s="61">
        <f t="shared" si="64"/>
        <v>0</v>
      </c>
      <c r="CH91" s="61">
        <f t="shared" si="65"/>
        <v>0</v>
      </c>
      <c r="CI91" s="61">
        <f t="shared" si="66"/>
        <v>0</v>
      </c>
      <c r="CJ91" s="61">
        <f t="shared" si="67"/>
        <v>0</v>
      </c>
      <c r="CK91" s="61">
        <f t="shared" si="68"/>
        <v>0</v>
      </c>
      <c r="CL91" s="61">
        <f t="shared" si="69"/>
        <v>0</v>
      </c>
      <c r="CM91" s="61">
        <f t="shared" si="70"/>
        <v>0</v>
      </c>
      <c r="CN91" s="61">
        <f t="shared" si="71"/>
        <v>0</v>
      </c>
      <c r="CO91" s="61">
        <f t="shared" si="72"/>
        <v>0</v>
      </c>
      <c r="CP91" s="61">
        <f t="shared" si="73"/>
        <v>0</v>
      </c>
      <c r="CQ91" s="61">
        <f t="shared" si="74"/>
        <v>0</v>
      </c>
      <c r="CR91" s="61">
        <f t="shared" si="75"/>
        <v>0</v>
      </c>
      <c r="CS91" s="61">
        <f t="shared" si="76"/>
        <v>0</v>
      </c>
      <c r="CT91" s="61">
        <f t="shared" si="77"/>
        <v>0</v>
      </c>
      <c r="CU91" s="61">
        <f t="shared" si="78"/>
        <v>0</v>
      </c>
      <c r="CV91" s="61">
        <f t="shared" si="79"/>
        <v>0</v>
      </c>
      <c r="CW91" s="61">
        <f t="shared" si="80"/>
        <v>0</v>
      </c>
      <c r="CX91" s="61">
        <f t="shared" si="81"/>
        <v>0</v>
      </c>
      <c r="CY91" s="61">
        <f t="shared" si="82"/>
        <v>0</v>
      </c>
      <c r="CZ91" s="61">
        <f t="shared" si="83"/>
        <v>0</v>
      </c>
      <c r="DA91" s="61">
        <f t="shared" si="84"/>
        <v>0</v>
      </c>
      <c r="DB91" s="61">
        <f t="shared" si="85"/>
        <v>0</v>
      </c>
      <c r="DC91" s="61">
        <f t="shared" si="86"/>
        <v>0</v>
      </c>
      <c r="DD91" s="61">
        <f t="shared" si="87"/>
        <v>0</v>
      </c>
      <c r="DE91" s="61">
        <f t="shared" si="88"/>
        <v>0</v>
      </c>
    </row>
    <row r="92" spans="1:109" x14ac:dyDescent="0.25">
      <c r="A92" s="248"/>
      <c r="B92" s="248"/>
      <c r="C92" s="251"/>
      <c r="D92" s="25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1">
        <f t="shared" si="60"/>
        <v>0</v>
      </c>
      <c r="AE92" s="53" t="str">
        <f t="shared" ca="1" si="89"/>
        <v/>
      </c>
      <c r="AF92" s="56">
        <f>IF($C92=Repart_lignes,0,
(SUMIF(Fonctionnement[Affectation matrice],$A92,Fonctionnement[TVA acquittée])+SUMIF(Invest[Affectation matrice],$A92,Invest[TVA acquittée]))*CF92)</f>
        <v>0</v>
      </c>
      <c r="AG92" s="56">
        <f>IF($C92=Repart_lignes,0,
(SUMIF(Fonctionnement[Affectation matrice],$A92,Fonctionnement[TVA acquittée])+SUMIF(Invest[Affectation matrice],$A92,Invest[TVA acquittée]))*CG92)</f>
        <v>0</v>
      </c>
      <c r="AH92" s="56">
        <f>IF($C92=Repart_lignes,0,
(SUMIF(Fonctionnement[Affectation matrice],$A92,Fonctionnement[TVA acquittée])+SUMIF(Invest[Affectation matrice],$A92,Invest[TVA acquittée]))*CH92)</f>
        <v>0</v>
      </c>
      <c r="AI92" s="56">
        <f>IF($C92=Repart_lignes,0,
(SUMIF(Fonctionnement[Affectation matrice],$A92,Fonctionnement[TVA acquittée])+SUMIF(Invest[Affectation matrice],$A92,Invest[TVA acquittée]))*CI92)</f>
        <v>0</v>
      </c>
      <c r="AJ92" s="56">
        <f>IF($C92=Repart_lignes,0,
(SUMIF(Fonctionnement[Affectation matrice],$A92,Fonctionnement[TVA acquittée])+SUMIF(Invest[Affectation matrice],$A92,Invest[TVA acquittée]))*CJ92)</f>
        <v>0</v>
      </c>
      <c r="AK92" s="56">
        <f>IF($C92=Repart_lignes,0,
(SUMIF(Fonctionnement[Affectation matrice],$A92,Fonctionnement[TVA acquittée])+SUMIF(Invest[Affectation matrice],$A92,Invest[TVA acquittée]))*CK92)</f>
        <v>0</v>
      </c>
      <c r="AL92" s="56">
        <f>IF($C92=Repart_lignes,0,
(SUMIF(Fonctionnement[Affectation matrice],$A92,Fonctionnement[TVA acquittée])+SUMIF(Invest[Affectation matrice],$A92,Invest[TVA acquittée]))*CL92)</f>
        <v>0</v>
      </c>
      <c r="AM92" s="56">
        <f>IF($C92=Repart_lignes,0,
(SUMIF(Fonctionnement[Affectation matrice],$A92,Fonctionnement[TVA acquittée])+SUMIF(Invest[Affectation matrice],$A92,Invest[TVA acquittée]))*CM92)</f>
        <v>0</v>
      </c>
      <c r="AN92" s="56">
        <f>IF($C92=Repart_lignes,0,
(SUMIF(Fonctionnement[Affectation matrice],$A92,Fonctionnement[TVA acquittée])+SUMIF(Invest[Affectation matrice],$A92,Invest[TVA acquittée]))*CN92)</f>
        <v>0</v>
      </c>
      <c r="AO92" s="56">
        <f>IF($C92=Repart_lignes,0,
(SUMIF(Fonctionnement[Affectation matrice],$A92,Fonctionnement[TVA acquittée])+SUMIF(Invest[Affectation matrice],$A92,Invest[TVA acquittée]))*CO92)</f>
        <v>0</v>
      </c>
      <c r="AP92" s="56">
        <f>IF($C92=Repart_lignes,0,
(SUMIF(Fonctionnement[Affectation matrice],$A92,Fonctionnement[TVA acquittée])+SUMIF(Invest[Affectation matrice],$A92,Invest[TVA acquittée]))*CP92)</f>
        <v>0</v>
      </c>
      <c r="AQ92" s="56">
        <f>IF($C92=Repart_lignes,0,
(SUMIF(Fonctionnement[Affectation matrice],$A92,Fonctionnement[TVA acquittée])+SUMIF(Invest[Affectation matrice],$A92,Invest[TVA acquittée]))*CQ92)</f>
        <v>0</v>
      </c>
      <c r="AR92" s="56">
        <f>IF($C92=Repart_lignes,0,
(SUMIF(Fonctionnement[Affectation matrice],$A92,Fonctionnement[TVA acquittée])+SUMIF(Invest[Affectation matrice],$A92,Invest[TVA acquittée]))*CR92)</f>
        <v>0</v>
      </c>
      <c r="AS92" s="56">
        <f>IF($C92=Repart_lignes,0,
(SUMIF(Fonctionnement[Affectation matrice],$A92,Fonctionnement[TVA acquittée])+SUMIF(Invest[Affectation matrice],$A92,Invest[TVA acquittée]))*CS92)</f>
        <v>0</v>
      </c>
      <c r="AT92" s="56">
        <f>IF($C92=Repart_lignes,0,
(SUMIF(Fonctionnement[Affectation matrice],$A92,Fonctionnement[TVA acquittée])+SUMIF(Invest[Affectation matrice],$A92,Invest[TVA acquittée]))*CT92)</f>
        <v>0</v>
      </c>
      <c r="AU92" s="56">
        <f>IF($C92=Repart_lignes,0,
(SUMIF(Fonctionnement[Affectation matrice],$A92,Fonctionnement[TVA acquittée])+SUMIF(Invest[Affectation matrice],$A92,Invest[TVA acquittée]))*CU92)</f>
        <v>0</v>
      </c>
      <c r="AV92" s="56">
        <f>IF($C92=Repart_lignes,0,
(SUMIF(Fonctionnement[Affectation matrice],$A92,Fonctionnement[TVA acquittée])+SUMIF(Invest[Affectation matrice],$A92,Invest[TVA acquittée]))*CV92)</f>
        <v>0</v>
      </c>
      <c r="AW92" s="56">
        <f>IF($C92=Repart_lignes,0,
(SUMIF(Fonctionnement[Affectation matrice],$A92,Fonctionnement[TVA acquittée])+SUMIF(Invest[Affectation matrice],$A92,Invest[TVA acquittée]))*CW92)</f>
        <v>0</v>
      </c>
      <c r="AX92" s="56">
        <f>IF($C92=Repart_lignes,0,
(SUMIF(Fonctionnement[Affectation matrice],$A92,Fonctionnement[TVA acquittée])+SUMIF(Invest[Affectation matrice],$A92,Invest[TVA acquittée]))*CX92)</f>
        <v>0</v>
      </c>
      <c r="AY92" s="56">
        <f>IF($C92=Repart_lignes,0,
(SUMIF(Fonctionnement[Affectation matrice],$A92,Fonctionnement[TVA acquittée])+SUMIF(Invest[Affectation matrice],$A92,Invest[TVA acquittée]))*CY92)</f>
        <v>0</v>
      </c>
      <c r="AZ92" s="56">
        <f>IF($C92=Repart_lignes,0,
(SUMIF(Fonctionnement[Affectation matrice],$A92,Fonctionnement[TVA acquittée])+SUMIF(Invest[Affectation matrice],$A92,Invest[TVA acquittée]))*CZ92)</f>
        <v>0</v>
      </c>
      <c r="BA92" s="56">
        <f>IF($C92=Repart_lignes,0,
(SUMIF(Fonctionnement[Affectation matrice],$A92,Fonctionnement[TVA acquittée])+SUMIF(Invest[Affectation matrice],$A92,Invest[TVA acquittée]))*DA92)</f>
        <v>0</v>
      </c>
      <c r="BB92" s="56">
        <f>IF($C92=Repart_lignes,0,
(SUMIF(Fonctionnement[Affectation matrice],$A92,Fonctionnement[TVA acquittée])+SUMIF(Invest[Affectation matrice],$A92,Invest[TVA acquittée]))*DB92)</f>
        <v>0</v>
      </c>
      <c r="BC92" s="56">
        <f>IF($C92=Repart_lignes,0,
(SUMIF(Fonctionnement[Affectation matrice],$A92,Fonctionnement[TVA acquittée])+SUMIF(Invest[Affectation matrice],$A92,Invest[TVA acquittée]))*DC92)</f>
        <v>0</v>
      </c>
      <c r="BD92" s="56">
        <f>IF($C92=Repart_lignes,0,
(SUMIF(Fonctionnement[Affectation matrice],$A92,Fonctionnement[TVA acquittée])+SUMIF(Invest[Affectation matrice],$A92,Invest[TVA acquittée]))*DD92)</f>
        <v>0</v>
      </c>
      <c r="BE92" s="58">
        <f t="shared" si="61"/>
        <v>0</v>
      </c>
      <c r="BF92" s="56">
        <f>IF($C92=Repart_lignes,0,
(SUMIF(Fonctionnement[Affectation matrice],$A92,Fonctionnement[Montant (€HT)])+SUMIF(Invest[Affectation matrice],$A92,Invest[Amortissement HT + intérêts]))*CF92)</f>
        <v>0</v>
      </c>
      <c r="BG92" s="56">
        <f>IF($C92=Repart_lignes,0,
(SUMIF(Fonctionnement[Affectation matrice],$A92,Fonctionnement[Montant (€HT)])+SUMIF(Invest[Affectation matrice],$A92,Invest[Amortissement HT + intérêts]))*CG92)</f>
        <v>0</v>
      </c>
      <c r="BH92" s="56">
        <f>IF($C92=Repart_lignes,0,
(SUMIF(Fonctionnement[Affectation matrice],$A92,Fonctionnement[Montant (€HT)])+SUMIF(Invest[Affectation matrice],$A92,Invest[Amortissement HT + intérêts]))*CH92)</f>
        <v>0</v>
      </c>
      <c r="BI92" s="56">
        <f>IF($C92=Repart_lignes,0,
(SUMIF(Fonctionnement[Affectation matrice],$A92,Fonctionnement[Montant (€HT)])+SUMIF(Invest[Affectation matrice],$A92,Invest[Amortissement HT + intérêts]))*CI92)</f>
        <v>0</v>
      </c>
      <c r="BJ92" s="56">
        <f>IF($C92=Repart_lignes,0,
(SUMIF(Fonctionnement[Affectation matrice],$A92,Fonctionnement[Montant (€HT)])+SUMIF(Invest[Affectation matrice],$A92,Invest[Amortissement HT + intérêts]))*CJ92)</f>
        <v>0</v>
      </c>
      <c r="BK92" s="56">
        <f>IF($C92=Repart_lignes,0,
(SUMIF(Fonctionnement[Affectation matrice],$A92,Fonctionnement[Montant (€HT)])+SUMIF(Invest[Affectation matrice],$A92,Invest[Amortissement HT + intérêts]))*CK92)</f>
        <v>0</v>
      </c>
      <c r="BL92" s="56">
        <f>IF($C92=Repart_lignes,0,
(SUMIF(Fonctionnement[Affectation matrice],$A92,Fonctionnement[Montant (€HT)])+SUMIF(Invest[Affectation matrice],$A92,Invest[Amortissement HT + intérêts]))*CL92)</f>
        <v>0</v>
      </c>
      <c r="BM92" s="56">
        <f>IF($C92=Repart_lignes,0,
(SUMIF(Fonctionnement[Affectation matrice],$A92,Fonctionnement[Montant (€HT)])+SUMIF(Invest[Affectation matrice],$A92,Invest[Amortissement HT + intérêts]))*CM92)</f>
        <v>0</v>
      </c>
      <c r="BN92" s="56">
        <f>IF($C92=Repart_lignes,0,
(SUMIF(Fonctionnement[Affectation matrice],$A92,Fonctionnement[Montant (€HT)])+SUMIF(Invest[Affectation matrice],$A92,Invest[Amortissement HT + intérêts]))*CN92)</f>
        <v>0</v>
      </c>
      <c r="BO92" s="56">
        <f>IF($C92=Repart_lignes,0,
(SUMIF(Fonctionnement[Affectation matrice],$A92,Fonctionnement[Montant (€HT)])+SUMIF(Invest[Affectation matrice],$A92,Invest[Amortissement HT + intérêts]))*CO92)</f>
        <v>0</v>
      </c>
      <c r="BP92" s="56">
        <f>IF($C92=Repart_lignes,0,
(SUMIF(Fonctionnement[Affectation matrice],$A92,Fonctionnement[Montant (€HT)])+SUMIF(Invest[Affectation matrice],$A92,Invest[Amortissement HT + intérêts]))*CP92)</f>
        <v>0</v>
      </c>
      <c r="BQ92" s="56">
        <f>IF($C92=Repart_lignes,0,
(SUMIF(Fonctionnement[Affectation matrice],$A92,Fonctionnement[Montant (€HT)])+SUMIF(Invest[Affectation matrice],$A92,Invest[Amortissement HT + intérêts]))*CQ92)</f>
        <v>0</v>
      </c>
      <c r="BR92" s="56">
        <f>IF($C92=Repart_lignes,0,
(SUMIF(Fonctionnement[Affectation matrice],$A92,Fonctionnement[Montant (€HT)])+SUMIF(Invest[Affectation matrice],$A92,Invest[Amortissement HT + intérêts]))*CR92)</f>
        <v>0</v>
      </c>
      <c r="BS92" s="56">
        <f>IF($C92=Repart_lignes,0,
(SUMIF(Fonctionnement[Affectation matrice],$A92,Fonctionnement[Montant (€HT)])+SUMIF(Invest[Affectation matrice],$A92,Invest[Amortissement HT + intérêts]))*CS92)</f>
        <v>0</v>
      </c>
      <c r="BT92" s="56">
        <f>IF($C92=Repart_lignes,0,
(SUMIF(Fonctionnement[Affectation matrice],$A92,Fonctionnement[Montant (€HT)])+SUMIF(Invest[Affectation matrice],$A92,Invest[Amortissement HT + intérêts]))*CT92)</f>
        <v>0</v>
      </c>
      <c r="BU92" s="56">
        <f>IF($C92=Repart_lignes,0,
(SUMIF(Fonctionnement[Affectation matrice],$A92,Fonctionnement[Montant (€HT)])+SUMIF(Invest[Affectation matrice],$A92,Invest[Amortissement HT + intérêts]))*CU92)</f>
        <v>0</v>
      </c>
      <c r="BV92" s="56">
        <f>IF($C92=Repart_lignes,0,
(SUMIF(Fonctionnement[Affectation matrice],$A92,Fonctionnement[Montant (€HT)])+SUMIF(Invest[Affectation matrice],$A92,Invest[Amortissement HT + intérêts]))*CV92)</f>
        <v>0</v>
      </c>
      <c r="BW92" s="56">
        <f>IF($C92=Repart_lignes,0,
(SUMIF(Fonctionnement[Affectation matrice],$A92,Fonctionnement[Montant (€HT)])+SUMIF(Invest[Affectation matrice],$A92,Invest[Amortissement HT + intérêts]))*CW92)</f>
        <v>0</v>
      </c>
      <c r="BX92" s="56">
        <f>IF($C92=Repart_lignes,0,
(SUMIF(Fonctionnement[Affectation matrice],$A92,Fonctionnement[Montant (€HT)])+SUMIF(Invest[Affectation matrice],$A92,Invest[Amortissement HT + intérêts]))*CX92)</f>
        <v>0</v>
      </c>
      <c r="BY92" s="56">
        <f>IF($C92=Repart_lignes,0,
(SUMIF(Fonctionnement[Affectation matrice],$A92,Fonctionnement[Montant (€HT)])+SUMIF(Invest[Affectation matrice],$A92,Invest[Amortissement HT + intérêts]))*CY92)</f>
        <v>0</v>
      </c>
      <c r="BZ92" s="56">
        <f>IF($C92=Repart_lignes,0,
(SUMIF(Fonctionnement[Affectation matrice],$A92,Fonctionnement[Montant (€HT)])+SUMIF(Invest[Affectation matrice],$A92,Invest[Amortissement HT + intérêts]))*CZ92)</f>
        <v>0</v>
      </c>
      <c r="CA92" s="56">
        <f>IF($C92=Repart_lignes,0,
(SUMIF(Fonctionnement[Affectation matrice],$A92,Fonctionnement[Montant (€HT)])+SUMIF(Invest[Affectation matrice],$A92,Invest[Amortissement HT + intérêts]))*DA92)</f>
        <v>0</v>
      </c>
      <c r="CB92" s="56">
        <f>IF($C92=Repart_lignes,0,
(SUMIF(Fonctionnement[Affectation matrice],$A92,Fonctionnement[Montant (€HT)])+SUMIF(Invest[Affectation matrice],$A92,Invest[Amortissement HT + intérêts]))*DB92)</f>
        <v>0</v>
      </c>
      <c r="CC92" s="56">
        <f>IF($C92=Repart_lignes,0,
(SUMIF(Fonctionnement[Affectation matrice],$A92,Fonctionnement[Montant (€HT)])+SUMIF(Invest[Affectation matrice],$A92,Invest[Amortissement HT + intérêts]))*DC92)</f>
        <v>0</v>
      </c>
      <c r="CD92" s="56">
        <f>IF($C92=Repart_lignes,0,
(SUMIF(Fonctionnement[Affectation matrice],$A92,Fonctionnement[Montant (€HT)])+SUMIF(Invest[Affectation matrice],$A92,Invest[Amortissement HT + intérêts]))*DD92)</f>
        <v>0</v>
      </c>
      <c r="CE92" s="59">
        <f t="shared" si="62"/>
        <v>0</v>
      </c>
      <c r="CF92" s="61">
        <f t="shared" si="63"/>
        <v>0</v>
      </c>
      <c r="CG92" s="61">
        <f t="shared" si="64"/>
        <v>0</v>
      </c>
      <c r="CH92" s="61">
        <f t="shared" si="65"/>
        <v>0</v>
      </c>
      <c r="CI92" s="61">
        <f t="shared" si="66"/>
        <v>0</v>
      </c>
      <c r="CJ92" s="61">
        <f t="shared" si="67"/>
        <v>0</v>
      </c>
      <c r="CK92" s="61">
        <f t="shared" si="68"/>
        <v>0</v>
      </c>
      <c r="CL92" s="61">
        <f t="shared" si="69"/>
        <v>0</v>
      </c>
      <c r="CM92" s="61">
        <f t="shared" si="70"/>
        <v>0</v>
      </c>
      <c r="CN92" s="61">
        <f t="shared" si="71"/>
        <v>0</v>
      </c>
      <c r="CO92" s="61">
        <f t="shared" si="72"/>
        <v>0</v>
      </c>
      <c r="CP92" s="61">
        <f t="shared" si="73"/>
        <v>0</v>
      </c>
      <c r="CQ92" s="61">
        <f t="shared" si="74"/>
        <v>0</v>
      </c>
      <c r="CR92" s="61">
        <f t="shared" si="75"/>
        <v>0</v>
      </c>
      <c r="CS92" s="61">
        <f t="shared" si="76"/>
        <v>0</v>
      </c>
      <c r="CT92" s="61">
        <f t="shared" si="77"/>
        <v>0</v>
      </c>
      <c r="CU92" s="61">
        <f t="shared" si="78"/>
        <v>0</v>
      </c>
      <c r="CV92" s="61">
        <f t="shared" si="79"/>
        <v>0</v>
      </c>
      <c r="CW92" s="61">
        <f t="shared" si="80"/>
        <v>0</v>
      </c>
      <c r="CX92" s="61">
        <f t="shared" si="81"/>
        <v>0</v>
      </c>
      <c r="CY92" s="61">
        <f t="shared" si="82"/>
        <v>0</v>
      </c>
      <c r="CZ92" s="61">
        <f t="shared" si="83"/>
        <v>0</v>
      </c>
      <c r="DA92" s="61">
        <f t="shared" si="84"/>
        <v>0</v>
      </c>
      <c r="DB92" s="61">
        <f t="shared" si="85"/>
        <v>0</v>
      </c>
      <c r="DC92" s="61">
        <f t="shared" si="86"/>
        <v>0</v>
      </c>
      <c r="DD92" s="61">
        <f t="shared" si="87"/>
        <v>0</v>
      </c>
      <c r="DE92" s="61">
        <f t="shared" si="88"/>
        <v>0</v>
      </c>
    </row>
    <row r="93" spans="1:109" x14ac:dyDescent="0.25">
      <c r="A93" s="248"/>
      <c r="B93" s="248"/>
      <c r="C93" s="251"/>
      <c r="D93" s="25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1">
        <f t="shared" si="60"/>
        <v>0</v>
      </c>
      <c r="AE93" s="53" t="str">
        <f t="shared" ca="1" si="89"/>
        <v/>
      </c>
      <c r="AF93" s="56">
        <f>IF($C93=Repart_lignes,0,
(SUMIF(Fonctionnement[Affectation matrice],$A93,Fonctionnement[TVA acquittée])+SUMIF(Invest[Affectation matrice],$A93,Invest[TVA acquittée]))*CF93)</f>
        <v>0</v>
      </c>
      <c r="AG93" s="56">
        <f>IF($C93=Repart_lignes,0,
(SUMIF(Fonctionnement[Affectation matrice],$A93,Fonctionnement[TVA acquittée])+SUMIF(Invest[Affectation matrice],$A93,Invest[TVA acquittée]))*CG93)</f>
        <v>0</v>
      </c>
      <c r="AH93" s="56">
        <f>IF($C93=Repart_lignes,0,
(SUMIF(Fonctionnement[Affectation matrice],$A93,Fonctionnement[TVA acquittée])+SUMIF(Invest[Affectation matrice],$A93,Invest[TVA acquittée]))*CH93)</f>
        <v>0</v>
      </c>
      <c r="AI93" s="56">
        <f>IF($C93=Repart_lignes,0,
(SUMIF(Fonctionnement[Affectation matrice],$A93,Fonctionnement[TVA acquittée])+SUMIF(Invest[Affectation matrice],$A93,Invest[TVA acquittée]))*CI93)</f>
        <v>0</v>
      </c>
      <c r="AJ93" s="56">
        <f>IF($C93=Repart_lignes,0,
(SUMIF(Fonctionnement[Affectation matrice],$A93,Fonctionnement[TVA acquittée])+SUMIF(Invest[Affectation matrice],$A93,Invest[TVA acquittée]))*CJ93)</f>
        <v>0</v>
      </c>
      <c r="AK93" s="56">
        <f>IF($C93=Repart_lignes,0,
(SUMIF(Fonctionnement[Affectation matrice],$A93,Fonctionnement[TVA acquittée])+SUMIF(Invest[Affectation matrice],$A93,Invest[TVA acquittée]))*CK93)</f>
        <v>0</v>
      </c>
      <c r="AL93" s="56">
        <f>IF($C93=Repart_lignes,0,
(SUMIF(Fonctionnement[Affectation matrice],$A93,Fonctionnement[TVA acquittée])+SUMIF(Invest[Affectation matrice],$A93,Invest[TVA acquittée]))*CL93)</f>
        <v>0</v>
      </c>
      <c r="AM93" s="56">
        <f>IF($C93=Repart_lignes,0,
(SUMIF(Fonctionnement[Affectation matrice],$A93,Fonctionnement[TVA acquittée])+SUMIF(Invest[Affectation matrice],$A93,Invest[TVA acquittée]))*CM93)</f>
        <v>0</v>
      </c>
      <c r="AN93" s="56">
        <f>IF($C93=Repart_lignes,0,
(SUMIF(Fonctionnement[Affectation matrice],$A93,Fonctionnement[TVA acquittée])+SUMIF(Invest[Affectation matrice],$A93,Invest[TVA acquittée]))*CN93)</f>
        <v>0</v>
      </c>
      <c r="AO93" s="56">
        <f>IF($C93=Repart_lignes,0,
(SUMIF(Fonctionnement[Affectation matrice],$A93,Fonctionnement[TVA acquittée])+SUMIF(Invest[Affectation matrice],$A93,Invest[TVA acquittée]))*CO93)</f>
        <v>0</v>
      </c>
      <c r="AP93" s="56">
        <f>IF($C93=Repart_lignes,0,
(SUMIF(Fonctionnement[Affectation matrice],$A93,Fonctionnement[TVA acquittée])+SUMIF(Invest[Affectation matrice],$A93,Invest[TVA acquittée]))*CP93)</f>
        <v>0</v>
      </c>
      <c r="AQ93" s="56">
        <f>IF($C93=Repart_lignes,0,
(SUMIF(Fonctionnement[Affectation matrice],$A93,Fonctionnement[TVA acquittée])+SUMIF(Invest[Affectation matrice],$A93,Invest[TVA acquittée]))*CQ93)</f>
        <v>0</v>
      </c>
      <c r="AR93" s="56">
        <f>IF($C93=Repart_lignes,0,
(SUMIF(Fonctionnement[Affectation matrice],$A93,Fonctionnement[TVA acquittée])+SUMIF(Invest[Affectation matrice],$A93,Invest[TVA acquittée]))*CR93)</f>
        <v>0</v>
      </c>
      <c r="AS93" s="56">
        <f>IF($C93=Repart_lignes,0,
(SUMIF(Fonctionnement[Affectation matrice],$A93,Fonctionnement[TVA acquittée])+SUMIF(Invest[Affectation matrice],$A93,Invest[TVA acquittée]))*CS93)</f>
        <v>0</v>
      </c>
      <c r="AT93" s="56">
        <f>IF($C93=Repart_lignes,0,
(SUMIF(Fonctionnement[Affectation matrice],$A93,Fonctionnement[TVA acquittée])+SUMIF(Invest[Affectation matrice],$A93,Invest[TVA acquittée]))*CT93)</f>
        <v>0</v>
      </c>
      <c r="AU93" s="56">
        <f>IF($C93=Repart_lignes,0,
(SUMIF(Fonctionnement[Affectation matrice],$A93,Fonctionnement[TVA acquittée])+SUMIF(Invest[Affectation matrice],$A93,Invest[TVA acquittée]))*CU93)</f>
        <v>0</v>
      </c>
      <c r="AV93" s="56">
        <f>IF($C93=Repart_lignes,0,
(SUMIF(Fonctionnement[Affectation matrice],$A93,Fonctionnement[TVA acquittée])+SUMIF(Invest[Affectation matrice],$A93,Invest[TVA acquittée]))*CV93)</f>
        <v>0</v>
      </c>
      <c r="AW93" s="56">
        <f>IF($C93=Repart_lignes,0,
(SUMIF(Fonctionnement[Affectation matrice],$A93,Fonctionnement[TVA acquittée])+SUMIF(Invest[Affectation matrice],$A93,Invest[TVA acquittée]))*CW93)</f>
        <v>0</v>
      </c>
      <c r="AX93" s="56">
        <f>IF($C93=Repart_lignes,0,
(SUMIF(Fonctionnement[Affectation matrice],$A93,Fonctionnement[TVA acquittée])+SUMIF(Invest[Affectation matrice],$A93,Invest[TVA acquittée]))*CX93)</f>
        <v>0</v>
      </c>
      <c r="AY93" s="56">
        <f>IF($C93=Repart_lignes,0,
(SUMIF(Fonctionnement[Affectation matrice],$A93,Fonctionnement[TVA acquittée])+SUMIF(Invest[Affectation matrice],$A93,Invest[TVA acquittée]))*CY93)</f>
        <v>0</v>
      </c>
      <c r="AZ93" s="56">
        <f>IF($C93=Repart_lignes,0,
(SUMIF(Fonctionnement[Affectation matrice],$A93,Fonctionnement[TVA acquittée])+SUMIF(Invest[Affectation matrice],$A93,Invest[TVA acquittée]))*CZ93)</f>
        <v>0</v>
      </c>
      <c r="BA93" s="56">
        <f>IF($C93=Repart_lignes,0,
(SUMIF(Fonctionnement[Affectation matrice],$A93,Fonctionnement[TVA acquittée])+SUMIF(Invest[Affectation matrice],$A93,Invest[TVA acquittée]))*DA93)</f>
        <v>0</v>
      </c>
      <c r="BB93" s="56">
        <f>IF($C93=Repart_lignes,0,
(SUMIF(Fonctionnement[Affectation matrice],$A93,Fonctionnement[TVA acquittée])+SUMIF(Invest[Affectation matrice],$A93,Invest[TVA acquittée]))*DB93)</f>
        <v>0</v>
      </c>
      <c r="BC93" s="56">
        <f>IF($C93=Repart_lignes,0,
(SUMIF(Fonctionnement[Affectation matrice],$A93,Fonctionnement[TVA acquittée])+SUMIF(Invest[Affectation matrice],$A93,Invest[TVA acquittée]))*DC93)</f>
        <v>0</v>
      </c>
      <c r="BD93" s="56">
        <f>IF($C93=Repart_lignes,0,
(SUMIF(Fonctionnement[Affectation matrice],$A93,Fonctionnement[TVA acquittée])+SUMIF(Invest[Affectation matrice],$A93,Invest[TVA acquittée]))*DD93)</f>
        <v>0</v>
      </c>
      <c r="BE93" s="58">
        <f t="shared" si="61"/>
        <v>0</v>
      </c>
      <c r="BF93" s="56">
        <f>IF($C93=Repart_lignes,0,
(SUMIF(Fonctionnement[Affectation matrice],$A93,Fonctionnement[Montant (€HT)])+SUMIF(Invest[Affectation matrice],$A93,Invest[Amortissement HT + intérêts]))*CF93)</f>
        <v>0</v>
      </c>
      <c r="BG93" s="56">
        <f>IF($C93=Repart_lignes,0,
(SUMIF(Fonctionnement[Affectation matrice],$A93,Fonctionnement[Montant (€HT)])+SUMIF(Invest[Affectation matrice],$A93,Invest[Amortissement HT + intérêts]))*CG93)</f>
        <v>0</v>
      </c>
      <c r="BH93" s="56">
        <f>IF($C93=Repart_lignes,0,
(SUMIF(Fonctionnement[Affectation matrice],$A93,Fonctionnement[Montant (€HT)])+SUMIF(Invest[Affectation matrice],$A93,Invest[Amortissement HT + intérêts]))*CH93)</f>
        <v>0</v>
      </c>
      <c r="BI93" s="56">
        <f>IF($C93=Repart_lignes,0,
(SUMIF(Fonctionnement[Affectation matrice],$A93,Fonctionnement[Montant (€HT)])+SUMIF(Invest[Affectation matrice],$A93,Invest[Amortissement HT + intérêts]))*CI93)</f>
        <v>0</v>
      </c>
      <c r="BJ93" s="56">
        <f>IF($C93=Repart_lignes,0,
(SUMIF(Fonctionnement[Affectation matrice],$A93,Fonctionnement[Montant (€HT)])+SUMIF(Invest[Affectation matrice],$A93,Invest[Amortissement HT + intérêts]))*CJ93)</f>
        <v>0</v>
      </c>
      <c r="BK93" s="56">
        <f>IF($C93=Repart_lignes,0,
(SUMIF(Fonctionnement[Affectation matrice],$A93,Fonctionnement[Montant (€HT)])+SUMIF(Invest[Affectation matrice],$A93,Invest[Amortissement HT + intérêts]))*CK93)</f>
        <v>0</v>
      </c>
      <c r="BL93" s="56">
        <f>IF($C93=Repart_lignes,0,
(SUMIF(Fonctionnement[Affectation matrice],$A93,Fonctionnement[Montant (€HT)])+SUMIF(Invest[Affectation matrice],$A93,Invest[Amortissement HT + intérêts]))*CL93)</f>
        <v>0</v>
      </c>
      <c r="BM93" s="56">
        <f>IF($C93=Repart_lignes,0,
(SUMIF(Fonctionnement[Affectation matrice],$A93,Fonctionnement[Montant (€HT)])+SUMIF(Invest[Affectation matrice],$A93,Invest[Amortissement HT + intérêts]))*CM93)</f>
        <v>0</v>
      </c>
      <c r="BN93" s="56">
        <f>IF($C93=Repart_lignes,0,
(SUMIF(Fonctionnement[Affectation matrice],$A93,Fonctionnement[Montant (€HT)])+SUMIF(Invest[Affectation matrice],$A93,Invest[Amortissement HT + intérêts]))*CN93)</f>
        <v>0</v>
      </c>
      <c r="BO93" s="56">
        <f>IF($C93=Repart_lignes,0,
(SUMIF(Fonctionnement[Affectation matrice],$A93,Fonctionnement[Montant (€HT)])+SUMIF(Invest[Affectation matrice],$A93,Invest[Amortissement HT + intérêts]))*CO93)</f>
        <v>0</v>
      </c>
      <c r="BP93" s="56">
        <f>IF($C93=Repart_lignes,0,
(SUMIF(Fonctionnement[Affectation matrice],$A93,Fonctionnement[Montant (€HT)])+SUMIF(Invest[Affectation matrice],$A93,Invest[Amortissement HT + intérêts]))*CP93)</f>
        <v>0</v>
      </c>
      <c r="BQ93" s="56">
        <f>IF($C93=Repart_lignes,0,
(SUMIF(Fonctionnement[Affectation matrice],$A93,Fonctionnement[Montant (€HT)])+SUMIF(Invest[Affectation matrice],$A93,Invest[Amortissement HT + intérêts]))*CQ93)</f>
        <v>0</v>
      </c>
      <c r="BR93" s="56">
        <f>IF($C93=Repart_lignes,0,
(SUMIF(Fonctionnement[Affectation matrice],$A93,Fonctionnement[Montant (€HT)])+SUMIF(Invest[Affectation matrice],$A93,Invest[Amortissement HT + intérêts]))*CR93)</f>
        <v>0</v>
      </c>
      <c r="BS93" s="56">
        <f>IF($C93=Repart_lignes,0,
(SUMIF(Fonctionnement[Affectation matrice],$A93,Fonctionnement[Montant (€HT)])+SUMIF(Invest[Affectation matrice],$A93,Invest[Amortissement HT + intérêts]))*CS93)</f>
        <v>0</v>
      </c>
      <c r="BT93" s="56">
        <f>IF($C93=Repart_lignes,0,
(SUMIF(Fonctionnement[Affectation matrice],$A93,Fonctionnement[Montant (€HT)])+SUMIF(Invest[Affectation matrice],$A93,Invest[Amortissement HT + intérêts]))*CT93)</f>
        <v>0</v>
      </c>
      <c r="BU93" s="56">
        <f>IF($C93=Repart_lignes,0,
(SUMIF(Fonctionnement[Affectation matrice],$A93,Fonctionnement[Montant (€HT)])+SUMIF(Invest[Affectation matrice],$A93,Invest[Amortissement HT + intérêts]))*CU93)</f>
        <v>0</v>
      </c>
      <c r="BV93" s="56">
        <f>IF($C93=Repart_lignes,0,
(SUMIF(Fonctionnement[Affectation matrice],$A93,Fonctionnement[Montant (€HT)])+SUMIF(Invest[Affectation matrice],$A93,Invest[Amortissement HT + intérêts]))*CV93)</f>
        <v>0</v>
      </c>
      <c r="BW93" s="56">
        <f>IF($C93=Repart_lignes,0,
(SUMIF(Fonctionnement[Affectation matrice],$A93,Fonctionnement[Montant (€HT)])+SUMIF(Invest[Affectation matrice],$A93,Invest[Amortissement HT + intérêts]))*CW93)</f>
        <v>0</v>
      </c>
      <c r="BX93" s="56">
        <f>IF($C93=Repart_lignes,0,
(SUMIF(Fonctionnement[Affectation matrice],$A93,Fonctionnement[Montant (€HT)])+SUMIF(Invest[Affectation matrice],$A93,Invest[Amortissement HT + intérêts]))*CX93)</f>
        <v>0</v>
      </c>
      <c r="BY93" s="56">
        <f>IF($C93=Repart_lignes,0,
(SUMIF(Fonctionnement[Affectation matrice],$A93,Fonctionnement[Montant (€HT)])+SUMIF(Invest[Affectation matrice],$A93,Invest[Amortissement HT + intérêts]))*CY93)</f>
        <v>0</v>
      </c>
      <c r="BZ93" s="56">
        <f>IF($C93=Repart_lignes,0,
(SUMIF(Fonctionnement[Affectation matrice],$A93,Fonctionnement[Montant (€HT)])+SUMIF(Invest[Affectation matrice],$A93,Invest[Amortissement HT + intérêts]))*CZ93)</f>
        <v>0</v>
      </c>
      <c r="CA93" s="56">
        <f>IF($C93=Repart_lignes,0,
(SUMIF(Fonctionnement[Affectation matrice],$A93,Fonctionnement[Montant (€HT)])+SUMIF(Invest[Affectation matrice],$A93,Invest[Amortissement HT + intérêts]))*DA93)</f>
        <v>0</v>
      </c>
      <c r="CB93" s="56">
        <f>IF($C93=Repart_lignes,0,
(SUMIF(Fonctionnement[Affectation matrice],$A93,Fonctionnement[Montant (€HT)])+SUMIF(Invest[Affectation matrice],$A93,Invest[Amortissement HT + intérêts]))*DB93)</f>
        <v>0</v>
      </c>
      <c r="CC93" s="56">
        <f>IF($C93=Repart_lignes,0,
(SUMIF(Fonctionnement[Affectation matrice],$A93,Fonctionnement[Montant (€HT)])+SUMIF(Invest[Affectation matrice],$A93,Invest[Amortissement HT + intérêts]))*DC93)</f>
        <v>0</v>
      </c>
      <c r="CD93" s="56">
        <f>IF($C93=Repart_lignes,0,
(SUMIF(Fonctionnement[Affectation matrice],$A93,Fonctionnement[Montant (€HT)])+SUMIF(Invest[Affectation matrice],$A93,Invest[Amortissement HT + intérêts]))*DD93)</f>
        <v>0</v>
      </c>
      <c r="CE93" s="59">
        <f t="shared" si="62"/>
        <v>0</v>
      </c>
      <c r="CF93" s="61">
        <f t="shared" si="63"/>
        <v>0</v>
      </c>
      <c r="CG93" s="61">
        <f t="shared" si="64"/>
        <v>0</v>
      </c>
      <c r="CH93" s="61">
        <f t="shared" si="65"/>
        <v>0</v>
      </c>
      <c r="CI93" s="61">
        <f t="shared" si="66"/>
        <v>0</v>
      </c>
      <c r="CJ93" s="61">
        <f t="shared" si="67"/>
        <v>0</v>
      </c>
      <c r="CK93" s="61">
        <f t="shared" si="68"/>
        <v>0</v>
      </c>
      <c r="CL93" s="61">
        <f t="shared" si="69"/>
        <v>0</v>
      </c>
      <c r="CM93" s="61">
        <f t="shared" si="70"/>
        <v>0</v>
      </c>
      <c r="CN93" s="61">
        <f t="shared" si="71"/>
        <v>0</v>
      </c>
      <c r="CO93" s="61">
        <f t="shared" si="72"/>
        <v>0</v>
      </c>
      <c r="CP93" s="61">
        <f t="shared" si="73"/>
        <v>0</v>
      </c>
      <c r="CQ93" s="61">
        <f t="shared" si="74"/>
        <v>0</v>
      </c>
      <c r="CR93" s="61">
        <f t="shared" si="75"/>
        <v>0</v>
      </c>
      <c r="CS93" s="61">
        <f t="shared" si="76"/>
        <v>0</v>
      </c>
      <c r="CT93" s="61">
        <f t="shared" si="77"/>
        <v>0</v>
      </c>
      <c r="CU93" s="61">
        <f t="shared" si="78"/>
        <v>0</v>
      </c>
      <c r="CV93" s="61">
        <f t="shared" si="79"/>
        <v>0</v>
      </c>
      <c r="CW93" s="61">
        <f t="shared" si="80"/>
        <v>0</v>
      </c>
      <c r="CX93" s="61">
        <f t="shared" si="81"/>
        <v>0</v>
      </c>
      <c r="CY93" s="61">
        <f t="shared" si="82"/>
        <v>0</v>
      </c>
      <c r="CZ93" s="61">
        <f t="shared" si="83"/>
        <v>0</v>
      </c>
      <c r="DA93" s="61">
        <f t="shared" si="84"/>
        <v>0</v>
      </c>
      <c r="DB93" s="61">
        <f t="shared" si="85"/>
        <v>0</v>
      </c>
      <c r="DC93" s="61">
        <f t="shared" si="86"/>
        <v>0</v>
      </c>
      <c r="DD93" s="61">
        <f t="shared" si="87"/>
        <v>0</v>
      </c>
      <c r="DE93" s="61">
        <f t="shared" si="88"/>
        <v>0</v>
      </c>
    </row>
    <row r="94" spans="1:109" x14ac:dyDescent="0.25">
      <c r="A94" s="248"/>
      <c r="B94" s="248"/>
      <c r="C94" s="251"/>
      <c r="D94" s="25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1">
        <f t="shared" si="60"/>
        <v>0</v>
      </c>
      <c r="AE94" s="53" t="str">
        <f t="shared" ca="1" si="89"/>
        <v/>
      </c>
      <c r="AF94" s="56">
        <f>IF($C94=Repart_lignes,0,
(SUMIF(Fonctionnement[Affectation matrice],$A94,Fonctionnement[TVA acquittée])+SUMIF(Invest[Affectation matrice],$A94,Invest[TVA acquittée]))*CF94)</f>
        <v>0</v>
      </c>
      <c r="AG94" s="56">
        <f>IF($C94=Repart_lignes,0,
(SUMIF(Fonctionnement[Affectation matrice],$A94,Fonctionnement[TVA acquittée])+SUMIF(Invest[Affectation matrice],$A94,Invest[TVA acquittée]))*CG94)</f>
        <v>0</v>
      </c>
      <c r="AH94" s="56">
        <f>IF($C94=Repart_lignes,0,
(SUMIF(Fonctionnement[Affectation matrice],$A94,Fonctionnement[TVA acquittée])+SUMIF(Invest[Affectation matrice],$A94,Invest[TVA acquittée]))*CH94)</f>
        <v>0</v>
      </c>
      <c r="AI94" s="56">
        <f>IF($C94=Repart_lignes,0,
(SUMIF(Fonctionnement[Affectation matrice],$A94,Fonctionnement[TVA acquittée])+SUMIF(Invest[Affectation matrice],$A94,Invest[TVA acquittée]))*CI94)</f>
        <v>0</v>
      </c>
      <c r="AJ94" s="56">
        <f>IF($C94=Repart_lignes,0,
(SUMIF(Fonctionnement[Affectation matrice],$A94,Fonctionnement[TVA acquittée])+SUMIF(Invest[Affectation matrice],$A94,Invest[TVA acquittée]))*CJ94)</f>
        <v>0</v>
      </c>
      <c r="AK94" s="56">
        <f>IF($C94=Repart_lignes,0,
(SUMIF(Fonctionnement[Affectation matrice],$A94,Fonctionnement[TVA acquittée])+SUMIF(Invest[Affectation matrice],$A94,Invest[TVA acquittée]))*CK94)</f>
        <v>0</v>
      </c>
      <c r="AL94" s="56">
        <f>IF($C94=Repart_lignes,0,
(SUMIF(Fonctionnement[Affectation matrice],$A94,Fonctionnement[TVA acquittée])+SUMIF(Invest[Affectation matrice],$A94,Invest[TVA acquittée]))*CL94)</f>
        <v>0</v>
      </c>
      <c r="AM94" s="56">
        <f>IF($C94=Repart_lignes,0,
(SUMIF(Fonctionnement[Affectation matrice],$A94,Fonctionnement[TVA acquittée])+SUMIF(Invest[Affectation matrice],$A94,Invest[TVA acquittée]))*CM94)</f>
        <v>0</v>
      </c>
      <c r="AN94" s="56">
        <f>IF($C94=Repart_lignes,0,
(SUMIF(Fonctionnement[Affectation matrice],$A94,Fonctionnement[TVA acquittée])+SUMIF(Invest[Affectation matrice],$A94,Invest[TVA acquittée]))*CN94)</f>
        <v>0</v>
      </c>
      <c r="AO94" s="56">
        <f>IF($C94=Repart_lignes,0,
(SUMIF(Fonctionnement[Affectation matrice],$A94,Fonctionnement[TVA acquittée])+SUMIF(Invest[Affectation matrice],$A94,Invest[TVA acquittée]))*CO94)</f>
        <v>0</v>
      </c>
      <c r="AP94" s="56">
        <f>IF($C94=Repart_lignes,0,
(SUMIF(Fonctionnement[Affectation matrice],$A94,Fonctionnement[TVA acquittée])+SUMIF(Invest[Affectation matrice],$A94,Invest[TVA acquittée]))*CP94)</f>
        <v>0</v>
      </c>
      <c r="AQ94" s="56">
        <f>IF($C94=Repart_lignes,0,
(SUMIF(Fonctionnement[Affectation matrice],$A94,Fonctionnement[TVA acquittée])+SUMIF(Invest[Affectation matrice],$A94,Invest[TVA acquittée]))*CQ94)</f>
        <v>0</v>
      </c>
      <c r="AR94" s="56">
        <f>IF($C94=Repart_lignes,0,
(SUMIF(Fonctionnement[Affectation matrice],$A94,Fonctionnement[TVA acquittée])+SUMIF(Invest[Affectation matrice],$A94,Invest[TVA acquittée]))*CR94)</f>
        <v>0</v>
      </c>
      <c r="AS94" s="56">
        <f>IF($C94=Repart_lignes,0,
(SUMIF(Fonctionnement[Affectation matrice],$A94,Fonctionnement[TVA acquittée])+SUMIF(Invest[Affectation matrice],$A94,Invest[TVA acquittée]))*CS94)</f>
        <v>0</v>
      </c>
      <c r="AT94" s="56">
        <f>IF($C94=Repart_lignes,0,
(SUMIF(Fonctionnement[Affectation matrice],$A94,Fonctionnement[TVA acquittée])+SUMIF(Invest[Affectation matrice],$A94,Invest[TVA acquittée]))*CT94)</f>
        <v>0</v>
      </c>
      <c r="AU94" s="56">
        <f>IF($C94=Repart_lignes,0,
(SUMIF(Fonctionnement[Affectation matrice],$A94,Fonctionnement[TVA acquittée])+SUMIF(Invest[Affectation matrice],$A94,Invest[TVA acquittée]))*CU94)</f>
        <v>0</v>
      </c>
      <c r="AV94" s="56">
        <f>IF($C94=Repart_lignes,0,
(SUMIF(Fonctionnement[Affectation matrice],$A94,Fonctionnement[TVA acquittée])+SUMIF(Invest[Affectation matrice],$A94,Invest[TVA acquittée]))*CV94)</f>
        <v>0</v>
      </c>
      <c r="AW94" s="56">
        <f>IF($C94=Repart_lignes,0,
(SUMIF(Fonctionnement[Affectation matrice],$A94,Fonctionnement[TVA acquittée])+SUMIF(Invest[Affectation matrice],$A94,Invest[TVA acquittée]))*CW94)</f>
        <v>0</v>
      </c>
      <c r="AX94" s="56">
        <f>IF($C94=Repart_lignes,0,
(SUMIF(Fonctionnement[Affectation matrice],$A94,Fonctionnement[TVA acquittée])+SUMIF(Invest[Affectation matrice],$A94,Invest[TVA acquittée]))*CX94)</f>
        <v>0</v>
      </c>
      <c r="AY94" s="56">
        <f>IF($C94=Repart_lignes,0,
(SUMIF(Fonctionnement[Affectation matrice],$A94,Fonctionnement[TVA acquittée])+SUMIF(Invest[Affectation matrice],$A94,Invest[TVA acquittée]))*CY94)</f>
        <v>0</v>
      </c>
      <c r="AZ94" s="56">
        <f>IF($C94=Repart_lignes,0,
(SUMIF(Fonctionnement[Affectation matrice],$A94,Fonctionnement[TVA acquittée])+SUMIF(Invest[Affectation matrice],$A94,Invest[TVA acquittée]))*CZ94)</f>
        <v>0</v>
      </c>
      <c r="BA94" s="56">
        <f>IF($C94=Repart_lignes,0,
(SUMIF(Fonctionnement[Affectation matrice],$A94,Fonctionnement[TVA acquittée])+SUMIF(Invest[Affectation matrice],$A94,Invest[TVA acquittée]))*DA94)</f>
        <v>0</v>
      </c>
      <c r="BB94" s="56">
        <f>IF($C94=Repart_lignes,0,
(SUMIF(Fonctionnement[Affectation matrice],$A94,Fonctionnement[TVA acquittée])+SUMIF(Invest[Affectation matrice],$A94,Invest[TVA acquittée]))*DB94)</f>
        <v>0</v>
      </c>
      <c r="BC94" s="56">
        <f>IF($C94=Repart_lignes,0,
(SUMIF(Fonctionnement[Affectation matrice],$A94,Fonctionnement[TVA acquittée])+SUMIF(Invest[Affectation matrice],$A94,Invest[TVA acquittée]))*DC94)</f>
        <v>0</v>
      </c>
      <c r="BD94" s="56">
        <f>IF($C94=Repart_lignes,0,
(SUMIF(Fonctionnement[Affectation matrice],$A94,Fonctionnement[TVA acquittée])+SUMIF(Invest[Affectation matrice],$A94,Invest[TVA acquittée]))*DD94)</f>
        <v>0</v>
      </c>
      <c r="BE94" s="58">
        <f t="shared" si="61"/>
        <v>0</v>
      </c>
      <c r="BF94" s="56">
        <f>IF($C94=Repart_lignes,0,
(SUMIF(Fonctionnement[Affectation matrice],$A94,Fonctionnement[Montant (€HT)])+SUMIF(Invest[Affectation matrice],$A94,Invest[Amortissement HT + intérêts]))*CF94)</f>
        <v>0</v>
      </c>
      <c r="BG94" s="56">
        <f>IF($C94=Repart_lignes,0,
(SUMIF(Fonctionnement[Affectation matrice],$A94,Fonctionnement[Montant (€HT)])+SUMIF(Invest[Affectation matrice],$A94,Invest[Amortissement HT + intérêts]))*CG94)</f>
        <v>0</v>
      </c>
      <c r="BH94" s="56">
        <f>IF($C94=Repart_lignes,0,
(SUMIF(Fonctionnement[Affectation matrice],$A94,Fonctionnement[Montant (€HT)])+SUMIF(Invest[Affectation matrice],$A94,Invest[Amortissement HT + intérêts]))*CH94)</f>
        <v>0</v>
      </c>
      <c r="BI94" s="56">
        <f>IF($C94=Repart_lignes,0,
(SUMIF(Fonctionnement[Affectation matrice],$A94,Fonctionnement[Montant (€HT)])+SUMIF(Invest[Affectation matrice],$A94,Invest[Amortissement HT + intérêts]))*CI94)</f>
        <v>0</v>
      </c>
      <c r="BJ94" s="56">
        <f>IF($C94=Repart_lignes,0,
(SUMIF(Fonctionnement[Affectation matrice],$A94,Fonctionnement[Montant (€HT)])+SUMIF(Invest[Affectation matrice],$A94,Invest[Amortissement HT + intérêts]))*CJ94)</f>
        <v>0</v>
      </c>
      <c r="BK94" s="56">
        <f>IF($C94=Repart_lignes,0,
(SUMIF(Fonctionnement[Affectation matrice],$A94,Fonctionnement[Montant (€HT)])+SUMIF(Invest[Affectation matrice],$A94,Invest[Amortissement HT + intérêts]))*CK94)</f>
        <v>0</v>
      </c>
      <c r="BL94" s="56">
        <f>IF($C94=Repart_lignes,0,
(SUMIF(Fonctionnement[Affectation matrice],$A94,Fonctionnement[Montant (€HT)])+SUMIF(Invest[Affectation matrice],$A94,Invest[Amortissement HT + intérêts]))*CL94)</f>
        <v>0</v>
      </c>
      <c r="BM94" s="56">
        <f>IF($C94=Repart_lignes,0,
(SUMIF(Fonctionnement[Affectation matrice],$A94,Fonctionnement[Montant (€HT)])+SUMIF(Invest[Affectation matrice],$A94,Invest[Amortissement HT + intérêts]))*CM94)</f>
        <v>0</v>
      </c>
      <c r="BN94" s="56">
        <f>IF($C94=Repart_lignes,0,
(SUMIF(Fonctionnement[Affectation matrice],$A94,Fonctionnement[Montant (€HT)])+SUMIF(Invest[Affectation matrice],$A94,Invest[Amortissement HT + intérêts]))*CN94)</f>
        <v>0</v>
      </c>
      <c r="BO94" s="56">
        <f>IF($C94=Repart_lignes,0,
(SUMIF(Fonctionnement[Affectation matrice],$A94,Fonctionnement[Montant (€HT)])+SUMIF(Invest[Affectation matrice],$A94,Invest[Amortissement HT + intérêts]))*CO94)</f>
        <v>0</v>
      </c>
      <c r="BP94" s="56">
        <f>IF($C94=Repart_lignes,0,
(SUMIF(Fonctionnement[Affectation matrice],$A94,Fonctionnement[Montant (€HT)])+SUMIF(Invest[Affectation matrice],$A94,Invest[Amortissement HT + intérêts]))*CP94)</f>
        <v>0</v>
      </c>
      <c r="BQ94" s="56">
        <f>IF($C94=Repart_lignes,0,
(SUMIF(Fonctionnement[Affectation matrice],$A94,Fonctionnement[Montant (€HT)])+SUMIF(Invest[Affectation matrice],$A94,Invest[Amortissement HT + intérêts]))*CQ94)</f>
        <v>0</v>
      </c>
      <c r="BR94" s="56">
        <f>IF($C94=Repart_lignes,0,
(SUMIF(Fonctionnement[Affectation matrice],$A94,Fonctionnement[Montant (€HT)])+SUMIF(Invest[Affectation matrice],$A94,Invest[Amortissement HT + intérêts]))*CR94)</f>
        <v>0</v>
      </c>
      <c r="BS94" s="56">
        <f>IF($C94=Repart_lignes,0,
(SUMIF(Fonctionnement[Affectation matrice],$A94,Fonctionnement[Montant (€HT)])+SUMIF(Invest[Affectation matrice],$A94,Invest[Amortissement HT + intérêts]))*CS94)</f>
        <v>0</v>
      </c>
      <c r="BT94" s="56">
        <f>IF($C94=Repart_lignes,0,
(SUMIF(Fonctionnement[Affectation matrice],$A94,Fonctionnement[Montant (€HT)])+SUMIF(Invest[Affectation matrice],$A94,Invest[Amortissement HT + intérêts]))*CT94)</f>
        <v>0</v>
      </c>
      <c r="BU94" s="56">
        <f>IF($C94=Repart_lignes,0,
(SUMIF(Fonctionnement[Affectation matrice],$A94,Fonctionnement[Montant (€HT)])+SUMIF(Invest[Affectation matrice],$A94,Invest[Amortissement HT + intérêts]))*CU94)</f>
        <v>0</v>
      </c>
      <c r="BV94" s="56">
        <f>IF($C94=Repart_lignes,0,
(SUMIF(Fonctionnement[Affectation matrice],$A94,Fonctionnement[Montant (€HT)])+SUMIF(Invest[Affectation matrice],$A94,Invest[Amortissement HT + intérêts]))*CV94)</f>
        <v>0</v>
      </c>
      <c r="BW94" s="56">
        <f>IF($C94=Repart_lignes,0,
(SUMIF(Fonctionnement[Affectation matrice],$A94,Fonctionnement[Montant (€HT)])+SUMIF(Invest[Affectation matrice],$A94,Invest[Amortissement HT + intérêts]))*CW94)</f>
        <v>0</v>
      </c>
      <c r="BX94" s="56">
        <f>IF($C94=Repart_lignes,0,
(SUMIF(Fonctionnement[Affectation matrice],$A94,Fonctionnement[Montant (€HT)])+SUMIF(Invest[Affectation matrice],$A94,Invest[Amortissement HT + intérêts]))*CX94)</f>
        <v>0</v>
      </c>
      <c r="BY94" s="56">
        <f>IF($C94=Repart_lignes,0,
(SUMIF(Fonctionnement[Affectation matrice],$A94,Fonctionnement[Montant (€HT)])+SUMIF(Invest[Affectation matrice],$A94,Invest[Amortissement HT + intérêts]))*CY94)</f>
        <v>0</v>
      </c>
      <c r="BZ94" s="56">
        <f>IF($C94=Repart_lignes,0,
(SUMIF(Fonctionnement[Affectation matrice],$A94,Fonctionnement[Montant (€HT)])+SUMIF(Invest[Affectation matrice],$A94,Invest[Amortissement HT + intérêts]))*CZ94)</f>
        <v>0</v>
      </c>
      <c r="CA94" s="56">
        <f>IF($C94=Repart_lignes,0,
(SUMIF(Fonctionnement[Affectation matrice],$A94,Fonctionnement[Montant (€HT)])+SUMIF(Invest[Affectation matrice],$A94,Invest[Amortissement HT + intérêts]))*DA94)</f>
        <v>0</v>
      </c>
      <c r="CB94" s="56">
        <f>IF($C94=Repart_lignes,0,
(SUMIF(Fonctionnement[Affectation matrice],$A94,Fonctionnement[Montant (€HT)])+SUMIF(Invest[Affectation matrice],$A94,Invest[Amortissement HT + intérêts]))*DB94)</f>
        <v>0</v>
      </c>
      <c r="CC94" s="56">
        <f>IF($C94=Repart_lignes,0,
(SUMIF(Fonctionnement[Affectation matrice],$A94,Fonctionnement[Montant (€HT)])+SUMIF(Invest[Affectation matrice],$A94,Invest[Amortissement HT + intérêts]))*DC94)</f>
        <v>0</v>
      </c>
      <c r="CD94" s="56">
        <f>IF($C94=Repart_lignes,0,
(SUMIF(Fonctionnement[Affectation matrice],$A94,Fonctionnement[Montant (€HT)])+SUMIF(Invest[Affectation matrice],$A94,Invest[Amortissement HT + intérêts]))*DD94)</f>
        <v>0</v>
      </c>
      <c r="CE94" s="59">
        <f t="shared" si="62"/>
        <v>0</v>
      </c>
      <c r="CF94" s="61">
        <f t="shared" si="63"/>
        <v>0</v>
      </c>
      <c r="CG94" s="61">
        <f t="shared" si="64"/>
        <v>0</v>
      </c>
      <c r="CH94" s="61">
        <f t="shared" si="65"/>
        <v>0</v>
      </c>
      <c r="CI94" s="61">
        <f t="shared" si="66"/>
        <v>0</v>
      </c>
      <c r="CJ94" s="61">
        <f t="shared" si="67"/>
        <v>0</v>
      </c>
      <c r="CK94" s="61">
        <f t="shared" si="68"/>
        <v>0</v>
      </c>
      <c r="CL94" s="61">
        <f t="shared" si="69"/>
        <v>0</v>
      </c>
      <c r="CM94" s="61">
        <f t="shared" si="70"/>
        <v>0</v>
      </c>
      <c r="CN94" s="61">
        <f t="shared" si="71"/>
        <v>0</v>
      </c>
      <c r="CO94" s="61">
        <f t="shared" si="72"/>
        <v>0</v>
      </c>
      <c r="CP94" s="61">
        <f t="shared" si="73"/>
        <v>0</v>
      </c>
      <c r="CQ94" s="61">
        <f t="shared" si="74"/>
        <v>0</v>
      </c>
      <c r="CR94" s="61">
        <f t="shared" si="75"/>
        <v>0</v>
      </c>
      <c r="CS94" s="61">
        <f t="shared" si="76"/>
        <v>0</v>
      </c>
      <c r="CT94" s="61">
        <f t="shared" si="77"/>
        <v>0</v>
      </c>
      <c r="CU94" s="61">
        <f t="shared" si="78"/>
        <v>0</v>
      </c>
      <c r="CV94" s="61">
        <f t="shared" si="79"/>
        <v>0</v>
      </c>
      <c r="CW94" s="61">
        <f t="shared" si="80"/>
        <v>0</v>
      </c>
      <c r="CX94" s="61">
        <f t="shared" si="81"/>
        <v>0</v>
      </c>
      <c r="CY94" s="61">
        <f t="shared" si="82"/>
        <v>0</v>
      </c>
      <c r="CZ94" s="61">
        <f t="shared" si="83"/>
        <v>0</v>
      </c>
      <c r="DA94" s="61">
        <f t="shared" si="84"/>
        <v>0</v>
      </c>
      <c r="DB94" s="61">
        <f t="shared" si="85"/>
        <v>0</v>
      </c>
      <c r="DC94" s="61">
        <f t="shared" si="86"/>
        <v>0</v>
      </c>
      <c r="DD94" s="61">
        <f t="shared" si="87"/>
        <v>0</v>
      </c>
      <c r="DE94" s="61">
        <f t="shared" si="88"/>
        <v>0</v>
      </c>
    </row>
    <row r="95" spans="1:109" x14ac:dyDescent="0.25">
      <c r="A95" s="248"/>
      <c r="B95" s="248"/>
      <c r="C95" s="251"/>
      <c r="D95" s="25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1">
        <f t="shared" si="60"/>
        <v>0</v>
      </c>
      <c r="AE95" s="53" t="str">
        <f t="shared" ca="1" si="89"/>
        <v/>
      </c>
      <c r="AF95" s="56">
        <f>IF($C95=Repart_lignes,0,
(SUMIF(Fonctionnement[Affectation matrice],$A95,Fonctionnement[TVA acquittée])+SUMIF(Invest[Affectation matrice],$A95,Invest[TVA acquittée]))*CF95)</f>
        <v>0</v>
      </c>
      <c r="AG95" s="56">
        <f>IF($C95=Repart_lignes,0,
(SUMIF(Fonctionnement[Affectation matrice],$A95,Fonctionnement[TVA acquittée])+SUMIF(Invest[Affectation matrice],$A95,Invest[TVA acquittée]))*CG95)</f>
        <v>0</v>
      </c>
      <c r="AH95" s="56">
        <f>IF($C95=Repart_lignes,0,
(SUMIF(Fonctionnement[Affectation matrice],$A95,Fonctionnement[TVA acquittée])+SUMIF(Invest[Affectation matrice],$A95,Invest[TVA acquittée]))*CH95)</f>
        <v>0</v>
      </c>
      <c r="AI95" s="56">
        <f>IF($C95=Repart_lignes,0,
(SUMIF(Fonctionnement[Affectation matrice],$A95,Fonctionnement[TVA acquittée])+SUMIF(Invest[Affectation matrice],$A95,Invest[TVA acquittée]))*CI95)</f>
        <v>0</v>
      </c>
      <c r="AJ95" s="56">
        <f>IF($C95=Repart_lignes,0,
(SUMIF(Fonctionnement[Affectation matrice],$A95,Fonctionnement[TVA acquittée])+SUMIF(Invest[Affectation matrice],$A95,Invest[TVA acquittée]))*CJ95)</f>
        <v>0</v>
      </c>
      <c r="AK95" s="56">
        <f>IF($C95=Repart_lignes,0,
(SUMIF(Fonctionnement[Affectation matrice],$A95,Fonctionnement[TVA acquittée])+SUMIF(Invest[Affectation matrice],$A95,Invest[TVA acquittée]))*CK95)</f>
        <v>0</v>
      </c>
      <c r="AL95" s="56">
        <f>IF($C95=Repart_lignes,0,
(SUMIF(Fonctionnement[Affectation matrice],$A95,Fonctionnement[TVA acquittée])+SUMIF(Invest[Affectation matrice],$A95,Invest[TVA acquittée]))*CL95)</f>
        <v>0</v>
      </c>
      <c r="AM95" s="56">
        <f>IF($C95=Repart_lignes,0,
(SUMIF(Fonctionnement[Affectation matrice],$A95,Fonctionnement[TVA acquittée])+SUMIF(Invest[Affectation matrice],$A95,Invest[TVA acquittée]))*CM95)</f>
        <v>0</v>
      </c>
      <c r="AN95" s="56">
        <f>IF($C95=Repart_lignes,0,
(SUMIF(Fonctionnement[Affectation matrice],$A95,Fonctionnement[TVA acquittée])+SUMIF(Invest[Affectation matrice],$A95,Invest[TVA acquittée]))*CN95)</f>
        <v>0</v>
      </c>
      <c r="AO95" s="56">
        <f>IF($C95=Repart_lignes,0,
(SUMIF(Fonctionnement[Affectation matrice],$A95,Fonctionnement[TVA acquittée])+SUMIF(Invest[Affectation matrice],$A95,Invest[TVA acquittée]))*CO95)</f>
        <v>0</v>
      </c>
      <c r="AP95" s="56">
        <f>IF($C95=Repart_lignes,0,
(SUMIF(Fonctionnement[Affectation matrice],$A95,Fonctionnement[TVA acquittée])+SUMIF(Invest[Affectation matrice],$A95,Invest[TVA acquittée]))*CP95)</f>
        <v>0</v>
      </c>
      <c r="AQ95" s="56">
        <f>IF($C95=Repart_lignes,0,
(SUMIF(Fonctionnement[Affectation matrice],$A95,Fonctionnement[TVA acquittée])+SUMIF(Invest[Affectation matrice],$A95,Invest[TVA acquittée]))*CQ95)</f>
        <v>0</v>
      </c>
      <c r="AR95" s="56">
        <f>IF($C95=Repart_lignes,0,
(SUMIF(Fonctionnement[Affectation matrice],$A95,Fonctionnement[TVA acquittée])+SUMIF(Invest[Affectation matrice],$A95,Invest[TVA acquittée]))*CR95)</f>
        <v>0</v>
      </c>
      <c r="AS95" s="56">
        <f>IF($C95=Repart_lignes,0,
(SUMIF(Fonctionnement[Affectation matrice],$A95,Fonctionnement[TVA acquittée])+SUMIF(Invest[Affectation matrice],$A95,Invest[TVA acquittée]))*CS95)</f>
        <v>0</v>
      </c>
      <c r="AT95" s="56">
        <f>IF($C95=Repart_lignes,0,
(SUMIF(Fonctionnement[Affectation matrice],$A95,Fonctionnement[TVA acquittée])+SUMIF(Invest[Affectation matrice],$A95,Invest[TVA acquittée]))*CT95)</f>
        <v>0</v>
      </c>
      <c r="AU95" s="56">
        <f>IF($C95=Repart_lignes,0,
(SUMIF(Fonctionnement[Affectation matrice],$A95,Fonctionnement[TVA acquittée])+SUMIF(Invest[Affectation matrice],$A95,Invest[TVA acquittée]))*CU95)</f>
        <v>0</v>
      </c>
      <c r="AV95" s="56">
        <f>IF($C95=Repart_lignes,0,
(SUMIF(Fonctionnement[Affectation matrice],$A95,Fonctionnement[TVA acquittée])+SUMIF(Invest[Affectation matrice],$A95,Invest[TVA acquittée]))*CV95)</f>
        <v>0</v>
      </c>
      <c r="AW95" s="56">
        <f>IF($C95=Repart_lignes,0,
(SUMIF(Fonctionnement[Affectation matrice],$A95,Fonctionnement[TVA acquittée])+SUMIF(Invest[Affectation matrice],$A95,Invest[TVA acquittée]))*CW95)</f>
        <v>0</v>
      </c>
      <c r="AX95" s="56">
        <f>IF($C95=Repart_lignes,0,
(SUMIF(Fonctionnement[Affectation matrice],$A95,Fonctionnement[TVA acquittée])+SUMIF(Invest[Affectation matrice],$A95,Invest[TVA acquittée]))*CX95)</f>
        <v>0</v>
      </c>
      <c r="AY95" s="56">
        <f>IF($C95=Repart_lignes,0,
(SUMIF(Fonctionnement[Affectation matrice],$A95,Fonctionnement[TVA acquittée])+SUMIF(Invest[Affectation matrice],$A95,Invest[TVA acquittée]))*CY95)</f>
        <v>0</v>
      </c>
      <c r="AZ95" s="56">
        <f>IF($C95=Repart_lignes,0,
(SUMIF(Fonctionnement[Affectation matrice],$A95,Fonctionnement[TVA acquittée])+SUMIF(Invest[Affectation matrice],$A95,Invest[TVA acquittée]))*CZ95)</f>
        <v>0</v>
      </c>
      <c r="BA95" s="56">
        <f>IF($C95=Repart_lignes,0,
(SUMIF(Fonctionnement[Affectation matrice],$A95,Fonctionnement[TVA acquittée])+SUMIF(Invest[Affectation matrice],$A95,Invest[TVA acquittée]))*DA95)</f>
        <v>0</v>
      </c>
      <c r="BB95" s="56">
        <f>IF($C95=Repart_lignes,0,
(SUMIF(Fonctionnement[Affectation matrice],$A95,Fonctionnement[TVA acquittée])+SUMIF(Invest[Affectation matrice],$A95,Invest[TVA acquittée]))*DB95)</f>
        <v>0</v>
      </c>
      <c r="BC95" s="56">
        <f>IF($C95=Repart_lignes,0,
(SUMIF(Fonctionnement[Affectation matrice],$A95,Fonctionnement[TVA acquittée])+SUMIF(Invest[Affectation matrice],$A95,Invest[TVA acquittée]))*DC95)</f>
        <v>0</v>
      </c>
      <c r="BD95" s="56">
        <f>IF($C95=Repart_lignes,0,
(SUMIF(Fonctionnement[Affectation matrice],$A95,Fonctionnement[TVA acquittée])+SUMIF(Invest[Affectation matrice],$A95,Invest[TVA acquittée]))*DD95)</f>
        <v>0</v>
      </c>
      <c r="BE95" s="58">
        <f t="shared" si="61"/>
        <v>0</v>
      </c>
      <c r="BF95" s="56">
        <f>IF($C95=Repart_lignes,0,
(SUMIF(Fonctionnement[Affectation matrice],$A95,Fonctionnement[Montant (€HT)])+SUMIF(Invest[Affectation matrice],$A95,Invest[Amortissement HT + intérêts]))*CF95)</f>
        <v>0</v>
      </c>
      <c r="BG95" s="56">
        <f>IF($C95=Repart_lignes,0,
(SUMIF(Fonctionnement[Affectation matrice],$A95,Fonctionnement[Montant (€HT)])+SUMIF(Invest[Affectation matrice],$A95,Invest[Amortissement HT + intérêts]))*CG95)</f>
        <v>0</v>
      </c>
      <c r="BH95" s="56">
        <f>IF($C95=Repart_lignes,0,
(SUMIF(Fonctionnement[Affectation matrice],$A95,Fonctionnement[Montant (€HT)])+SUMIF(Invest[Affectation matrice],$A95,Invest[Amortissement HT + intérêts]))*CH95)</f>
        <v>0</v>
      </c>
      <c r="BI95" s="56">
        <f>IF($C95=Repart_lignes,0,
(SUMIF(Fonctionnement[Affectation matrice],$A95,Fonctionnement[Montant (€HT)])+SUMIF(Invest[Affectation matrice],$A95,Invest[Amortissement HT + intérêts]))*CI95)</f>
        <v>0</v>
      </c>
      <c r="BJ95" s="56">
        <f>IF($C95=Repart_lignes,0,
(SUMIF(Fonctionnement[Affectation matrice],$A95,Fonctionnement[Montant (€HT)])+SUMIF(Invest[Affectation matrice],$A95,Invest[Amortissement HT + intérêts]))*CJ95)</f>
        <v>0</v>
      </c>
      <c r="BK95" s="56">
        <f>IF($C95=Repart_lignes,0,
(SUMIF(Fonctionnement[Affectation matrice],$A95,Fonctionnement[Montant (€HT)])+SUMIF(Invest[Affectation matrice],$A95,Invest[Amortissement HT + intérêts]))*CK95)</f>
        <v>0</v>
      </c>
      <c r="BL95" s="56">
        <f>IF($C95=Repart_lignes,0,
(SUMIF(Fonctionnement[Affectation matrice],$A95,Fonctionnement[Montant (€HT)])+SUMIF(Invest[Affectation matrice],$A95,Invest[Amortissement HT + intérêts]))*CL95)</f>
        <v>0</v>
      </c>
      <c r="BM95" s="56">
        <f>IF($C95=Repart_lignes,0,
(SUMIF(Fonctionnement[Affectation matrice],$A95,Fonctionnement[Montant (€HT)])+SUMIF(Invest[Affectation matrice],$A95,Invest[Amortissement HT + intérêts]))*CM95)</f>
        <v>0</v>
      </c>
      <c r="BN95" s="56">
        <f>IF($C95=Repart_lignes,0,
(SUMIF(Fonctionnement[Affectation matrice],$A95,Fonctionnement[Montant (€HT)])+SUMIF(Invest[Affectation matrice],$A95,Invest[Amortissement HT + intérêts]))*CN95)</f>
        <v>0</v>
      </c>
      <c r="BO95" s="56">
        <f>IF($C95=Repart_lignes,0,
(SUMIF(Fonctionnement[Affectation matrice],$A95,Fonctionnement[Montant (€HT)])+SUMIF(Invest[Affectation matrice],$A95,Invest[Amortissement HT + intérêts]))*CO95)</f>
        <v>0</v>
      </c>
      <c r="BP95" s="56">
        <f>IF($C95=Repart_lignes,0,
(SUMIF(Fonctionnement[Affectation matrice],$A95,Fonctionnement[Montant (€HT)])+SUMIF(Invest[Affectation matrice],$A95,Invest[Amortissement HT + intérêts]))*CP95)</f>
        <v>0</v>
      </c>
      <c r="BQ95" s="56">
        <f>IF($C95=Repart_lignes,0,
(SUMIF(Fonctionnement[Affectation matrice],$A95,Fonctionnement[Montant (€HT)])+SUMIF(Invest[Affectation matrice],$A95,Invest[Amortissement HT + intérêts]))*CQ95)</f>
        <v>0</v>
      </c>
      <c r="BR95" s="56">
        <f>IF($C95=Repart_lignes,0,
(SUMIF(Fonctionnement[Affectation matrice],$A95,Fonctionnement[Montant (€HT)])+SUMIF(Invest[Affectation matrice],$A95,Invest[Amortissement HT + intérêts]))*CR95)</f>
        <v>0</v>
      </c>
      <c r="BS95" s="56">
        <f>IF($C95=Repart_lignes,0,
(SUMIF(Fonctionnement[Affectation matrice],$A95,Fonctionnement[Montant (€HT)])+SUMIF(Invest[Affectation matrice],$A95,Invest[Amortissement HT + intérêts]))*CS95)</f>
        <v>0</v>
      </c>
      <c r="BT95" s="56">
        <f>IF($C95=Repart_lignes,0,
(SUMIF(Fonctionnement[Affectation matrice],$A95,Fonctionnement[Montant (€HT)])+SUMIF(Invest[Affectation matrice],$A95,Invest[Amortissement HT + intérêts]))*CT95)</f>
        <v>0</v>
      </c>
      <c r="BU95" s="56">
        <f>IF($C95=Repart_lignes,0,
(SUMIF(Fonctionnement[Affectation matrice],$A95,Fonctionnement[Montant (€HT)])+SUMIF(Invest[Affectation matrice],$A95,Invest[Amortissement HT + intérêts]))*CU95)</f>
        <v>0</v>
      </c>
      <c r="BV95" s="56">
        <f>IF($C95=Repart_lignes,0,
(SUMIF(Fonctionnement[Affectation matrice],$A95,Fonctionnement[Montant (€HT)])+SUMIF(Invest[Affectation matrice],$A95,Invest[Amortissement HT + intérêts]))*CV95)</f>
        <v>0</v>
      </c>
      <c r="BW95" s="56">
        <f>IF($C95=Repart_lignes,0,
(SUMIF(Fonctionnement[Affectation matrice],$A95,Fonctionnement[Montant (€HT)])+SUMIF(Invest[Affectation matrice],$A95,Invest[Amortissement HT + intérêts]))*CW95)</f>
        <v>0</v>
      </c>
      <c r="BX95" s="56">
        <f>IF($C95=Repart_lignes,0,
(SUMIF(Fonctionnement[Affectation matrice],$A95,Fonctionnement[Montant (€HT)])+SUMIF(Invest[Affectation matrice],$A95,Invest[Amortissement HT + intérêts]))*CX95)</f>
        <v>0</v>
      </c>
      <c r="BY95" s="56">
        <f>IF($C95=Repart_lignes,0,
(SUMIF(Fonctionnement[Affectation matrice],$A95,Fonctionnement[Montant (€HT)])+SUMIF(Invest[Affectation matrice],$A95,Invest[Amortissement HT + intérêts]))*CY95)</f>
        <v>0</v>
      </c>
      <c r="BZ95" s="56">
        <f>IF($C95=Repart_lignes,0,
(SUMIF(Fonctionnement[Affectation matrice],$A95,Fonctionnement[Montant (€HT)])+SUMIF(Invest[Affectation matrice],$A95,Invest[Amortissement HT + intérêts]))*CZ95)</f>
        <v>0</v>
      </c>
      <c r="CA95" s="56">
        <f>IF($C95=Repart_lignes,0,
(SUMIF(Fonctionnement[Affectation matrice],$A95,Fonctionnement[Montant (€HT)])+SUMIF(Invest[Affectation matrice],$A95,Invest[Amortissement HT + intérêts]))*DA95)</f>
        <v>0</v>
      </c>
      <c r="CB95" s="56">
        <f>IF($C95=Repart_lignes,0,
(SUMIF(Fonctionnement[Affectation matrice],$A95,Fonctionnement[Montant (€HT)])+SUMIF(Invest[Affectation matrice],$A95,Invest[Amortissement HT + intérêts]))*DB95)</f>
        <v>0</v>
      </c>
      <c r="CC95" s="56">
        <f>IF($C95=Repart_lignes,0,
(SUMIF(Fonctionnement[Affectation matrice],$A95,Fonctionnement[Montant (€HT)])+SUMIF(Invest[Affectation matrice],$A95,Invest[Amortissement HT + intérêts]))*DC95)</f>
        <v>0</v>
      </c>
      <c r="CD95" s="56">
        <f>IF($C95=Repart_lignes,0,
(SUMIF(Fonctionnement[Affectation matrice],$A95,Fonctionnement[Montant (€HT)])+SUMIF(Invest[Affectation matrice],$A95,Invest[Amortissement HT + intérêts]))*DD95)</f>
        <v>0</v>
      </c>
      <c r="CE95" s="59">
        <f t="shared" si="62"/>
        <v>0</v>
      </c>
      <c r="CF95" s="61">
        <f t="shared" si="63"/>
        <v>0</v>
      </c>
      <c r="CG95" s="61">
        <f t="shared" si="64"/>
        <v>0</v>
      </c>
      <c r="CH95" s="61">
        <f t="shared" si="65"/>
        <v>0</v>
      </c>
      <c r="CI95" s="61">
        <f t="shared" si="66"/>
        <v>0</v>
      </c>
      <c r="CJ95" s="61">
        <f t="shared" si="67"/>
        <v>0</v>
      </c>
      <c r="CK95" s="61">
        <f t="shared" si="68"/>
        <v>0</v>
      </c>
      <c r="CL95" s="61">
        <f t="shared" si="69"/>
        <v>0</v>
      </c>
      <c r="CM95" s="61">
        <f t="shared" si="70"/>
        <v>0</v>
      </c>
      <c r="CN95" s="61">
        <f t="shared" si="71"/>
        <v>0</v>
      </c>
      <c r="CO95" s="61">
        <f t="shared" si="72"/>
        <v>0</v>
      </c>
      <c r="CP95" s="61">
        <f t="shared" si="73"/>
        <v>0</v>
      </c>
      <c r="CQ95" s="61">
        <f t="shared" si="74"/>
        <v>0</v>
      </c>
      <c r="CR95" s="61">
        <f t="shared" si="75"/>
        <v>0</v>
      </c>
      <c r="CS95" s="61">
        <f t="shared" si="76"/>
        <v>0</v>
      </c>
      <c r="CT95" s="61">
        <f t="shared" si="77"/>
        <v>0</v>
      </c>
      <c r="CU95" s="61">
        <f t="shared" si="78"/>
        <v>0</v>
      </c>
      <c r="CV95" s="61">
        <f t="shared" si="79"/>
        <v>0</v>
      </c>
      <c r="CW95" s="61">
        <f t="shared" si="80"/>
        <v>0</v>
      </c>
      <c r="CX95" s="61">
        <f t="shared" si="81"/>
        <v>0</v>
      </c>
      <c r="CY95" s="61">
        <f t="shared" si="82"/>
        <v>0</v>
      </c>
      <c r="CZ95" s="61">
        <f t="shared" si="83"/>
        <v>0</v>
      </c>
      <c r="DA95" s="61">
        <f t="shared" si="84"/>
        <v>0</v>
      </c>
      <c r="DB95" s="61">
        <f t="shared" si="85"/>
        <v>0</v>
      </c>
      <c r="DC95" s="61">
        <f t="shared" si="86"/>
        <v>0</v>
      </c>
      <c r="DD95" s="61">
        <f t="shared" si="87"/>
        <v>0</v>
      </c>
      <c r="DE95" s="61">
        <f t="shared" si="88"/>
        <v>0</v>
      </c>
    </row>
    <row r="96" spans="1:109" x14ac:dyDescent="0.25">
      <c r="A96" s="248"/>
      <c r="B96" s="248"/>
      <c r="C96" s="251"/>
      <c r="D96" s="25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1">
        <f t="shared" si="60"/>
        <v>0</v>
      </c>
      <c r="AE96" s="53" t="str">
        <f t="shared" ca="1" si="89"/>
        <v/>
      </c>
      <c r="AF96" s="56">
        <f>IF($C96=Repart_lignes,0,
(SUMIF(Fonctionnement[Affectation matrice],$A96,Fonctionnement[TVA acquittée])+SUMIF(Invest[Affectation matrice],$A96,Invest[TVA acquittée]))*CF96)</f>
        <v>0</v>
      </c>
      <c r="AG96" s="56">
        <f>IF($C96=Repart_lignes,0,
(SUMIF(Fonctionnement[Affectation matrice],$A96,Fonctionnement[TVA acquittée])+SUMIF(Invest[Affectation matrice],$A96,Invest[TVA acquittée]))*CG96)</f>
        <v>0</v>
      </c>
      <c r="AH96" s="56">
        <f>IF($C96=Repart_lignes,0,
(SUMIF(Fonctionnement[Affectation matrice],$A96,Fonctionnement[TVA acquittée])+SUMIF(Invest[Affectation matrice],$A96,Invest[TVA acquittée]))*CH96)</f>
        <v>0</v>
      </c>
      <c r="AI96" s="56">
        <f>IF($C96=Repart_lignes,0,
(SUMIF(Fonctionnement[Affectation matrice],$A96,Fonctionnement[TVA acquittée])+SUMIF(Invest[Affectation matrice],$A96,Invest[TVA acquittée]))*CI96)</f>
        <v>0</v>
      </c>
      <c r="AJ96" s="56">
        <f>IF($C96=Repart_lignes,0,
(SUMIF(Fonctionnement[Affectation matrice],$A96,Fonctionnement[TVA acquittée])+SUMIF(Invest[Affectation matrice],$A96,Invest[TVA acquittée]))*CJ96)</f>
        <v>0</v>
      </c>
      <c r="AK96" s="56">
        <f>IF($C96=Repart_lignes,0,
(SUMIF(Fonctionnement[Affectation matrice],$A96,Fonctionnement[TVA acquittée])+SUMIF(Invest[Affectation matrice],$A96,Invest[TVA acquittée]))*CK96)</f>
        <v>0</v>
      </c>
      <c r="AL96" s="56">
        <f>IF($C96=Repart_lignes,0,
(SUMIF(Fonctionnement[Affectation matrice],$A96,Fonctionnement[TVA acquittée])+SUMIF(Invest[Affectation matrice],$A96,Invest[TVA acquittée]))*CL96)</f>
        <v>0</v>
      </c>
      <c r="AM96" s="56">
        <f>IF($C96=Repart_lignes,0,
(SUMIF(Fonctionnement[Affectation matrice],$A96,Fonctionnement[TVA acquittée])+SUMIF(Invest[Affectation matrice],$A96,Invest[TVA acquittée]))*CM96)</f>
        <v>0</v>
      </c>
      <c r="AN96" s="56">
        <f>IF($C96=Repart_lignes,0,
(SUMIF(Fonctionnement[Affectation matrice],$A96,Fonctionnement[TVA acquittée])+SUMIF(Invest[Affectation matrice],$A96,Invest[TVA acquittée]))*CN96)</f>
        <v>0</v>
      </c>
      <c r="AO96" s="56">
        <f>IF($C96=Repart_lignes,0,
(SUMIF(Fonctionnement[Affectation matrice],$A96,Fonctionnement[TVA acquittée])+SUMIF(Invest[Affectation matrice],$A96,Invest[TVA acquittée]))*CO96)</f>
        <v>0</v>
      </c>
      <c r="AP96" s="56">
        <f>IF($C96=Repart_lignes,0,
(SUMIF(Fonctionnement[Affectation matrice],$A96,Fonctionnement[TVA acquittée])+SUMIF(Invest[Affectation matrice],$A96,Invest[TVA acquittée]))*CP96)</f>
        <v>0</v>
      </c>
      <c r="AQ96" s="56">
        <f>IF($C96=Repart_lignes,0,
(SUMIF(Fonctionnement[Affectation matrice],$A96,Fonctionnement[TVA acquittée])+SUMIF(Invest[Affectation matrice],$A96,Invest[TVA acquittée]))*CQ96)</f>
        <v>0</v>
      </c>
      <c r="AR96" s="56">
        <f>IF($C96=Repart_lignes,0,
(SUMIF(Fonctionnement[Affectation matrice],$A96,Fonctionnement[TVA acquittée])+SUMIF(Invest[Affectation matrice],$A96,Invest[TVA acquittée]))*CR96)</f>
        <v>0</v>
      </c>
      <c r="AS96" s="56">
        <f>IF($C96=Repart_lignes,0,
(SUMIF(Fonctionnement[Affectation matrice],$A96,Fonctionnement[TVA acquittée])+SUMIF(Invest[Affectation matrice],$A96,Invest[TVA acquittée]))*CS96)</f>
        <v>0</v>
      </c>
      <c r="AT96" s="56">
        <f>IF($C96=Repart_lignes,0,
(SUMIF(Fonctionnement[Affectation matrice],$A96,Fonctionnement[TVA acquittée])+SUMIF(Invest[Affectation matrice],$A96,Invest[TVA acquittée]))*CT96)</f>
        <v>0</v>
      </c>
      <c r="AU96" s="56">
        <f>IF($C96=Repart_lignes,0,
(SUMIF(Fonctionnement[Affectation matrice],$A96,Fonctionnement[TVA acquittée])+SUMIF(Invest[Affectation matrice],$A96,Invest[TVA acquittée]))*CU96)</f>
        <v>0</v>
      </c>
      <c r="AV96" s="56">
        <f>IF($C96=Repart_lignes,0,
(SUMIF(Fonctionnement[Affectation matrice],$A96,Fonctionnement[TVA acquittée])+SUMIF(Invest[Affectation matrice],$A96,Invest[TVA acquittée]))*CV96)</f>
        <v>0</v>
      </c>
      <c r="AW96" s="56">
        <f>IF($C96=Repart_lignes,0,
(SUMIF(Fonctionnement[Affectation matrice],$A96,Fonctionnement[TVA acquittée])+SUMIF(Invest[Affectation matrice],$A96,Invest[TVA acquittée]))*CW96)</f>
        <v>0</v>
      </c>
      <c r="AX96" s="56">
        <f>IF($C96=Repart_lignes,0,
(SUMIF(Fonctionnement[Affectation matrice],$A96,Fonctionnement[TVA acquittée])+SUMIF(Invest[Affectation matrice],$A96,Invest[TVA acquittée]))*CX96)</f>
        <v>0</v>
      </c>
      <c r="AY96" s="56">
        <f>IF($C96=Repart_lignes,0,
(SUMIF(Fonctionnement[Affectation matrice],$A96,Fonctionnement[TVA acquittée])+SUMIF(Invest[Affectation matrice],$A96,Invest[TVA acquittée]))*CY96)</f>
        <v>0</v>
      </c>
      <c r="AZ96" s="56">
        <f>IF($C96=Repart_lignes,0,
(SUMIF(Fonctionnement[Affectation matrice],$A96,Fonctionnement[TVA acquittée])+SUMIF(Invest[Affectation matrice],$A96,Invest[TVA acquittée]))*CZ96)</f>
        <v>0</v>
      </c>
      <c r="BA96" s="56">
        <f>IF($C96=Repart_lignes,0,
(SUMIF(Fonctionnement[Affectation matrice],$A96,Fonctionnement[TVA acquittée])+SUMIF(Invest[Affectation matrice],$A96,Invest[TVA acquittée]))*DA96)</f>
        <v>0</v>
      </c>
      <c r="BB96" s="56">
        <f>IF($C96=Repart_lignes,0,
(SUMIF(Fonctionnement[Affectation matrice],$A96,Fonctionnement[TVA acquittée])+SUMIF(Invest[Affectation matrice],$A96,Invest[TVA acquittée]))*DB96)</f>
        <v>0</v>
      </c>
      <c r="BC96" s="56">
        <f>IF($C96=Repart_lignes,0,
(SUMIF(Fonctionnement[Affectation matrice],$A96,Fonctionnement[TVA acquittée])+SUMIF(Invest[Affectation matrice],$A96,Invest[TVA acquittée]))*DC96)</f>
        <v>0</v>
      </c>
      <c r="BD96" s="56">
        <f>IF($C96=Repart_lignes,0,
(SUMIF(Fonctionnement[Affectation matrice],$A96,Fonctionnement[TVA acquittée])+SUMIF(Invest[Affectation matrice],$A96,Invest[TVA acquittée]))*DD96)</f>
        <v>0</v>
      </c>
      <c r="BE96" s="58">
        <f t="shared" si="61"/>
        <v>0</v>
      </c>
      <c r="BF96" s="56">
        <f>IF($C96=Repart_lignes,0,
(SUMIF(Fonctionnement[Affectation matrice],$A96,Fonctionnement[Montant (€HT)])+SUMIF(Invest[Affectation matrice],$A96,Invest[Amortissement HT + intérêts]))*CF96)</f>
        <v>0</v>
      </c>
      <c r="BG96" s="56">
        <f>IF($C96=Repart_lignes,0,
(SUMIF(Fonctionnement[Affectation matrice],$A96,Fonctionnement[Montant (€HT)])+SUMIF(Invest[Affectation matrice],$A96,Invest[Amortissement HT + intérêts]))*CG96)</f>
        <v>0</v>
      </c>
      <c r="BH96" s="56">
        <f>IF($C96=Repart_lignes,0,
(SUMIF(Fonctionnement[Affectation matrice],$A96,Fonctionnement[Montant (€HT)])+SUMIF(Invest[Affectation matrice],$A96,Invest[Amortissement HT + intérêts]))*CH96)</f>
        <v>0</v>
      </c>
      <c r="BI96" s="56">
        <f>IF($C96=Repart_lignes,0,
(SUMIF(Fonctionnement[Affectation matrice],$A96,Fonctionnement[Montant (€HT)])+SUMIF(Invest[Affectation matrice],$A96,Invest[Amortissement HT + intérêts]))*CI96)</f>
        <v>0</v>
      </c>
      <c r="BJ96" s="56">
        <f>IF($C96=Repart_lignes,0,
(SUMIF(Fonctionnement[Affectation matrice],$A96,Fonctionnement[Montant (€HT)])+SUMIF(Invest[Affectation matrice],$A96,Invest[Amortissement HT + intérêts]))*CJ96)</f>
        <v>0</v>
      </c>
      <c r="BK96" s="56">
        <f>IF($C96=Repart_lignes,0,
(SUMIF(Fonctionnement[Affectation matrice],$A96,Fonctionnement[Montant (€HT)])+SUMIF(Invest[Affectation matrice],$A96,Invest[Amortissement HT + intérêts]))*CK96)</f>
        <v>0</v>
      </c>
      <c r="BL96" s="56">
        <f>IF($C96=Repart_lignes,0,
(SUMIF(Fonctionnement[Affectation matrice],$A96,Fonctionnement[Montant (€HT)])+SUMIF(Invest[Affectation matrice],$A96,Invest[Amortissement HT + intérêts]))*CL96)</f>
        <v>0</v>
      </c>
      <c r="BM96" s="56">
        <f>IF($C96=Repart_lignes,0,
(SUMIF(Fonctionnement[Affectation matrice],$A96,Fonctionnement[Montant (€HT)])+SUMIF(Invest[Affectation matrice],$A96,Invest[Amortissement HT + intérêts]))*CM96)</f>
        <v>0</v>
      </c>
      <c r="BN96" s="56">
        <f>IF($C96=Repart_lignes,0,
(SUMIF(Fonctionnement[Affectation matrice],$A96,Fonctionnement[Montant (€HT)])+SUMIF(Invest[Affectation matrice],$A96,Invest[Amortissement HT + intérêts]))*CN96)</f>
        <v>0</v>
      </c>
      <c r="BO96" s="56">
        <f>IF($C96=Repart_lignes,0,
(SUMIF(Fonctionnement[Affectation matrice],$A96,Fonctionnement[Montant (€HT)])+SUMIF(Invest[Affectation matrice],$A96,Invest[Amortissement HT + intérêts]))*CO96)</f>
        <v>0</v>
      </c>
      <c r="BP96" s="56">
        <f>IF($C96=Repart_lignes,0,
(SUMIF(Fonctionnement[Affectation matrice],$A96,Fonctionnement[Montant (€HT)])+SUMIF(Invest[Affectation matrice],$A96,Invest[Amortissement HT + intérêts]))*CP96)</f>
        <v>0</v>
      </c>
      <c r="BQ96" s="56">
        <f>IF($C96=Repart_lignes,0,
(SUMIF(Fonctionnement[Affectation matrice],$A96,Fonctionnement[Montant (€HT)])+SUMIF(Invest[Affectation matrice],$A96,Invest[Amortissement HT + intérêts]))*CQ96)</f>
        <v>0</v>
      </c>
      <c r="BR96" s="56">
        <f>IF($C96=Repart_lignes,0,
(SUMIF(Fonctionnement[Affectation matrice],$A96,Fonctionnement[Montant (€HT)])+SUMIF(Invest[Affectation matrice],$A96,Invest[Amortissement HT + intérêts]))*CR96)</f>
        <v>0</v>
      </c>
      <c r="BS96" s="56">
        <f>IF($C96=Repart_lignes,0,
(SUMIF(Fonctionnement[Affectation matrice],$A96,Fonctionnement[Montant (€HT)])+SUMIF(Invest[Affectation matrice],$A96,Invest[Amortissement HT + intérêts]))*CS96)</f>
        <v>0</v>
      </c>
      <c r="BT96" s="56">
        <f>IF($C96=Repart_lignes,0,
(SUMIF(Fonctionnement[Affectation matrice],$A96,Fonctionnement[Montant (€HT)])+SUMIF(Invest[Affectation matrice],$A96,Invest[Amortissement HT + intérêts]))*CT96)</f>
        <v>0</v>
      </c>
      <c r="BU96" s="56">
        <f>IF($C96=Repart_lignes,0,
(SUMIF(Fonctionnement[Affectation matrice],$A96,Fonctionnement[Montant (€HT)])+SUMIF(Invest[Affectation matrice],$A96,Invest[Amortissement HT + intérêts]))*CU96)</f>
        <v>0</v>
      </c>
      <c r="BV96" s="56">
        <f>IF($C96=Repart_lignes,0,
(SUMIF(Fonctionnement[Affectation matrice],$A96,Fonctionnement[Montant (€HT)])+SUMIF(Invest[Affectation matrice],$A96,Invest[Amortissement HT + intérêts]))*CV96)</f>
        <v>0</v>
      </c>
      <c r="BW96" s="56">
        <f>IF($C96=Repart_lignes,0,
(SUMIF(Fonctionnement[Affectation matrice],$A96,Fonctionnement[Montant (€HT)])+SUMIF(Invest[Affectation matrice],$A96,Invest[Amortissement HT + intérêts]))*CW96)</f>
        <v>0</v>
      </c>
      <c r="BX96" s="56">
        <f>IF($C96=Repart_lignes,0,
(SUMIF(Fonctionnement[Affectation matrice],$A96,Fonctionnement[Montant (€HT)])+SUMIF(Invest[Affectation matrice],$A96,Invest[Amortissement HT + intérêts]))*CX96)</f>
        <v>0</v>
      </c>
      <c r="BY96" s="56">
        <f>IF($C96=Repart_lignes,0,
(SUMIF(Fonctionnement[Affectation matrice],$A96,Fonctionnement[Montant (€HT)])+SUMIF(Invest[Affectation matrice],$A96,Invest[Amortissement HT + intérêts]))*CY96)</f>
        <v>0</v>
      </c>
      <c r="BZ96" s="56">
        <f>IF($C96=Repart_lignes,0,
(SUMIF(Fonctionnement[Affectation matrice],$A96,Fonctionnement[Montant (€HT)])+SUMIF(Invest[Affectation matrice],$A96,Invest[Amortissement HT + intérêts]))*CZ96)</f>
        <v>0</v>
      </c>
      <c r="CA96" s="56">
        <f>IF($C96=Repart_lignes,0,
(SUMIF(Fonctionnement[Affectation matrice],$A96,Fonctionnement[Montant (€HT)])+SUMIF(Invest[Affectation matrice],$A96,Invest[Amortissement HT + intérêts]))*DA96)</f>
        <v>0</v>
      </c>
      <c r="CB96" s="56">
        <f>IF($C96=Repart_lignes,0,
(SUMIF(Fonctionnement[Affectation matrice],$A96,Fonctionnement[Montant (€HT)])+SUMIF(Invest[Affectation matrice],$A96,Invest[Amortissement HT + intérêts]))*DB96)</f>
        <v>0</v>
      </c>
      <c r="CC96" s="56">
        <f>IF($C96=Repart_lignes,0,
(SUMIF(Fonctionnement[Affectation matrice],$A96,Fonctionnement[Montant (€HT)])+SUMIF(Invest[Affectation matrice],$A96,Invest[Amortissement HT + intérêts]))*DC96)</f>
        <v>0</v>
      </c>
      <c r="CD96" s="56">
        <f>IF($C96=Repart_lignes,0,
(SUMIF(Fonctionnement[Affectation matrice],$A96,Fonctionnement[Montant (€HT)])+SUMIF(Invest[Affectation matrice],$A96,Invest[Amortissement HT + intérêts]))*DD96)</f>
        <v>0</v>
      </c>
      <c r="CE96" s="59">
        <f t="shared" si="62"/>
        <v>0</v>
      </c>
      <c r="CF96" s="61">
        <f t="shared" si="63"/>
        <v>0</v>
      </c>
      <c r="CG96" s="61">
        <f t="shared" si="64"/>
        <v>0</v>
      </c>
      <c r="CH96" s="61">
        <f t="shared" si="65"/>
        <v>0</v>
      </c>
      <c r="CI96" s="61">
        <f t="shared" si="66"/>
        <v>0</v>
      </c>
      <c r="CJ96" s="61">
        <f t="shared" si="67"/>
        <v>0</v>
      </c>
      <c r="CK96" s="61">
        <f t="shared" si="68"/>
        <v>0</v>
      </c>
      <c r="CL96" s="61">
        <f t="shared" si="69"/>
        <v>0</v>
      </c>
      <c r="CM96" s="61">
        <f t="shared" si="70"/>
        <v>0</v>
      </c>
      <c r="CN96" s="61">
        <f t="shared" si="71"/>
        <v>0</v>
      </c>
      <c r="CO96" s="61">
        <f t="shared" si="72"/>
        <v>0</v>
      </c>
      <c r="CP96" s="61">
        <f t="shared" si="73"/>
        <v>0</v>
      </c>
      <c r="CQ96" s="61">
        <f t="shared" si="74"/>
        <v>0</v>
      </c>
      <c r="CR96" s="61">
        <f t="shared" si="75"/>
        <v>0</v>
      </c>
      <c r="CS96" s="61">
        <f t="shared" si="76"/>
        <v>0</v>
      </c>
      <c r="CT96" s="61">
        <f t="shared" si="77"/>
        <v>0</v>
      </c>
      <c r="CU96" s="61">
        <f t="shared" si="78"/>
        <v>0</v>
      </c>
      <c r="CV96" s="61">
        <f t="shared" si="79"/>
        <v>0</v>
      </c>
      <c r="CW96" s="61">
        <f t="shared" si="80"/>
        <v>0</v>
      </c>
      <c r="CX96" s="61">
        <f t="shared" si="81"/>
        <v>0</v>
      </c>
      <c r="CY96" s="61">
        <f t="shared" si="82"/>
        <v>0</v>
      </c>
      <c r="CZ96" s="61">
        <f t="shared" si="83"/>
        <v>0</v>
      </c>
      <c r="DA96" s="61">
        <f t="shared" si="84"/>
        <v>0</v>
      </c>
      <c r="DB96" s="61">
        <f t="shared" si="85"/>
        <v>0</v>
      </c>
      <c r="DC96" s="61">
        <f t="shared" si="86"/>
        <v>0</v>
      </c>
      <c r="DD96" s="61">
        <f t="shared" si="87"/>
        <v>0</v>
      </c>
      <c r="DE96" s="61">
        <f t="shared" si="88"/>
        <v>0</v>
      </c>
    </row>
    <row r="97" spans="1:109" x14ac:dyDescent="0.25">
      <c r="A97" s="248"/>
      <c r="B97" s="248"/>
      <c r="C97" s="251"/>
      <c r="D97" s="25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1">
        <f t="shared" si="60"/>
        <v>0</v>
      </c>
      <c r="AE97" s="53" t="str">
        <f t="shared" ca="1" si="89"/>
        <v/>
      </c>
      <c r="AF97" s="56">
        <f>IF($C97=Repart_lignes,0,
(SUMIF(Fonctionnement[Affectation matrice],$A97,Fonctionnement[TVA acquittée])+SUMIF(Invest[Affectation matrice],$A97,Invest[TVA acquittée]))*CF97)</f>
        <v>0</v>
      </c>
      <c r="AG97" s="56">
        <f>IF($C97=Repart_lignes,0,
(SUMIF(Fonctionnement[Affectation matrice],$A97,Fonctionnement[TVA acquittée])+SUMIF(Invest[Affectation matrice],$A97,Invest[TVA acquittée]))*CG97)</f>
        <v>0</v>
      </c>
      <c r="AH97" s="56">
        <f>IF($C97=Repart_lignes,0,
(SUMIF(Fonctionnement[Affectation matrice],$A97,Fonctionnement[TVA acquittée])+SUMIF(Invest[Affectation matrice],$A97,Invest[TVA acquittée]))*CH97)</f>
        <v>0</v>
      </c>
      <c r="AI97" s="56">
        <f>IF($C97=Repart_lignes,0,
(SUMIF(Fonctionnement[Affectation matrice],$A97,Fonctionnement[TVA acquittée])+SUMIF(Invest[Affectation matrice],$A97,Invest[TVA acquittée]))*CI97)</f>
        <v>0</v>
      </c>
      <c r="AJ97" s="56">
        <f>IF($C97=Repart_lignes,0,
(SUMIF(Fonctionnement[Affectation matrice],$A97,Fonctionnement[TVA acquittée])+SUMIF(Invest[Affectation matrice],$A97,Invest[TVA acquittée]))*CJ97)</f>
        <v>0</v>
      </c>
      <c r="AK97" s="56">
        <f>IF($C97=Repart_lignes,0,
(SUMIF(Fonctionnement[Affectation matrice],$A97,Fonctionnement[TVA acquittée])+SUMIF(Invest[Affectation matrice],$A97,Invest[TVA acquittée]))*CK97)</f>
        <v>0</v>
      </c>
      <c r="AL97" s="56">
        <f>IF($C97=Repart_lignes,0,
(SUMIF(Fonctionnement[Affectation matrice],$A97,Fonctionnement[TVA acquittée])+SUMIF(Invest[Affectation matrice],$A97,Invest[TVA acquittée]))*CL97)</f>
        <v>0</v>
      </c>
      <c r="AM97" s="56">
        <f>IF($C97=Repart_lignes,0,
(SUMIF(Fonctionnement[Affectation matrice],$A97,Fonctionnement[TVA acquittée])+SUMIF(Invest[Affectation matrice],$A97,Invest[TVA acquittée]))*CM97)</f>
        <v>0</v>
      </c>
      <c r="AN97" s="56">
        <f>IF($C97=Repart_lignes,0,
(SUMIF(Fonctionnement[Affectation matrice],$A97,Fonctionnement[TVA acquittée])+SUMIF(Invest[Affectation matrice],$A97,Invest[TVA acquittée]))*CN97)</f>
        <v>0</v>
      </c>
      <c r="AO97" s="56">
        <f>IF($C97=Repart_lignes,0,
(SUMIF(Fonctionnement[Affectation matrice],$A97,Fonctionnement[TVA acquittée])+SUMIF(Invest[Affectation matrice],$A97,Invest[TVA acquittée]))*CO97)</f>
        <v>0</v>
      </c>
      <c r="AP97" s="56">
        <f>IF($C97=Repart_lignes,0,
(SUMIF(Fonctionnement[Affectation matrice],$A97,Fonctionnement[TVA acquittée])+SUMIF(Invest[Affectation matrice],$A97,Invest[TVA acquittée]))*CP97)</f>
        <v>0</v>
      </c>
      <c r="AQ97" s="56">
        <f>IF($C97=Repart_lignes,0,
(SUMIF(Fonctionnement[Affectation matrice],$A97,Fonctionnement[TVA acquittée])+SUMIF(Invest[Affectation matrice],$A97,Invest[TVA acquittée]))*CQ97)</f>
        <v>0</v>
      </c>
      <c r="AR97" s="56">
        <f>IF($C97=Repart_lignes,0,
(SUMIF(Fonctionnement[Affectation matrice],$A97,Fonctionnement[TVA acquittée])+SUMIF(Invest[Affectation matrice],$A97,Invest[TVA acquittée]))*CR97)</f>
        <v>0</v>
      </c>
      <c r="AS97" s="56">
        <f>IF($C97=Repart_lignes,0,
(SUMIF(Fonctionnement[Affectation matrice],$A97,Fonctionnement[TVA acquittée])+SUMIF(Invest[Affectation matrice],$A97,Invest[TVA acquittée]))*CS97)</f>
        <v>0</v>
      </c>
      <c r="AT97" s="56">
        <f>IF($C97=Repart_lignes,0,
(SUMIF(Fonctionnement[Affectation matrice],$A97,Fonctionnement[TVA acquittée])+SUMIF(Invest[Affectation matrice],$A97,Invest[TVA acquittée]))*CT97)</f>
        <v>0</v>
      </c>
      <c r="AU97" s="56">
        <f>IF($C97=Repart_lignes,0,
(SUMIF(Fonctionnement[Affectation matrice],$A97,Fonctionnement[TVA acquittée])+SUMIF(Invest[Affectation matrice],$A97,Invest[TVA acquittée]))*CU97)</f>
        <v>0</v>
      </c>
      <c r="AV97" s="56">
        <f>IF($C97=Repart_lignes,0,
(SUMIF(Fonctionnement[Affectation matrice],$A97,Fonctionnement[TVA acquittée])+SUMIF(Invest[Affectation matrice],$A97,Invest[TVA acquittée]))*CV97)</f>
        <v>0</v>
      </c>
      <c r="AW97" s="56">
        <f>IF($C97=Repart_lignes,0,
(SUMIF(Fonctionnement[Affectation matrice],$A97,Fonctionnement[TVA acquittée])+SUMIF(Invest[Affectation matrice],$A97,Invest[TVA acquittée]))*CW97)</f>
        <v>0</v>
      </c>
      <c r="AX97" s="56">
        <f>IF($C97=Repart_lignes,0,
(SUMIF(Fonctionnement[Affectation matrice],$A97,Fonctionnement[TVA acquittée])+SUMIF(Invest[Affectation matrice],$A97,Invest[TVA acquittée]))*CX97)</f>
        <v>0</v>
      </c>
      <c r="AY97" s="56">
        <f>IF($C97=Repart_lignes,0,
(SUMIF(Fonctionnement[Affectation matrice],$A97,Fonctionnement[TVA acquittée])+SUMIF(Invest[Affectation matrice],$A97,Invest[TVA acquittée]))*CY97)</f>
        <v>0</v>
      </c>
      <c r="AZ97" s="56">
        <f>IF($C97=Repart_lignes,0,
(SUMIF(Fonctionnement[Affectation matrice],$A97,Fonctionnement[TVA acquittée])+SUMIF(Invest[Affectation matrice],$A97,Invest[TVA acquittée]))*CZ97)</f>
        <v>0</v>
      </c>
      <c r="BA97" s="56">
        <f>IF($C97=Repart_lignes,0,
(SUMIF(Fonctionnement[Affectation matrice],$A97,Fonctionnement[TVA acquittée])+SUMIF(Invest[Affectation matrice],$A97,Invest[TVA acquittée]))*DA97)</f>
        <v>0</v>
      </c>
      <c r="BB97" s="56">
        <f>IF($C97=Repart_lignes,0,
(SUMIF(Fonctionnement[Affectation matrice],$A97,Fonctionnement[TVA acquittée])+SUMIF(Invest[Affectation matrice],$A97,Invest[TVA acquittée]))*DB97)</f>
        <v>0</v>
      </c>
      <c r="BC97" s="56">
        <f>IF($C97=Repart_lignes,0,
(SUMIF(Fonctionnement[Affectation matrice],$A97,Fonctionnement[TVA acquittée])+SUMIF(Invest[Affectation matrice],$A97,Invest[TVA acquittée]))*DC97)</f>
        <v>0</v>
      </c>
      <c r="BD97" s="56">
        <f>IF($C97=Repart_lignes,0,
(SUMIF(Fonctionnement[Affectation matrice],$A97,Fonctionnement[TVA acquittée])+SUMIF(Invest[Affectation matrice],$A97,Invest[TVA acquittée]))*DD97)</f>
        <v>0</v>
      </c>
      <c r="BE97" s="58">
        <f t="shared" si="61"/>
        <v>0</v>
      </c>
      <c r="BF97" s="56">
        <f>IF($C97=Repart_lignes,0,
(SUMIF(Fonctionnement[Affectation matrice],$A97,Fonctionnement[Montant (€HT)])+SUMIF(Invest[Affectation matrice],$A97,Invest[Amortissement HT + intérêts]))*CF97)</f>
        <v>0</v>
      </c>
      <c r="BG97" s="56">
        <f>IF($C97=Repart_lignes,0,
(SUMIF(Fonctionnement[Affectation matrice],$A97,Fonctionnement[Montant (€HT)])+SUMIF(Invest[Affectation matrice],$A97,Invest[Amortissement HT + intérêts]))*CG97)</f>
        <v>0</v>
      </c>
      <c r="BH97" s="56">
        <f>IF($C97=Repart_lignes,0,
(SUMIF(Fonctionnement[Affectation matrice],$A97,Fonctionnement[Montant (€HT)])+SUMIF(Invest[Affectation matrice],$A97,Invest[Amortissement HT + intérêts]))*CH97)</f>
        <v>0</v>
      </c>
      <c r="BI97" s="56">
        <f>IF($C97=Repart_lignes,0,
(SUMIF(Fonctionnement[Affectation matrice],$A97,Fonctionnement[Montant (€HT)])+SUMIF(Invest[Affectation matrice],$A97,Invest[Amortissement HT + intérêts]))*CI97)</f>
        <v>0</v>
      </c>
      <c r="BJ97" s="56">
        <f>IF($C97=Repart_lignes,0,
(SUMIF(Fonctionnement[Affectation matrice],$A97,Fonctionnement[Montant (€HT)])+SUMIF(Invest[Affectation matrice],$A97,Invest[Amortissement HT + intérêts]))*CJ97)</f>
        <v>0</v>
      </c>
      <c r="BK97" s="56">
        <f>IF($C97=Repart_lignes,0,
(SUMIF(Fonctionnement[Affectation matrice],$A97,Fonctionnement[Montant (€HT)])+SUMIF(Invest[Affectation matrice],$A97,Invest[Amortissement HT + intérêts]))*CK97)</f>
        <v>0</v>
      </c>
      <c r="BL97" s="56">
        <f>IF($C97=Repart_lignes,0,
(SUMIF(Fonctionnement[Affectation matrice],$A97,Fonctionnement[Montant (€HT)])+SUMIF(Invest[Affectation matrice],$A97,Invest[Amortissement HT + intérêts]))*CL97)</f>
        <v>0</v>
      </c>
      <c r="BM97" s="56">
        <f>IF($C97=Repart_lignes,0,
(SUMIF(Fonctionnement[Affectation matrice],$A97,Fonctionnement[Montant (€HT)])+SUMIF(Invest[Affectation matrice],$A97,Invest[Amortissement HT + intérêts]))*CM97)</f>
        <v>0</v>
      </c>
      <c r="BN97" s="56">
        <f>IF($C97=Repart_lignes,0,
(SUMIF(Fonctionnement[Affectation matrice],$A97,Fonctionnement[Montant (€HT)])+SUMIF(Invest[Affectation matrice],$A97,Invest[Amortissement HT + intérêts]))*CN97)</f>
        <v>0</v>
      </c>
      <c r="BO97" s="56">
        <f>IF($C97=Repart_lignes,0,
(SUMIF(Fonctionnement[Affectation matrice],$A97,Fonctionnement[Montant (€HT)])+SUMIF(Invest[Affectation matrice],$A97,Invest[Amortissement HT + intérêts]))*CO97)</f>
        <v>0</v>
      </c>
      <c r="BP97" s="56">
        <f>IF($C97=Repart_lignes,0,
(SUMIF(Fonctionnement[Affectation matrice],$A97,Fonctionnement[Montant (€HT)])+SUMIF(Invest[Affectation matrice],$A97,Invest[Amortissement HT + intérêts]))*CP97)</f>
        <v>0</v>
      </c>
      <c r="BQ97" s="56">
        <f>IF($C97=Repart_lignes,0,
(SUMIF(Fonctionnement[Affectation matrice],$A97,Fonctionnement[Montant (€HT)])+SUMIF(Invest[Affectation matrice],$A97,Invest[Amortissement HT + intérêts]))*CQ97)</f>
        <v>0</v>
      </c>
      <c r="BR97" s="56">
        <f>IF($C97=Repart_lignes,0,
(SUMIF(Fonctionnement[Affectation matrice],$A97,Fonctionnement[Montant (€HT)])+SUMIF(Invest[Affectation matrice],$A97,Invest[Amortissement HT + intérêts]))*CR97)</f>
        <v>0</v>
      </c>
      <c r="BS97" s="56">
        <f>IF($C97=Repart_lignes,0,
(SUMIF(Fonctionnement[Affectation matrice],$A97,Fonctionnement[Montant (€HT)])+SUMIF(Invest[Affectation matrice],$A97,Invest[Amortissement HT + intérêts]))*CS97)</f>
        <v>0</v>
      </c>
      <c r="BT97" s="56">
        <f>IF($C97=Repart_lignes,0,
(SUMIF(Fonctionnement[Affectation matrice],$A97,Fonctionnement[Montant (€HT)])+SUMIF(Invest[Affectation matrice],$A97,Invest[Amortissement HT + intérêts]))*CT97)</f>
        <v>0</v>
      </c>
      <c r="BU97" s="56">
        <f>IF($C97=Repart_lignes,0,
(SUMIF(Fonctionnement[Affectation matrice],$A97,Fonctionnement[Montant (€HT)])+SUMIF(Invest[Affectation matrice],$A97,Invest[Amortissement HT + intérêts]))*CU97)</f>
        <v>0</v>
      </c>
      <c r="BV97" s="56">
        <f>IF($C97=Repart_lignes,0,
(SUMIF(Fonctionnement[Affectation matrice],$A97,Fonctionnement[Montant (€HT)])+SUMIF(Invest[Affectation matrice],$A97,Invest[Amortissement HT + intérêts]))*CV97)</f>
        <v>0</v>
      </c>
      <c r="BW97" s="56">
        <f>IF($C97=Repart_lignes,0,
(SUMIF(Fonctionnement[Affectation matrice],$A97,Fonctionnement[Montant (€HT)])+SUMIF(Invest[Affectation matrice],$A97,Invest[Amortissement HT + intérêts]))*CW97)</f>
        <v>0</v>
      </c>
      <c r="BX97" s="56">
        <f>IF($C97=Repart_lignes,0,
(SUMIF(Fonctionnement[Affectation matrice],$A97,Fonctionnement[Montant (€HT)])+SUMIF(Invest[Affectation matrice],$A97,Invest[Amortissement HT + intérêts]))*CX97)</f>
        <v>0</v>
      </c>
      <c r="BY97" s="56">
        <f>IF($C97=Repart_lignes,0,
(SUMIF(Fonctionnement[Affectation matrice],$A97,Fonctionnement[Montant (€HT)])+SUMIF(Invest[Affectation matrice],$A97,Invest[Amortissement HT + intérêts]))*CY97)</f>
        <v>0</v>
      </c>
      <c r="BZ97" s="56">
        <f>IF($C97=Repart_lignes,0,
(SUMIF(Fonctionnement[Affectation matrice],$A97,Fonctionnement[Montant (€HT)])+SUMIF(Invest[Affectation matrice],$A97,Invest[Amortissement HT + intérêts]))*CZ97)</f>
        <v>0</v>
      </c>
      <c r="CA97" s="56">
        <f>IF($C97=Repart_lignes,0,
(SUMIF(Fonctionnement[Affectation matrice],$A97,Fonctionnement[Montant (€HT)])+SUMIF(Invest[Affectation matrice],$A97,Invest[Amortissement HT + intérêts]))*DA97)</f>
        <v>0</v>
      </c>
      <c r="CB97" s="56">
        <f>IF($C97=Repart_lignes,0,
(SUMIF(Fonctionnement[Affectation matrice],$A97,Fonctionnement[Montant (€HT)])+SUMIF(Invest[Affectation matrice],$A97,Invest[Amortissement HT + intérêts]))*DB97)</f>
        <v>0</v>
      </c>
      <c r="CC97" s="56">
        <f>IF($C97=Repart_lignes,0,
(SUMIF(Fonctionnement[Affectation matrice],$A97,Fonctionnement[Montant (€HT)])+SUMIF(Invest[Affectation matrice],$A97,Invest[Amortissement HT + intérêts]))*DC97)</f>
        <v>0</v>
      </c>
      <c r="CD97" s="56">
        <f>IF($C97=Repart_lignes,0,
(SUMIF(Fonctionnement[Affectation matrice],$A97,Fonctionnement[Montant (€HT)])+SUMIF(Invest[Affectation matrice],$A97,Invest[Amortissement HT + intérêts]))*DD97)</f>
        <v>0</v>
      </c>
      <c r="CE97" s="59">
        <f t="shared" si="62"/>
        <v>0</v>
      </c>
      <c r="CF97" s="61">
        <f t="shared" si="63"/>
        <v>0</v>
      </c>
      <c r="CG97" s="61">
        <f t="shared" si="64"/>
        <v>0</v>
      </c>
      <c r="CH97" s="61">
        <f t="shared" si="65"/>
        <v>0</v>
      </c>
      <c r="CI97" s="61">
        <f t="shared" si="66"/>
        <v>0</v>
      </c>
      <c r="CJ97" s="61">
        <f t="shared" si="67"/>
        <v>0</v>
      </c>
      <c r="CK97" s="61">
        <f t="shared" si="68"/>
        <v>0</v>
      </c>
      <c r="CL97" s="61">
        <f t="shared" si="69"/>
        <v>0</v>
      </c>
      <c r="CM97" s="61">
        <f t="shared" si="70"/>
        <v>0</v>
      </c>
      <c r="CN97" s="61">
        <f t="shared" si="71"/>
        <v>0</v>
      </c>
      <c r="CO97" s="61">
        <f t="shared" si="72"/>
        <v>0</v>
      </c>
      <c r="CP97" s="61">
        <f t="shared" si="73"/>
        <v>0</v>
      </c>
      <c r="CQ97" s="61">
        <f t="shared" si="74"/>
        <v>0</v>
      </c>
      <c r="CR97" s="61">
        <f t="shared" si="75"/>
        <v>0</v>
      </c>
      <c r="CS97" s="61">
        <f t="shared" si="76"/>
        <v>0</v>
      </c>
      <c r="CT97" s="61">
        <f t="shared" si="77"/>
        <v>0</v>
      </c>
      <c r="CU97" s="61">
        <f t="shared" si="78"/>
        <v>0</v>
      </c>
      <c r="CV97" s="61">
        <f t="shared" si="79"/>
        <v>0</v>
      </c>
      <c r="CW97" s="61">
        <f t="shared" si="80"/>
        <v>0</v>
      </c>
      <c r="CX97" s="61">
        <f t="shared" si="81"/>
        <v>0</v>
      </c>
      <c r="CY97" s="61">
        <f t="shared" si="82"/>
        <v>0</v>
      </c>
      <c r="CZ97" s="61">
        <f t="shared" si="83"/>
        <v>0</v>
      </c>
      <c r="DA97" s="61">
        <f t="shared" si="84"/>
        <v>0</v>
      </c>
      <c r="DB97" s="61">
        <f t="shared" si="85"/>
        <v>0</v>
      </c>
      <c r="DC97" s="61">
        <f t="shared" si="86"/>
        <v>0</v>
      </c>
      <c r="DD97" s="61">
        <f t="shared" si="87"/>
        <v>0</v>
      </c>
      <c r="DE97" s="61">
        <f t="shared" si="88"/>
        <v>0</v>
      </c>
    </row>
    <row r="98" spans="1:109" x14ac:dyDescent="0.25">
      <c r="A98" s="248"/>
      <c r="B98" s="248"/>
      <c r="C98" s="251"/>
      <c r="D98" s="25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1">
        <f t="shared" si="60"/>
        <v>0</v>
      </c>
      <c r="AE98" s="53" t="str">
        <f t="shared" ca="1" si="89"/>
        <v/>
      </c>
      <c r="AF98" s="56">
        <f>IF($C98=Repart_lignes,0,
(SUMIF(Fonctionnement[Affectation matrice],$A98,Fonctionnement[TVA acquittée])+SUMIF(Invest[Affectation matrice],$A98,Invest[TVA acquittée]))*CF98)</f>
        <v>0</v>
      </c>
      <c r="AG98" s="56">
        <f>IF($C98=Repart_lignes,0,
(SUMIF(Fonctionnement[Affectation matrice],$A98,Fonctionnement[TVA acquittée])+SUMIF(Invest[Affectation matrice],$A98,Invest[TVA acquittée]))*CG98)</f>
        <v>0</v>
      </c>
      <c r="AH98" s="56">
        <f>IF($C98=Repart_lignes,0,
(SUMIF(Fonctionnement[Affectation matrice],$A98,Fonctionnement[TVA acquittée])+SUMIF(Invest[Affectation matrice],$A98,Invest[TVA acquittée]))*CH98)</f>
        <v>0</v>
      </c>
      <c r="AI98" s="56">
        <f>IF($C98=Repart_lignes,0,
(SUMIF(Fonctionnement[Affectation matrice],$A98,Fonctionnement[TVA acquittée])+SUMIF(Invest[Affectation matrice],$A98,Invest[TVA acquittée]))*CI98)</f>
        <v>0</v>
      </c>
      <c r="AJ98" s="56">
        <f>IF($C98=Repart_lignes,0,
(SUMIF(Fonctionnement[Affectation matrice],$A98,Fonctionnement[TVA acquittée])+SUMIF(Invest[Affectation matrice],$A98,Invest[TVA acquittée]))*CJ98)</f>
        <v>0</v>
      </c>
      <c r="AK98" s="56">
        <f>IF($C98=Repart_lignes,0,
(SUMIF(Fonctionnement[Affectation matrice],$A98,Fonctionnement[TVA acquittée])+SUMIF(Invest[Affectation matrice],$A98,Invest[TVA acquittée]))*CK98)</f>
        <v>0</v>
      </c>
      <c r="AL98" s="56">
        <f>IF($C98=Repart_lignes,0,
(SUMIF(Fonctionnement[Affectation matrice],$A98,Fonctionnement[TVA acquittée])+SUMIF(Invest[Affectation matrice],$A98,Invest[TVA acquittée]))*CL98)</f>
        <v>0</v>
      </c>
      <c r="AM98" s="56">
        <f>IF($C98=Repart_lignes,0,
(SUMIF(Fonctionnement[Affectation matrice],$A98,Fonctionnement[TVA acquittée])+SUMIF(Invest[Affectation matrice],$A98,Invest[TVA acquittée]))*CM98)</f>
        <v>0</v>
      </c>
      <c r="AN98" s="56">
        <f>IF($C98=Repart_lignes,0,
(SUMIF(Fonctionnement[Affectation matrice],$A98,Fonctionnement[TVA acquittée])+SUMIF(Invest[Affectation matrice],$A98,Invest[TVA acquittée]))*CN98)</f>
        <v>0</v>
      </c>
      <c r="AO98" s="56">
        <f>IF($C98=Repart_lignes,0,
(SUMIF(Fonctionnement[Affectation matrice],$A98,Fonctionnement[TVA acquittée])+SUMIF(Invest[Affectation matrice],$A98,Invest[TVA acquittée]))*CO98)</f>
        <v>0</v>
      </c>
      <c r="AP98" s="56">
        <f>IF($C98=Repart_lignes,0,
(SUMIF(Fonctionnement[Affectation matrice],$A98,Fonctionnement[TVA acquittée])+SUMIF(Invest[Affectation matrice],$A98,Invest[TVA acquittée]))*CP98)</f>
        <v>0</v>
      </c>
      <c r="AQ98" s="56">
        <f>IF($C98=Repart_lignes,0,
(SUMIF(Fonctionnement[Affectation matrice],$A98,Fonctionnement[TVA acquittée])+SUMIF(Invest[Affectation matrice],$A98,Invest[TVA acquittée]))*CQ98)</f>
        <v>0</v>
      </c>
      <c r="AR98" s="56">
        <f>IF($C98=Repart_lignes,0,
(SUMIF(Fonctionnement[Affectation matrice],$A98,Fonctionnement[TVA acquittée])+SUMIF(Invest[Affectation matrice],$A98,Invest[TVA acquittée]))*CR98)</f>
        <v>0</v>
      </c>
      <c r="AS98" s="56">
        <f>IF($C98=Repart_lignes,0,
(SUMIF(Fonctionnement[Affectation matrice],$A98,Fonctionnement[TVA acquittée])+SUMIF(Invest[Affectation matrice],$A98,Invest[TVA acquittée]))*CS98)</f>
        <v>0</v>
      </c>
      <c r="AT98" s="56">
        <f>IF($C98=Repart_lignes,0,
(SUMIF(Fonctionnement[Affectation matrice],$A98,Fonctionnement[TVA acquittée])+SUMIF(Invest[Affectation matrice],$A98,Invest[TVA acquittée]))*CT98)</f>
        <v>0</v>
      </c>
      <c r="AU98" s="56">
        <f>IF($C98=Repart_lignes,0,
(SUMIF(Fonctionnement[Affectation matrice],$A98,Fonctionnement[TVA acquittée])+SUMIF(Invest[Affectation matrice],$A98,Invest[TVA acquittée]))*CU98)</f>
        <v>0</v>
      </c>
      <c r="AV98" s="56">
        <f>IF($C98=Repart_lignes,0,
(SUMIF(Fonctionnement[Affectation matrice],$A98,Fonctionnement[TVA acquittée])+SUMIF(Invest[Affectation matrice],$A98,Invest[TVA acquittée]))*CV98)</f>
        <v>0</v>
      </c>
      <c r="AW98" s="56">
        <f>IF($C98=Repart_lignes,0,
(SUMIF(Fonctionnement[Affectation matrice],$A98,Fonctionnement[TVA acquittée])+SUMIF(Invest[Affectation matrice],$A98,Invest[TVA acquittée]))*CW98)</f>
        <v>0</v>
      </c>
      <c r="AX98" s="56">
        <f>IF($C98=Repart_lignes,0,
(SUMIF(Fonctionnement[Affectation matrice],$A98,Fonctionnement[TVA acquittée])+SUMIF(Invest[Affectation matrice],$A98,Invest[TVA acquittée]))*CX98)</f>
        <v>0</v>
      </c>
      <c r="AY98" s="56">
        <f>IF($C98=Repart_lignes,0,
(SUMIF(Fonctionnement[Affectation matrice],$A98,Fonctionnement[TVA acquittée])+SUMIF(Invest[Affectation matrice],$A98,Invest[TVA acquittée]))*CY98)</f>
        <v>0</v>
      </c>
      <c r="AZ98" s="56">
        <f>IF($C98=Repart_lignes,0,
(SUMIF(Fonctionnement[Affectation matrice],$A98,Fonctionnement[TVA acquittée])+SUMIF(Invest[Affectation matrice],$A98,Invest[TVA acquittée]))*CZ98)</f>
        <v>0</v>
      </c>
      <c r="BA98" s="56">
        <f>IF($C98=Repart_lignes,0,
(SUMIF(Fonctionnement[Affectation matrice],$A98,Fonctionnement[TVA acquittée])+SUMIF(Invest[Affectation matrice],$A98,Invest[TVA acquittée]))*DA98)</f>
        <v>0</v>
      </c>
      <c r="BB98" s="56">
        <f>IF($C98=Repart_lignes,0,
(SUMIF(Fonctionnement[Affectation matrice],$A98,Fonctionnement[TVA acquittée])+SUMIF(Invest[Affectation matrice],$A98,Invest[TVA acquittée]))*DB98)</f>
        <v>0</v>
      </c>
      <c r="BC98" s="56">
        <f>IF($C98=Repart_lignes,0,
(SUMIF(Fonctionnement[Affectation matrice],$A98,Fonctionnement[TVA acquittée])+SUMIF(Invest[Affectation matrice],$A98,Invest[TVA acquittée]))*DC98)</f>
        <v>0</v>
      </c>
      <c r="BD98" s="56">
        <f>IF($C98=Repart_lignes,0,
(SUMIF(Fonctionnement[Affectation matrice],$A98,Fonctionnement[TVA acquittée])+SUMIF(Invest[Affectation matrice],$A98,Invest[TVA acquittée]))*DD98)</f>
        <v>0</v>
      </c>
      <c r="BE98" s="58">
        <f t="shared" si="61"/>
        <v>0</v>
      </c>
      <c r="BF98" s="56">
        <f>IF($C98=Repart_lignes,0,
(SUMIF(Fonctionnement[Affectation matrice],$A98,Fonctionnement[Montant (€HT)])+SUMIF(Invest[Affectation matrice],$A98,Invest[Amortissement HT + intérêts]))*CF98)</f>
        <v>0</v>
      </c>
      <c r="BG98" s="56">
        <f>IF($C98=Repart_lignes,0,
(SUMIF(Fonctionnement[Affectation matrice],$A98,Fonctionnement[Montant (€HT)])+SUMIF(Invest[Affectation matrice],$A98,Invest[Amortissement HT + intérêts]))*CG98)</f>
        <v>0</v>
      </c>
      <c r="BH98" s="56">
        <f>IF($C98=Repart_lignes,0,
(SUMIF(Fonctionnement[Affectation matrice],$A98,Fonctionnement[Montant (€HT)])+SUMIF(Invest[Affectation matrice],$A98,Invest[Amortissement HT + intérêts]))*CH98)</f>
        <v>0</v>
      </c>
      <c r="BI98" s="56">
        <f>IF($C98=Repart_lignes,0,
(SUMIF(Fonctionnement[Affectation matrice],$A98,Fonctionnement[Montant (€HT)])+SUMIF(Invest[Affectation matrice],$A98,Invest[Amortissement HT + intérêts]))*CI98)</f>
        <v>0</v>
      </c>
      <c r="BJ98" s="56">
        <f>IF($C98=Repart_lignes,0,
(SUMIF(Fonctionnement[Affectation matrice],$A98,Fonctionnement[Montant (€HT)])+SUMIF(Invest[Affectation matrice],$A98,Invest[Amortissement HT + intérêts]))*CJ98)</f>
        <v>0</v>
      </c>
      <c r="BK98" s="56">
        <f>IF($C98=Repart_lignes,0,
(SUMIF(Fonctionnement[Affectation matrice],$A98,Fonctionnement[Montant (€HT)])+SUMIF(Invest[Affectation matrice],$A98,Invest[Amortissement HT + intérêts]))*CK98)</f>
        <v>0</v>
      </c>
      <c r="BL98" s="56">
        <f>IF($C98=Repart_lignes,0,
(SUMIF(Fonctionnement[Affectation matrice],$A98,Fonctionnement[Montant (€HT)])+SUMIF(Invest[Affectation matrice],$A98,Invest[Amortissement HT + intérêts]))*CL98)</f>
        <v>0</v>
      </c>
      <c r="BM98" s="56">
        <f>IF($C98=Repart_lignes,0,
(SUMIF(Fonctionnement[Affectation matrice],$A98,Fonctionnement[Montant (€HT)])+SUMIF(Invest[Affectation matrice],$A98,Invest[Amortissement HT + intérêts]))*CM98)</f>
        <v>0</v>
      </c>
      <c r="BN98" s="56">
        <f>IF($C98=Repart_lignes,0,
(SUMIF(Fonctionnement[Affectation matrice],$A98,Fonctionnement[Montant (€HT)])+SUMIF(Invest[Affectation matrice],$A98,Invest[Amortissement HT + intérêts]))*CN98)</f>
        <v>0</v>
      </c>
      <c r="BO98" s="56">
        <f>IF($C98=Repart_lignes,0,
(SUMIF(Fonctionnement[Affectation matrice],$A98,Fonctionnement[Montant (€HT)])+SUMIF(Invest[Affectation matrice],$A98,Invest[Amortissement HT + intérêts]))*CO98)</f>
        <v>0</v>
      </c>
      <c r="BP98" s="56">
        <f>IF($C98=Repart_lignes,0,
(SUMIF(Fonctionnement[Affectation matrice],$A98,Fonctionnement[Montant (€HT)])+SUMIF(Invest[Affectation matrice],$A98,Invest[Amortissement HT + intérêts]))*CP98)</f>
        <v>0</v>
      </c>
      <c r="BQ98" s="56">
        <f>IF($C98=Repart_lignes,0,
(SUMIF(Fonctionnement[Affectation matrice],$A98,Fonctionnement[Montant (€HT)])+SUMIF(Invest[Affectation matrice],$A98,Invest[Amortissement HT + intérêts]))*CQ98)</f>
        <v>0</v>
      </c>
      <c r="BR98" s="56">
        <f>IF($C98=Repart_lignes,0,
(SUMIF(Fonctionnement[Affectation matrice],$A98,Fonctionnement[Montant (€HT)])+SUMIF(Invest[Affectation matrice],$A98,Invest[Amortissement HT + intérêts]))*CR98)</f>
        <v>0</v>
      </c>
      <c r="BS98" s="56">
        <f>IF($C98=Repart_lignes,0,
(SUMIF(Fonctionnement[Affectation matrice],$A98,Fonctionnement[Montant (€HT)])+SUMIF(Invest[Affectation matrice],$A98,Invest[Amortissement HT + intérêts]))*CS98)</f>
        <v>0</v>
      </c>
      <c r="BT98" s="56">
        <f>IF($C98=Repart_lignes,0,
(SUMIF(Fonctionnement[Affectation matrice],$A98,Fonctionnement[Montant (€HT)])+SUMIF(Invest[Affectation matrice],$A98,Invest[Amortissement HT + intérêts]))*CT98)</f>
        <v>0</v>
      </c>
      <c r="BU98" s="56">
        <f>IF($C98=Repart_lignes,0,
(SUMIF(Fonctionnement[Affectation matrice],$A98,Fonctionnement[Montant (€HT)])+SUMIF(Invest[Affectation matrice],$A98,Invest[Amortissement HT + intérêts]))*CU98)</f>
        <v>0</v>
      </c>
      <c r="BV98" s="56">
        <f>IF($C98=Repart_lignes,0,
(SUMIF(Fonctionnement[Affectation matrice],$A98,Fonctionnement[Montant (€HT)])+SUMIF(Invest[Affectation matrice],$A98,Invest[Amortissement HT + intérêts]))*CV98)</f>
        <v>0</v>
      </c>
      <c r="BW98" s="56">
        <f>IF($C98=Repart_lignes,0,
(SUMIF(Fonctionnement[Affectation matrice],$A98,Fonctionnement[Montant (€HT)])+SUMIF(Invest[Affectation matrice],$A98,Invest[Amortissement HT + intérêts]))*CW98)</f>
        <v>0</v>
      </c>
      <c r="BX98" s="56">
        <f>IF($C98=Repart_lignes,0,
(SUMIF(Fonctionnement[Affectation matrice],$A98,Fonctionnement[Montant (€HT)])+SUMIF(Invest[Affectation matrice],$A98,Invest[Amortissement HT + intérêts]))*CX98)</f>
        <v>0</v>
      </c>
      <c r="BY98" s="56">
        <f>IF($C98=Repart_lignes,0,
(SUMIF(Fonctionnement[Affectation matrice],$A98,Fonctionnement[Montant (€HT)])+SUMIF(Invest[Affectation matrice],$A98,Invest[Amortissement HT + intérêts]))*CY98)</f>
        <v>0</v>
      </c>
      <c r="BZ98" s="56">
        <f>IF($C98=Repart_lignes,0,
(SUMIF(Fonctionnement[Affectation matrice],$A98,Fonctionnement[Montant (€HT)])+SUMIF(Invest[Affectation matrice],$A98,Invest[Amortissement HT + intérêts]))*CZ98)</f>
        <v>0</v>
      </c>
      <c r="CA98" s="56">
        <f>IF($C98=Repart_lignes,0,
(SUMIF(Fonctionnement[Affectation matrice],$A98,Fonctionnement[Montant (€HT)])+SUMIF(Invest[Affectation matrice],$A98,Invest[Amortissement HT + intérêts]))*DA98)</f>
        <v>0</v>
      </c>
      <c r="CB98" s="56">
        <f>IF($C98=Repart_lignes,0,
(SUMIF(Fonctionnement[Affectation matrice],$A98,Fonctionnement[Montant (€HT)])+SUMIF(Invest[Affectation matrice],$A98,Invest[Amortissement HT + intérêts]))*DB98)</f>
        <v>0</v>
      </c>
      <c r="CC98" s="56">
        <f>IF($C98=Repart_lignes,0,
(SUMIF(Fonctionnement[Affectation matrice],$A98,Fonctionnement[Montant (€HT)])+SUMIF(Invest[Affectation matrice],$A98,Invest[Amortissement HT + intérêts]))*DC98)</f>
        <v>0</v>
      </c>
      <c r="CD98" s="56">
        <f>IF($C98=Repart_lignes,0,
(SUMIF(Fonctionnement[Affectation matrice],$A98,Fonctionnement[Montant (€HT)])+SUMIF(Invest[Affectation matrice],$A98,Invest[Amortissement HT + intérêts]))*DD98)</f>
        <v>0</v>
      </c>
      <c r="CE98" s="59">
        <f t="shared" si="62"/>
        <v>0</v>
      </c>
      <c r="CF98" s="61">
        <f t="shared" si="63"/>
        <v>0</v>
      </c>
      <c r="CG98" s="61">
        <f t="shared" si="64"/>
        <v>0</v>
      </c>
      <c r="CH98" s="61">
        <f t="shared" si="65"/>
        <v>0</v>
      </c>
      <c r="CI98" s="61">
        <f t="shared" si="66"/>
        <v>0</v>
      </c>
      <c r="CJ98" s="61">
        <f t="shared" si="67"/>
        <v>0</v>
      </c>
      <c r="CK98" s="61">
        <f t="shared" si="68"/>
        <v>0</v>
      </c>
      <c r="CL98" s="61">
        <f t="shared" si="69"/>
        <v>0</v>
      </c>
      <c r="CM98" s="61">
        <f t="shared" si="70"/>
        <v>0</v>
      </c>
      <c r="CN98" s="61">
        <f t="shared" si="71"/>
        <v>0</v>
      </c>
      <c r="CO98" s="61">
        <f t="shared" si="72"/>
        <v>0</v>
      </c>
      <c r="CP98" s="61">
        <f t="shared" si="73"/>
        <v>0</v>
      </c>
      <c r="CQ98" s="61">
        <f t="shared" si="74"/>
        <v>0</v>
      </c>
      <c r="CR98" s="61">
        <f t="shared" si="75"/>
        <v>0</v>
      </c>
      <c r="CS98" s="61">
        <f t="shared" si="76"/>
        <v>0</v>
      </c>
      <c r="CT98" s="61">
        <f t="shared" si="77"/>
        <v>0</v>
      </c>
      <c r="CU98" s="61">
        <f t="shared" si="78"/>
        <v>0</v>
      </c>
      <c r="CV98" s="61">
        <f t="shared" si="79"/>
        <v>0</v>
      </c>
      <c r="CW98" s="61">
        <f t="shared" si="80"/>
        <v>0</v>
      </c>
      <c r="CX98" s="61">
        <f t="shared" si="81"/>
        <v>0</v>
      </c>
      <c r="CY98" s="61">
        <f t="shared" si="82"/>
        <v>0</v>
      </c>
      <c r="CZ98" s="61">
        <f t="shared" si="83"/>
        <v>0</v>
      </c>
      <c r="DA98" s="61">
        <f t="shared" si="84"/>
        <v>0</v>
      </c>
      <c r="DB98" s="61">
        <f t="shared" si="85"/>
        <v>0</v>
      </c>
      <c r="DC98" s="61">
        <f t="shared" si="86"/>
        <v>0</v>
      </c>
      <c r="DD98" s="61">
        <f t="shared" si="87"/>
        <v>0</v>
      </c>
      <c r="DE98" s="61">
        <f t="shared" si="88"/>
        <v>0</v>
      </c>
    </row>
    <row r="99" spans="1:109" x14ac:dyDescent="0.25">
      <c r="A99" s="248"/>
      <c r="B99" s="248"/>
      <c r="C99" s="252"/>
      <c r="D99" s="25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1">
        <f t="shared" si="60"/>
        <v>0</v>
      </c>
      <c r="AE99" s="53" t="str">
        <f t="shared" ca="1" si="89"/>
        <v/>
      </c>
      <c r="AF99" s="56">
        <f>IF($C99=Repart_lignes,0,
(SUMIF(Fonctionnement[Affectation matrice],$A99,Fonctionnement[TVA acquittée])+SUMIF(Invest[Affectation matrice],$A99,Invest[TVA acquittée]))*CF99)</f>
        <v>0</v>
      </c>
      <c r="AG99" s="56">
        <f>IF($C99=Repart_lignes,0,
(SUMIF(Fonctionnement[Affectation matrice],$A99,Fonctionnement[TVA acquittée])+SUMIF(Invest[Affectation matrice],$A99,Invest[TVA acquittée]))*CG99)</f>
        <v>0</v>
      </c>
      <c r="AH99" s="56">
        <f>IF($C99=Repart_lignes,0,
(SUMIF(Fonctionnement[Affectation matrice],$A99,Fonctionnement[TVA acquittée])+SUMIF(Invest[Affectation matrice],$A99,Invest[TVA acquittée]))*CH99)</f>
        <v>0</v>
      </c>
      <c r="AI99" s="56">
        <f>IF($C99=Repart_lignes,0,
(SUMIF(Fonctionnement[Affectation matrice],$A99,Fonctionnement[TVA acquittée])+SUMIF(Invest[Affectation matrice],$A99,Invest[TVA acquittée]))*CI99)</f>
        <v>0</v>
      </c>
      <c r="AJ99" s="56">
        <f>IF($C99=Repart_lignes,0,
(SUMIF(Fonctionnement[Affectation matrice],$A99,Fonctionnement[TVA acquittée])+SUMIF(Invest[Affectation matrice],$A99,Invest[TVA acquittée]))*CJ99)</f>
        <v>0</v>
      </c>
      <c r="AK99" s="56">
        <f>IF($C99=Repart_lignes,0,
(SUMIF(Fonctionnement[Affectation matrice],$A99,Fonctionnement[TVA acquittée])+SUMIF(Invest[Affectation matrice],$A99,Invest[TVA acquittée]))*CK99)</f>
        <v>0</v>
      </c>
      <c r="AL99" s="56">
        <f>IF($C99=Repart_lignes,0,
(SUMIF(Fonctionnement[Affectation matrice],$A99,Fonctionnement[TVA acquittée])+SUMIF(Invest[Affectation matrice],$A99,Invest[TVA acquittée]))*CL99)</f>
        <v>0</v>
      </c>
      <c r="AM99" s="56">
        <f>IF($C99=Repart_lignes,0,
(SUMIF(Fonctionnement[Affectation matrice],$A99,Fonctionnement[TVA acquittée])+SUMIF(Invest[Affectation matrice],$A99,Invest[TVA acquittée]))*CM99)</f>
        <v>0</v>
      </c>
      <c r="AN99" s="56">
        <f>IF($C99=Repart_lignes,0,
(SUMIF(Fonctionnement[Affectation matrice],$A99,Fonctionnement[TVA acquittée])+SUMIF(Invest[Affectation matrice],$A99,Invest[TVA acquittée]))*CN99)</f>
        <v>0</v>
      </c>
      <c r="AO99" s="56">
        <f>IF($C99=Repart_lignes,0,
(SUMIF(Fonctionnement[Affectation matrice],$A99,Fonctionnement[TVA acquittée])+SUMIF(Invest[Affectation matrice],$A99,Invest[TVA acquittée]))*CO99)</f>
        <v>0</v>
      </c>
      <c r="AP99" s="56">
        <f>IF($C99=Repart_lignes,0,
(SUMIF(Fonctionnement[Affectation matrice],$A99,Fonctionnement[TVA acquittée])+SUMIF(Invest[Affectation matrice],$A99,Invest[TVA acquittée]))*CP99)</f>
        <v>0</v>
      </c>
      <c r="AQ99" s="56">
        <f>IF($C99=Repart_lignes,0,
(SUMIF(Fonctionnement[Affectation matrice],$A99,Fonctionnement[TVA acquittée])+SUMIF(Invest[Affectation matrice],$A99,Invest[TVA acquittée]))*CQ99)</f>
        <v>0</v>
      </c>
      <c r="AR99" s="56">
        <f>IF($C99=Repart_lignes,0,
(SUMIF(Fonctionnement[Affectation matrice],$A99,Fonctionnement[TVA acquittée])+SUMIF(Invest[Affectation matrice],$A99,Invest[TVA acquittée]))*CR99)</f>
        <v>0</v>
      </c>
      <c r="AS99" s="56">
        <f>IF($C99=Repart_lignes,0,
(SUMIF(Fonctionnement[Affectation matrice],$A99,Fonctionnement[TVA acquittée])+SUMIF(Invest[Affectation matrice],$A99,Invest[TVA acquittée]))*CS99)</f>
        <v>0</v>
      </c>
      <c r="AT99" s="56">
        <f>IF($C99=Repart_lignes,0,
(SUMIF(Fonctionnement[Affectation matrice],$A99,Fonctionnement[TVA acquittée])+SUMIF(Invest[Affectation matrice],$A99,Invest[TVA acquittée]))*CT99)</f>
        <v>0</v>
      </c>
      <c r="AU99" s="56">
        <f>IF($C99=Repart_lignes,0,
(SUMIF(Fonctionnement[Affectation matrice],$A99,Fonctionnement[TVA acquittée])+SUMIF(Invest[Affectation matrice],$A99,Invest[TVA acquittée]))*CU99)</f>
        <v>0</v>
      </c>
      <c r="AV99" s="56">
        <f>IF($C99=Repart_lignes,0,
(SUMIF(Fonctionnement[Affectation matrice],$A99,Fonctionnement[TVA acquittée])+SUMIF(Invest[Affectation matrice],$A99,Invest[TVA acquittée]))*CV99)</f>
        <v>0</v>
      </c>
      <c r="AW99" s="56">
        <f>IF($C99=Repart_lignes,0,
(SUMIF(Fonctionnement[Affectation matrice],$A99,Fonctionnement[TVA acquittée])+SUMIF(Invest[Affectation matrice],$A99,Invest[TVA acquittée]))*CW99)</f>
        <v>0</v>
      </c>
      <c r="AX99" s="56">
        <f>IF($C99=Repart_lignes,0,
(SUMIF(Fonctionnement[Affectation matrice],$A99,Fonctionnement[TVA acquittée])+SUMIF(Invest[Affectation matrice],$A99,Invest[TVA acquittée]))*CX99)</f>
        <v>0</v>
      </c>
      <c r="AY99" s="56">
        <f>IF($C99=Repart_lignes,0,
(SUMIF(Fonctionnement[Affectation matrice],$A99,Fonctionnement[TVA acquittée])+SUMIF(Invest[Affectation matrice],$A99,Invest[TVA acquittée]))*CY99)</f>
        <v>0</v>
      </c>
      <c r="AZ99" s="56">
        <f>IF($C99=Repart_lignes,0,
(SUMIF(Fonctionnement[Affectation matrice],$A99,Fonctionnement[TVA acquittée])+SUMIF(Invest[Affectation matrice],$A99,Invest[TVA acquittée]))*CZ99)</f>
        <v>0</v>
      </c>
      <c r="BA99" s="56">
        <f>IF($C99=Repart_lignes,0,
(SUMIF(Fonctionnement[Affectation matrice],$A99,Fonctionnement[TVA acquittée])+SUMIF(Invest[Affectation matrice],$A99,Invest[TVA acquittée]))*DA99)</f>
        <v>0</v>
      </c>
      <c r="BB99" s="56">
        <f>IF($C99=Repart_lignes,0,
(SUMIF(Fonctionnement[Affectation matrice],$A99,Fonctionnement[TVA acquittée])+SUMIF(Invest[Affectation matrice],$A99,Invest[TVA acquittée]))*DB99)</f>
        <v>0</v>
      </c>
      <c r="BC99" s="56">
        <f>IF($C99=Repart_lignes,0,
(SUMIF(Fonctionnement[Affectation matrice],$A99,Fonctionnement[TVA acquittée])+SUMIF(Invest[Affectation matrice],$A99,Invest[TVA acquittée]))*DC99)</f>
        <v>0</v>
      </c>
      <c r="BD99" s="56">
        <f>IF($C99=Repart_lignes,0,
(SUMIF(Fonctionnement[Affectation matrice],$A99,Fonctionnement[TVA acquittée])+SUMIF(Invest[Affectation matrice],$A99,Invest[TVA acquittée]))*DD99)</f>
        <v>0</v>
      </c>
      <c r="BE99" s="58">
        <f t="shared" si="61"/>
        <v>0</v>
      </c>
      <c r="BF99" s="56">
        <f>IF($C99=Repart_lignes,0,
(SUMIF(Fonctionnement[Affectation matrice],$A99,Fonctionnement[Montant (€HT)])+SUMIF(Invest[Affectation matrice],$A99,Invest[Amortissement HT + intérêts]))*CF99)</f>
        <v>0</v>
      </c>
      <c r="BG99" s="56">
        <f>IF($C99=Repart_lignes,0,
(SUMIF(Fonctionnement[Affectation matrice],$A99,Fonctionnement[Montant (€HT)])+SUMIF(Invest[Affectation matrice],$A99,Invest[Amortissement HT + intérêts]))*CG99)</f>
        <v>0</v>
      </c>
      <c r="BH99" s="56">
        <f>IF($C99=Repart_lignes,0,
(SUMIF(Fonctionnement[Affectation matrice],$A99,Fonctionnement[Montant (€HT)])+SUMIF(Invest[Affectation matrice],$A99,Invest[Amortissement HT + intérêts]))*CH99)</f>
        <v>0</v>
      </c>
      <c r="BI99" s="56">
        <f>IF($C99=Repart_lignes,0,
(SUMIF(Fonctionnement[Affectation matrice],$A99,Fonctionnement[Montant (€HT)])+SUMIF(Invest[Affectation matrice],$A99,Invest[Amortissement HT + intérêts]))*CI99)</f>
        <v>0</v>
      </c>
      <c r="BJ99" s="56">
        <f>IF($C99=Repart_lignes,0,
(SUMIF(Fonctionnement[Affectation matrice],$A99,Fonctionnement[Montant (€HT)])+SUMIF(Invest[Affectation matrice],$A99,Invest[Amortissement HT + intérêts]))*CJ99)</f>
        <v>0</v>
      </c>
      <c r="BK99" s="56">
        <f>IF($C99=Repart_lignes,0,
(SUMIF(Fonctionnement[Affectation matrice],$A99,Fonctionnement[Montant (€HT)])+SUMIF(Invest[Affectation matrice],$A99,Invest[Amortissement HT + intérêts]))*CK99)</f>
        <v>0</v>
      </c>
      <c r="BL99" s="56">
        <f>IF($C99=Repart_lignes,0,
(SUMIF(Fonctionnement[Affectation matrice],$A99,Fonctionnement[Montant (€HT)])+SUMIF(Invest[Affectation matrice],$A99,Invest[Amortissement HT + intérêts]))*CL99)</f>
        <v>0</v>
      </c>
      <c r="BM99" s="56">
        <f>IF($C99=Repart_lignes,0,
(SUMIF(Fonctionnement[Affectation matrice],$A99,Fonctionnement[Montant (€HT)])+SUMIF(Invest[Affectation matrice],$A99,Invest[Amortissement HT + intérêts]))*CM99)</f>
        <v>0</v>
      </c>
      <c r="BN99" s="56">
        <f>IF($C99=Repart_lignes,0,
(SUMIF(Fonctionnement[Affectation matrice],$A99,Fonctionnement[Montant (€HT)])+SUMIF(Invest[Affectation matrice],$A99,Invest[Amortissement HT + intérêts]))*CN99)</f>
        <v>0</v>
      </c>
      <c r="BO99" s="56">
        <f>IF($C99=Repart_lignes,0,
(SUMIF(Fonctionnement[Affectation matrice],$A99,Fonctionnement[Montant (€HT)])+SUMIF(Invest[Affectation matrice],$A99,Invest[Amortissement HT + intérêts]))*CO99)</f>
        <v>0</v>
      </c>
      <c r="BP99" s="56">
        <f>IF($C99=Repart_lignes,0,
(SUMIF(Fonctionnement[Affectation matrice],$A99,Fonctionnement[Montant (€HT)])+SUMIF(Invest[Affectation matrice],$A99,Invest[Amortissement HT + intérêts]))*CP99)</f>
        <v>0</v>
      </c>
      <c r="BQ99" s="56">
        <f>IF($C99=Repart_lignes,0,
(SUMIF(Fonctionnement[Affectation matrice],$A99,Fonctionnement[Montant (€HT)])+SUMIF(Invest[Affectation matrice],$A99,Invest[Amortissement HT + intérêts]))*CQ99)</f>
        <v>0</v>
      </c>
      <c r="BR99" s="56">
        <f>IF($C99=Repart_lignes,0,
(SUMIF(Fonctionnement[Affectation matrice],$A99,Fonctionnement[Montant (€HT)])+SUMIF(Invest[Affectation matrice],$A99,Invest[Amortissement HT + intérêts]))*CR99)</f>
        <v>0</v>
      </c>
      <c r="BS99" s="56">
        <f>IF($C99=Repart_lignes,0,
(SUMIF(Fonctionnement[Affectation matrice],$A99,Fonctionnement[Montant (€HT)])+SUMIF(Invest[Affectation matrice],$A99,Invest[Amortissement HT + intérêts]))*CS99)</f>
        <v>0</v>
      </c>
      <c r="BT99" s="56">
        <f>IF($C99=Repart_lignes,0,
(SUMIF(Fonctionnement[Affectation matrice],$A99,Fonctionnement[Montant (€HT)])+SUMIF(Invest[Affectation matrice],$A99,Invest[Amortissement HT + intérêts]))*CT99)</f>
        <v>0</v>
      </c>
      <c r="BU99" s="56">
        <f>IF($C99=Repart_lignes,0,
(SUMIF(Fonctionnement[Affectation matrice],$A99,Fonctionnement[Montant (€HT)])+SUMIF(Invest[Affectation matrice],$A99,Invest[Amortissement HT + intérêts]))*CU99)</f>
        <v>0</v>
      </c>
      <c r="BV99" s="56">
        <f>IF($C99=Repart_lignes,0,
(SUMIF(Fonctionnement[Affectation matrice],$A99,Fonctionnement[Montant (€HT)])+SUMIF(Invest[Affectation matrice],$A99,Invest[Amortissement HT + intérêts]))*CV99)</f>
        <v>0</v>
      </c>
      <c r="BW99" s="56">
        <f>IF($C99=Repart_lignes,0,
(SUMIF(Fonctionnement[Affectation matrice],$A99,Fonctionnement[Montant (€HT)])+SUMIF(Invest[Affectation matrice],$A99,Invest[Amortissement HT + intérêts]))*CW99)</f>
        <v>0</v>
      </c>
      <c r="BX99" s="56">
        <f>IF($C99=Repart_lignes,0,
(SUMIF(Fonctionnement[Affectation matrice],$A99,Fonctionnement[Montant (€HT)])+SUMIF(Invest[Affectation matrice],$A99,Invest[Amortissement HT + intérêts]))*CX99)</f>
        <v>0</v>
      </c>
      <c r="BY99" s="56">
        <f>IF($C99=Repart_lignes,0,
(SUMIF(Fonctionnement[Affectation matrice],$A99,Fonctionnement[Montant (€HT)])+SUMIF(Invest[Affectation matrice],$A99,Invest[Amortissement HT + intérêts]))*CY99)</f>
        <v>0</v>
      </c>
      <c r="BZ99" s="56">
        <f>IF($C99=Repart_lignes,0,
(SUMIF(Fonctionnement[Affectation matrice],$A99,Fonctionnement[Montant (€HT)])+SUMIF(Invest[Affectation matrice],$A99,Invest[Amortissement HT + intérêts]))*CZ99)</f>
        <v>0</v>
      </c>
      <c r="CA99" s="56">
        <f>IF($C99=Repart_lignes,0,
(SUMIF(Fonctionnement[Affectation matrice],$A99,Fonctionnement[Montant (€HT)])+SUMIF(Invest[Affectation matrice],$A99,Invest[Amortissement HT + intérêts]))*DA99)</f>
        <v>0</v>
      </c>
      <c r="CB99" s="56">
        <f>IF($C99=Repart_lignes,0,
(SUMIF(Fonctionnement[Affectation matrice],$A99,Fonctionnement[Montant (€HT)])+SUMIF(Invest[Affectation matrice],$A99,Invest[Amortissement HT + intérêts]))*DB99)</f>
        <v>0</v>
      </c>
      <c r="CC99" s="56">
        <f>IF($C99=Repart_lignes,0,
(SUMIF(Fonctionnement[Affectation matrice],$A99,Fonctionnement[Montant (€HT)])+SUMIF(Invest[Affectation matrice],$A99,Invest[Amortissement HT + intérêts]))*DC99)</f>
        <v>0</v>
      </c>
      <c r="CD99" s="56">
        <f>IF($C99=Repart_lignes,0,
(SUMIF(Fonctionnement[Affectation matrice],$A99,Fonctionnement[Montant (€HT)])+SUMIF(Invest[Affectation matrice],$A99,Invest[Amortissement HT + intérêts]))*DD99)</f>
        <v>0</v>
      </c>
      <c r="CE99" s="59">
        <f t="shared" si="62"/>
        <v>0</v>
      </c>
      <c r="CF99" s="61">
        <f t="shared" si="63"/>
        <v>0</v>
      </c>
      <c r="CG99" s="61">
        <f t="shared" si="64"/>
        <v>0</v>
      </c>
      <c r="CH99" s="61">
        <f t="shared" si="65"/>
        <v>0</v>
      </c>
      <c r="CI99" s="61">
        <f t="shared" si="66"/>
        <v>0</v>
      </c>
      <c r="CJ99" s="61">
        <f t="shared" si="67"/>
        <v>0</v>
      </c>
      <c r="CK99" s="61">
        <f t="shared" si="68"/>
        <v>0</v>
      </c>
      <c r="CL99" s="61">
        <f t="shared" si="69"/>
        <v>0</v>
      </c>
      <c r="CM99" s="61">
        <f t="shared" si="70"/>
        <v>0</v>
      </c>
      <c r="CN99" s="61">
        <f t="shared" si="71"/>
        <v>0</v>
      </c>
      <c r="CO99" s="61">
        <f t="shared" si="72"/>
        <v>0</v>
      </c>
      <c r="CP99" s="61">
        <f t="shared" si="73"/>
        <v>0</v>
      </c>
      <c r="CQ99" s="61">
        <f t="shared" si="74"/>
        <v>0</v>
      </c>
      <c r="CR99" s="61">
        <f t="shared" si="75"/>
        <v>0</v>
      </c>
      <c r="CS99" s="61">
        <f t="shared" si="76"/>
        <v>0</v>
      </c>
      <c r="CT99" s="61">
        <f t="shared" si="77"/>
        <v>0</v>
      </c>
      <c r="CU99" s="61">
        <f t="shared" si="78"/>
        <v>0</v>
      </c>
      <c r="CV99" s="61">
        <f t="shared" si="79"/>
        <v>0</v>
      </c>
      <c r="CW99" s="61">
        <f t="shared" si="80"/>
        <v>0</v>
      </c>
      <c r="CX99" s="61">
        <f t="shared" si="81"/>
        <v>0</v>
      </c>
      <c r="CY99" s="61">
        <f t="shared" si="82"/>
        <v>0</v>
      </c>
      <c r="CZ99" s="61">
        <f t="shared" si="83"/>
        <v>0</v>
      </c>
      <c r="DA99" s="61">
        <f t="shared" si="84"/>
        <v>0</v>
      </c>
      <c r="DB99" s="61">
        <f t="shared" si="85"/>
        <v>0</v>
      </c>
      <c r="DC99" s="61">
        <f t="shared" si="86"/>
        <v>0</v>
      </c>
      <c r="DD99" s="61">
        <f t="shared" si="87"/>
        <v>0</v>
      </c>
      <c r="DE99" s="61">
        <f t="shared" si="88"/>
        <v>0</v>
      </c>
    </row>
    <row r="100" spans="1:109" x14ac:dyDescent="0.25">
      <c r="AF100" s="54">
        <f>SUM(AF4:AF99)</f>
        <v>0</v>
      </c>
      <c r="AG100" s="54">
        <f t="shared" ref="AG100:BE100" si="90">SUM(AG4:AG99)</f>
        <v>0</v>
      </c>
      <c r="AH100" s="54">
        <f t="shared" si="90"/>
        <v>0</v>
      </c>
      <c r="AI100" s="54">
        <f t="shared" si="90"/>
        <v>0</v>
      </c>
      <c r="AJ100" s="54">
        <f t="shared" si="90"/>
        <v>0</v>
      </c>
      <c r="AK100" s="54">
        <f t="shared" si="90"/>
        <v>0</v>
      </c>
      <c r="AL100" s="54">
        <f t="shared" si="90"/>
        <v>0</v>
      </c>
      <c r="AM100" s="54">
        <f t="shared" si="90"/>
        <v>0</v>
      </c>
      <c r="AN100" s="54">
        <f t="shared" si="90"/>
        <v>0</v>
      </c>
      <c r="AO100" s="54">
        <f t="shared" si="90"/>
        <v>0</v>
      </c>
      <c r="AP100" s="54">
        <f t="shared" si="90"/>
        <v>0</v>
      </c>
      <c r="AQ100" s="54">
        <f t="shared" si="90"/>
        <v>0</v>
      </c>
      <c r="AR100" s="54">
        <f t="shared" si="90"/>
        <v>0</v>
      </c>
      <c r="AS100" s="54">
        <f t="shared" si="90"/>
        <v>0</v>
      </c>
      <c r="AT100" s="54">
        <f t="shared" si="90"/>
        <v>0</v>
      </c>
      <c r="AU100" s="54">
        <f t="shared" si="90"/>
        <v>0</v>
      </c>
      <c r="AV100" s="54">
        <f t="shared" si="90"/>
        <v>0</v>
      </c>
      <c r="AW100" s="54">
        <f t="shared" si="90"/>
        <v>0</v>
      </c>
      <c r="AX100" s="54">
        <f t="shared" si="90"/>
        <v>0</v>
      </c>
      <c r="AY100" s="54">
        <f t="shared" si="90"/>
        <v>0</v>
      </c>
      <c r="AZ100" s="54">
        <f t="shared" si="90"/>
        <v>0</v>
      </c>
      <c r="BA100" s="54">
        <f t="shared" si="90"/>
        <v>0</v>
      </c>
      <c r="BB100" s="54">
        <f t="shared" si="90"/>
        <v>0</v>
      </c>
      <c r="BC100" s="54">
        <f t="shared" si="90"/>
        <v>0</v>
      </c>
      <c r="BD100" s="54">
        <f t="shared" si="90"/>
        <v>0</v>
      </c>
      <c r="BE100" s="54">
        <f t="shared" si="90"/>
        <v>0</v>
      </c>
    </row>
  </sheetData>
  <sheetProtection formatCells="0" formatColumns="0" formatRows="0" sort="0" autoFilter="0"/>
  <autoFilter ref="A3:C3" xr:uid="{00000000-0009-0000-0000-000008000000}"/>
  <sortState xmlns:xlrd2="http://schemas.microsoft.com/office/spreadsheetml/2017/richdata2" ref="A4:AD10">
    <sortCondition ref="A4"/>
  </sortState>
  <mergeCells count="7">
    <mergeCell ref="CF2:DD2"/>
    <mergeCell ref="DE2:DE3"/>
    <mergeCell ref="E2:AC2"/>
    <mergeCell ref="BF2:CD2"/>
    <mergeCell ref="CE2:CE3"/>
    <mergeCell ref="AF2:BD2"/>
    <mergeCell ref="BE2:BE3"/>
  </mergeCells>
  <phoneticPr fontId="0" type="noConversion"/>
  <conditionalFormatting sqref="A4:A99">
    <cfRule type="duplicateValues" dxfId="79" priority="9"/>
  </conditionalFormatting>
  <conditionalFormatting sqref="E4:AD4">
    <cfRule type="expression" dxfId="78" priority="8">
      <formula>$C4=Repart_lignes</formula>
    </cfRule>
  </conditionalFormatting>
  <conditionalFormatting sqref="E5:AD99">
    <cfRule type="expression" dxfId="77" priority="7">
      <formula>$C5=Repart_lignes</formula>
    </cfRule>
  </conditionalFormatting>
  <conditionalFormatting sqref="D4">
    <cfRule type="expression" dxfId="76" priority="6">
      <formula>$C4=Repart_lignes</formula>
    </cfRule>
  </conditionalFormatting>
  <conditionalFormatting sqref="D5:D99">
    <cfRule type="expression" dxfId="75" priority="5">
      <formula>$C5=Repart_lignes</formula>
    </cfRule>
  </conditionalFormatting>
  <conditionalFormatting sqref="AD4">
    <cfRule type="expression" dxfId="74" priority="3">
      <formula>AND(C4&lt;&gt;"Code multilignes",OR(ISTEXT(A4),A4&gt;0),AD4=0)</formula>
    </cfRule>
  </conditionalFormatting>
  <conditionalFormatting sqref="AD5:AD99">
    <cfRule type="expression" dxfId="73" priority="2">
      <formula>$C5=Repart_lignes</formula>
    </cfRule>
  </conditionalFormatting>
  <conditionalFormatting sqref="AD5:AD99">
    <cfRule type="expression" dxfId="72" priority="1">
      <formula>AND(C5&lt;&gt;"Code multilignes",OR(ISTEXT(A5),A5&gt;0),AD5=0)</formula>
    </cfRule>
  </conditionalFormatting>
  <dataValidations count="3">
    <dataValidation type="list" showInputMessage="1" showErrorMessage="1" sqref="C5:C99" xr:uid="{00000000-0002-0000-0800-000000000000}">
      <formula1>Lignes_sinoe</formula1>
    </dataValidation>
    <dataValidation allowBlank="1" showErrorMessage="1" sqref="A4" xr:uid="{00000000-0002-0000-0800-000001000000}"/>
    <dataValidation type="list" showInputMessage="1" showErrorMessage="1" promptTitle="ATTENTION" prompt="Dans le menu déroulant, les lignes correspondant aux recettes sont après quelques lignes vides, sous les charges." sqref="C4" xr:uid="{00000000-0002-0000-0800-000002000000}">
      <formula1>Lignes_sinoe</formula1>
    </dataValidation>
  </dataValidations>
  <printOptions horizontalCentered="1" verticalCentered="1"/>
  <pageMargins left="0.19685039370078741" right="0.19685039370078741" top="0.43307086614173229" bottom="0.59055118110236227" header="0.51181102362204722" footer="0.31496062992125984"/>
  <pageSetup paperSize="9" scale="31"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8">
    <tabColor rgb="FF0070C0"/>
    <pageSetUpPr fitToPage="1"/>
  </sheetPr>
  <dimension ref="A1:AF52"/>
  <sheetViews>
    <sheetView showGridLines="0" zoomScaleNormal="100" workbookViewId="0">
      <selection activeCell="E1" sqref="E1"/>
    </sheetView>
  </sheetViews>
  <sheetFormatPr baseColWidth="10" defaultColWidth="11.44140625" defaultRowHeight="13.2" x14ac:dyDescent="0.25"/>
  <cols>
    <col min="1" max="1" width="41.109375" style="177" bestFit="1" customWidth="1"/>
    <col min="2" max="5" width="13.44140625" style="177" customWidth="1"/>
    <col min="6" max="26" width="2.44140625" style="177" customWidth="1"/>
    <col min="27" max="16384" width="11.44140625" style="178"/>
  </cols>
  <sheetData>
    <row r="1" spans="1:32" ht="34.5" customHeight="1" x14ac:dyDescent="0.25">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row>
    <row r="2" spans="1:32" ht="6" customHeight="1" x14ac:dyDescent="0.25">
      <c r="A2" s="180"/>
      <c r="B2" s="169"/>
      <c r="C2" s="169"/>
      <c r="D2" s="169"/>
      <c r="E2" s="169"/>
      <c r="F2" s="169"/>
      <c r="G2" s="169"/>
      <c r="H2" s="169"/>
      <c r="I2" s="169"/>
      <c r="J2" s="169"/>
      <c r="K2" s="169"/>
      <c r="L2" s="169"/>
      <c r="M2" s="169"/>
      <c r="N2" s="169"/>
      <c r="O2" s="169"/>
      <c r="P2" s="169"/>
      <c r="Q2" s="169"/>
      <c r="R2" s="169"/>
      <c r="S2" s="169"/>
      <c r="T2" s="169"/>
      <c r="U2" s="169"/>
      <c r="V2" s="169"/>
      <c r="W2" s="169"/>
      <c r="X2" s="169"/>
      <c r="Y2" s="169"/>
      <c r="Z2" s="169"/>
    </row>
    <row r="3" spans="1:32" ht="21" customHeight="1" x14ac:dyDescent="0.25">
      <c r="A3" s="3"/>
      <c r="B3" s="6"/>
      <c r="C3" s="6"/>
      <c r="D3" s="6"/>
      <c r="E3" s="6"/>
      <c r="F3" s="6"/>
      <c r="G3" s="6"/>
      <c r="H3" s="6"/>
      <c r="I3" s="6"/>
      <c r="J3" s="6"/>
      <c r="K3" s="6"/>
      <c r="L3" s="6"/>
      <c r="M3" s="6"/>
      <c r="N3" s="6"/>
      <c r="O3" s="6"/>
      <c r="P3" s="6"/>
      <c r="Q3" s="6"/>
      <c r="R3" s="6"/>
      <c r="S3" s="6"/>
      <c r="T3" s="6"/>
      <c r="U3" s="6"/>
      <c r="V3" s="6"/>
      <c r="W3" s="6"/>
      <c r="X3" s="6"/>
      <c r="Y3" s="6"/>
      <c r="Z3" s="6"/>
    </row>
    <row r="4" spans="1:32" ht="42" customHeight="1" x14ac:dyDescent="0.25">
      <c r="A4" s="160" t="s">
        <v>173</v>
      </c>
      <c r="B4" s="161" t="str">
        <f>Matrice[[#Headers],[OMR]]</f>
        <v>OMR</v>
      </c>
      <c r="C4" s="161" t="str">
        <f>Matrice[[#Headers],[Verre]]</f>
        <v>Verre</v>
      </c>
      <c r="D4" s="161" t="str">
        <f>Matrice[[#Headers],[RSOM hors verre]]</f>
        <v>RSOM hors verre</v>
      </c>
      <c r="E4" s="161" t="str">
        <f>Matrice[[#Headers],[Déchets des déchèteries]]</f>
        <v>Déchets des déchèteries</v>
      </c>
      <c r="F4" s="161" t="str">
        <f>Matrice[[#Headers],[Flux 5]]</f>
        <v>Flux 5</v>
      </c>
      <c r="G4" s="161" t="str">
        <f>Matrice[[#Headers],[Flux 6]]</f>
        <v>Flux 6</v>
      </c>
      <c r="H4" s="161" t="str">
        <f>Matrice[[#Headers],[Flux 7]]</f>
        <v>Flux 7</v>
      </c>
      <c r="I4" s="161" t="str">
        <f>Matrice[[#Headers],[Flux 8]]</f>
        <v>Flux 8</v>
      </c>
      <c r="J4" s="161" t="str">
        <f>Matrice[[#Headers],[Flux 9]]</f>
        <v>Flux 9</v>
      </c>
      <c r="K4" s="161" t="str">
        <f>Matrice[[#Headers],[Flux 10]]</f>
        <v>Flux 10</v>
      </c>
      <c r="L4" s="161" t="str">
        <f>Matrice[[#Headers],[Flux 11]]</f>
        <v>Flux 11</v>
      </c>
      <c r="M4" s="161" t="str">
        <f>Matrice[[#Headers],[Flux 12]]</f>
        <v>Flux 12</v>
      </c>
      <c r="N4" s="161" t="str">
        <f>Matrice[[#Headers],[Flux 13]]</f>
        <v>Flux 13</v>
      </c>
      <c r="O4" s="161" t="str">
        <f>Matrice[[#Headers],[Flux 14]]</f>
        <v>Flux 14</v>
      </c>
      <c r="P4" s="161" t="str">
        <f>Matrice[[#Headers],[Flux 15]]</f>
        <v>Flux 15</v>
      </c>
      <c r="Q4" s="161" t="str">
        <f>Matrice[[#Headers],[Flux 16]]</f>
        <v>Flux 16</v>
      </c>
      <c r="R4" s="161" t="str">
        <f>Matrice[[#Headers],[Flux 17]]</f>
        <v>Flux 17</v>
      </c>
      <c r="S4" s="161" t="str">
        <f>Matrice[[#Headers],[Flux 18]]</f>
        <v>Flux 18</v>
      </c>
      <c r="T4" s="161" t="str">
        <f>Matrice[[#Headers],[Flux 19]]</f>
        <v>Flux 19</v>
      </c>
      <c r="U4" s="161" t="str">
        <f>Matrice[[#Headers],[Flux 20]]</f>
        <v>Flux 20</v>
      </c>
      <c r="V4" s="161" t="str">
        <f>Matrice[[#Headers],[Flux 21]]</f>
        <v>Flux 21</v>
      </c>
      <c r="W4" s="161" t="str">
        <f>Matrice[[#Headers],[Flux 22]]</f>
        <v>Flux 22</v>
      </c>
      <c r="X4" s="161" t="str">
        <f>Matrice[[#Headers],[Flux 23]]</f>
        <v>Flux 23</v>
      </c>
      <c r="Y4" s="161" t="str">
        <f>Matrice[[#Headers],[Flux 24]]</f>
        <v>Flux 24</v>
      </c>
      <c r="Z4" s="161" t="str">
        <f>Matrice[[#Headers],[Flux 25]]</f>
        <v>Flux 25</v>
      </c>
      <c r="AA4" s="181"/>
    </row>
    <row r="5" spans="1:32" ht="15" customHeight="1" x14ac:dyDescent="0.25">
      <c r="A5" s="162" t="str">
        <f>Matrice[[#This Row],[Ligne de la matrice]]</f>
        <v>Charges de structure</v>
      </c>
      <c r="B5" s="171">
        <f>'4 - Clé SALAIRES'!B5+'4 - Clé multilignes1'!B5+'4 - Clé multilignes2'!B5+'4 - Clé multilignes3'!B5+'4 - Clé multilignes4'!B5+'4 - Clé multilignes5'!B5+'4 - Clé multilignes6'!B5+'4 - Clé multilignes7'!B5</f>
        <v>0</v>
      </c>
      <c r="C5" s="171">
        <f>'4 - Clé SALAIRES'!C5+'4 - Clé multilignes1'!C5+'4 - Clé multilignes2'!C5+'4 - Clé multilignes3'!C5+'4 - Clé multilignes4'!C5+'4 - Clé multilignes5'!C5+'4 - Clé multilignes6'!C5+'4 - Clé multilignes7'!C5</f>
        <v>0</v>
      </c>
      <c r="D5" s="171">
        <f>'4 - Clé SALAIRES'!D5+'4 - Clé multilignes1'!D5+'4 - Clé multilignes2'!D5+'4 - Clé multilignes3'!D5+'4 - Clé multilignes4'!D5+'4 - Clé multilignes5'!D5+'4 - Clé multilignes6'!D5+'4 - Clé multilignes7'!D5</f>
        <v>0</v>
      </c>
      <c r="E5" s="171">
        <f>'4 - Clé SALAIRES'!E5+'4 - Clé multilignes1'!E5+'4 - Clé multilignes2'!E5+'4 - Clé multilignes3'!E5+'4 - Clé multilignes4'!E5+'4 - Clé multilignes5'!E5+'4 - Clé multilignes6'!E5+'4 - Clé multilignes7'!E5</f>
        <v>0</v>
      </c>
      <c r="F5" s="171">
        <f>'4 - Clé SALAIRES'!F5+'4 - Clé multilignes1'!F5+'4 - Clé multilignes2'!F5+'4 - Clé multilignes3'!F5+'4 - Clé multilignes4'!F5+'4 - Clé multilignes5'!F5+'4 - Clé multilignes6'!F5+'4 - Clé multilignes7'!F5</f>
        <v>0</v>
      </c>
      <c r="G5" s="171">
        <f>'4 - Clé SALAIRES'!G5+'4 - Clé multilignes1'!G5+'4 - Clé multilignes2'!G5+'4 - Clé multilignes3'!G5+'4 - Clé multilignes4'!G5+'4 - Clé multilignes5'!G5+'4 - Clé multilignes6'!G5+'4 - Clé multilignes7'!G5</f>
        <v>0</v>
      </c>
      <c r="H5" s="171">
        <f>'4 - Clé SALAIRES'!H5+'4 - Clé multilignes1'!H5+'4 - Clé multilignes2'!H5+'4 - Clé multilignes3'!H5+'4 - Clé multilignes4'!H5+'4 - Clé multilignes5'!H5+'4 - Clé multilignes6'!H5+'4 - Clé multilignes7'!H5</f>
        <v>0</v>
      </c>
      <c r="I5" s="171">
        <f>'4 - Clé SALAIRES'!I5+'4 - Clé multilignes1'!I5+'4 - Clé multilignes2'!I5+'4 - Clé multilignes3'!I5+'4 - Clé multilignes4'!I5+'4 - Clé multilignes5'!I5+'4 - Clé multilignes6'!I5+'4 - Clé multilignes7'!I5</f>
        <v>0</v>
      </c>
      <c r="J5" s="171">
        <f>'4 - Clé SALAIRES'!J5+'4 - Clé multilignes1'!J5+'4 - Clé multilignes2'!J5+'4 - Clé multilignes3'!J5+'4 - Clé multilignes4'!J5+'4 - Clé multilignes5'!J5+'4 - Clé multilignes6'!J5+'4 - Clé multilignes7'!J5</f>
        <v>0</v>
      </c>
      <c r="K5" s="171">
        <f>'4 - Clé SALAIRES'!K5+'4 - Clé multilignes1'!K5+'4 - Clé multilignes2'!K5+'4 - Clé multilignes3'!K5+'4 - Clé multilignes4'!K5+'4 - Clé multilignes5'!K5+'4 - Clé multilignes6'!K5+'4 - Clé multilignes7'!K5</f>
        <v>0</v>
      </c>
      <c r="L5" s="171">
        <f>'4 - Clé SALAIRES'!L5+'4 - Clé multilignes1'!L5+'4 - Clé multilignes2'!L5+'4 - Clé multilignes3'!L5+'4 - Clé multilignes4'!L5+'4 - Clé multilignes5'!L5+'4 - Clé multilignes6'!L5+'4 - Clé multilignes7'!L5</f>
        <v>0</v>
      </c>
      <c r="M5" s="171">
        <f>'4 - Clé SALAIRES'!M5+'4 - Clé multilignes1'!M5+'4 - Clé multilignes2'!M5+'4 - Clé multilignes3'!M5+'4 - Clé multilignes4'!M5+'4 - Clé multilignes5'!M5+'4 - Clé multilignes6'!M5+'4 - Clé multilignes7'!M5</f>
        <v>0</v>
      </c>
      <c r="N5" s="171">
        <f>'4 - Clé SALAIRES'!N5+'4 - Clé multilignes1'!N5+'4 - Clé multilignes2'!N5+'4 - Clé multilignes3'!N5+'4 - Clé multilignes4'!N5+'4 - Clé multilignes5'!N5+'4 - Clé multilignes6'!N5+'4 - Clé multilignes7'!N5</f>
        <v>0</v>
      </c>
      <c r="O5" s="171">
        <f>'4 - Clé SALAIRES'!O5+'4 - Clé multilignes1'!O5+'4 - Clé multilignes2'!O5+'4 - Clé multilignes3'!O5+'4 - Clé multilignes4'!O5+'4 - Clé multilignes5'!O5+'4 - Clé multilignes6'!O5+'4 - Clé multilignes7'!O5</f>
        <v>0</v>
      </c>
      <c r="P5" s="171">
        <f>'4 - Clé SALAIRES'!P5+'4 - Clé multilignes1'!P5+'4 - Clé multilignes2'!P5+'4 - Clé multilignes3'!P5+'4 - Clé multilignes4'!P5+'4 - Clé multilignes5'!P5+'4 - Clé multilignes6'!P5+'4 - Clé multilignes7'!P5</f>
        <v>0</v>
      </c>
      <c r="Q5" s="171">
        <f>'4 - Clé SALAIRES'!Q5+'4 - Clé multilignes1'!Q5+'4 - Clé multilignes2'!Q5+'4 - Clé multilignes3'!Q5+'4 - Clé multilignes4'!Q5+'4 - Clé multilignes5'!Q5+'4 - Clé multilignes6'!Q5+'4 - Clé multilignes7'!Q5</f>
        <v>0</v>
      </c>
      <c r="R5" s="171">
        <f>'4 - Clé SALAIRES'!R5+'4 - Clé multilignes1'!R5+'4 - Clé multilignes2'!R5+'4 - Clé multilignes3'!R5+'4 - Clé multilignes4'!R5+'4 - Clé multilignes5'!R5+'4 - Clé multilignes6'!R5+'4 - Clé multilignes7'!R5</f>
        <v>0</v>
      </c>
      <c r="S5" s="171">
        <f>'4 - Clé SALAIRES'!S5+'4 - Clé multilignes1'!S5+'4 - Clé multilignes2'!S5+'4 - Clé multilignes3'!S5+'4 - Clé multilignes4'!S5+'4 - Clé multilignes5'!S5+'4 - Clé multilignes6'!S5+'4 - Clé multilignes7'!S5</f>
        <v>0</v>
      </c>
      <c r="T5" s="171">
        <f>'4 - Clé SALAIRES'!T5+'4 - Clé multilignes1'!T5+'4 - Clé multilignes2'!T5+'4 - Clé multilignes3'!T5+'4 - Clé multilignes4'!T5+'4 - Clé multilignes5'!T5+'4 - Clé multilignes6'!T5+'4 - Clé multilignes7'!T5</f>
        <v>0</v>
      </c>
      <c r="U5" s="171">
        <f>'4 - Clé SALAIRES'!U5+'4 - Clé multilignes1'!U5+'4 - Clé multilignes2'!U5+'4 - Clé multilignes3'!U5+'4 - Clé multilignes4'!U5+'4 - Clé multilignes5'!U5+'4 - Clé multilignes6'!U5+'4 - Clé multilignes7'!U5</f>
        <v>0</v>
      </c>
      <c r="V5" s="171">
        <f>'4 - Clé SALAIRES'!V5+'4 - Clé multilignes1'!V5+'4 - Clé multilignes2'!V5+'4 - Clé multilignes3'!V5+'4 - Clé multilignes4'!V5+'4 - Clé multilignes5'!V5+'4 - Clé multilignes6'!V5+'4 - Clé multilignes7'!V5</f>
        <v>0</v>
      </c>
      <c r="W5" s="171">
        <f>'4 - Clé SALAIRES'!W5+'4 - Clé multilignes1'!W5+'4 - Clé multilignes2'!W5+'4 - Clé multilignes3'!W5+'4 - Clé multilignes4'!W5+'4 - Clé multilignes5'!W5+'4 - Clé multilignes6'!W5+'4 - Clé multilignes7'!W5</f>
        <v>0</v>
      </c>
      <c r="X5" s="171">
        <f>'4 - Clé SALAIRES'!X5+'4 - Clé multilignes1'!X5+'4 - Clé multilignes2'!X5+'4 - Clé multilignes3'!X5+'4 - Clé multilignes4'!X5+'4 - Clé multilignes5'!X5+'4 - Clé multilignes6'!X5+'4 - Clé multilignes7'!X5</f>
        <v>0</v>
      </c>
      <c r="Y5" s="171">
        <f>'4 - Clé SALAIRES'!Y5+'4 - Clé multilignes1'!Y5+'4 - Clé multilignes2'!Y5+'4 - Clé multilignes3'!Y5+'4 - Clé multilignes4'!Y5+'4 - Clé multilignes5'!Y5+'4 - Clé multilignes6'!Y5+'4 - Clé multilignes7'!Y5</f>
        <v>0</v>
      </c>
      <c r="Z5" s="171">
        <f>'4 - Clé SALAIRES'!Z5+'4 - Clé multilignes1'!Z5+'4 - Clé multilignes2'!Z5+'4 - Clé multilignes3'!Z5+'4 - Clé multilignes4'!Z5+'4 - Clé multilignes5'!Z5+'4 - Clé multilignes6'!Z5+'4 - Clé multilignes7'!Z5</f>
        <v>0</v>
      </c>
      <c r="AB5" s="6"/>
      <c r="AC5" s="6"/>
      <c r="AD5" s="6"/>
      <c r="AE5" s="6"/>
    </row>
    <row r="6" spans="1:32" ht="15" customHeight="1" x14ac:dyDescent="0.25">
      <c r="A6" s="162" t="str">
        <f>Matrice[[#This Row],[Ligne de la matrice]]</f>
        <v>Communication</v>
      </c>
      <c r="B6" s="171">
        <f>'4 - Clé SALAIRES'!B6+'4 - Clé multilignes1'!B6+'4 - Clé multilignes2'!B6+'4 - Clé multilignes3'!B6+'4 - Clé multilignes4'!B6+'4 - Clé multilignes5'!B6+'4 - Clé multilignes6'!B6+'4 - Clé multilignes7'!B6</f>
        <v>0</v>
      </c>
      <c r="C6" s="171">
        <f>'4 - Clé SALAIRES'!C6+'4 - Clé multilignes1'!C6+'4 - Clé multilignes2'!C6+'4 - Clé multilignes3'!C6+'4 - Clé multilignes4'!C6+'4 - Clé multilignes5'!C6+'4 - Clé multilignes6'!C6+'4 - Clé multilignes7'!C6</f>
        <v>0</v>
      </c>
      <c r="D6" s="171">
        <f>'4 - Clé SALAIRES'!D6+'4 - Clé multilignes1'!D6+'4 - Clé multilignes2'!D6+'4 - Clé multilignes3'!D6+'4 - Clé multilignes4'!D6+'4 - Clé multilignes5'!D6+'4 - Clé multilignes6'!D6+'4 - Clé multilignes7'!D6</f>
        <v>0</v>
      </c>
      <c r="E6" s="171">
        <f>'4 - Clé SALAIRES'!E6+'4 - Clé multilignes1'!E6+'4 - Clé multilignes2'!E6+'4 - Clé multilignes3'!E6+'4 - Clé multilignes4'!E6+'4 - Clé multilignes5'!E6+'4 - Clé multilignes6'!E6+'4 - Clé multilignes7'!E6</f>
        <v>0</v>
      </c>
      <c r="F6" s="171">
        <f>'4 - Clé SALAIRES'!F6+'4 - Clé multilignes1'!F6+'4 - Clé multilignes2'!F6+'4 - Clé multilignes3'!F6+'4 - Clé multilignes4'!F6+'4 - Clé multilignes5'!F6+'4 - Clé multilignes6'!F6+'4 - Clé multilignes7'!F6</f>
        <v>0</v>
      </c>
      <c r="G6" s="171">
        <f>'4 - Clé SALAIRES'!G6+'4 - Clé multilignes1'!G6+'4 - Clé multilignes2'!G6+'4 - Clé multilignes3'!G6+'4 - Clé multilignes4'!G6+'4 - Clé multilignes5'!G6+'4 - Clé multilignes6'!G6+'4 - Clé multilignes7'!G6</f>
        <v>0</v>
      </c>
      <c r="H6" s="171">
        <f>'4 - Clé SALAIRES'!H6+'4 - Clé multilignes1'!H6+'4 - Clé multilignes2'!H6+'4 - Clé multilignes3'!H6+'4 - Clé multilignes4'!H6+'4 - Clé multilignes5'!H6+'4 - Clé multilignes6'!H6+'4 - Clé multilignes7'!H6</f>
        <v>0</v>
      </c>
      <c r="I6" s="171">
        <f>'4 - Clé SALAIRES'!I6+'4 - Clé multilignes1'!I6+'4 - Clé multilignes2'!I6+'4 - Clé multilignes3'!I6+'4 - Clé multilignes4'!I6+'4 - Clé multilignes5'!I6+'4 - Clé multilignes6'!I6+'4 - Clé multilignes7'!I6</f>
        <v>0</v>
      </c>
      <c r="J6" s="171">
        <f>'4 - Clé SALAIRES'!J6+'4 - Clé multilignes1'!J6+'4 - Clé multilignes2'!J6+'4 - Clé multilignes3'!J6+'4 - Clé multilignes4'!J6+'4 - Clé multilignes5'!J6+'4 - Clé multilignes6'!J6+'4 - Clé multilignes7'!J6</f>
        <v>0</v>
      </c>
      <c r="K6" s="171">
        <f>'4 - Clé SALAIRES'!K6+'4 - Clé multilignes1'!K6+'4 - Clé multilignes2'!K6+'4 - Clé multilignes3'!K6+'4 - Clé multilignes4'!K6+'4 - Clé multilignes5'!K6+'4 - Clé multilignes6'!K6+'4 - Clé multilignes7'!K6</f>
        <v>0</v>
      </c>
      <c r="L6" s="171">
        <f>'4 - Clé SALAIRES'!L6+'4 - Clé multilignes1'!L6+'4 - Clé multilignes2'!L6+'4 - Clé multilignes3'!L6+'4 - Clé multilignes4'!L6+'4 - Clé multilignes5'!L6+'4 - Clé multilignes6'!L6+'4 - Clé multilignes7'!L6</f>
        <v>0</v>
      </c>
      <c r="M6" s="171">
        <f>'4 - Clé SALAIRES'!M6+'4 - Clé multilignes1'!M6+'4 - Clé multilignes2'!M6+'4 - Clé multilignes3'!M6+'4 - Clé multilignes4'!M6+'4 - Clé multilignes5'!M6+'4 - Clé multilignes6'!M6+'4 - Clé multilignes7'!M6</f>
        <v>0</v>
      </c>
      <c r="N6" s="171">
        <f>'4 - Clé SALAIRES'!N6+'4 - Clé multilignes1'!N6+'4 - Clé multilignes2'!N6+'4 - Clé multilignes3'!N6+'4 - Clé multilignes4'!N6+'4 - Clé multilignes5'!N6+'4 - Clé multilignes6'!N6+'4 - Clé multilignes7'!N6</f>
        <v>0</v>
      </c>
      <c r="O6" s="171">
        <f>'4 - Clé SALAIRES'!O6+'4 - Clé multilignes1'!O6+'4 - Clé multilignes2'!O6+'4 - Clé multilignes3'!O6+'4 - Clé multilignes4'!O6+'4 - Clé multilignes5'!O6+'4 - Clé multilignes6'!O6+'4 - Clé multilignes7'!O6</f>
        <v>0</v>
      </c>
      <c r="P6" s="171">
        <f>'4 - Clé SALAIRES'!P6+'4 - Clé multilignes1'!P6+'4 - Clé multilignes2'!P6+'4 - Clé multilignes3'!P6+'4 - Clé multilignes4'!P6+'4 - Clé multilignes5'!P6+'4 - Clé multilignes6'!P6+'4 - Clé multilignes7'!P6</f>
        <v>0</v>
      </c>
      <c r="Q6" s="171">
        <f>'4 - Clé SALAIRES'!Q6+'4 - Clé multilignes1'!Q6+'4 - Clé multilignes2'!Q6+'4 - Clé multilignes3'!Q6+'4 - Clé multilignes4'!Q6+'4 - Clé multilignes5'!Q6+'4 - Clé multilignes6'!Q6+'4 - Clé multilignes7'!Q6</f>
        <v>0</v>
      </c>
      <c r="R6" s="171">
        <f>'4 - Clé SALAIRES'!R6+'4 - Clé multilignes1'!R6+'4 - Clé multilignes2'!R6+'4 - Clé multilignes3'!R6+'4 - Clé multilignes4'!R6+'4 - Clé multilignes5'!R6+'4 - Clé multilignes6'!R6+'4 - Clé multilignes7'!R6</f>
        <v>0</v>
      </c>
      <c r="S6" s="171">
        <f>'4 - Clé SALAIRES'!S6+'4 - Clé multilignes1'!S6+'4 - Clé multilignes2'!S6+'4 - Clé multilignes3'!S6+'4 - Clé multilignes4'!S6+'4 - Clé multilignes5'!S6+'4 - Clé multilignes6'!S6+'4 - Clé multilignes7'!S6</f>
        <v>0</v>
      </c>
      <c r="T6" s="171">
        <f>'4 - Clé SALAIRES'!T6+'4 - Clé multilignes1'!T6+'4 - Clé multilignes2'!T6+'4 - Clé multilignes3'!T6+'4 - Clé multilignes4'!T6+'4 - Clé multilignes5'!T6+'4 - Clé multilignes6'!T6+'4 - Clé multilignes7'!T6</f>
        <v>0</v>
      </c>
      <c r="U6" s="171">
        <f>'4 - Clé SALAIRES'!U6+'4 - Clé multilignes1'!U6+'4 - Clé multilignes2'!U6+'4 - Clé multilignes3'!U6+'4 - Clé multilignes4'!U6+'4 - Clé multilignes5'!U6+'4 - Clé multilignes6'!U6+'4 - Clé multilignes7'!U6</f>
        <v>0</v>
      </c>
      <c r="V6" s="171">
        <f>'4 - Clé SALAIRES'!V6+'4 - Clé multilignes1'!V6+'4 - Clé multilignes2'!V6+'4 - Clé multilignes3'!V6+'4 - Clé multilignes4'!V6+'4 - Clé multilignes5'!V6+'4 - Clé multilignes6'!V6+'4 - Clé multilignes7'!V6</f>
        <v>0</v>
      </c>
      <c r="W6" s="171">
        <f>'4 - Clé SALAIRES'!W6+'4 - Clé multilignes1'!W6+'4 - Clé multilignes2'!W6+'4 - Clé multilignes3'!W6+'4 - Clé multilignes4'!W6+'4 - Clé multilignes5'!W6+'4 - Clé multilignes6'!W6+'4 - Clé multilignes7'!W6</f>
        <v>0</v>
      </c>
      <c r="X6" s="171">
        <f>'4 - Clé SALAIRES'!X6+'4 - Clé multilignes1'!X6+'4 - Clé multilignes2'!X6+'4 - Clé multilignes3'!X6+'4 - Clé multilignes4'!X6+'4 - Clé multilignes5'!X6+'4 - Clé multilignes6'!X6+'4 - Clé multilignes7'!X6</f>
        <v>0</v>
      </c>
      <c r="Y6" s="171">
        <f>'4 - Clé SALAIRES'!Y6+'4 - Clé multilignes1'!Y6+'4 - Clé multilignes2'!Y6+'4 - Clé multilignes3'!Y6+'4 - Clé multilignes4'!Y6+'4 - Clé multilignes5'!Y6+'4 - Clé multilignes6'!Y6+'4 - Clé multilignes7'!Y6</f>
        <v>0</v>
      </c>
      <c r="Z6" s="171">
        <f>'4 - Clé SALAIRES'!Z6+'4 - Clé multilignes1'!Z6+'4 - Clé multilignes2'!Z6+'4 - Clé multilignes3'!Z6+'4 - Clé multilignes4'!Z6+'4 - Clé multilignes5'!Z6+'4 - Clé multilignes6'!Z6+'4 - Clé multilignes7'!Z6</f>
        <v>0</v>
      </c>
      <c r="AB6" s="6"/>
      <c r="AC6" s="6"/>
      <c r="AD6" s="6"/>
      <c r="AE6" s="6"/>
      <c r="AF6" s="182"/>
    </row>
    <row r="7" spans="1:32" ht="15" customHeight="1" x14ac:dyDescent="0.25">
      <c r="A7" s="162" t="str">
        <f>Matrice[[#This Row],[Ligne de la matrice]]</f>
        <v>Prévention</v>
      </c>
      <c r="B7" s="171">
        <f>'4 - Clé SALAIRES'!B7+'4 - Clé multilignes1'!B7+'4 - Clé multilignes2'!B7+'4 - Clé multilignes3'!B7+'4 - Clé multilignes4'!B7+'4 - Clé multilignes5'!B7+'4 - Clé multilignes6'!B7+'4 - Clé multilignes7'!B7</f>
        <v>0</v>
      </c>
      <c r="C7" s="171">
        <f>'4 - Clé SALAIRES'!C7+'4 - Clé multilignes1'!C7+'4 - Clé multilignes2'!C7+'4 - Clé multilignes3'!C7+'4 - Clé multilignes4'!C7+'4 - Clé multilignes5'!C7+'4 - Clé multilignes6'!C7+'4 - Clé multilignes7'!C7</f>
        <v>0</v>
      </c>
      <c r="D7" s="171">
        <f>'4 - Clé SALAIRES'!D7+'4 - Clé multilignes1'!D7+'4 - Clé multilignes2'!D7+'4 - Clé multilignes3'!D7+'4 - Clé multilignes4'!D7+'4 - Clé multilignes5'!D7+'4 - Clé multilignes6'!D7+'4 - Clé multilignes7'!D7</f>
        <v>0</v>
      </c>
      <c r="E7" s="171">
        <f>'4 - Clé SALAIRES'!E7+'4 - Clé multilignes1'!E7+'4 - Clé multilignes2'!E7+'4 - Clé multilignes3'!E7+'4 - Clé multilignes4'!E7+'4 - Clé multilignes5'!E7+'4 - Clé multilignes6'!E7+'4 - Clé multilignes7'!E7</f>
        <v>0</v>
      </c>
      <c r="F7" s="171">
        <f>'4 - Clé SALAIRES'!F7+'4 - Clé multilignes1'!F7+'4 - Clé multilignes2'!F7+'4 - Clé multilignes3'!F7+'4 - Clé multilignes4'!F7+'4 - Clé multilignes5'!F7+'4 - Clé multilignes6'!F7+'4 - Clé multilignes7'!F7</f>
        <v>0</v>
      </c>
      <c r="G7" s="171">
        <f>'4 - Clé SALAIRES'!G7+'4 - Clé multilignes1'!G7+'4 - Clé multilignes2'!G7+'4 - Clé multilignes3'!G7+'4 - Clé multilignes4'!G7+'4 - Clé multilignes5'!G7+'4 - Clé multilignes6'!G7+'4 - Clé multilignes7'!G7</f>
        <v>0</v>
      </c>
      <c r="H7" s="171">
        <f>'4 - Clé SALAIRES'!H7+'4 - Clé multilignes1'!H7+'4 - Clé multilignes2'!H7+'4 - Clé multilignes3'!H7+'4 - Clé multilignes4'!H7+'4 - Clé multilignes5'!H7+'4 - Clé multilignes6'!H7+'4 - Clé multilignes7'!H7</f>
        <v>0</v>
      </c>
      <c r="I7" s="171">
        <f>'4 - Clé SALAIRES'!I7+'4 - Clé multilignes1'!I7+'4 - Clé multilignes2'!I7+'4 - Clé multilignes3'!I7+'4 - Clé multilignes4'!I7+'4 - Clé multilignes5'!I7+'4 - Clé multilignes6'!I7+'4 - Clé multilignes7'!I7</f>
        <v>0</v>
      </c>
      <c r="J7" s="171">
        <f>'4 - Clé SALAIRES'!J7+'4 - Clé multilignes1'!J7+'4 - Clé multilignes2'!J7+'4 - Clé multilignes3'!J7+'4 - Clé multilignes4'!J7+'4 - Clé multilignes5'!J7+'4 - Clé multilignes6'!J7+'4 - Clé multilignes7'!J7</f>
        <v>0</v>
      </c>
      <c r="K7" s="171">
        <f>'4 - Clé SALAIRES'!K7+'4 - Clé multilignes1'!K7+'4 - Clé multilignes2'!K7+'4 - Clé multilignes3'!K7+'4 - Clé multilignes4'!K7+'4 - Clé multilignes5'!K7+'4 - Clé multilignes6'!K7+'4 - Clé multilignes7'!K7</f>
        <v>0</v>
      </c>
      <c r="L7" s="171">
        <f>'4 - Clé SALAIRES'!L7+'4 - Clé multilignes1'!L7+'4 - Clé multilignes2'!L7+'4 - Clé multilignes3'!L7+'4 - Clé multilignes4'!L7+'4 - Clé multilignes5'!L7+'4 - Clé multilignes6'!L7+'4 - Clé multilignes7'!L7</f>
        <v>0</v>
      </c>
      <c r="M7" s="171">
        <f>'4 - Clé SALAIRES'!M7+'4 - Clé multilignes1'!M7+'4 - Clé multilignes2'!M7+'4 - Clé multilignes3'!M7+'4 - Clé multilignes4'!M7+'4 - Clé multilignes5'!M7+'4 - Clé multilignes6'!M7+'4 - Clé multilignes7'!M7</f>
        <v>0</v>
      </c>
      <c r="N7" s="171">
        <f>'4 - Clé SALAIRES'!N7+'4 - Clé multilignes1'!N7+'4 - Clé multilignes2'!N7+'4 - Clé multilignes3'!N7+'4 - Clé multilignes4'!N7+'4 - Clé multilignes5'!N7+'4 - Clé multilignes6'!N7+'4 - Clé multilignes7'!N7</f>
        <v>0</v>
      </c>
      <c r="O7" s="171">
        <f>'4 - Clé SALAIRES'!O7+'4 - Clé multilignes1'!O7+'4 - Clé multilignes2'!O7+'4 - Clé multilignes3'!O7+'4 - Clé multilignes4'!O7+'4 - Clé multilignes5'!O7+'4 - Clé multilignes6'!O7+'4 - Clé multilignes7'!O7</f>
        <v>0</v>
      </c>
      <c r="P7" s="171">
        <f>'4 - Clé SALAIRES'!P7+'4 - Clé multilignes1'!P7+'4 - Clé multilignes2'!P7+'4 - Clé multilignes3'!P7+'4 - Clé multilignes4'!P7+'4 - Clé multilignes5'!P7+'4 - Clé multilignes6'!P7+'4 - Clé multilignes7'!P7</f>
        <v>0</v>
      </c>
      <c r="Q7" s="171">
        <f>'4 - Clé SALAIRES'!Q7+'4 - Clé multilignes1'!Q7+'4 - Clé multilignes2'!Q7+'4 - Clé multilignes3'!Q7+'4 - Clé multilignes4'!Q7+'4 - Clé multilignes5'!Q7+'4 - Clé multilignes6'!Q7+'4 - Clé multilignes7'!Q7</f>
        <v>0</v>
      </c>
      <c r="R7" s="171">
        <f>'4 - Clé SALAIRES'!R7+'4 - Clé multilignes1'!R7+'4 - Clé multilignes2'!R7+'4 - Clé multilignes3'!R7+'4 - Clé multilignes4'!R7+'4 - Clé multilignes5'!R7+'4 - Clé multilignes6'!R7+'4 - Clé multilignes7'!R7</f>
        <v>0</v>
      </c>
      <c r="S7" s="171">
        <f>'4 - Clé SALAIRES'!S7+'4 - Clé multilignes1'!S7+'4 - Clé multilignes2'!S7+'4 - Clé multilignes3'!S7+'4 - Clé multilignes4'!S7+'4 - Clé multilignes5'!S7+'4 - Clé multilignes6'!S7+'4 - Clé multilignes7'!S7</f>
        <v>0</v>
      </c>
      <c r="T7" s="171">
        <f>'4 - Clé SALAIRES'!T7+'4 - Clé multilignes1'!T7+'4 - Clé multilignes2'!T7+'4 - Clé multilignes3'!T7+'4 - Clé multilignes4'!T7+'4 - Clé multilignes5'!T7+'4 - Clé multilignes6'!T7+'4 - Clé multilignes7'!T7</f>
        <v>0</v>
      </c>
      <c r="U7" s="171">
        <f>'4 - Clé SALAIRES'!U7+'4 - Clé multilignes1'!U7+'4 - Clé multilignes2'!U7+'4 - Clé multilignes3'!U7+'4 - Clé multilignes4'!U7+'4 - Clé multilignes5'!U7+'4 - Clé multilignes6'!U7+'4 - Clé multilignes7'!U7</f>
        <v>0</v>
      </c>
      <c r="V7" s="171">
        <f>'4 - Clé SALAIRES'!V7+'4 - Clé multilignes1'!V7+'4 - Clé multilignes2'!V7+'4 - Clé multilignes3'!V7+'4 - Clé multilignes4'!V7+'4 - Clé multilignes5'!V7+'4 - Clé multilignes6'!V7+'4 - Clé multilignes7'!V7</f>
        <v>0</v>
      </c>
      <c r="W7" s="171">
        <f>'4 - Clé SALAIRES'!W7+'4 - Clé multilignes1'!W7+'4 - Clé multilignes2'!W7+'4 - Clé multilignes3'!W7+'4 - Clé multilignes4'!W7+'4 - Clé multilignes5'!W7+'4 - Clé multilignes6'!W7+'4 - Clé multilignes7'!W7</f>
        <v>0</v>
      </c>
      <c r="X7" s="171">
        <f>'4 - Clé SALAIRES'!X7+'4 - Clé multilignes1'!X7+'4 - Clé multilignes2'!X7+'4 - Clé multilignes3'!X7+'4 - Clé multilignes4'!X7+'4 - Clé multilignes5'!X7+'4 - Clé multilignes6'!X7+'4 - Clé multilignes7'!X7</f>
        <v>0</v>
      </c>
      <c r="Y7" s="171">
        <f>'4 - Clé SALAIRES'!Y7+'4 - Clé multilignes1'!Y7+'4 - Clé multilignes2'!Y7+'4 - Clé multilignes3'!Y7+'4 - Clé multilignes4'!Y7+'4 - Clé multilignes5'!Y7+'4 - Clé multilignes6'!Y7+'4 - Clé multilignes7'!Y7</f>
        <v>0</v>
      </c>
      <c r="Z7" s="171">
        <f>'4 - Clé SALAIRES'!Z7+'4 - Clé multilignes1'!Z7+'4 - Clé multilignes2'!Z7+'4 - Clé multilignes3'!Z7+'4 - Clé multilignes4'!Z7+'4 - Clé multilignes5'!Z7+'4 - Clé multilignes6'!Z7+'4 - Clé multilignes7'!Z7</f>
        <v>0</v>
      </c>
      <c r="AB7" s="6"/>
      <c r="AC7" s="6"/>
      <c r="AD7" s="6"/>
      <c r="AE7" s="6"/>
      <c r="AF7" s="182"/>
    </row>
    <row r="8" spans="1:32" ht="12.75" customHeight="1" x14ac:dyDescent="0.25">
      <c r="A8" s="162" t="str">
        <f>Matrice[[#This Row],[Ligne de la matrice]]</f>
        <v>Pré-collecte</v>
      </c>
      <c r="B8" s="171">
        <f>'4 - Clé SALAIRES'!B8+'4 - Clé multilignes1'!B8+'4 - Clé multilignes2'!B8+'4 - Clé multilignes3'!B8+'4 - Clé multilignes4'!B8+'4 - Clé multilignes5'!B8+'4 - Clé multilignes6'!B8+'4 - Clé multilignes7'!B8</f>
        <v>0</v>
      </c>
      <c r="C8" s="171">
        <f>'4 - Clé SALAIRES'!C8+'4 - Clé multilignes1'!C8+'4 - Clé multilignes2'!C8+'4 - Clé multilignes3'!C8+'4 - Clé multilignes4'!C8+'4 - Clé multilignes5'!C8+'4 - Clé multilignes6'!C8+'4 - Clé multilignes7'!C8</f>
        <v>0</v>
      </c>
      <c r="D8" s="171">
        <f>'4 - Clé SALAIRES'!D8+'4 - Clé multilignes1'!D8+'4 - Clé multilignes2'!D8+'4 - Clé multilignes3'!D8+'4 - Clé multilignes4'!D8+'4 - Clé multilignes5'!D8+'4 - Clé multilignes6'!D8+'4 - Clé multilignes7'!D8</f>
        <v>0</v>
      </c>
      <c r="E8" s="171">
        <f>'4 - Clé SALAIRES'!E8+'4 - Clé multilignes1'!E8+'4 - Clé multilignes2'!E8+'4 - Clé multilignes3'!E8+'4 - Clé multilignes4'!E8+'4 - Clé multilignes5'!E8+'4 - Clé multilignes6'!E8+'4 - Clé multilignes7'!E8</f>
        <v>0</v>
      </c>
      <c r="F8" s="171">
        <f>'4 - Clé SALAIRES'!F8+'4 - Clé multilignes1'!F8+'4 - Clé multilignes2'!F8+'4 - Clé multilignes3'!F8+'4 - Clé multilignes4'!F8+'4 - Clé multilignes5'!F8+'4 - Clé multilignes6'!F8+'4 - Clé multilignes7'!F8</f>
        <v>0</v>
      </c>
      <c r="G8" s="171">
        <f>'4 - Clé SALAIRES'!G8+'4 - Clé multilignes1'!G8+'4 - Clé multilignes2'!G8+'4 - Clé multilignes3'!G8+'4 - Clé multilignes4'!G8+'4 - Clé multilignes5'!G8+'4 - Clé multilignes6'!G8+'4 - Clé multilignes7'!G8</f>
        <v>0</v>
      </c>
      <c r="H8" s="171">
        <f>'4 - Clé SALAIRES'!H8+'4 - Clé multilignes1'!H8+'4 - Clé multilignes2'!H8+'4 - Clé multilignes3'!H8+'4 - Clé multilignes4'!H8+'4 - Clé multilignes5'!H8+'4 - Clé multilignes6'!H8+'4 - Clé multilignes7'!H8</f>
        <v>0</v>
      </c>
      <c r="I8" s="171">
        <f>'4 - Clé SALAIRES'!I8+'4 - Clé multilignes1'!I8+'4 - Clé multilignes2'!I8+'4 - Clé multilignes3'!I8+'4 - Clé multilignes4'!I8+'4 - Clé multilignes5'!I8+'4 - Clé multilignes6'!I8+'4 - Clé multilignes7'!I8</f>
        <v>0</v>
      </c>
      <c r="J8" s="171">
        <f>'4 - Clé SALAIRES'!J8+'4 - Clé multilignes1'!J8+'4 - Clé multilignes2'!J8+'4 - Clé multilignes3'!J8+'4 - Clé multilignes4'!J8+'4 - Clé multilignes5'!J8+'4 - Clé multilignes6'!J8+'4 - Clé multilignes7'!J8</f>
        <v>0</v>
      </c>
      <c r="K8" s="171">
        <f>'4 - Clé SALAIRES'!K8+'4 - Clé multilignes1'!K8+'4 - Clé multilignes2'!K8+'4 - Clé multilignes3'!K8+'4 - Clé multilignes4'!K8+'4 - Clé multilignes5'!K8+'4 - Clé multilignes6'!K8+'4 - Clé multilignes7'!K8</f>
        <v>0</v>
      </c>
      <c r="L8" s="171">
        <f>'4 - Clé SALAIRES'!L8+'4 - Clé multilignes1'!L8+'4 - Clé multilignes2'!L8+'4 - Clé multilignes3'!L8+'4 - Clé multilignes4'!L8+'4 - Clé multilignes5'!L8+'4 - Clé multilignes6'!L8+'4 - Clé multilignes7'!L8</f>
        <v>0</v>
      </c>
      <c r="M8" s="171">
        <f>'4 - Clé SALAIRES'!M8+'4 - Clé multilignes1'!M8+'4 - Clé multilignes2'!M8+'4 - Clé multilignes3'!M8+'4 - Clé multilignes4'!M8+'4 - Clé multilignes5'!M8+'4 - Clé multilignes6'!M8+'4 - Clé multilignes7'!M8</f>
        <v>0</v>
      </c>
      <c r="N8" s="171">
        <f>'4 - Clé SALAIRES'!N8+'4 - Clé multilignes1'!N8+'4 - Clé multilignes2'!N8+'4 - Clé multilignes3'!N8+'4 - Clé multilignes4'!N8+'4 - Clé multilignes5'!N8+'4 - Clé multilignes6'!N8+'4 - Clé multilignes7'!N8</f>
        <v>0</v>
      </c>
      <c r="O8" s="171">
        <f>'4 - Clé SALAIRES'!O8+'4 - Clé multilignes1'!O8+'4 - Clé multilignes2'!O8+'4 - Clé multilignes3'!O8+'4 - Clé multilignes4'!O8+'4 - Clé multilignes5'!O8+'4 - Clé multilignes6'!O8+'4 - Clé multilignes7'!O8</f>
        <v>0</v>
      </c>
      <c r="P8" s="171">
        <f>'4 - Clé SALAIRES'!P8+'4 - Clé multilignes1'!P8+'4 - Clé multilignes2'!P8+'4 - Clé multilignes3'!P8+'4 - Clé multilignes4'!P8+'4 - Clé multilignes5'!P8+'4 - Clé multilignes6'!P8+'4 - Clé multilignes7'!P8</f>
        <v>0</v>
      </c>
      <c r="Q8" s="171">
        <f>'4 - Clé SALAIRES'!Q8+'4 - Clé multilignes1'!Q8+'4 - Clé multilignes2'!Q8+'4 - Clé multilignes3'!Q8+'4 - Clé multilignes4'!Q8+'4 - Clé multilignes5'!Q8+'4 - Clé multilignes6'!Q8+'4 - Clé multilignes7'!Q8</f>
        <v>0</v>
      </c>
      <c r="R8" s="171">
        <f>'4 - Clé SALAIRES'!R8+'4 - Clé multilignes1'!R8+'4 - Clé multilignes2'!R8+'4 - Clé multilignes3'!R8+'4 - Clé multilignes4'!R8+'4 - Clé multilignes5'!R8+'4 - Clé multilignes6'!R8+'4 - Clé multilignes7'!R8</f>
        <v>0</v>
      </c>
      <c r="S8" s="171">
        <f>'4 - Clé SALAIRES'!S8+'4 - Clé multilignes1'!S8+'4 - Clé multilignes2'!S8+'4 - Clé multilignes3'!S8+'4 - Clé multilignes4'!S8+'4 - Clé multilignes5'!S8+'4 - Clé multilignes6'!S8+'4 - Clé multilignes7'!S8</f>
        <v>0</v>
      </c>
      <c r="T8" s="171">
        <f>'4 - Clé SALAIRES'!T8+'4 - Clé multilignes1'!T8+'4 - Clé multilignes2'!T8+'4 - Clé multilignes3'!T8+'4 - Clé multilignes4'!T8+'4 - Clé multilignes5'!T8+'4 - Clé multilignes6'!T8+'4 - Clé multilignes7'!T8</f>
        <v>0</v>
      </c>
      <c r="U8" s="171">
        <f>'4 - Clé SALAIRES'!U8+'4 - Clé multilignes1'!U8+'4 - Clé multilignes2'!U8+'4 - Clé multilignes3'!U8+'4 - Clé multilignes4'!U8+'4 - Clé multilignes5'!U8+'4 - Clé multilignes6'!U8+'4 - Clé multilignes7'!U8</f>
        <v>0</v>
      </c>
      <c r="V8" s="171">
        <f>'4 - Clé SALAIRES'!V8+'4 - Clé multilignes1'!V8+'4 - Clé multilignes2'!V8+'4 - Clé multilignes3'!V8+'4 - Clé multilignes4'!V8+'4 - Clé multilignes5'!V8+'4 - Clé multilignes6'!V8+'4 - Clé multilignes7'!V8</f>
        <v>0</v>
      </c>
      <c r="W8" s="171">
        <f>'4 - Clé SALAIRES'!W8+'4 - Clé multilignes1'!W8+'4 - Clé multilignes2'!W8+'4 - Clé multilignes3'!W8+'4 - Clé multilignes4'!W8+'4 - Clé multilignes5'!W8+'4 - Clé multilignes6'!W8+'4 - Clé multilignes7'!W8</f>
        <v>0</v>
      </c>
      <c r="X8" s="171">
        <f>'4 - Clé SALAIRES'!X8+'4 - Clé multilignes1'!X8+'4 - Clé multilignes2'!X8+'4 - Clé multilignes3'!X8+'4 - Clé multilignes4'!X8+'4 - Clé multilignes5'!X8+'4 - Clé multilignes6'!X8+'4 - Clé multilignes7'!X8</f>
        <v>0</v>
      </c>
      <c r="Y8" s="171">
        <f>'4 - Clé SALAIRES'!Y8+'4 - Clé multilignes1'!Y8+'4 - Clé multilignes2'!Y8+'4 - Clé multilignes3'!Y8+'4 - Clé multilignes4'!Y8+'4 - Clé multilignes5'!Y8+'4 - Clé multilignes6'!Y8+'4 - Clé multilignes7'!Y8</f>
        <v>0</v>
      </c>
      <c r="Z8" s="171">
        <f>'4 - Clé SALAIRES'!Z8+'4 - Clé multilignes1'!Z8+'4 - Clé multilignes2'!Z8+'4 - Clé multilignes3'!Z8+'4 - Clé multilignes4'!Z8+'4 - Clé multilignes5'!Z8+'4 - Clé multilignes6'!Z8+'4 - Clé multilignes7'!Z8</f>
        <v>0</v>
      </c>
      <c r="AB8" s="6"/>
      <c r="AC8" s="6"/>
      <c r="AD8" s="6"/>
      <c r="AE8" s="6"/>
      <c r="AF8" s="182"/>
    </row>
    <row r="9" spans="1:32" s="182" customFormat="1" ht="12.75" customHeight="1" x14ac:dyDescent="0.25">
      <c r="A9" s="162" t="str">
        <f>Matrice[[#This Row],[Ligne de la matrice]]</f>
        <v>Collecte</v>
      </c>
      <c r="B9" s="171">
        <f>'4 - Clé SALAIRES'!B9+'4 - Clé multilignes1'!B9+'4 - Clé multilignes2'!B9+'4 - Clé multilignes3'!B9+'4 - Clé multilignes4'!B9+'4 - Clé multilignes5'!B9+'4 - Clé multilignes6'!B9+'4 - Clé multilignes7'!B9</f>
        <v>0</v>
      </c>
      <c r="C9" s="171">
        <f>'4 - Clé SALAIRES'!C9+'4 - Clé multilignes1'!C9+'4 - Clé multilignes2'!C9+'4 - Clé multilignes3'!C9+'4 - Clé multilignes4'!C9+'4 - Clé multilignes5'!C9+'4 - Clé multilignes6'!C9+'4 - Clé multilignes7'!C9</f>
        <v>0</v>
      </c>
      <c r="D9" s="171">
        <f>'4 - Clé SALAIRES'!D9+'4 - Clé multilignes1'!D9+'4 - Clé multilignes2'!D9+'4 - Clé multilignes3'!D9+'4 - Clé multilignes4'!D9+'4 - Clé multilignes5'!D9+'4 - Clé multilignes6'!D9+'4 - Clé multilignes7'!D9</f>
        <v>0</v>
      </c>
      <c r="E9" s="171">
        <f>'4 - Clé SALAIRES'!E9+'4 - Clé multilignes1'!E9+'4 - Clé multilignes2'!E9+'4 - Clé multilignes3'!E9+'4 - Clé multilignes4'!E9+'4 - Clé multilignes5'!E9+'4 - Clé multilignes6'!E9+'4 - Clé multilignes7'!E9</f>
        <v>0</v>
      </c>
      <c r="F9" s="171">
        <f>'4 - Clé SALAIRES'!F9+'4 - Clé multilignes1'!F9+'4 - Clé multilignes2'!F9+'4 - Clé multilignes3'!F9+'4 - Clé multilignes4'!F9+'4 - Clé multilignes5'!F9+'4 - Clé multilignes6'!F9+'4 - Clé multilignes7'!F9</f>
        <v>0</v>
      </c>
      <c r="G9" s="171">
        <f>'4 - Clé SALAIRES'!G9+'4 - Clé multilignes1'!G9+'4 - Clé multilignes2'!G9+'4 - Clé multilignes3'!G9+'4 - Clé multilignes4'!G9+'4 - Clé multilignes5'!G9+'4 - Clé multilignes6'!G9+'4 - Clé multilignes7'!G9</f>
        <v>0</v>
      </c>
      <c r="H9" s="171">
        <f>'4 - Clé SALAIRES'!H9+'4 - Clé multilignes1'!H9+'4 - Clé multilignes2'!H9+'4 - Clé multilignes3'!H9+'4 - Clé multilignes4'!H9+'4 - Clé multilignes5'!H9+'4 - Clé multilignes6'!H9+'4 - Clé multilignes7'!H9</f>
        <v>0</v>
      </c>
      <c r="I9" s="171">
        <f>'4 - Clé SALAIRES'!I9+'4 - Clé multilignes1'!I9+'4 - Clé multilignes2'!I9+'4 - Clé multilignes3'!I9+'4 - Clé multilignes4'!I9+'4 - Clé multilignes5'!I9+'4 - Clé multilignes6'!I9+'4 - Clé multilignes7'!I9</f>
        <v>0</v>
      </c>
      <c r="J9" s="171">
        <f>'4 - Clé SALAIRES'!J9+'4 - Clé multilignes1'!J9+'4 - Clé multilignes2'!J9+'4 - Clé multilignes3'!J9+'4 - Clé multilignes4'!J9+'4 - Clé multilignes5'!J9+'4 - Clé multilignes6'!J9+'4 - Clé multilignes7'!J9</f>
        <v>0</v>
      </c>
      <c r="K9" s="171">
        <f>'4 - Clé SALAIRES'!K9+'4 - Clé multilignes1'!K9+'4 - Clé multilignes2'!K9+'4 - Clé multilignes3'!K9+'4 - Clé multilignes4'!K9+'4 - Clé multilignes5'!K9+'4 - Clé multilignes6'!K9+'4 - Clé multilignes7'!K9</f>
        <v>0</v>
      </c>
      <c r="L9" s="171">
        <f>'4 - Clé SALAIRES'!L9+'4 - Clé multilignes1'!L9+'4 - Clé multilignes2'!L9+'4 - Clé multilignes3'!L9+'4 - Clé multilignes4'!L9+'4 - Clé multilignes5'!L9+'4 - Clé multilignes6'!L9+'4 - Clé multilignes7'!L9</f>
        <v>0</v>
      </c>
      <c r="M9" s="171">
        <f>'4 - Clé SALAIRES'!M9+'4 - Clé multilignes1'!M9+'4 - Clé multilignes2'!M9+'4 - Clé multilignes3'!M9+'4 - Clé multilignes4'!M9+'4 - Clé multilignes5'!M9+'4 - Clé multilignes6'!M9+'4 - Clé multilignes7'!M9</f>
        <v>0</v>
      </c>
      <c r="N9" s="171">
        <f>'4 - Clé SALAIRES'!N9+'4 - Clé multilignes1'!N9+'4 - Clé multilignes2'!N9+'4 - Clé multilignes3'!N9+'4 - Clé multilignes4'!N9+'4 - Clé multilignes5'!N9+'4 - Clé multilignes6'!N9+'4 - Clé multilignes7'!N9</f>
        <v>0</v>
      </c>
      <c r="O9" s="171">
        <f>'4 - Clé SALAIRES'!O9+'4 - Clé multilignes1'!O9+'4 - Clé multilignes2'!O9+'4 - Clé multilignes3'!O9+'4 - Clé multilignes4'!O9+'4 - Clé multilignes5'!O9+'4 - Clé multilignes6'!O9+'4 - Clé multilignes7'!O9</f>
        <v>0</v>
      </c>
      <c r="P9" s="171">
        <f>'4 - Clé SALAIRES'!P9+'4 - Clé multilignes1'!P9+'4 - Clé multilignes2'!P9+'4 - Clé multilignes3'!P9+'4 - Clé multilignes4'!P9+'4 - Clé multilignes5'!P9+'4 - Clé multilignes6'!P9+'4 - Clé multilignes7'!P9</f>
        <v>0</v>
      </c>
      <c r="Q9" s="171">
        <f>'4 - Clé SALAIRES'!Q9+'4 - Clé multilignes1'!Q9+'4 - Clé multilignes2'!Q9+'4 - Clé multilignes3'!Q9+'4 - Clé multilignes4'!Q9+'4 - Clé multilignes5'!Q9+'4 - Clé multilignes6'!Q9+'4 - Clé multilignes7'!Q9</f>
        <v>0</v>
      </c>
      <c r="R9" s="171">
        <f>'4 - Clé SALAIRES'!R9+'4 - Clé multilignes1'!R9+'4 - Clé multilignes2'!R9+'4 - Clé multilignes3'!R9+'4 - Clé multilignes4'!R9+'4 - Clé multilignes5'!R9+'4 - Clé multilignes6'!R9+'4 - Clé multilignes7'!R9</f>
        <v>0</v>
      </c>
      <c r="S9" s="171">
        <f>'4 - Clé SALAIRES'!S9+'4 - Clé multilignes1'!S9+'4 - Clé multilignes2'!S9+'4 - Clé multilignes3'!S9+'4 - Clé multilignes4'!S9+'4 - Clé multilignes5'!S9+'4 - Clé multilignes6'!S9+'4 - Clé multilignes7'!S9</f>
        <v>0</v>
      </c>
      <c r="T9" s="171">
        <f>'4 - Clé SALAIRES'!T9+'4 - Clé multilignes1'!T9+'4 - Clé multilignes2'!T9+'4 - Clé multilignes3'!T9+'4 - Clé multilignes4'!T9+'4 - Clé multilignes5'!T9+'4 - Clé multilignes6'!T9+'4 - Clé multilignes7'!T9</f>
        <v>0</v>
      </c>
      <c r="U9" s="171">
        <f>'4 - Clé SALAIRES'!U9+'4 - Clé multilignes1'!U9+'4 - Clé multilignes2'!U9+'4 - Clé multilignes3'!U9+'4 - Clé multilignes4'!U9+'4 - Clé multilignes5'!U9+'4 - Clé multilignes6'!U9+'4 - Clé multilignes7'!U9</f>
        <v>0</v>
      </c>
      <c r="V9" s="171">
        <f>'4 - Clé SALAIRES'!V9+'4 - Clé multilignes1'!V9+'4 - Clé multilignes2'!V9+'4 - Clé multilignes3'!V9+'4 - Clé multilignes4'!V9+'4 - Clé multilignes5'!V9+'4 - Clé multilignes6'!V9+'4 - Clé multilignes7'!V9</f>
        <v>0</v>
      </c>
      <c r="W9" s="171">
        <f>'4 - Clé SALAIRES'!W9+'4 - Clé multilignes1'!W9+'4 - Clé multilignes2'!W9+'4 - Clé multilignes3'!W9+'4 - Clé multilignes4'!W9+'4 - Clé multilignes5'!W9+'4 - Clé multilignes6'!W9+'4 - Clé multilignes7'!W9</f>
        <v>0</v>
      </c>
      <c r="X9" s="171">
        <f>'4 - Clé SALAIRES'!X9+'4 - Clé multilignes1'!X9+'4 - Clé multilignes2'!X9+'4 - Clé multilignes3'!X9+'4 - Clé multilignes4'!X9+'4 - Clé multilignes5'!X9+'4 - Clé multilignes6'!X9+'4 - Clé multilignes7'!X9</f>
        <v>0</v>
      </c>
      <c r="Y9" s="171">
        <f>'4 - Clé SALAIRES'!Y9+'4 - Clé multilignes1'!Y9+'4 - Clé multilignes2'!Y9+'4 - Clé multilignes3'!Y9+'4 - Clé multilignes4'!Y9+'4 - Clé multilignes5'!Y9+'4 - Clé multilignes6'!Y9+'4 - Clé multilignes7'!Y9</f>
        <v>0</v>
      </c>
      <c r="Z9" s="171">
        <f>'4 - Clé SALAIRES'!Z9+'4 - Clé multilignes1'!Z9+'4 - Clé multilignes2'!Z9+'4 - Clé multilignes3'!Z9+'4 - Clé multilignes4'!Z9+'4 - Clé multilignes5'!Z9+'4 - Clé multilignes6'!Z9+'4 - Clé multilignes7'!Z9</f>
        <v>0</v>
      </c>
      <c r="AB9" s="6"/>
      <c r="AC9" s="6"/>
      <c r="AD9" s="6"/>
      <c r="AE9" s="6"/>
    </row>
    <row r="10" spans="1:32" s="182" customFormat="1" ht="12.75" customHeight="1" x14ac:dyDescent="0.25">
      <c r="A10" s="162" t="str">
        <f>Matrice[[#This Row],[Ligne de la matrice]]</f>
        <v>Transfert/Transport</v>
      </c>
      <c r="B10" s="171">
        <f>'4 - Clé SALAIRES'!B10+'4 - Clé multilignes1'!B10+'4 - Clé multilignes2'!B10+'4 - Clé multilignes3'!B10+'4 - Clé multilignes4'!B10+'4 - Clé multilignes5'!B10+'4 - Clé multilignes6'!B10+'4 - Clé multilignes7'!B10</f>
        <v>0</v>
      </c>
      <c r="C10" s="171">
        <f>'4 - Clé SALAIRES'!C10+'4 - Clé multilignes1'!C10+'4 - Clé multilignes2'!C10+'4 - Clé multilignes3'!C10+'4 - Clé multilignes4'!C10+'4 - Clé multilignes5'!C10+'4 - Clé multilignes6'!C10+'4 - Clé multilignes7'!C10</f>
        <v>0</v>
      </c>
      <c r="D10" s="171">
        <f>'4 - Clé SALAIRES'!D10+'4 - Clé multilignes1'!D10+'4 - Clé multilignes2'!D10+'4 - Clé multilignes3'!D10+'4 - Clé multilignes4'!D10+'4 - Clé multilignes5'!D10+'4 - Clé multilignes6'!D10+'4 - Clé multilignes7'!D10</f>
        <v>0</v>
      </c>
      <c r="E10" s="171">
        <f>'4 - Clé SALAIRES'!E10+'4 - Clé multilignes1'!E10+'4 - Clé multilignes2'!E10+'4 - Clé multilignes3'!E10+'4 - Clé multilignes4'!E10+'4 - Clé multilignes5'!E10+'4 - Clé multilignes6'!E10+'4 - Clé multilignes7'!E10</f>
        <v>0</v>
      </c>
      <c r="F10" s="171">
        <f>'4 - Clé SALAIRES'!F10+'4 - Clé multilignes1'!F10+'4 - Clé multilignes2'!F10+'4 - Clé multilignes3'!F10+'4 - Clé multilignes4'!F10+'4 - Clé multilignes5'!F10+'4 - Clé multilignes6'!F10+'4 - Clé multilignes7'!F10</f>
        <v>0</v>
      </c>
      <c r="G10" s="171">
        <f>'4 - Clé SALAIRES'!G10+'4 - Clé multilignes1'!G10+'4 - Clé multilignes2'!G10+'4 - Clé multilignes3'!G10+'4 - Clé multilignes4'!G10+'4 - Clé multilignes5'!G10+'4 - Clé multilignes6'!G10+'4 - Clé multilignes7'!G10</f>
        <v>0</v>
      </c>
      <c r="H10" s="171">
        <f>'4 - Clé SALAIRES'!H10+'4 - Clé multilignes1'!H10+'4 - Clé multilignes2'!H10+'4 - Clé multilignes3'!H10+'4 - Clé multilignes4'!H10+'4 - Clé multilignes5'!H10+'4 - Clé multilignes6'!H10+'4 - Clé multilignes7'!H10</f>
        <v>0</v>
      </c>
      <c r="I10" s="171">
        <f>'4 - Clé SALAIRES'!I10+'4 - Clé multilignes1'!I10+'4 - Clé multilignes2'!I10+'4 - Clé multilignes3'!I10+'4 - Clé multilignes4'!I10+'4 - Clé multilignes5'!I10+'4 - Clé multilignes6'!I10+'4 - Clé multilignes7'!I10</f>
        <v>0</v>
      </c>
      <c r="J10" s="171">
        <f>'4 - Clé SALAIRES'!J10+'4 - Clé multilignes1'!J10+'4 - Clé multilignes2'!J10+'4 - Clé multilignes3'!J10+'4 - Clé multilignes4'!J10+'4 - Clé multilignes5'!J10+'4 - Clé multilignes6'!J10+'4 - Clé multilignes7'!J10</f>
        <v>0</v>
      </c>
      <c r="K10" s="171">
        <f>'4 - Clé SALAIRES'!K10+'4 - Clé multilignes1'!K10+'4 - Clé multilignes2'!K10+'4 - Clé multilignes3'!K10+'4 - Clé multilignes4'!K10+'4 - Clé multilignes5'!K10+'4 - Clé multilignes6'!K10+'4 - Clé multilignes7'!K10</f>
        <v>0</v>
      </c>
      <c r="L10" s="171">
        <f>'4 - Clé SALAIRES'!L10+'4 - Clé multilignes1'!L10+'4 - Clé multilignes2'!L10+'4 - Clé multilignes3'!L10+'4 - Clé multilignes4'!L10+'4 - Clé multilignes5'!L10+'4 - Clé multilignes6'!L10+'4 - Clé multilignes7'!L10</f>
        <v>0</v>
      </c>
      <c r="M10" s="171">
        <f>'4 - Clé SALAIRES'!M10+'4 - Clé multilignes1'!M10+'4 - Clé multilignes2'!M10+'4 - Clé multilignes3'!M10+'4 - Clé multilignes4'!M10+'4 - Clé multilignes5'!M10+'4 - Clé multilignes6'!M10+'4 - Clé multilignes7'!M10</f>
        <v>0</v>
      </c>
      <c r="N10" s="171">
        <f>'4 - Clé SALAIRES'!N10+'4 - Clé multilignes1'!N10+'4 - Clé multilignes2'!N10+'4 - Clé multilignes3'!N10+'4 - Clé multilignes4'!N10+'4 - Clé multilignes5'!N10+'4 - Clé multilignes6'!N10+'4 - Clé multilignes7'!N10</f>
        <v>0</v>
      </c>
      <c r="O10" s="171">
        <f>'4 - Clé SALAIRES'!O10+'4 - Clé multilignes1'!O10+'4 - Clé multilignes2'!O10+'4 - Clé multilignes3'!O10+'4 - Clé multilignes4'!O10+'4 - Clé multilignes5'!O10+'4 - Clé multilignes6'!O10+'4 - Clé multilignes7'!O10</f>
        <v>0</v>
      </c>
      <c r="P10" s="171">
        <f>'4 - Clé SALAIRES'!P10+'4 - Clé multilignes1'!P10+'4 - Clé multilignes2'!P10+'4 - Clé multilignes3'!P10+'4 - Clé multilignes4'!P10+'4 - Clé multilignes5'!P10+'4 - Clé multilignes6'!P10+'4 - Clé multilignes7'!P10</f>
        <v>0</v>
      </c>
      <c r="Q10" s="171">
        <f>'4 - Clé SALAIRES'!Q10+'4 - Clé multilignes1'!Q10+'4 - Clé multilignes2'!Q10+'4 - Clé multilignes3'!Q10+'4 - Clé multilignes4'!Q10+'4 - Clé multilignes5'!Q10+'4 - Clé multilignes6'!Q10+'4 - Clé multilignes7'!Q10</f>
        <v>0</v>
      </c>
      <c r="R10" s="171">
        <f>'4 - Clé SALAIRES'!R10+'4 - Clé multilignes1'!R10+'4 - Clé multilignes2'!R10+'4 - Clé multilignes3'!R10+'4 - Clé multilignes4'!R10+'4 - Clé multilignes5'!R10+'4 - Clé multilignes6'!R10+'4 - Clé multilignes7'!R10</f>
        <v>0</v>
      </c>
      <c r="S10" s="171">
        <f>'4 - Clé SALAIRES'!S10+'4 - Clé multilignes1'!S10+'4 - Clé multilignes2'!S10+'4 - Clé multilignes3'!S10+'4 - Clé multilignes4'!S10+'4 - Clé multilignes5'!S10+'4 - Clé multilignes6'!S10+'4 - Clé multilignes7'!S10</f>
        <v>0</v>
      </c>
      <c r="T10" s="171">
        <f>'4 - Clé SALAIRES'!T10+'4 - Clé multilignes1'!T10+'4 - Clé multilignes2'!T10+'4 - Clé multilignes3'!T10+'4 - Clé multilignes4'!T10+'4 - Clé multilignes5'!T10+'4 - Clé multilignes6'!T10+'4 - Clé multilignes7'!T10</f>
        <v>0</v>
      </c>
      <c r="U10" s="171">
        <f>'4 - Clé SALAIRES'!U10+'4 - Clé multilignes1'!U10+'4 - Clé multilignes2'!U10+'4 - Clé multilignes3'!U10+'4 - Clé multilignes4'!U10+'4 - Clé multilignes5'!U10+'4 - Clé multilignes6'!U10+'4 - Clé multilignes7'!U10</f>
        <v>0</v>
      </c>
      <c r="V10" s="171">
        <f>'4 - Clé SALAIRES'!V10+'4 - Clé multilignes1'!V10+'4 - Clé multilignes2'!V10+'4 - Clé multilignes3'!V10+'4 - Clé multilignes4'!V10+'4 - Clé multilignes5'!V10+'4 - Clé multilignes6'!V10+'4 - Clé multilignes7'!V10</f>
        <v>0</v>
      </c>
      <c r="W10" s="171">
        <f>'4 - Clé SALAIRES'!W10+'4 - Clé multilignes1'!W10+'4 - Clé multilignes2'!W10+'4 - Clé multilignes3'!W10+'4 - Clé multilignes4'!W10+'4 - Clé multilignes5'!W10+'4 - Clé multilignes6'!W10+'4 - Clé multilignes7'!W10</f>
        <v>0</v>
      </c>
      <c r="X10" s="171">
        <f>'4 - Clé SALAIRES'!X10+'4 - Clé multilignes1'!X10+'4 - Clé multilignes2'!X10+'4 - Clé multilignes3'!X10+'4 - Clé multilignes4'!X10+'4 - Clé multilignes5'!X10+'4 - Clé multilignes6'!X10+'4 - Clé multilignes7'!X10</f>
        <v>0</v>
      </c>
      <c r="Y10" s="171">
        <f>'4 - Clé SALAIRES'!Y10+'4 - Clé multilignes1'!Y10+'4 - Clé multilignes2'!Y10+'4 - Clé multilignes3'!Y10+'4 - Clé multilignes4'!Y10+'4 - Clé multilignes5'!Y10+'4 - Clé multilignes6'!Y10+'4 - Clé multilignes7'!Y10</f>
        <v>0</v>
      </c>
      <c r="Z10" s="171">
        <f>'4 - Clé SALAIRES'!Z10+'4 - Clé multilignes1'!Z10+'4 - Clé multilignes2'!Z10+'4 - Clé multilignes3'!Z10+'4 - Clé multilignes4'!Z10+'4 - Clé multilignes5'!Z10+'4 - Clé multilignes6'!Z10+'4 - Clé multilignes7'!Z10</f>
        <v>0</v>
      </c>
      <c r="AB10" s="6"/>
      <c r="AC10" s="6"/>
      <c r="AD10" s="6"/>
      <c r="AE10" s="6"/>
    </row>
    <row r="11" spans="1:32" s="182" customFormat="1" ht="12.75" customHeight="1" x14ac:dyDescent="0.25">
      <c r="A11" s="162" t="str">
        <f>Matrice[[#This Row],[Ligne de la matrice]]</f>
        <v>Traitement des déchets non dangereux</v>
      </c>
      <c r="B11" s="171">
        <f>'4 - Clé SALAIRES'!B11+'4 - Clé multilignes1'!B11+'4 - Clé multilignes2'!B11+'4 - Clé multilignes3'!B11+'4 - Clé multilignes4'!B11+'4 - Clé multilignes5'!B11+'4 - Clé multilignes6'!B11+'4 - Clé multilignes7'!B11</f>
        <v>0</v>
      </c>
      <c r="C11" s="171">
        <f>'4 - Clé SALAIRES'!C11+'4 - Clé multilignes1'!C11+'4 - Clé multilignes2'!C11+'4 - Clé multilignes3'!C11+'4 - Clé multilignes4'!C11+'4 - Clé multilignes5'!C11+'4 - Clé multilignes6'!C11+'4 - Clé multilignes7'!C11</f>
        <v>0</v>
      </c>
      <c r="D11" s="171">
        <f>'4 - Clé SALAIRES'!D11+'4 - Clé multilignes1'!D11+'4 - Clé multilignes2'!D11+'4 - Clé multilignes3'!D11+'4 - Clé multilignes4'!D11+'4 - Clé multilignes5'!D11+'4 - Clé multilignes6'!D11+'4 - Clé multilignes7'!D11</f>
        <v>0</v>
      </c>
      <c r="E11" s="171">
        <f>'4 - Clé SALAIRES'!E11+'4 - Clé multilignes1'!E11+'4 - Clé multilignes2'!E11+'4 - Clé multilignes3'!E11+'4 - Clé multilignes4'!E11+'4 - Clé multilignes5'!E11+'4 - Clé multilignes6'!E11+'4 - Clé multilignes7'!E11</f>
        <v>0</v>
      </c>
      <c r="F11" s="171">
        <f>'4 - Clé SALAIRES'!F11+'4 - Clé multilignes1'!F11+'4 - Clé multilignes2'!F11+'4 - Clé multilignes3'!F11+'4 - Clé multilignes4'!F11+'4 - Clé multilignes5'!F11+'4 - Clé multilignes6'!F11+'4 - Clé multilignes7'!F11</f>
        <v>0</v>
      </c>
      <c r="G11" s="171">
        <f>'4 - Clé SALAIRES'!G11+'4 - Clé multilignes1'!G11+'4 - Clé multilignes2'!G11+'4 - Clé multilignes3'!G11+'4 - Clé multilignes4'!G11+'4 - Clé multilignes5'!G11+'4 - Clé multilignes6'!G11+'4 - Clé multilignes7'!G11</f>
        <v>0</v>
      </c>
      <c r="H11" s="171">
        <f>'4 - Clé SALAIRES'!H11+'4 - Clé multilignes1'!H11+'4 - Clé multilignes2'!H11+'4 - Clé multilignes3'!H11+'4 - Clé multilignes4'!H11+'4 - Clé multilignes5'!H11+'4 - Clé multilignes6'!H11+'4 - Clé multilignes7'!H11</f>
        <v>0</v>
      </c>
      <c r="I11" s="171">
        <f>'4 - Clé SALAIRES'!I11+'4 - Clé multilignes1'!I11+'4 - Clé multilignes2'!I11+'4 - Clé multilignes3'!I11+'4 - Clé multilignes4'!I11+'4 - Clé multilignes5'!I11+'4 - Clé multilignes6'!I11+'4 - Clé multilignes7'!I11</f>
        <v>0</v>
      </c>
      <c r="J11" s="171">
        <f>'4 - Clé SALAIRES'!J11+'4 - Clé multilignes1'!J11+'4 - Clé multilignes2'!J11+'4 - Clé multilignes3'!J11+'4 - Clé multilignes4'!J11+'4 - Clé multilignes5'!J11+'4 - Clé multilignes6'!J11+'4 - Clé multilignes7'!J11</f>
        <v>0</v>
      </c>
      <c r="K11" s="171">
        <f>'4 - Clé SALAIRES'!K11+'4 - Clé multilignes1'!K11+'4 - Clé multilignes2'!K11+'4 - Clé multilignes3'!K11+'4 - Clé multilignes4'!K11+'4 - Clé multilignes5'!K11+'4 - Clé multilignes6'!K11+'4 - Clé multilignes7'!K11</f>
        <v>0</v>
      </c>
      <c r="L11" s="171">
        <f>'4 - Clé SALAIRES'!L11+'4 - Clé multilignes1'!L11+'4 - Clé multilignes2'!L11+'4 - Clé multilignes3'!L11+'4 - Clé multilignes4'!L11+'4 - Clé multilignes5'!L11+'4 - Clé multilignes6'!L11+'4 - Clé multilignes7'!L11</f>
        <v>0</v>
      </c>
      <c r="M11" s="171">
        <f>'4 - Clé SALAIRES'!M11+'4 - Clé multilignes1'!M11+'4 - Clé multilignes2'!M11+'4 - Clé multilignes3'!M11+'4 - Clé multilignes4'!M11+'4 - Clé multilignes5'!M11+'4 - Clé multilignes6'!M11+'4 - Clé multilignes7'!M11</f>
        <v>0</v>
      </c>
      <c r="N11" s="171">
        <f>'4 - Clé SALAIRES'!N11+'4 - Clé multilignes1'!N11+'4 - Clé multilignes2'!N11+'4 - Clé multilignes3'!N11+'4 - Clé multilignes4'!N11+'4 - Clé multilignes5'!N11+'4 - Clé multilignes6'!N11+'4 - Clé multilignes7'!N11</f>
        <v>0</v>
      </c>
      <c r="O11" s="171">
        <f>'4 - Clé SALAIRES'!O11+'4 - Clé multilignes1'!O11+'4 - Clé multilignes2'!O11+'4 - Clé multilignes3'!O11+'4 - Clé multilignes4'!O11+'4 - Clé multilignes5'!O11+'4 - Clé multilignes6'!O11+'4 - Clé multilignes7'!O11</f>
        <v>0</v>
      </c>
      <c r="P11" s="171">
        <f>'4 - Clé SALAIRES'!P11+'4 - Clé multilignes1'!P11+'4 - Clé multilignes2'!P11+'4 - Clé multilignes3'!P11+'4 - Clé multilignes4'!P11+'4 - Clé multilignes5'!P11+'4 - Clé multilignes6'!P11+'4 - Clé multilignes7'!P11</f>
        <v>0</v>
      </c>
      <c r="Q11" s="171">
        <f>'4 - Clé SALAIRES'!Q11+'4 - Clé multilignes1'!Q11+'4 - Clé multilignes2'!Q11+'4 - Clé multilignes3'!Q11+'4 - Clé multilignes4'!Q11+'4 - Clé multilignes5'!Q11+'4 - Clé multilignes6'!Q11+'4 - Clé multilignes7'!Q11</f>
        <v>0</v>
      </c>
      <c r="R11" s="171">
        <f>'4 - Clé SALAIRES'!R11+'4 - Clé multilignes1'!R11+'4 - Clé multilignes2'!R11+'4 - Clé multilignes3'!R11+'4 - Clé multilignes4'!R11+'4 - Clé multilignes5'!R11+'4 - Clé multilignes6'!R11+'4 - Clé multilignes7'!R11</f>
        <v>0</v>
      </c>
      <c r="S11" s="171">
        <f>'4 - Clé SALAIRES'!S11+'4 - Clé multilignes1'!S11+'4 - Clé multilignes2'!S11+'4 - Clé multilignes3'!S11+'4 - Clé multilignes4'!S11+'4 - Clé multilignes5'!S11+'4 - Clé multilignes6'!S11+'4 - Clé multilignes7'!S11</f>
        <v>0</v>
      </c>
      <c r="T11" s="171">
        <f>'4 - Clé SALAIRES'!T11+'4 - Clé multilignes1'!T11+'4 - Clé multilignes2'!T11+'4 - Clé multilignes3'!T11+'4 - Clé multilignes4'!T11+'4 - Clé multilignes5'!T11+'4 - Clé multilignes6'!T11+'4 - Clé multilignes7'!T11</f>
        <v>0</v>
      </c>
      <c r="U11" s="171">
        <f>'4 - Clé SALAIRES'!U11+'4 - Clé multilignes1'!U11+'4 - Clé multilignes2'!U11+'4 - Clé multilignes3'!U11+'4 - Clé multilignes4'!U11+'4 - Clé multilignes5'!U11+'4 - Clé multilignes6'!U11+'4 - Clé multilignes7'!U11</f>
        <v>0</v>
      </c>
      <c r="V11" s="171">
        <f>'4 - Clé SALAIRES'!V11+'4 - Clé multilignes1'!V11+'4 - Clé multilignes2'!V11+'4 - Clé multilignes3'!V11+'4 - Clé multilignes4'!V11+'4 - Clé multilignes5'!V11+'4 - Clé multilignes6'!V11+'4 - Clé multilignes7'!V11</f>
        <v>0</v>
      </c>
      <c r="W11" s="171">
        <f>'4 - Clé SALAIRES'!W11+'4 - Clé multilignes1'!W11+'4 - Clé multilignes2'!W11+'4 - Clé multilignes3'!W11+'4 - Clé multilignes4'!W11+'4 - Clé multilignes5'!W11+'4 - Clé multilignes6'!W11+'4 - Clé multilignes7'!W11</f>
        <v>0</v>
      </c>
      <c r="X11" s="171">
        <f>'4 - Clé SALAIRES'!X11+'4 - Clé multilignes1'!X11+'4 - Clé multilignes2'!X11+'4 - Clé multilignes3'!X11+'4 - Clé multilignes4'!X11+'4 - Clé multilignes5'!X11+'4 - Clé multilignes6'!X11+'4 - Clé multilignes7'!X11</f>
        <v>0</v>
      </c>
      <c r="Y11" s="171">
        <f>'4 - Clé SALAIRES'!Y11+'4 - Clé multilignes1'!Y11+'4 - Clé multilignes2'!Y11+'4 - Clé multilignes3'!Y11+'4 - Clé multilignes4'!Y11+'4 - Clé multilignes5'!Y11+'4 - Clé multilignes6'!Y11+'4 - Clé multilignes7'!Y11</f>
        <v>0</v>
      </c>
      <c r="Z11" s="171">
        <f>'4 - Clé SALAIRES'!Z11+'4 - Clé multilignes1'!Z11+'4 - Clé multilignes2'!Z11+'4 - Clé multilignes3'!Z11+'4 - Clé multilignes4'!Z11+'4 - Clé multilignes5'!Z11+'4 - Clé multilignes6'!Z11+'4 - Clé multilignes7'!Z11</f>
        <v>0</v>
      </c>
      <c r="AB11" s="6"/>
      <c r="AC11" s="6"/>
      <c r="AD11" s="6"/>
      <c r="AE11" s="6"/>
    </row>
    <row r="12" spans="1:32" s="182" customFormat="1" ht="12.75" customHeight="1" x14ac:dyDescent="0.25">
      <c r="A12" s="162" t="str">
        <f>Matrice[[#This Row],[Ligne de la matrice]]</f>
        <v>Enlèvement et traitement des déchets dangereux</v>
      </c>
      <c r="B12" s="171">
        <f>'4 - Clé SALAIRES'!B12+'4 - Clé multilignes1'!B12+'4 - Clé multilignes2'!B12+'4 - Clé multilignes3'!B12+'4 - Clé multilignes4'!B12+'4 - Clé multilignes5'!B12+'4 - Clé multilignes6'!B12+'4 - Clé multilignes7'!B12</f>
        <v>0</v>
      </c>
      <c r="C12" s="171">
        <f>'4 - Clé SALAIRES'!C12+'4 - Clé multilignes1'!C12+'4 - Clé multilignes2'!C12+'4 - Clé multilignes3'!C12+'4 - Clé multilignes4'!C12+'4 - Clé multilignes5'!C12+'4 - Clé multilignes6'!C12+'4 - Clé multilignes7'!C12</f>
        <v>0</v>
      </c>
      <c r="D12" s="171">
        <f>'4 - Clé SALAIRES'!D12+'4 - Clé multilignes1'!D12+'4 - Clé multilignes2'!D12+'4 - Clé multilignes3'!D12+'4 - Clé multilignes4'!D12+'4 - Clé multilignes5'!D12+'4 - Clé multilignes6'!D12+'4 - Clé multilignes7'!D12</f>
        <v>0</v>
      </c>
      <c r="E12" s="171">
        <f>'4 - Clé SALAIRES'!E12+'4 - Clé multilignes1'!E12+'4 - Clé multilignes2'!E12+'4 - Clé multilignes3'!E12+'4 - Clé multilignes4'!E12+'4 - Clé multilignes5'!E12+'4 - Clé multilignes6'!E12+'4 - Clé multilignes7'!E12</f>
        <v>0</v>
      </c>
      <c r="F12" s="171">
        <f>'4 - Clé SALAIRES'!F12+'4 - Clé multilignes1'!F12+'4 - Clé multilignes2'!F12+'4 - Clé multilignes3'!F12+'4 - Clé multilignes4'!F12+'4 - Clé multilignes5'!F12+'4 - Clé multilignes6'!F12+'4 - Clé multilignes7'!F12</f>
        <v>0</v>
      </c>
      <c r="G12" s="171">
        <f>'4 - Clé SALAIRES'!G12+'4 - Clé multilignes1'!G12+'4 - Clé multilignes2'!G12+'4 - Clé multilignes3'!G12+'4 - Clé multilignes4'!G12+'4 - Clé multilignes5'!G12+'4 - Clé multilignes6'!G12+'4 - Clé multilignes7'!G12</f>
        <v>0</v>
      </c>
      <c r="H12" s="171">
        <f>'4 - Clé SALAIRES'!H12+'4 - Clé multilignes1'!H12+'4 - Clé multilignes2'!H12+'4 - Clé multilignes3'!H12+'4 - Clé multilignes4'!H12+'4 - Clé multilignes5'!H12+'4 - Clé multilignes6'!H12+'4 - Clé multilignes7'!H12</f>
        <v>0</v>
      </c>
      <c r="I12" s="171">
        <f>'4 - Clé SALAIRES'!I12+'4 - Clé multilignes1'!I12+'4 - Clé multilignes2'!I12+'4 - Clé multilignes3'!I12+'4 - Clé multilignes4'!I12+'4 - Clé multilignes5'!I12+'4 - Clé multilignes6'!I12+'4 - Clé multilignes7'!I12</f>
        <v>0</v>
      </c>
      <c r="J12" s="171">
        <f>'4 - Clé SALAIRES'!J12+'4 - Clé multilignes1'!J12+'4 - Clé multilignes2'!J12+'4 - Clé multilignes3'!J12+'4 - Clé multilignes4'!J12+'4 - Clé multilignes5'!J12+'4 - Clé multilignes6'!J12+'4 - Clé multilignes7'!J12</f>
        <v>0</v>
      </c>
      <c r="K12" s="171">
        <f>'4 - Clé SALAIRES'!K12+'4 - Clé multilignes1'!K12+'4 - Clé multilignes2'!K12+'4 - Clé multilignes3'!K12+'4 - Clé multilignes4'!K12+'4 - Clé multilignes5'!K12+'4 - Clé multilignes6'!K12+'4 - Clé multilignes7'!K12</f>
        <v>0</v>
      </c>
      <c r="L12" s="171">
        <f>'4 - Clé SALAIRES'!L12+'4 - Clé multilignes1'!L12+'4 - Clé multilignes2'!L12+'4 - Clé multilignes3'!L12+'4 - Clé multilignes4'!L12+'4 - Clé multilignes5'!L12+'4 - Clé multilignes6'!L12+'4 - Clé multilignes7'!L12</f>
        <v>0</v>
      </c>
      <c r="M12" s="171">
        <f>'4 - Clé SALAIRES'!M12+'4 - Clé multilignes1'!M12+'4 - Clé multilignes2'!M12+'4 - Clé multilignes3'!M12+'4 - Clé multilignes4'!M12+'4 - Clé multilignes5'!M12+'4 - Clé multilignes6'!M12+'4 - Clé multilignes7'!M12</f>
        <v>0</v>
      </c>
      <c r="N12" s="171">
        <f>'4 - Clé SALAIRES'!N12+'4 - Clé multilignes1'!N12+'4 - Clé multilignes2'!N12+'4 - Clé multilignes3'!N12+'4 - Clé multilignes4'!N12+'4 - Clé multilignes5'!N12+'4 - Clé multilignes6'!N12+'4 - Clé multilignes7'!N12</f>
        <v>0</v>
      </c>
      <c r="O12" s="171">
        <f>'4 - Clé SALAIRES'!O12+'4 - Clé multilignes1'!O12+'4 - Clé multilignes2'!O12+'4 - Clé multilignes3'!O12+'4 - Clé multilignes4'!O12+'4 - Clé multilignes5'!O12+'4 - Clé multilignes6'!O12+'4 - Clé multilignes7'!O12</f>
        <v>0</v>
      </c>
      <c r="P12" s="171">
        <f>'4 - Clé SALAIRES'!P12+'4 - Clé multilignes1'!P12+'4 - Clé multilignes2'!P12+'4 - Clé multilignes3'!P12+'4 - Clé multilignes4'!P12+'4 - Clé multilignes5'!P12+'4 - Clé multilignes6'!P12+'4 - Clé multilignes7'!P12</f>
        <v>0</v>
      </c>
      <c r="Q12" s="171">
        <f>'4 - Clé SALAIRES'!Q12+'4 - Clé multilignes1'!Q12+'4 - Clé multilignes2'!Q12+'4 - Clé multilignes3'!Q12+'4 - Clé multilignes4'!Q12+'4 - Clé multilignes5'!Q12+'4 - Clé multilignes6'!Q12+'4 - Clé multilignes7'!Q12</f>
        <v>0</v>
      </c>
      <c r="R12" s="171">
        <f>'4 - Clé SALAIRES'!R12+'4 - Clé multilignes1'!R12+'4 - Clé multilignes2'!R12+'4 - Clé multilignes3'!R12+'4 - Clé multilignes4'!R12+'4 - Clé multilignes5'!R12+'4 - Clé multilignes6'!R12+'4 - Clé multilignes7'!R12</f>
        <v>0</v>
      </c>
      <c r="S12" s="171">
        <f>'4 - Clé SALAIRES'!S12+'4 - Clé multilignes1'!S12+'4 - Clé multilignes2'!S12+'4 - Clé multilignes3'!S12+'4 - Clé multilignes4'!S12+'4 - Clé multilignes5'!S12+'4 - Clé multilignes6'!S12+'4 - Clé multilignes7'!S12</f>
        <v>0</v>
      </c>
      <c r="T12" s="171">
        <f>'4 - Clé SALAIRES'!T12+'4 - Clé multilignes1'!T12+'4 - Clé multilignes2'!T12+'4 - Clé multilignes3'!T12+'4 - Clé multilignes4'!T12+'4 - Clé multilignes5'!T12+'4 - Clé multilignes6'!T12+'4 - Clé multilignes7'!T12</f>
        <v>0</v>
      </c>
      <c r="U12" s="171">
        <f>'4 - Clé SALAIRES'!U12+'4 - Clé multilignes1'!U12+'4 - Clé multilignes2'!U12+'4 - Clé multilignes3'!U12+'4 - Clé multilignes4'!U12+'4 - Clé multilignes5'!U12+'4 - Clé multilignes6'!U12+'4 - Clé multilignes7'!U12</f>
        <v>0</v>
      </c>
      <c r="V12" s="171">
        <f>'4 - Clé SALAIRES'!V12+'4 - Clé multilignes1'!V12+'4 - Clé multilignes2'!V12+'4 - Clé multilignes3'!V12+'4 - Clé multilignes4'!V12+'4 - Clé multilignes5'!V12+'4 - Clé multilignes6'!V12+'4 - Clé multilignes7'!V12</f>
        <v>0</v>
      </c>
      <c r="W12" s="171">
        <f>'4 - Clé SALAIRES'!W12+'4 - Clé multilignes1'!W12+'4 - Clé multilignes2'!W12+'4 - Clé multilignes3'!W12+'4 - Clé multilignes4'!W12+'4 - Clé multilignes5'!W12+'4 - Clé multilignes6'!W12+'4 - Clé multilignes7'!W12</f>
        <v>0</v>
      </c>
      <c r="X12" s="171">
        <f>'4 - Clé SALAIRES'!X12+'4 - Clé multilignes1'!X12+'4 - Clé multilignes2'!X12+'4 - Clé multilignes3'!X12+'4 - Clé multilignes4'!X12+'4 - Clé multilignes5'!X12+'4 - Clé multilignes6'!X12+'4 - Clé multilignes7'!X12</f>
        <v>0</v>
      </c>
      <c r="Y12" s="171">
        <f>'4 - Clé SALAIRES'!Y12+'4 - Clé multilignes1'!Y12+'4 - Clé multilignes2'!Y12+'4 - Clé multilignes3'!Y12+'4 - Clé multilignes4'!Y12+'4 - Clé multilignes5'!Y12+'4 - Clé multilignes6'!Y12+'4 - Clé multilignes7'!Y12</f>
        <v>0</v>
      </c>
      <c r="Z12" s="171">
        <f>'4 - Clé SALAIRES'!Z12+'4 - Clé multilignes1'!Z12+'4 - Clé multilignes2'!Z12+'4 - Clé multilignes3'!Z12+'4 - Clé multilignes4'!Z12+'4 - Clé multilignes5'!Z12+'4 - Clé multilignes6'!Z12+'4 - Clé multilignes7'!Z12</f>
        <v>0</v>
      </c>
      <c r="AB12" s="6"/>
      <c r="AC12" s="6"/>
      <c r="AD12" s="6"/>
      <c r="AE12" s="6"/>
    </row>
    <row r="13" spans="1:32" s="182" customFormat="1" ht="12.75" customHeight="1" x14ac:dyDescent="0.25">
      <c r="A13" s="162">
        <f>Matrice[[#This Row],[Ligne de la matrice]]</f>
        <v>0</v>
      </c>
      <c r="B13" s="171">
        <f>'4 - Clé SALAIRES'!B13+'4 - Clé multilignes1'!B13+'4 - Clé multilignes2'!B13+'4 - Clé multilignes3'!B13+'4 - Clé multilignes4'!B13+'4 - Clé multilignes5'!B13+'4 - Clé multilignes6'!B13+'4 - Clé multilignes7'!B13</f>
        <v>0</v>
      </c>
      <c r="C13" s="171">
        <f>'4 - Clé SALAIRES'!C13+'4 - Clé multilignes1'!C13+'4 - Clé multilignes2'!C13+'4 - Clé multilignes3'!C13+'4 - Clé multilignes4'!C13+'4 - Clé multilignes5'!C13+'4 - Clé multilignes6'!C13+'4 - Clé multilignes7'!C13</f>
        <v>0</v>
      </c>
      <c r="D13" s="171">
        <f>'4 - Clé SALAIRES'!D13+'4 - Clé multilignes1'!D13+'4 - Clé multilignes2'!D13+'4 - Clé multilignes3'!D13+'4 - Clé multilignes4'!D13+'4 - Clé multilignes5'!D13+'4 - Clé multilignes6'!D13+'4 - Clé multilignes7'!D13</f>
        <v>0</v>
      </c>
      <c r="E13" s="171">
        <f>'4 - Clé SALAIRES'!E13+'4 - Clé multilignes1'!E13+'4 - Clé multilignes2'!E13+'4 - Clé multilignes3'!E13+'4 - Clé multilignes4'!E13+'4 - Clé multilignes5'!E13+'4 - Clé multilignes6'!E13+'4 - Clé multilignes7'!E13</f>
        <v>0</v>
      </c>
      <c r="F13" s="171">
        <f>'4 - Clé SALAIRES'!F13+'4 - Clé multilignes1'!F13+'4 - Clé multilignes2'!F13+'4 - Clé multilignes3'!F13+'4 - Clé multilignes4'!F13+'4 - Clé multilignes5'!F13+'4 - Clé multilignes6'!F13+'4 - Clé multilignes7'!F13</f>
        <v>0</v>
      </c>
      <c r="G13" s="171">
        <f>'4 - Clé SALAIRES'!G13+'4 - Clé multilignes1'!G13+'4 - Clé multilignes2'!G13+'4 - Clé multilignes3'!G13+'4 - Clé multilignes4'!G13+'4 - Clé multilignes5'!G13+'4 - Clé multilignes6'!G13+'4 - Clé multilignes7'!G13</f>
        <v>0</v>
      </c>
      <c r="H13" s="171">
        <f>'4 - Clé SALAIRES'!H13+'4 - Clé multilignes1'!H13+'4 - Clé multilignes2'!H13+'4 - Clé multilignes3'!H13+'4 - Clé multilignes4'!H13+'4 - Clé multilignes5'!H13+'4 - Clé multilignes6'!H13+'4 - Clé multilignes7'!H13</f>
        <v>0</v>
      </c>
      <c r="I13" s="171">
        <f>'4 - Clé SALAIRES'!I13+'4 - Clé multilignes1'!I13+'4 - Clé multilignes2'!I13+'4 - Clé multilignes3'!I13+'4 - Clé multilignes4'!I13+'4 - Clé multilignes5'!I13+'4 - Clé multilignes6'!I13+'4 - Clé multilignes7'!I13</f>
        <v>0</v>
      </c>
      <c r="J13" s="171">
        <f>'4 - Clé SALAIRES'!J13+'4 - Clé multilignes1'!J13+'4 - Clé multilignes2'!J13+'4 - Clé multilignes3'!J13+'4 - Clé multilignes4'!J13+'4 - Clé multilignes5'!J13+'4 - Clé multilignes6'!J13+'4 - Clé multilignes7'!J13</f>
        <v>0</v>
      </c>
      <c r="K13" s="171">
        <f>'4 - Clé SALAIRES'!K13+'4 - Clé multilignes1'!K13+'4 - Clé multilignes2'!K13+'4 - Clé multilignes3'!K13+'4 - Clé multilignes4'!K13+'4 - Clé multilignes5'!K13+'4 - Clé multilignes6'!K13+'4 - Clé multilignes7'!K13</f>
        <v>0</v>
      </c>
      <c r="L13" s="171">
        <f>'4 - Clé SALAIRES'!L13+'4 - Clé multilignes1'!L13+'4 - Clé multilignes2'!L13+'4 - Clé multilignes3'!L13+'4 - Clé multilignes4'!L13+'4 - Clé multilignes5'!L13+'4 - Clé multilignes6'!L13+'4 - Clé multilignes7'!L13</f>
        <v>0</v>
      </c>
      <c r="M13" s="171">
        <f>'4 - Clé SALAIRES'!M13+'4 - Clé multilignes1'!M13+'4 - Clé multilignes2'!M13+'4 - Clé multilignes3'!M13+'4 - Clé multilignes4'!M13+'4 - Clé multilignes5'!M13+'4 - Clé multilignes6'!M13+'4 - Clé multilignes7'!M13</f>
        <v>0</v>
      </c>
      <c r="N13" s="171">
        <f>'4 - Clé SALAIRES'!N13+'4 - Clé multilignes1'!N13+'4 - Clé multilignes2'!N13+'4 - Clé multilignes3'!N13+'4 - Clé multilignes4'!N13+'4 - Clé multilignes5'!N13+'4 - Clé multilignes6'!N13+'4 - Clé multilignes7'!N13</f>
        <v>0</v>
      </c>
      <c r="O13" s="171">
        <f>'4 - Clé SALAIRES'!O13+'4 - Clé multilignes1'!O13+'4 - Clé multilignes2'!O13+'4 - Clé multilignes3'!O13+'4 - Clé multilignes4'!O13+'4 - Clé multilignes5'!O13+'4 - Clé multilignes6'!O13+'4 - Clé multilignes7'!O13</f>
        <v>0</v>
      </c>
      <c r="P13" s="171">
        <f>'4 - Clé SALAIRES'!P13+'4 - Clé multilignes1'!P13+'4 - Clé multilignes2'!P13+'4 - Clé multilignes3'!P13+'4 - Clé multilignes4'!P13+'4 - Clé multilignes5'!P13+'4 - Clé multilignes6'!P13+'4 - Clé multilignes7'!P13</f>
        <v>0</v>
      </c>
      <c r="Q13" s="171">
        <f>'4 - Clé SALAIRES'!Q13+'4 - Clé multilignes1'!Q13+'4 - Clé multilignes2'!Q13+'4 - Clé multilignes3'!Q13+'4 - Clé multilignes4'!Q13+'4 - Clé multilignes5'!Q13+'4 - Clé multilignes6'!Q13+'4 - Clé multilignes7'!Q13</f>
        <v>0</v>
      </c>
      <c r="R13" s="171">
        <f>'4 - Clé SALAIRES'!R13+'4 - Clé multilignes1'!R13+'4 - Clé multilignes2'!R13+'4 - Clé multilignes3'!R13+'4 - Clé multilignes4'!R13+'4 - Clé multilignes5'!R13+'4 - Clé multilignes6'!R13+'4 - Clé multilignes7'!R13</f>
        <v>0</v>
      </c>
      <c r="S13" s="171">
        <f>'4 - Clé SALAIRES'!S13+'4 - Clé multilignes1'!S13+'4 - Clé multilignes2'!S13+'4 - Clé multilignes3'!S13+'4 - Clé multilignes4'!S13+'4 - Clé multilignes5'!S13+'4 - Clé multilignes6'!S13+'4 - Clé multilignes7'!S13</f>
        <v>0</v>
      </c>
      <c r="T13" s="171">
        <f>'4 - Clé SALAIRES'!T13+'4 - Clé multilignes1'!T13+'4 - Clé multilignes2'!T13+'4 - Clé multilignes3'!T13+'4 - Clé multilignes4'!T13+'4 - Clé multilignes5'!T13+'4 - Clé multilignes6'!T13+'4 - Clé multilignes7'!T13</f>
        <v>0</v>
      </c>
      <c r="U13" s="171">
        <f>'4 - Clé SALAIRES'!U13+'4 - Clé multilignes1'!U13+'4 - Clé multilignes2'!U13+'4 - Clé multilignes3'!U13+'4 - Clé multilignes4'!U13+'4 - Clé multilignes5'!U13+'4 - Clé multilignes6'!U13+'4 - Clé multilignes7'!U13</f>
        <v>0</v>
      </c>
      <c r="V13" s="171">
        <f>'4 - Clé SALAIRES'!V13+'4 - Clé multilignes1'!V13+'4 - Clé multilignes2'!V13+'4 - Clé multilignes3'!V13+'4 - Clé multilignes4'!V13+'4 - Clé multilignes5'!V13+'4 - Clé multilignes6'!V13+'4 - Clé multilignes7'!V13</f>
        <v>0</v>
      </c>
      <c r="W13" s="171">
        <f>'4 - Clé SALAIRES'!W13+'4 - Clé multilignes1'!W13+'4 - Clé multilignes2'!W13+'4 - Clé multilignes3'!W13+'4 - Clé multilignes4'!W13+'4 - Clé multilignes5'!W13+'4 - Clé multilignes6'!W13+'4 - Clé multilignes7'!W13</f>
        <v>0</v>
      </c>
      <c r="X13" s="171">
        <f>'4 - Clé SALAIRES'!X13+'4 - Clé multilignes1'!X13+'4 - Clé multilignes2'!X13+'4 - Clé multilignes3'!X13+'4 - Clé multilignes4'!X13+'4 - Clé multilignes5'!X13+'4 - Clé multilignes6'!X13+'4 - Clé multilignes7'!X13</f>
        <v>0</v>
      </c>
      <c r="Y13" s="171">
        <f>'4 - Clé SALAIRES'!Y13+'4 - Clé multilignes1'!Y13+'4 - Clé multilignes2'!Y13+'4 - Clé multilignes3'!Y13+'4 - Clé multilignes4'!Y13+'4 - Clé multilignes5'!Y13+'4 - Clé multilignes6'!Y13+'4 - Clé multilignes7'!Y13</f>
        <v>0</v>
      </c>
      <c r="Z13" s="171">
        <f>'4 - Clé SALAIRES'!Z13+'4 - Clé multilignes1'!Z13+'4 - Clé multilignes2'!Z13+'4 - Clé multilignes3'!Z13+'4 - Clé multilignes4'!Z13+'4 - Clé multilignes5'!Z13+'4 - Clé multilignes6'!Z13+'4 - Clé multilignes7'!Z13</f>
        <v>0</v>
      </c>
      <c r="AB13" s="6"/>
      <c r="AC13" s="6"/>
      <c r="AD13" s="6"/>
      <c r="AE13" s="6"/>
    </row>
    <row r="14" spans="1:32" s="182" customFormat="1" ht="12.75" customHeight="1" x14ac:dyDescent="0.25">
      <c r="A14" s="162">
        <f>Matrice[[#This Row],[Ligne de la matrice]]</f>
        <v>0</v>
      </c>
      <c r="B14" s="171">
        <f>'4 - Clé SALAIRES'!B14+'4 - Clé multilignes1'!B14+'4 - Clé multilignes2'!B14+'4 - Clé multilignes3'!B14+'4 - Clé multilignes4'!B14+'4 - Clé multilignes5'!B14+'4 - Clé multilignes6'!B14+'4 - Clé multilignes7'!B14</f>
        <v>0</v>
      </c>
      <c r="C14" s="171">
        <f>'4 - Clé SALAIRES'!C14+'4 - Clé multilignes1'!C14+'4 - Clé multilignes2'!C14+'4 - Clé multilignes3'!C14+'4 - Clé multilignes4'!C14+'4 - Clé multilignes5'!C14+'4 - Clé multilignes6'!C14+'4 - Clé multilignes7'!C14</f>
        <v>0</v>
      </c>
      <c r="D14" s="171">
        <f>'4 - Clé SALAIRES'!D14+'4 - Clé multilignes1'!D14+'4 - Clé multilignes2'!D14+'4 - Clé multilignes3'!D14+'4 - Clé multilignes4'!D14+'4 - Clé multilignes5'!D14+'4 - Clé multilignes6'!D14+'4 - Clé multilignes7'!D14</f>
        <v>0</v>
      </c>
      <c r="E14" s="171">
        <f>'4 - Clé SALAIRES'!E14+'4 - Clé multilignes1'!E14+'4 - Clé multilignes2'!E14+'4 - Clé multilignes3'!E14+'4 - Clé multilignes4'!E14+'4 - Clé multilignes5'!E14+'4 - Clé multilignes6'!E14+'4 - Clé multilignes7'!E14</f>
        <v>0</v>
      </c>
      <c r="F14" s="171">
        <f>'4 - Clé SALAIRES'!F14+'4 - Clé multilignes1'!F14+'4 - Clé multilignes2'!F14+'4 - Clé multilignes3'!F14+'4 - Clé multilignes4'!F14+'4 - Clé multilignes5'!F14+'4 - Clé multilignes6'!F14+'4 - Clé multilignes7'!F14</f>
        <v>0</v>
      </c>
      <c r="G14" s="171">
        <f>'4 - Clé SALAIRES'!G14+'4 - Clé multilignes1'!G14+'4 - Clé multilignes2'!G14+'4 - Clé multilignes3'!G14+'4 - Clé multilignes4'!G14+'4 - Clé multilignes5'!G14+'4 - Clé multilignes6'!G14+'4 - Clé multilignes7'!G14</f>
        <v>0</v>
      </c>
      <c r="H14" s="171">
        <f>'4 - Clé SALAIRES'!H14+'4 - Clé multilignes1'!H14+'4 - Clé multilignes2'!H14+'4 - Clé multilignes3'!H14+'4 - Clé multilignes4'!H14+'4 - Clé multilignes5'!H14+'4 - Clé multilignes6'!H14+'4 - Clé multilignes7'!H14</f>
        <v>0</v>
      </c>
      <c r="I14" s="171">
        <f>'4 - Clé SALAIRES'!I14+'4 - Clé multilignes1'!I14+'4 - Clé multilignes2'!I14+'4 - Clé multilignes3'!I14+'4 - Clé multilignes4'!I14+'4 - Clé multilignes5'!I14+'4 - Clé multilignes6'!I14+'4 - Clé multilignes7'!I14</f>
        <v>0</v>
      </c>
      <c r="J14" s="171">
        <f>'4 - Clé SALAIRES'!J14+'4 - Clé multilignes1'!J14+'4 - Clé multilignes2'!J14+'4 - Clé multilignes3'!J14+'4 - Clé multilignes4'!J14+'4 - Clé multilignes5'!J14+'4 - Clé multilignes6'!J14+'4 - Clé multilignes7'!J14</f>
        <v>0</v>
      </c>
      <c r="K14" s="171">
        <f>'4 - Clé SALAIRES'!K14+'4 - Clé multilignes1'!K14+'4 - Clé multilignes2'!K14+'4 - Clé multilignes3'!K14+'4 - Clé multilignes4'!K14+'4 - Clé multilignes5'!K14+'4 - Clé multilignes6'!K14+'4 - Clé multilignes7'!K14</f>
        <v>0</v>
      </c>
      <c r="L14" s="171">
        <f>'4 - Clé SALAIRES'!L14+'4 - Clé multilignes1'!L14+'4 - Clé multilignes2'!L14+'4 - Clé multilignes3'!L14+'4 - Clé multilignes4'!L14+'4 - Clé multilignes5'!L14+'4 - Clé multilignes6'!L14+'4 - Clé multilignes7'!L14</f>
        <v>0</v>
      </c>
      <c r="M14" s="171">
        <f>'4 - Clé SALAIRES'!M14+'4 - Clé multilignes1'!M14+'4 - Clé multilignes2'!M14+'4 - Clé multilignes3'!M14+'4 - Clé multilignes4'!M14+'4 - Clé multilignes5'!M14+'4 - Clé multilignes6'!M14+'4 - Clé multilignes7'!M14</f>
        <v>0</v>
      </c>
      <c r="N14" s="171">
        <f>'4 - Clé SALAIRES'!N14+'4 - Clé multilignes1'!N14+'4 - Clé multilignes2'!N14+'4 - Clé multilignes3'!N14+'4 - Clé multilignes4'!N14+'4 - Clé multilignes5'!N14+'4 - Clé multilignes6'!N14+'4 - Clé multilignes7'!N14</f>
        <v>0</v>
      </c>
      <c r="O14" s="171">
        <f>'4 - Clé SALAIRES'!O14+'4 - Clé multilignes1'!O14+'4 - Clé multilignes2'!O14+'4 - Clé multilignes3'!O14+'4 - Clé multilignes4'!O14+'4 - Clé multilignes5'!O14+'4 - Clé multilignes6'!O14+'4 - Clé multilignes7'!O14</f>
        <v>0</v>
      </c>
      <c r="P14" s="171">
        <f>'4 - Clé SALAIRES'!P14+'4 - Clé multilignes1'!P14+'4 - Clé multilignes2'!P14+'4 - Clé multilignes3'!P14+'4 - Clé multilignes4'!P14+'4 - Clé multilignes5'!P14+'4 - Clé multilignes6'!P14+'4 - Clé multilignes7'!P14</f>
        <v>0</v>
      </c>
      <c r="Q14" s="171">
        <f>'4 - Clé SALAIRES'!Q14+'4 - Clé multilignes1'!Q14+'4 - Clé multilignes2'!Q14+'4 - Clé multilignes3'!Q14+'4 - Clé multilignes4'!Q14+'4 - Clé multilignes5'!Q14+'4 - Clé multilignes6'!Q14+'4 - Clé multilignes7'!Q14</f>
        <v>0</v>
      </c>
      <c r="R14" s="171">
        <f>'4 - Clé SALAIRES'!R14+'4 - Clé multilignes1'!R14+'4 - Clé multilignes2'!R14+'4 - Clé multilignes3'!R14+'4 - Clé multilignes4'!R14+'4 - Clé multilignes5'!R14+'4 - Clé multilignes6'!R14+'4 - Clé multilignes7'!R14</f>
        <v>0</v>
      </c>
      <c r="S14" s="171">
        <f>'4 - Clé SALAIRES'!S14+'4 - Clé multilignes1'!S14+'4 - Clé multilignes2'!S14+'4 - Clé multilignes3'!S14+'4 - Clé multilignes4'!S14+'4 - Clé multilignes5'!S14+'4 - Clé multilignes6'!S14+'4 - Clé multilignes7'!S14</f>
        <v>0</v>
      </c>
      <c r="T14" s="171">
        <f>'4 - Clé SALAIRES'!T14+'4 - Clé multilignes1'!T14+'4 - Clé multilignes2'!T14+'4 - Clé multilignes3'!T14+'4 - Clé multilignes4'!T14+'4 - Clé multilignes5'!T14+'4 - Clé multilignes6'!T14+'4 - Clé multilignes7'!T14</f>
        <v>0</v>
      </c>
      <c r="U14" s="171">
        <f>'4 - Clé SALAIRES'!U14+'4 - Clé multilignes1'!U14+'4 - Clé multilignes2'!U14+'4 - Clé multilignes3'!U14+'4 - Clé multilignes4'!U14+'4 - Clé multilignes5'!U14+'4 - Clé multilignes6'!U14+'4 - Clé multilignes7'!U14</f>
        <v>0</v>
      </c>
      <c r="V14" s="171">
        <f>'4 - Clé SALAIRES'!V14+'4 - Clé multilignes1'!V14+'4 - Clé multilignes2'!V14+'4 - Clé multilignes3'!V14+'4 - Clé multilignes4'!V14+'4 - Clé multilignes5'!V14+'4 - Clé multilignes6'!V14+'4 - Clé multilignes7'!V14</f>
        <v>0</v>
      </c>
      <c r="W14" s="171">
        <f>'4 - Clé SALAIRES'!W14+'4 - Clé multilignes1'!W14+'4 - Clé multilignes2'!W14+'4 - Clé multilignes3'!W14+'4 - Clé multilignes4'!W14+'4 - Clé multilignes5'!W14+'4 - Clé multilignes6'!W14+'4 - Clé multilignes7'!W14</f>
        <v>0</v>
      </c>
      <c r="X14" s="171">
        <f>'4 - Clé SALAIRES'!X14+'4 - Clé multilignes1'!X14+'4 - Clé multilignes2'!X14+'4 - Clé multilignes3'!X14+'4 - Clé multilignes4'!X14+'4 - Clé multilignes5'!X14+'4 - Clé multilignes6'!X14+'4 - Clé multilignes7'!X14</f>
        <v>0</v>
      </c>
      <c r="Y14" s="171">
        <f>'4 - Clé SALAIRES'!Y14+'4 - Clé multilignes1'!Y14+'4 - Clé multilignes2'!Y14+'4 - Clé multilignes3'!Y14+'4 - Clé multilignes4'!Y14+'4 - Clé multilignes5'!Y14+'4 - Clé multilignes6'!Y14+'4 - Clé multilignes7'!Y14</f>
        <v>0</v>
      </c>
      <c r="Z14" s="171">
        <f>'4 - Clé SALAIRES'!Z14+'4 - Clé multilignes1'!Z14+'4 - Clé multilignes2'!Z14+'4 - Clé multilignes3'!Z14+'4 - Clé multilignes4'!Z14+'4 - Clé multilignes5'!Z14+'4 - Clé multilignes6'!Z14+'4 - Clé multilignes7'!Z14</f>
        <v>0</v>
      </c>
      <c r="AB14" s="6"/>
      <c r="AC14" s="6"/>
      <c r="AD14" s="6"/>
      <c r="AE14" s="6"/>
    </row>
    <row r="15" spans="1:32" s="182" customFormat="1" ht="12.75" customHeight="1" x14ac:dyDescent="0.25">
      <c r="A15" s="162">
        <f>Matrice[[#This Row],[Ligne de la matrice]]</f>
        <v>0</v>
      </c>
      <c r="B15" s="171">
        <f>'4 - Clé SALAIRES'!B15+'4 - Clé multilignes1'!B15+'4 - Clé multilignes2'!B15+'4 - Clé multilignes3'!B15+'4 - Clé multilignes4'!B15+'4 - Clé multilignes5'!B15+'4 - Clé multilignes6'!B15+'4 - Clé multilignes7'!B15</f>
        <v>0</v>
      </c>
      <c r="C15" s="171">
        <f>'4 - Clé SALAIRES'!C15+'4 - Clé multilignes1'!C15+'4 - Clé multilignes2'!C15+'4 - Clé multilignes3'!C15+'4 - Clé multilignes4'!C15+'4 - Clé multilignes5'!C15+'4 - Clé multilignes6'!C15+'4 - Clé multilignes7'!C15</f>
        <v>0</v>
      </c>
      <c r="D15" s="171">
        <f>'4 - Clé SALAIRES'!D15+'4 - Clé multilignes1'!D15+'4 - Clé multilignes2'!D15+'4 - Clé multilignes3'!D15+'4 - Clé multilignes4'!D15+'4 - Clé multilignes5'!D15+'4 - Clé multilignes6'!D15+'4 - Clé multilignes7'!D15</f>
        <v>0</v>
      </c>
      <c r="E15" s="171">
        <f>'4 - Clé SALAIRES'!E15+'4 - Clé multilignes1'!E15+'4 - Clé multilignes2'!E15+'4 - Clé multilignes3'!E15+'4 - Clé multilignes4'!E15+'4 - Clé multilignes5'!E15+'4 - Clé multilignes6'!E15+'4 - Clé multilignes7'!E15</f>
        <v>0</v>
      </c>
      <c r="F15" s="171">
        <f>'4 - Clé SALAIRES'!F15+'4 - Clé multilignes1'!F15+'4 - Clé multilignes2'!F15+'4 - Clé multilignes3'!F15+'4 - Clé multilignes4'!F15+'4 - Clé multilignes5'!F15+'4 - Clé multilignes6'!F15+'4 - Clé multilignes7'!F15</f>
        <v>0</v>
      </c>
      <c r="G15" s="171">
        <f>'4 - Clé SALAIRES'!G15+'4 - Clé multilignes1'!G15+'4 - Clé multilignes2'!G15+'4 - Clé multilignes3'!G15+'4 - Clé multilignes4'!G15+'4 - Clé multilignes5'!G15+'4 - Clé multilignes6'!G15+'4 - Clé multilignes7'!G15</f>
        <v>0</v>
      </c>
      <c r="H15" s="171">
        <f>'4 - Clé SALAIRES'!H15+'4 - Clé multilignes1'!H15+'4 - Clé multilignes2'!H15+'4 - Clé multilignes3'!H15+'4 - Clé multilignes4'!H15+'4 - Clé multilignes5'!H15+'4 - Clé multilignes6'!H15+'4 - Clé multilignes7'!H15</f>
        <v>0</v>
      </c>
      <c r="I15" s="171">
        <f>'4 - Clé SALAIRES'!I15+'4 - Clé multilignes1'!I15+'4 - Clé multilignes2'!I15+'4 - Clé multilignes3'!I15+'4 - Clé multilignes4'!I15+'4 - Clé multilignes5'!I15+'4 - Clé multilignes6'!I15+'4 - Clé multilignes7'!I15</f>
        <v>0</v>
      </c>
      <c r="J15" s="171">
        <f>'4 - Clé SALAIRES'!J15+'4 - Clé multilignes1'!J15+'4 - Clé multilignes2'!J15+'4 - Clé multilignes3'!J15+'4 - Clé multilignes4'!J15+'4 - Clé multilignes5'!J15+'4 - Clé multilignes6'!J15+'4 - Clé multilignes7'!J15</f>
        <v>0</v>
      </c>
      <c r="K15" s="171">
        <f>'4 - Clé SALAIRES'!K15+'4 - Clé multilignes1'!K15+'4 - Clé multilignes2'!K15+'4 - Clé multilignes3'!K15+'4 - Clé multilignes4'!K15+'4 - Clé multilignes5'!K15+'4 - Clé multilignes6'!K15+'4 - Clé multilignes7'!K15</f>
        <v>0</v>
      </c>
      <c r="L15" s="171">
        <f>'4 - Clé SALAIRES'!L15+'4 - Clé multilignes1'!L15+'4 - Clé multilignes2'!L15+'4 - Clé multilignes3'!L15+'4 - Clé multilignes4'!L15+'4 - Clé multilignes5'!L15+'4 - Clé multilignes6'!L15+'4 - Clé multilignes7'!L15</f>
        <v>0</v>
      </c>
      <c r="M15" s="171">
        <f>'4 - Clé SALAIRES'!M15+'4 - Clé multilignes1'!M15+'4 - Clé multilignes2'!M15+'4 - Clé multilignes3'!M15+'4 - Clé multilignes4'!M15+'4 - Clé multilignes5'!M15+'4 - Clé multilignes6'!M15+'4 - Clé multilignes7'!M15</f>
        <v>0</v>
      </c>
      <c r="N15" s="171">
        <f>'4 - Clé SALAIRES'!N15+'4 - Clé multilignes1'!N15+'4 - Clé multilignes2'!N15+'4 - Clé multilignes3'!N15+'4 - Clé multilignes4'!N15+'4 - Clé multilignes5'!N15+'4 - Clé multilignes6'!N15+'4 - Clé multilignes7'!N15</f>
        <v>0</v>
      </c>
      <c r="O15" s="171">
        <f>'4 - Clé SALAIRES'!O15+'4 - Clé multilignes1'!O15+'4 - Clé multilignes2'!O15+'4 - Clé multilignes3'!O15+'4 - Clé multilignes4'!O15+'4 - Clé multilignes5'!O15+'4 - Clé multilignes6'!O15+'4 - Clé multilignes7'!O15</f>
        <v>0</v>
      </c>
      <c r="P15" s="171">
        <f>'4 - Clé SALAIRES'!P15+'4 - Clé multilignes1'!P15+'4 - Clé multilignes2'!P15+'4 - Clé multilignes3'!P15+'4 - Clé multilignes4'!P15+'4 - Clé multilignes5'!P15+'4 - Clé multilignes6'!P15+'4 - Clé multilignes7'!P15</f>
        <v>0</v>
      </c>
      <c r="Q15" s="171">
        <f>'4 - Clé SALAIRES'!Q15+'4 - Clé multilignes1'!Q15+'4 - Clé multilignes2'!Q15+'4 - Clé multilignes3'!Q15+'4 - Clé multilignes4'!Q15+'4 - Clé multilignes5'!Q15+'4 - Clé multilignes6'!Q15+'4 - Clé multilignes7'!Q15</f>
        <v>0</v>
      </c>
      <c r="R15" s="171">
        <f>'4 - Clé SALAIRES'!R15+'4 - Clé multilignes1'!R15+'4 - Clé multilignes2'!R15+'4 - Clé multilignes3'!R15+'4 - Clé multilignes4'!R15+'4 - Clé multilignes5'!R15+'4 - Clé multilignes6'!R15+'4 - Clé multilignes7'!R15</f>
        <v>0</v>
      </c>
      <c r="S15" s="171">
        <f>'4 - Clé SALAIRES'!S15+'4 - Clé multilignes1'!S15+'4 - Clé multilignes2'!S15+'4 - Clé multilignes3'!S15+'4 - Clé multilignes4'!S15+'4 - Clé multilignes5'!S15+'4 - Clé multilignes6'!S15+'4 - Clé multilignes7'!S15</f>
        <v>0</v>
      </c>
      <c r="T15" s="171">
        <f>'4 - Clé SALAIRES'!T15+'4 - Clé multilignes1'!T15+'4 - Clé multilignes2'!T15+'4 - Clé multilignes3'!T15+'4 - Clé multilignes4'!T15+'4 - Clé multilignes5'!T15+'4 - Clé multilignes6'!T15+'4 - Clé multilignes7'!T15</f>
        <v>0</v>
      </c>
      <c r="U15" s="171">
        <f>'4 - Clé SALAIRES'!U15+'4 - Clé multilignes1'!U15+'4 - Clé multilignes2'!U15+'4 - Clé multilignes3'!U15+'4 - Clé multilignes4'!U15+'4 - Clé multilignes5'!U15+'4 - Clé multilignes6'!U15+'4 - Clé multilignes7'!U15</f>
        <v>0</v>
      </c>
      <c r="V15" s="171">
        <f>'4 - Clé SALAIRES'!V15+'4 - Clé multilignes1'!V15+'4 - Clé multilignes2'!V15+'4 - Clé multilignes3'!V15+'4 - Clé multilignes4'!V15+'4 - Clé multilignes5'!V15+'4 - Clé multilignes6'!V15+'4 - Clé multilignes7'!V15</f>
        <v>0</v>
      </c>
      <c r="W15" s="171">
        <f>'4 - Clé SALAIRES'!W15+'4 - Clé multilignes1'!W15+'4 - Clé multilignes2'!W15+'4 - Clé multilignes3'!W15+'4 - Clé multilignes4'!W15+'4 - Clé multilignes5'!W15+'4 - Clé multilignes6'!W15+'4 - Clé multilignes7'!W15</f>
        <v>0</v>
      </c>
      <c r="X15" s="171">
        <f>'4 - Clé SALAIRES'!X15+'4 - Clé multilignes1'!X15+'4 - Clé multilignes2'!X15+'4 - Clé multilignes3'!X15+'4 - Clé multilignes4'!X15+'4 - Clé multilignes5'!X15+'4 - Clé multilignes6'!X15+'4 - Clé multilignes7'!X15</f>
        <v>0</v>
      </c>
      <c r="Y15" s="171">
        <f>'4 - Clé SALAIRES'!Y15+'4 - Clé multilignes1'!Y15+'4 - Clé multilignes2'!Y15+'4 - Clé multilignes3'!Y15+'4 - Clé multilignes4'!Y15+'4 - Clé multilignes5'!Y15+'4 - Clé multilignes6'!Y15+'4 - Clé multilignes7'!Y15</f>
        <v>0</v>
      </c>
      <c r="Z15" s="171">
        <f>'4 - Clé SALAIRES'!Z15+'4 - Clé multilignes1'!Z15+'4 - Clé multilignes2'!Z15+'4 - Clé multilignes3'!Z15+'4 - Clé multilignes4'!Z15+'4 - Clé multilignes5'!Z15+'4 - Clé multilignes6'!Z15+'4 - Clé multilignes7'!Z15</f>
        <v>0</v>
      </c>
      <c r="AB15" s="6"/>
      <c r="AC15" s="6"/>
      <c r="AD15" s="6"/>
      <c r="AE15" s="6"/>
    </row>
    <row r="16" spans="1:32" s="182" customFormat="1" ht="12.75" customHeight="1" x14ac:dyDescent="0.25">
      <c r="A16" s="162">
        <f>Matrice[[#This Row],[Ligne de la matrice]]</f>
        <v>0</v>
      </c>
      <c r="B16" s="171">
        <f>'4 - Clé SALAIRES'!B16+'4 - Clé multilignes1'!B16+'4 - Clé multilignes2'!B16+'4 - Clé multilignes3'!B16+'4 - Clé multilignes4'!B16+'4 - Clé multilignes5'!B16+'4 - Clé multilignes6'!B16+'4 - Clé multilignes7'!B16</f>
        <v>0</v>
      </c>
      <c r="C16" s="171">
        <f>'4 - Clé SALAIRES'!C16+'4 - Clé multilignes1'!C16+'4 - Clé multilignes2'!C16+'4 - Clé multilignes3'!C16+'4 - Clé multilignes4'!C16+'4 - Clé multilignes5'!C16+'4 - Clé multilignes6'!C16+'4 - Clé multilignes7'!C16</f>
        <v>0</v>
      </c>
      <c r="D16" s="171">
        <f>'4 - Clé SALAIRES'!D16+'4 - Clé multilignes1'!D16+'4 - Clé multilignes2'!D16+'4 - Clé multilignes3'!D16+'4 - Clé multilignes4'!D16+'4 - Clé multilignes5'!D16+'4 - Clé multilignes6'!D16+'4 - Clé multilignes7'!D16</f>
        <v>0</v>
      </c>
      <c r="E16" s="171">
        <f>'4 - Clé SALAIRES'!E16+'4 - Clé multilignes1'!E16+'4 - Clé multilignes2'!E16+'4 - Clé multilignes3'!E16+'4 - Clé multilignes4'!E16+'4 - Clé multilignes5'!E16+'4 - Clé multilignes6'!E16+'4 - Clé multilignes7'!E16</f>
        <v>0</v>
      </c>
      <c r="F16" s="171">
        <f>'4 - Clé SALAIRES'!F16+'4 - Clé multilignes1'!F16+'4 - Clé multilignes2'!F16+'4 - Clé multilignes3'!F16+'4 - Clé multilignes4'!F16+'4 - Clé multilignes5'!F16+'4 - Clé multilignes6'!F16+'4 - Clé multilignes7'!F16</f>
        <v>0</v>
      </c>
      <c r="G16" s="171">
        <f>'4 - Clé SALAIRES'!G16+'4 - Clé multilignes1'!G16+'4 - Clé multilignes2'!G16+'4 - Clé multilignes3'!G16+'4 - Clé multilignes4'!G16+'4 - Clé multilignes5'!G16+'4 - Clé multilignes6'!G16+'4 - Clé multilignes7'!G16</f>
        <v>0</v>
      </c>
      <c r="H16" s="171">
        <f>'4 - Clé SALAIRES'!H16+'4 - Clé multilignes1'!H16+'4 - Clé multilignes2'!H16+'4 - Clé multilignes3'!H16+'4 - Clé multilignes4'!H16+'4 - Clé multilignes5'!H16+'4 - Clé multilignes6'!H16+'4 - Clé multilignes7'!H16</f>
        <v>0</v>
      </c>
      <c r="I16" s="171">
        <f>'4 - Clé SALAIRES'!I16+'4 - Clé multilignes1'!I16+'4 - Clé multilignes2'!I16+'4 - Clé multilignes3'!I16+'4 - Clé multilignes4'!I16+'4 - Clé multilignes5'!I16+'4 - Clé multilignes6'!I16+'4 - Clé multilignes7'!I16</f>
        <v>0</v>
      </c>
      <c r="J16" s="171">
        <f>'4 - Clé SALAIRES'!J16+'4 - Clé multilignes1'!J16+'4 - Clé multilignes2'!J16+'4 - Clé multilignes3'!J16+'4 - Clé multilignes4'!J16+'4 - Clé multilignes5'!J16+'4 - Clé multilignes6'!J16+'4 - Clé multilignes7'!J16</f>
        <v>0</v>
      </c>
      <c r="K16" s="171">
        <f>'4 - Clé SALAIRES'!K16+'4 - Clé multilignes1'!K16+'4 - Clé multilignes2'!K16+'4 - Clé multilignes3'!K16+'4 - Clé multilignes4'!K16+'4 - Clé multilignes5'!K16+'4 - Clé multilignes6'!K16+'4 - Clé multilignes7'!K16</f>
        <v>0</v>
      </c>
      <c r="L16" s="171">
        <f>'4 - Clé SALAIRES'!L16+'4 - Clé multilignes1'!L16+'4 - Clé multilignes2'!L16+'4 - Clé multilignes3'!L16+'4 - Clé multilignes4'!L16+'4 - Clé multilignes5'!L16+'4 - Clé multilignes6'!L16+'4 - Clé multilignes7'!L16</f>
        <v>0</v>
      </c>
      <c r="M16" s="171">
        <f>'4 - Clé SALAIRES'!M16+'4 - Clé multilignes1'!M16+'4 - Clé multilignes2'!M16+'4 - Clé multilignes3'!M16+'4 - Clé multilignes4'!M16+'4 - Clé multilignes5'!M16+'4 - Clé multilignes6'!M16+'4 - Clé multilignes7'!M16</f>
        <v>0</v>
      </c>
      <c r="N16" s="171">
        <f>'4 - Clé SALAIRES'!N16+'4 - Clé multilignes1'!N16+'4 - Clé multilignes2'!N16+'4 - Clé multilignes3'!N16+'4 - Clé multilignes4'!N16+'4 - Clé multilignes5'!N16+'4 - Clé multilignes6'!N16+'4 - Clé multilignes7'!N16</f>
        <v>0</v>
      </c>
      <c r="O16" s="171">
        <f>'4 - Clé SALAIRES'!O16+'4 - Clé multilignes1'!O16+'4 - Clé multilignes2'!O16+'4 - Clé multilignes3'!O16+'4 - Clé multilignes4'!O16+'4 - Clé multilignes5'!O16+'4 - Clé multilignes6'!O16+'4 - Clé multilignes7'!O16</f>
        <v>0</v>
      </c>
      <c r="P16" s="171">
        <f>'4 - Clé SALAIRES'!P16+'4 - Clé multilignes1'!P16+'4 - Clé multilignes2'!P16+'4 - Clé multilignes3'!P16+'4 - Clé multilignes4'!P16+'4 - Clé multilignes5'!P16+'4 - Clé multilignes6'!P16+'4 - Clé multilignes7'!P16</f>
        <v>0</v>
      </c>
      <c r="Q16" s="171">
        <f>'4 - Clé SALAIRES'!Q16+'4 - Clé multilignes1'!Q16+'4 - Clé multilignes2'!Q16+'4 - Clé multilignes3'!Q16+'4 - Clé multilignes4'!Q16+'4 - Clé multilignes5'!Q16+'4 - Clé multilignes6'!Q16+'4 - Clé multilignes7'!Q16</f>
        <v>0</v>
      </c>
      <c r="R16" s="171">
        <f>'4 - Clé SALAIRES'!R16+'4 - Clé multilignes1'!R16+'4 - Clé multilignes2'!R16+'4 - Clé multilignes3'!R16+'4 - Clé multilignes4'!R16+'4 - Clé multilignes5'!R16+'4 - Clé multilignes6'!R16+'4 - Clé multilignes7'!R16</f>
        <v>0</v>
      </c>
      <c r="S16" s="171">
        <f>'4 - Clé SALAIRES'!S16+'4 - Clé multilignes1'!S16+'4 - Clé multilignes2'!S16+'4 - Clé multilignes3'!S16+'4 - Clé multilignes4'!S16+'4 - Clé multilignes5'!S16+'4 - Clé multilignes6'!S16+'4 - Clé multilignes7'!S16</f>
        <v>0</v>
      </c>
      <c r="T16" s="171">
        <f>'4 - Clé SALAIRES'!T16+'4 - Clé multilignes1'!T16+'4 - Clé multilignes2'!T16+'4 - Clé multilignes3'!T16+'4 - Clé multilignes4'!T16+'4 - Clé multilignes5'!T16+'4 - Clé multilignes6'!T16+'4 - Clé multilignes7'!T16</f>
        <v>0</v>
      </c>
      <c r="U16" s="171">
        <f>'4 - Clé SALAIRES'!U16+'4 - Clé multilignes1'!U16+'4 - Clé multilignes2'!U16+'4 - Clé multilignes3'!U16+'4 - Clé multilignes4'!U16+'4 - Clé multilignes5'!U16+'4 - Clé multilignes6'!U16+'4 - Clé multilignes7'!U16</f>
        <v>0</v>
      </c>
      <c r="V16" s="171">
        <f>'4 - Clé SALAIRES'!V16+'4 - Clé multilignes1'!V16+'4 - Clé multilignes2'!V16+'4 - Clé multilignes3'!V16+'4 - Clé multilignes4'!V16+'4 - Clé multilignes5'!V16+'4 - Clé multilignes6'!V16+'4 - Clé multilignes7'!V16</f>
        <v>0</v>
      </c>
      <c r="W16" s="171">
        <f>'4 - Clé SALAIRES'!W16+'4 - Clé multilignes1'!W16+'4 - Clé multilignes2'!W16+'4 - Clé multilignes3'!W16+'4 - Clé multilignes4'!W16+'4 - Clé multilignes5'!W16+'4 - Clé multilignes6'!W16+'4 - Clé multilignes7'!W16</f>
        <v>0</v>
      </c>
      <c r="X16" s="171">
        <f>'4 - Clé SALAIRES'!X16+'4 - Clé multilignes1'!X16+'4 - Clé multilignes2'!X16+'4 - Clé multilignes3'!X16+'4 - Clé multilignes4'!X16+'4 - Clé multilignes5'!X16+'4 - Clé multilignes6'!X16+'4 - Clé multilignes7'!X16</f>
        <v>0</v>
      </c>
      <c r="Y16" s="171">
        <f>'4 - Clé SALAIRES'!Y16+'4 - Clé multilignes1'!Y16+'4 - Clé multilignes2'!Y16+'4 - Clé multilignes3'!Y16+'4 - Clé multilignes4'!Y16+'4 - Clé multilignes5'!Y16+'4 - Clé multilignes6'!Y16+'4 - Clé multilignes7'!Y16</f>
        <v>0</v>
      </c>
      <c r="Z16" s="171">
        <f>'4 - Clé SALAIRES'!Z16+'4 - Clé multilignes1'!Z16+'4 - Clé multilignes2'!Z16+'4 - Clé multilignes3'!Z16+'4 - Clé multilignes4'!Z16+'4 - Clé multilignes5'!Z16+'4 - Clé multilignes6'!Z16+'4 - Clé multilignes7'!Z16</f>
        <v>0</v>
      </c>
      <c r="AB16" s="6"/>
      <c r="AC16" s="6"/>
      <c r="AD16" s="6"/>
      <c r="AE16" s="6"/>
    </row>
    <row r="17" spans="1:32" ht="12.75" customHeight="1" x14ac:dyDescent="0.25">
      <c r="A17" s="162">
        <f>Matrice[[#This Row],[Ligne de la matrice]]</f>
        <v>0</v>
      </c>
      <c r="B17" s="171">
        <f>'4 - Clé SALAIRES'!B17+'4 - Clé multilignes1'!B17+'4 - Clé multilignes2'!B17+'4 - Clé multilignes3'!B17+'4 - Clé multilignes4'!B17+'4 - Clé multilignes5'!B17+'4 - Clé multilignes6'!B17+'4 - Clé multilignes7'!B17</f>
        <v>0</v>
      </c>
      <c r="C17" s="171">
        <f>'4 - Clé SALAIRES'!C17+'4 - Clé multilignes1'!C17+'4 - Clé multilignes2'!C17+'4 - Clé multilignes3'!C17+'4 - Clé multilignes4'!C17+'4 - Clé multilignes5'!C17+'4 - Clé multilignes6'!C17+'4 - Clé multilignes7'!C17</f>
        <v>0</v>
      </c>
      <c r="D17" s="171">
        <f>'4 - Clé SALAIRES'!D17+'4 - Clé multilignes1'!D17+'4 - Clé multilignes2'!D17+'4 - Clé multilignes3'!D17+'4 - Clé multilignes4'!D17+'4 - Clé multilignes5'!D17+'4 - Clé multilignes6'!D17+'4 - Clé multilignes7'!D17</f>
        <v>0</v>
      </c>
      <c r="E17" s="171">
        <f>'4 - Clé SALAIRES'!E17+'4 - Clé multilignes1'!E17+'4 - Clé multilignes2'!E17+'4 - Clé multilignes3'!E17+'4 - Clé multilignes4'!E17+'4 - Clé multilignes5'!E17+'4 - Clé multilignes6'!E17+'4 - Clé multilignes7'!E17</f>
        <v>0</v>
      </c>
      <c r="F17" s="171">
        <f>'4 - Clé SALAIRES'!F17+'4 - Clé multilignes1'!F17+'4 - Clé multilignes2'!F17+'4 - Clé multilignes3'!F17+'4 - Clé multilignes4'!F17+'4 - Clé multilignes5'!F17+'4 - Clé multilignes6'!F17+'4 - Clé multilignes7'!F17</f>
        <v>0</v>
      </c>
      <c r="G17" s="171">
        <f>'4 - Clé SALAIRES'!G17+'4 - Clé multilignes1'!G17+'4 - Clé multilignes2'!G17+'4 - Clé multilignes3'!G17+'4 - Clé multilignes4'!G17+'4 - Clé multilignes5'!G17+'4 - Clé multilignes6'!G17+'4 - Clé multilignes7'!G17</f>
        <v>0</v>
      </c>
      <c r="H17" s="171">
        <f>'4 - Clé SALAIRES'!H17+'4 - Clé multilignes1'!H17+'4 - Clé multilignes2'!H17+'4 - Clé multilignes3'!H17+'4 - Clé multilignes4'!H17+'4 - Clé multilignes5'!H17+'4 - Clé multilignes6'!H17+'4 - Clé multilignes7'!H17</f>
        <v>0</v>
      </c>
      <c r="I17" s="171">
        <f>'4 - Clé SALAIRES'!I17+'4 - Clé multilignes1'!I17+'4 - Clé multilignes2'!I17+'4 - Clé multilignes3'!I17+'4 - Clé multilignes4'!I17+'4 - Clé multilignes5'!I17+'4 - Clé multilignes6'!I17+'4 - Clé multilignes7'!I17</f>
        <v>0</v>
      </c>
      <c r="J17" s="171">
        <f>'4 - Clé SALAIRES'!J17+'4 - Clé multilignes1'!J17+'4 - Clé multilignes2'!J17+'4 - Clé multilignes3'!J17+'4 - Clé multilignes4'!J17+'4 - Clé multilignes5'!J17+'4 - Clé multilignes6'!J17+'4 - Clé multilignes7'!J17</f>
        <v>0</v>
      </c>
      <c r="K17" s="171">
        <f>'4 - Clé SALAIRES'!K17+'4 - Clé multilignes1'!K17+'4 - Clé multilignes2'!K17+'4 - Clé multilignes3'!K17+'4 - Clé multilignes4'!K17+'4 - Clé multilignes5'!K17+'4 - Clé multilignes6'!K17+'4 - Clé multilignes7'!K17</f>
        <v>0</v>
      </c>
      <c r="L17" s="171">
        <f>'4 - Clé SALAIRES'!L17+'4 - Clé multilignes1'!L17+'4 - Clé multilignes2'!L17+'4 - Clé multilignes3'!L17+'4 - Clé multilignes4'!L17+'4 - Clé multilignes5'!L17+'4 - Clé multilignes6'!L17+'4 - Clé multilignes7'!L17</f>
        <v>0</v>
      </c>
      <c r="M17" s="171">
        <f>'4 - Clé SALAIRES'!M17+'4 - Clé multilignes1'!M17+'4 - Clé multilignes2'!M17+'4 - Clé multilignes3'!M17+'4 - Clé multilignes4'!M17+'4 - Clé multilignes5'!M17+'4 - Clé multilignes6'!M17+'4 - Clé multilignes7'!M17</f>
        <v>0</v>
      </c>
      <c r="N17" s="171">
        <f>'4 - Clé SALAIRES'!N17+'4 - Clé multilignes1'!N17+'4 - Clé multilignes2'!N17+'4 - Clé multilignes3'!N17+'4 - Clé multilignes4'!N17+'4 - Clé multilignes5'!N17+'4 - Clé multilignes6'!N17+'4 - Clé multilignes7'!N17</f>
        <v>0</v>
      </c>
      <c r="O17" s="171">
        <f>'4 - Clé SALAIRES'!O17+'4 - Clé multilignes1'!O17+'4 - Clé multilignes2'!O17+'4 - Clé multilignes3'!O17+'4 - Clé multilignes4'!O17+'4 - Clé multilignes5'!O17+'4 - Clé multilignes6'!O17+'4 - Clé multilignes7'!O17</f>
        <v>0</v>
      </c>
      <c r="P17" s="171">
        <f>'4 - Clé SALAIRES'!P17+'4 - Clé multilignes1'!P17+'4 - Clé multilignes2'!P17+'4 - Clé multilignes3'!P17+'4 - Clé multilignes4'!P17+'4 - Clé multilignes5'!P17+'4 - Clé multilignes6'!P17+'4 - Clé multilignes7'!P17</f>
        <v>0</v>
      </c>
      <c r="Q17" s="171">
        <f>'4 - Clé SALAIRES'!Q17+'4 - Clé multilignes1'!Q17+'4 - Clé multilignes2'!Q17+'4 - Clé multilignes3'!Q17+'4 - Clé multilignes4'!Q17+'4 - Clé multilignes5'!Q17+'4 - Clé multilignes6'!Q17+'4 - Clé multilignes7'!Q17</f>
        <v>0</v>
      </c>
      <c r="R17" s="171">
        <f>'4 - Clé SALAIRES'!R17+'4 - Clé multilignes1'!R17+'4 - Clé multilignes2'!R17+'4 - Clé multilignes3'!R17+'4 - Clé multilignes4'!R17+'4 - Clé multilignes5'!R17+'4 - Clé multilignes6'!R17+'4 - Clé multilignes7'!R17</f>
        <v>0</v>
      </c>
      <c r="S17" s="171">
        <f>'4 - Clé SALAIRES'!S17+'4 - Clé multilignes1'!S17+'4 - Clé multilignes2'!S17+'4 - Clé multilignes3'!S17+'4 - Clé multilignes4'!S17+'4 - Clé multilignes5'!S17+'4 - Clé multilignes6'!S17+'4 - Clé multilignes7'!S17</f>
        <v>0</v>
      </c>
      <c r="T17" s="171">
        <f>'4 - Clé SALAIRES'!T17+'4 - Clé multilignes1'!T17+'4 - Clé multilignes2'!T17+'4 - Clé multilignes3'!T17+'4 - Clé multilignes4'!T17+'4 - Clé multilignes5'!T17+'4 - Clé multilignes6'!T17+'4 - Clé multilignes7'!T17</f>
        <v>0</v>
      </c>
      <c r="U17" s="171">
        <f>'4 - Clé SALAIRES'!U17+'4 - Clé multilignes1'!U17+'4 - Clé multilignes2'!U17+'4 - Clé multilignes3'!U17+'4 - Clé multilignes4'!U17+'4 - Clé multilignes5'!U17+'4 - Clé multilignes6'!U17+'4 - Clé multilignes7'!U17</f>
        <v>0</v>
      </c>
      <c r="V17" s="171">
        <f>'4 - Clé SALAIRES'!V17+'4 - Clé multilignes1'!V17+'4 - Clé multilignes2'!V17+'4 - Clé multilignes3'!V17+'4 - Clé multilignes4'!V17+'4 - Clé multilignes5'!V17+'4 - Clé multilignes6'!V17+'4 - Clé multilignes7'!V17</f>
        <v>0</v>
      </c>
      <c r="W17" s="171">
        <f>'4 - Clé SALAIRES'!W17+'4 - Clé multilignes1'!W17+'4 - Clé multilignes2'!W17+'4 - Clé multilignes3'!W17+'4 - Clé multilignes4'!W17+'4 - Clé multilignes5'!W17+'4 - Clé multilignes6'!W17+'4 - Clé multilignes7'!W17</f>
        <v>0</v>
      </c>
      <c r="X17" s="171">
        <f>'4 - Clé SALAIRES'!X17+'4 - Clé multilignes1'!X17+'4 - Clé multilignes2'!X17+'4 - Clé multilignes3'!X17+'4 - Clé multilignes4'!X17+'4 - Clé multilignes5'!X17+'4 - Clé multilignes6'!X17+'4 - Clé multilignes7'!X17</f>
        <v>0</v>
      </c>
      <c r="Y17" s="171">
        <f>'4 - Clé SALAIRES'!Y17+'4 - Clé multilignes1'!Y17+'4 - Clé multilignes2'!Y17+'4 - Clé multilignes3'!Y17+'4 - Clé multilignes4'!Y17+'4 - Clé multilignes5'!Y17+'4 - Clé multilignes6'!Y17+'4 - Clé multilignes7'!Y17</f>
        <v>0</v>
      </c>
      <c r="Z17" s="171">
        <f>'4 - Clé SALAIRES'!Z17+'4 - Clé multilignes1'!Z17+'4 - Clé multilignes2'!Z17+'4 - Clé multilignes3'!Z17+'4 - Clé multilignes4'!Z17+'4 - Clé multilignes5'!Z17+'4 - Clé multilignes6'!Z17+'4 - Clé multilignes7'!Z17</f>
        <v>0</v>
      </c>
      <c r="AB17" s="6"/>
      <c r="AC17" s="6"/>
      <c r="AD17" s="6"/>
      <c r="AE17" s="6"/>
      <c r="AF17" s="182"/>
    </row>
    <row r="18" spans="1:32" ht="12.75" customHeight="1" x14ac:dyDescent="0.25">
      <c r="A18" s="162">
        <f>Matrice[[#This Row],[Ligne de la matrice]]</f>
        <v>0</v>
      </c>
      <c r="B18" s="171">
        <f>'4 - Clé SALAIRES'!B18+'4 - Clé multilignes1'!B18+'4 - Clé multilignes2'!B18+'4 - Clé multilignes3'!B18+'4 - Clé multilignes4'!B18+'4 - Clé multilignes5'!B18+'4 - Clé multilignes6'!B18+'4 - Clé multilignes7'!B18</f>
        <v>0</v>
      </c>
      <c r="C18" s="171">
        <f>'4 - Clé SALAIRES'!C18+'4 - Clé multilignes1'!C18+'4 - Clé multilignes2'!C18+'4 - Clé multilignes3'!C18+'4 - Clé multilignes4'!C18+'4 - Clé multilignes5'!C18+'4 - Clé multilignes6'!C18+'4 - Clé multilignes7'!C18</f>
        <v>0</v>
      </c>
      <c r="D18" s="171">
        <f>'4 - Clé SALAIRES'!D18+'4 - Clé multilignes1'!D18+'4 - Clé multilignes2'!D18+'4 - Clé multilignes3'!D18+'4 - Clé multilignes4'!D18+'4 - Clé multilignes5'!D18+'4 - Clé multilignes6'!D18+'4 - Clé multilignes7'!D18</f>
        <v>0</v>
      </c>
      <c r="E18" s="171">
        <f>'4 - Clé SALAIRES'!E18+'4 - Clé multilignes1'!E18+'4 - Clé multilignes2'!E18+'4 - Clé multilignes3'!E18+'4 - Clé multilignes4'!E18+'4 - Clé multilignes5'!E18+'4 - Clé multilignes6'!E18+'4 - Clé multilignes7'!E18</f>
        <v>0</v>
      </c>
      <c r="F18" s="171">
        <f>'4 - Clé SALAIRES'!F18+'4 - Clé multilignes1'!F18+'4 - Clé multilignes2'!F18+'4 - Clé multilignes3'!F18+'4 - Clé multilignes4'!F18+'4 - Clé multilignes5'!F18+'4 - Clé multilignes6'!F18+'4 - Clé multilignes7'!F18</f>
        <v>0</v>
      </c>
      <c r="G18" s="171">
        <f>'4 - Clé SALAIRES'!G18+'4 - Clé multilignes1'!G18+'4 - Clé multilignes2'!G18+'4 - Clé multilignes3'!G18+'4 - Clé multilignes4'!G18+'4 - Clé multilignes5'!G18+'4 - Clé multilignes6'!G18+'4 - Clé multilignes7'!G18</f>
        <v>0</v>
      </c>
      <c r="H18" s="171">
        <f>'4 - Clé SALAIRES'!H18+'4 - Clé multilignes1'!H18+'4 - Clé multilignes2'!H18+'4 - Clé multilignes3'!H18+'4 - Clé multilignes4'!H18+'4 - Clé multilignes5'!H18+'4 - Clé multilignes6'!H18+'4 - Clé multilignes7'!H18</f>
        <v>0</v>
      </c>
      <c r="I18" s="171">
        <f>'4 - Clé SALAIRES'!I18+'4 - Clé multilignes1'!I18+'4 - Clé multilignes2'!I18+'4 - Clé multilignes3'!I18+'4 - Clé multilignes4'!I18+'4 - Clé multilignes5'!I18+'4 - Clé multilignes6'!I18+'4 - Clé multilignes7'!I18</f>
        <v>0</v>
      </c>
      <c r="J18" s="171">
        <f>'4 - Clé SALAIRES'!J18+'4 - Clé multilignes1'!J18+'4 - Clé multilignes2'!J18+'4 - Clé multilignes3'!J18+'4 - Clé multilignes4'!J18+'4 - Clé multilignes5'!J18+'4 - Clé multilignes6'!J18+'4 - Clé multilignes7'!J18</f>
        <v>0</v>
      </c>
      <c r="K18" s="171">
        <f>'4 - Clé SALAIRES'!K18+'4 - Clé multilignes1'!K18+'4 - Clé multilignes2'!K18+'4 - Clé multilignes3'!K18+'4 - Clé multilignes4'!K18+'4 - Clé multilignes5'!K18+'4 - Clé multilignes6'!K18+'4 - Clé multilignes7'!K18</f>
        <v>0</v>
      </c>
      <c r="L18" s="171">
        <f>'4 - Clé SALAIRES'!L18+'4 - Clé multilignes1'!L18+'4 - Clé multilignes2'!L18+'4 - Clé multilignes3'!L18+'4 - Clé multilignes4'!L18+'4 - Clé multilignes5'!L18+'4 - Clé multilignes6'!L18+'4 - Clé multilignes7'!L18</f>
        <v>0</v>
      </c>
      <c r="M18" s="171">
        <f>'4 - Clé SALAIRES'!M18+'4 - Clé multilignes1'!M18+'4 - Clé multilignes2'!M18+'4 - Clé multilignes3'!M18+'4 - Clé multilignes4'!M18+'4 - Clé multilignes5'!M18+'4 - Clé multilignes6'!M18+'4 - Clé multilignes7'!M18</f>
        <v>0</v>
      </c>
      <c r="N18" s="171">
        <f>'4 - Clé SALAIRES'!N18+'4 - Clé multilignes1'!N18+'4 - Clé multilignes2'!N18+'4 - Clé multilignes3'!N18+'4 - Clé multilignes4'!N18+'4 - Clé multilignes5'!N18+'4 - Clé multilignes6'!N18+'4 - Clé multilignes7'!N18</f>
        <v>0</v>
      </c>
      <c r="O18" s="171">
        <f>'4 - Clé SALAIRES'!O18+'4 - Clé multilignes1'!O18+'4 - Clé multilignes2'!O18+'4 - Clé multilignes3'!O18+'4 - Clé multilignes4'!O18+'4 - Clé multilignes5'!O18+'4 - Clé multilignes6'!O18+'4 - Clé multilignes7'!O18</f>
        <v>0</v>
      </c>
      <c r="P18" s="171">
        <f>'4 - Clé SALAIRES'!P18+'4 - Clé multilignes1'!P18+'4 - Clé multilignes2'!P18+'4 - Clé multilignes3'!P18+'4 - Clé multilignes4'!P18+'4 - Clé multilignes5'!P18+'4 - Clé multilignes6'!P18+'4 - Clé multilignes7'!P18</f>
        <v>0</v>
      </c>
      <c r="Q18" s="171">
        <f>'4 - Clé SALAIRES'!Q18+'4 - Clé multilignes1'!Q18+'4 - Clé multilignes2'!Q18+'4 - Clé multilignes3'!Q18+'4 - Clé multilignes4'!Q18+'4 - Clé multilignes5'!Q18+'4 - Clé multilignes6'!Q18+'4 - Clé multilignes7'!Q18</f>
        <v>0</v>
      </c>
      <c r="R18" s="171">
        <f>'4 - Clé SALAIRES'!R18+'4 - Clé multilignes1'!R18+'4 - Clé multilignes2'!R18+'4 - Clé multilignes3'!R18+'4 - Clé multilignes4'!R18+'4 - Clé multilignes5'!R18+'4 - Clé multilignes6'!R18+'4 - Clé multilignes7'!R18</f>
        <v>0</v>
      </c>
      <c r="S18" s="171">
        <f>'4 - Clé SALAIRES'!S18+'4 - Clé multilignes1'!S18+'4 - Clé multilignes2'!S18+'4 - Clé multilignes3'!S18+'4 - Clé multilignes4'!S18+'4 - Clé multilignes5'!S18+'4 - Clé multilignes6'!S18+'4 - Clé multilignes7'!S18</f>
        <v>0</v>
      </c>
      <c r="T18" s="171">
        <f>'4 - Clé SALAIRES'!T18+'4 - Clé multilignes1'!T18+'4 - Clé multilignes2'!T18+'4 - Clé multilignes3'!T18+'4 - Clé multilignes4'!T18+'4 - Clé multilignes5'!T18+'4 - Clé multilignes6'!T18+'4 - Clé multilignes7'!T18</f>
        <v>0</v>
      </c>
      <c r="U18" s="171">
        <f>'4 - Clé SALAIRES'!U18+'4 - Clé multilignes1'!U18+'4 - Clé multilignes2'!U18+'4 - Clé multilignes3'!U18+'4 - Clé multilignes4'!U18+'4 - Clé multilignes5'!U18+'4 - Clé multilignes6'!U18+'4 - Clé multilignes7'!U18</f>
        <v>0</v>
      </c>
      <c r="V18" s="171">
        <f>'4 - Clé SALAIRES'!V18+'4 - Clé multilignes1'!V18+'4 - Clé multilignes2'!V18+'4 - Clé multilignes3'!V18+'4 - Clé multilignes4'!V18+'4 - Clé multilignes5'!V18+'4 - Clé multilignes6'!V18+'4 - Clé multilignes7'!V18</f>
        <v>0</v>
      </c>
      <c r="W18" s="171">
        <f>'4 - Clé SALAIRES'!W18+'4 - Clé multilignes1'!W18+'4 - Clé multilignes2'!W18+'4 - Clé multilignes3'!W18+'4 - Clé multilignes4'!W18+'4 - Clé multilignes5'!W18+'4 - Clé multilignes6'!W18+'4 - Clé multilignes7'!W18</f>
        <v>0</v>
      </c>
      <c r="X18" s="171">
        <f>'4 - Clé SALAIRES'!X18+'4 - Clé multilignes1'!X18+'4 - Clé multilignes2'!X18+'4 - Clé multilignes3'!X18+'4 - Clé multilignes4'!X18+'4 - Clé multilignes5'!X18+'4 - Clé multilignes6'!X18+'4 - Clé multilignes7'!X18</f>
        <v>0</v>
      </c>
      <c r="Y18" s="171">
        <f>'4 - Clé SALAIRES'!Y18+'4 - Clé multilignes1'!Y18+'4 - Clé multilignes2'!Y18+'4 - Clé multilignes3'!Y18+'4 - Clé multilignes4'!Y18+'4 - Clé multilignes5'!Y18+'4 - Clé multilignes6'!Y18+'4 - Clé multilignes7'!Y18</f>
        <v>0</v>
      </c>
      <c r="Z18" s="171">
        <f>'4 - Clé SALAIRES'!Z18+'4 - Clé multilignes1'!Z18+'4 - Clé multilignes2'!Z18+'4 - Clé multilignes3'!Z18+'4 - Clé multilignes4'!Z18+'4 - Clé multilignes5'!Z18+'4 - Clé multilignes6'!Z18+'4 - Clé multilignes7'!Z18</f>
        <v>0</v>
      </c>
      <c r="AB18" s="6"/>
      <c r="AC18" s="6"/>
      <c r="AD18" s="6"/>
      <c r="AE18" s="6"/>
      <c r="AF18" s="182"/>
    </row>
    <row r="19" spans="1:32" ht="12.75" customHeight="1" x14ac:dyDescent="0.25">
      <c r="A19" s="162">
        <f>Matrice[[#This Row],[Ligne de la matrice]]</f>
        <v>0</v>
      </c>
      <c r="B19" s="171">
        <f>'4 - Clé SALAIRES'!B19+'4 - Clé multilignes1'!B19+'4 - Clé multilignes2'!B19+'4 - Clé multilignes3'!B19+'4 - Clé multilignes4'!B19+'4 - Clé multilignes5'!B19+'4 - Clé multilignes6'!B19+'4 - Clé multilignes7'!B19</f>
        <v>0</v>
      </c>
      <c r="C19" s="171">
        <f>'4 - Clé SALAIRES'!C19+'4 - Clé multilignes1'!C19+'4 - Clé multilignes2'!C19+'4 - Clé multilignes3'!C19+'4 - Clé multilignes4'!C19+'4 - Clé multilignes5'!C19+'4 - Clé multilignes6'!C19+'4 - Clé multilignes7'!C19</f>
        <v>0</v>
      </c>
      <c r="D19" s="171">
        <f>'4 - Clé SALAIRES'!D19+'4 - Clé multilignes1'!D19+'4 - Clé multilignes2'!D19+'4 - Clé multilignes3'!D19+'4 - Clé multilignes4'!D19+'4 - Clé multilignes5'!D19+'4 - Clé multilignes6'!D19+'4 - Clé multilignes7'!D19</f>
        <v>0</v>
      </c>
      <c r="E19" s="171">
        <f>'4 - Clé SALAIRES'!E19+'4 - Clé multilignes1'!E19+'4 - Clé multilignes2'!E19+'4 - Clé multilignes3'!E19+'4 - Clé multilignes4'!E19+'4 - Clé multilignes5'!E19+'4 - Clé multilignes6'!E19+'4 - Clé multilignes7'!E19</f>
        <v>0</v>
      </c>
      <c r="F19" s="171">
        <f>'4 - Clé SALAIRES'!F19+'4 - Clé multilignes1'!F19+'4 - Clé multilignes2'!F19+'4 - Clé multilignes3'!F19+'4 - Clé multilignes4'!F19+'4 - Clé multilignes5'!F19+'4 - Clé multilignes6'!F19+'4 - Clé multilignes7'!F19</f>
        <v>0</v>
      </c>
      <c r="G19" s="171">
        <f>'4 - Clé SALAIRES'!G19+'4 - Clé multilignes1'!G19+'4 - Clé multilignes2'!G19+'4 - Clé multilignes3'!G19+'4 - Clé multilignes4'!G19+'4 - Clé multilignes5'!G19+'4 - Clé multilignes6'!G19+'4 - Clé multilignes7'!G19</f>
        <v>0</v>
      </c>
      <c r="H19" s="171">
        <f>'4 - Clé SALAIRES'!H19+'4 - Clé multilignes1'!H19+'4 - Clé multilignes2'!H19+'4 - Clé multilignes3'!H19+'4 - Clé multilignes4'!H19+'4 - Clé multilignes5'!H19+'4 - Clé multilignes6'!H19+'4 - Clé multilignes7'!H19</f>
        <v>0</v>
      </c>
      <c r="I19" s="171">
        <f>'4 - Clé SALAIRES'!I19+'4 - Clé multilignes1'!I19+'4 - Clé multilignes2'!I19+'4 - Clé multilignes3'!I19+'4 - Clé multilignes4'!I19+'4 - Clé multilignes5'!I19+'4 - Clé multilignes6'!I19+'4 - Clé multilignes7'!I19</f>
        <v>0</v>
      </c>
      <c r="J19" s="171">
        <f>'4 - Clé SALAIRES'!J19+'4 - Clé multilignes1'!J19+'4 - Clé multilignes2'!J19+'4 - Clé multilignes3'!J19+'4 - Clé multilignes4'!J19+'4 - Clé multilignes5'!J19+'4 - Clé multilignes6'!J19+'4 - Clé multilignes7'!J19</f>
        <v>0</v>
      </c>
      <c r="K19" s="171">
        <f>'4 - Clé SALAIRES'!K19+'4 - Clé multilignes1'!K19+'4 - Clé multilignes2'!K19+'4 - Clé multilignes3'!K19+'4 - Clé multilignes4'!K19+'4 - Clé multilignes5'!K19+'4 - Clé multilignes6'!K19+'4 - Clé multilignes7'!K19</f>
        <v>0</v>
      </c>
      <c r="L19" s="171">
        <f>'4 - Clé SALAIRES'!L19+'4 - Clé multilignes1'!L19+'4 - Clé multilignes2'!L19+'4 - Clé multilignes3'!L19+'4 - Clé multilignes4'!L19+'4 - Clé multilignes5'!L19+'4 - Clé multilignes6'!L19+'4 - Clé multilignes7'!L19</f>
        <v>0</v>
      </c>
      <c r="M19" s="171">
        <f>'4 - Clé SALAIRES'!M19+'4 - Clé multilignes1'!M19+'4 - Clé multilignes2'!M19+'4 - Clé multilignes3'!M19+'4 - Clé multilignes4'!M19+'4 - Clé multilignes5'!M19+'4 - Clé multilignes6'!M19+'4 - Clé multilignes7'!M19</f>
        <v>0</v>
      </c>
      <c r="N19" s="171">
        <f>'4 - Clé SALAIRES'!N19+'4 - Clé multilignes1'!N19+'4 - Clé multilignes2'!N19+'4 - Clé multilignes3'!N19+'4 - Clé multilignes4'!N19+'4 - Clé multilignes5'!N19+'4 - Clé multilignes6'!N19+'4 - Clé multilignes7'!N19</f>
        <v>0</v>
      </c>
      <c r="O19" s="171">
        <f>'4 - Clé SALAIRES'!O19+'4 - Clé multilignes1'!O19+'4 - Clé multilignes2'!O19+'4 - Clé multilignes3'!O19+'4 - Clé multilignes4'!O19+'4 - Clé multilignes5'!O19+'4 - Clé multilignes6'!O19+'4 - Clé multilignes7'!O19</f>
        <v>0</v>
      </c>
      <c r="P19" s="171">
        <f>'4 - Clé SALAIRES'!P19+'4 - Clé multilignes1'!P19+'4 - Clé multilignes2'!P19+'4 - Clé multilignes3'!P19+'4 - Clé multilignes4'!P19+'4 - Clé multilignes5'!P19+'4 - Clé multilignes6'!P19+'4 - Clé multilignes7'!P19</f>
        <v>0</v>
      </c>
      <c r="Q19" s="171">
        <f>'4 - Clé SALAIRES'!Q19+'4 - Clé multilignes1'!Q19+'4 - Clé multilignes2'!Q19+'4 - Clé multilignes3'!Q19+'4 - Clé multilignes4'!Q19+'4 - Clé multilignes5'!Q19+'4 - Clé multilignes6'!Q19+'4 - Clé multilignes7'!Q19</f>
        <v>0</v>
      </c>
      <c r="R19" s="171">
        <f>'4 - Clé SALAIRES'!R19+'4 - Clé multilignes1'!R19+'4 - Clé multilignes2'!R19+'4 - Clé multilignes3'!R19+'4 - Clé multilignes4'!R19+'4 - Clé multilignes5'!R19+'4 - Clé multilignes6'!R19+'4 - Clé multilignes7'!R19</f>
        <v>0</v>
      </c>
      <c r="S19" s="171">
        <f>'4 - Clé SALAIRES'!S19+'4 - Clé multilignes1'!S19+'4 - Clé multilignes2'!S19+'4 - Clé multilignes3'!S19+'4 - Clé multilignes4'!S19+'4 - Clé multilignes5'!S19+'4 - Clé multilignes6'!S19+'4 - Clé multilignes7'!S19</f>
        <v>0</v>
      </c>
      <c r="T19" s="171">
        <f>'4 - Clé SALAIRES'!T19+'4 - Clé multilignes1'!T19+'4 - Clé multilignes2'!T19+'4 - Clé multilignes3'!T19+'4 - Clé multilignes4'!T19+'4 - Clé multilignes5'!T19+'4 - Clé multilignes6'!T19+'4 - Clé multilignes7'!T19</f>
        <v>0</v>
      </c>
      <c r="U19" s="171">
        <f>'4 - Clé SALAIRES'!U19+'4 - Clé multilignes1'!U19+'4 - Clé multilignes2'!U19+'4 - Clé multilignes3'!U19+'4 - Clé multilignes4'!U19+'4 - Clé multilignes5'!U19+'4 - Clé multilignes6'!U19+'4 - Clé multilignes7'!U19</f>
        <v>0</v>
      </c>
      <c r="V19" s="171">
        <f>'4 - Clé SALAIRES'!V19+'4 - Clé multilignes1'!V19+'4 - Clé multilignes2'!V19+'4 - Clé multilignes3'!V19+'4 - Clé multilignes4'!V19+'4 - Clé multilignes5'!V19+'4 - Clé multilignes6'!V19+'4 - Clé multilignes7'!V19</f>
        <v>0</v>
      </c>
      <c r="W19" s="171">
        <f>'4 - Clé SALAIRES'!W19+'4 - Clé multilignes1'!W19+'4 - Clé multilignes2'!W19+'4 - Clé multilignes3'!W19+'4 - Clé multilignes4'!W19+'4 - Clé multilignes5'!W19+'4 - Clé multilignes6'!W19+'4 - Clé multilignes7'!W19</f>
        <v>0</v>
      </c>
      <c r="X19" s="171">
        <f>'4 - Clé SALAIRES'!X19+'4 - Clé multilignes1'!X19+'4 - Clé multilignes2'!X19+'4 - Clé multilignes3'!X19+'4 - Clé multilignes4'!X19+'4 - Clé multilignes5'!X19+'4 - Clé multilignes6'!X19+'4 - Clé multilignes7'!X19</f>
        <v>0</v>
      </c>
      <c r="Y19" s="171">
        <f>'4 - Clé SALAIRES'!Y19+'4 - Clé multilignes1'!Y19+'4 - Clé multilignes2'!Y19+'4 - Clé multilignes3'!Y19+'4 - Clé multilignes4'!Y19+'4 - Clé multilignes5'!Y19+'4 - Clé multilignes6'!Y19+'4 - Clé multilignes7'!Y19</f>
        <v>0</v>
      </c>
      <c r="Z19" s="171">
        <f>'4 - Clé SALAIRES'!Z19+'4 - Clé multilignes1'!Z19+'4 - Clé multilignes2'!Z19+'4 - Clé multilignes3'!Z19+'4 - Clé multilignes4'!Z19+'4 - Clé multilignes5'!Z19+'4 - Clé multilignes6'!Z19+'4 - Clé multilignes7'!Z19</f>
        <v>0</v>
      </c>
      <c r="AB19" s="6"/>
      <c r="AC19" s="6"/>
      <c r="AD19" s="6"/>
      <c r="AE19" s="6"/>
      <c r="AF19" s="182"/>
    </row>
    <row r="20" spans="1:32" ht="12.75" customHeight="1" x14ac:dyDescent="0.25">
      <c r="A20" s="162">
        <f>Matrice[[#This Row],[Ligne de la matrice]]</f>
        <v>0</v>
      </c>
      <c r="B20" s="171">
        <f>'4 - Clé SALAIRES'!B20+'4 - Clé multilignes1'!B20+'4 - Clé multilignes2'!B20+'4 - Clé multilignes3'!B20+'4 - Clé multilignes4'!B20+'4 - Clé multilignes5'!B20+'4 - Clé multilignes6'!B20+'4 - Clé multilignes7'!B20</f>
        <v>0</v>
      </c>
      <c r="C20" s="171">
        <f>'4 - Clé SALAIRES'!C20+'4 - Clé multilignes1'!C20+'4 - Clé multilignes2'!C20+'4 - Clé multilignes3'!C20+'4 - Clé multilignes4'!C20+'4 - Clé multilignes5'!C20+'4 - Clé multilignes6'!C20+'4 - Clé multilignes7'!C20</f>
        <v>0</v>
      </c>
      <c r="D20" s="171">
        <f>'4 - Clé SALAIRES'!D20+'4 - Clé multilignes1'!D20+'4 - Clé multilignes2'!D20+'4 - Clé multilignes3'!D20+'4 - Clé multilignes4'!D20+'4 - Clé multilignes5'!D20+'4 - Clé multilignes6'!D20+'4 - Clé multilignes7'!D20</f>
        <v>0</v>
      </c>
      <c r="E20" s="171">
        <f>'4 - Clé SALAIRES'!E20+'4 - Clé multilignes1'!E20+'4 - Clé multilignes2'!E20+'4 - Clé multilignes3'!E20+'4 - Clé multilignes4'!E20+'4 - Clé multilignes5'!E20+'4 - Clé multilignes6'!E20+'4 - Clé multilignes7'!E20</f>
        <v>0</v>
      </c>
      <c r="F20" s="171">
        <f>'4 - Clé SALAIRES'!F20+'4 - Clé multilignes1'!F20+'4 - Clé multilignes2'!F20+'4 - Clé multilignes3'!F20+'4 - Clé multilignes4'!F20+'4 - Clé multilignes5'!F20+'4 - Clé multilignes6'!F20+'4 - Clé multilignes7'!F20</f>
        <v>0</v>
      </c>
      <c r="G20" s="171">
        <f>'4 - Clé SALAIRES'!G20+'4 - Clé multilignes1'!G20+'4 - Clé multilignes2'!G20+'4 - Clé multilignes3'!G20+'4 - Clé multilignes4'!G20+'4 - Clé multilignes5'!G20+'4 - Clé multilignes6'!G20+'4 - Clé multilignes7'!G20</f>
        <v>0</v>
      </c>
      <c r="H20" s="171">
        <f>'4 - Clé SALAIRES'!H20+'4 - Clé multilignes1'!H20+'4 - Clé multilignes2'!H20+'4 - Clé multilignes3'!H20+'4 - Clé multilignes4'!H20+'4 - Clé multilignes5'!H20+'4 - Clé multilignes6'!H20+'4 - Clé multilignes7'!H20</f>
        <v>0</v>
      </c>
      <c r="I20" s="171">
        <f>'4 - Clé SALAIRES'!I20+'4 - Clé multilignes1'!I20+'4 - Clé multilignes2'!I20+'4 - Clé multilignes3'!I20+'4 - Clé multilignes4'!I20+'4 - Clé multilignes5'!I20+'4 - Clé multilignes6'!I20+'4 - Clé multilignes7'!I20</f>
        <v>0</v>
      </c>
      <c r="J20" s="171">
        <f>'4 - Clé SALAIRES'!J20+'4 - Clé multilignes1'!J20+'4 - Clé multilignes2'!J20+'4 - Clé multilignes3'!J20+'4 - Clé multilignes4'!J20+'4 - Clé multilignes5'!J20+'4 - Clé multilignes6'!J20+'4 - Clé multilignes7'!J20</f>
        <v>0</v>
      </c>
      <c r="K20" s="171">
        <f>'4 - Clé SALAIRES'!K20+'4 - Clé multilignes1'!K20+'4 - Clé multilignes2'!K20+'4 - Clé multilignes3'!K20+'4 - Clé multilignes4'!K20+'4 - Clé multilignes5'!K20+'4 - Clé multilignes6'!K20+'4 - Clé multilignes7'!K20</f>
        <v>0</v>
      </c>
      <c r="L20" s="171">
        <f>'4 - Clé SALAIRES'!L20+'4 - Clé multilignes1'!L20+'4 - Clé multilignes2'!L20+'4 - Clé multilignes3'!L20+'4 - Clé multilignes4'!L20+'4 - Clé multilignes5'!L20+'4 - Clé multilignes6'!L20+'4 - Clé multilignes7'!L20</f>
        <v>0</v>
      </c>
      <c r="M20" s="171">
        <f>'4 - Clé SALAIRES'!M20+'4 - Clé multilignes1'!M20+'4 - Clé multilignes2'!M20+'4 - Clé multilignes3'!M20+'4 - Clé multilignes4'!M20+'4 - Clé multilignes5'!M20+'4 - Clé multilignes6'!M20+'4 - Clé multilignes7'!M20</f>
        <v>0</v>
      </c>
      <c r="N20" s="171">
        <f>'4 - Clé SALAIRES'!N20+'4 - Clé multilignes1'!N20+'4 - Clé multilignes2'!N20+'4 - Clé multilignes3'!N20+'4 - Clé multilignes4'!N20+'4 - Clé multilignes5'!N20+'4 - Clé multilignes6'!N20+'4 - Clé multilignes7'!N20</f>
        <v>0</v>
      </c>
      <c r="O20" s="171">
        <f>'4 - Clé SALAIRES'!O20+'4 - Clé multilignes1'!O20+'4 - Clé multilignes2'!O20+'4 - Clé multilignes3'!O20+'4 - Clé multilignes4'!O20+'4 - Clé multilignes5'!O20+'4 - Clé multilignes6'!O20+'4 - Clé multilignes7'!O20</f>
        <v>0</v>
      </c>
      <c r="P20" s="171">
        <f>'4 - Clé SALAIRES'!P20+'4 - Clé multilignes1'!P20+'4 - Clé multilignes2'!P20+'4 - Clé multilignes3'!P20+'4 - Clé multilignes4'!P20+'4 - Clé multilignes5'!P20+'4 - Clé multilignes6'!P20+'4 - Clé multilignes7'!P20</f>
        <v>0</v>
      </c>
      <c r="Q20" s="171">
        <f>'4 - Clé SALAIRES'!Q20+'4 - Clé multilignes1'!Q20+'4 - Clé multilignes2'!Q20+'4 - Clé multilignes3'!Q20+'4 - Clé multilignes4'!Q20+'4 - Clé multilignes5'!Q20+'4 - Clé multilignes6'!Q20+'4 - Clé multilignes7'!Q20</f>
        <v>0</v>
      </c>
      <c r="R20" s="171">
        <f>'4 - Clé SALAIRES'!R20+'4 - Clé multilignes1'!R20+'4 - Clé multilignes2'!R20+'4 - Clé multilignes3'!R20+'4 - Clé multilignes4'!R20+'4 - Clé multilignes5'!R20+'4 - Clé multilignes6'!R20+'4 - Clé multilignes7'!R20</f>
        <v>0</v>
      </c>
      <c r="S20" s="171">
        <f>'4 - Clé SALAIRES'!S20+'4 - Clé multilignes1'!S20+'4 - Clé multilignes2'!S20+'4 - Clé multilignes3'!S20+'4 - Clé multilignes4'!S20+'4 - Clé multilignes5'!S20+'4 - Clé multilignes6'!S20+'4 - Clé multilignes7'!S20</f>
        <v>0</v>
      </c>
      <c r="T20" s="171">
        <f>'4 - Clé SALAIRES'!T20+'4 - Clé multilignes1'!T20+'4 - Clé multilignes2'!T20+'4 - Clé multilignes3'!T20+'4 - Clé multilignes4'!T20+'4 - Clé multilignes5'!T20+'4 - Clé multilignes6'!T20+'4 - Clé multilignes7'!T20</f>
        <v>0</v>
      </c>
      <c r="U20" s="171">
        <f>'4 - Clé SALAIRES'!U20+'4 - Clé multilignes1'!U20+'4 - Clé multilignes2'!U20+'4 - Clé multilignes3'!U20+'4 - Clé multilignes4'!U20+'4 - Clé multilignes5'!U20+'4 - Clé multilignes6'!U20+'4 - Clé multilignes7'!U20</f>
        <v>0</v>
      </c>
      <c r="V20" s="171">
        <f>'4 - Clé SALAIRES'!V20+'4 - Clé multilignes1'!V20+'4 - Clé multilignes2'!V20+'4 - Clé multilignes3'!V20+'4 - Clé multilignes4'!V20+'4 - Clé multilignes5'!V20+'4 - Clé multilignes6'!V20+'4 - Clé multilignes7'!V20</f>
        <v>0</v>
      </c>
      <c r="W20" s="171">
        <f>'4 - Clé SALAIRES'!W20+'4 - Clé multilignes1'!W20+'4 - Clé multilignes2'!W20+'4 - Clé multilignes3'!W20+'4 - Clé multilignes4'!W20+'4 - Clé multilignes5'!W20+'4 - Clé multilignes6'!W20+'4 - Clé multilignes7'!W20</f>
        <v>0</v>
      </c>
      <c r="X20" s="171">
        <f>'4 - Clé SALAIRES'!X20+'4 - Clé multilignes1'!X20+'4 - Clé multilignes2'!X20+'4 - Clé multilignes3'!X20+'4 - Clé multilignes4'!X20+'4 - Clé multilignes5'!X20+'4 - Clé multilignes6'!X20+'4 - Clé multilignes7'!X20</f>
        <v>0</v>
      </c>
      <c r="Y20" s="171">
        <f>'4 - Clé SALAIRES'!Y20+'4 - Clé multilignes1'!Y20+'4 - Clé multilignes2'!Y20+'4 - Clé multilignes3'!Y20+'4 - Clé multilignes4'!Y20+'4 - Clé multilignes5'!Y20+'4 - Clé multilignes6'!Y20+'4 - Clé multilignes7'!Y20</f>
        <v>0</v>
      </c>
      <c r="Z20" s="171">
        <f>'4 - Clé SALAIRES'!Z20+'4 - Clé multilignes1'!Z20+'4 - Clé multilignes2'!Z20+'4 - Clé multilignes3'!Z20+'4 - Clé multilignes4'!Z20+'4 - Clé multilignes5'!Z20+'4 - Clé multilignes6'!Z20+'4 - Clé multilignes7'!Z20</f>
        <v>0</v>
      </c>
      <c r="AB20" s="6"/>
      <c r="AC20" s="6"/>
      <c r="AD20" s="6"/>
      <c r="AE20" s="6"/>
      <c r="AF20" s="182"/>
    </row>
    <row r="21" spans="1:32" s="182" customFormat="1" ht="12.75" customHeight="1" x14ac:dyDescent="0.25">
      <c r="A21" s="162">
        <f>Matrice[[#This Row],[Ligne de la matrice]]</f>
        <v>0</v>
      </c>
      <c r="B21" s="171">
        <f>'4 - Clé SALAIRES'!B21+'4 - Clé multilignes1'!B21+'4 - Clé multilignes2'!B21+'4 - Clé multilignes3'!B21+'4 - Clé multilignes4'!B21+'4 - Clé multilignes5'!B21+'4 - Clé multilignes6'!B21+'4 - Clé multilignes7'!B21</f>
        <v>0</v>
      </c>
      <c r="C21" s="171">
        <f>'4 - Clé SALAIRES'!C21+'4 - Clé multilignes1'!C21+'4 - Clé multilignes2'!C21+'4 - Clé multilignes3'!C21+'4 - Clé multilignes4'!C21+'4 - Clé multilignes5'!C21+'4 - Clé multilignes6'!C21+'4 - Clé multilignes7'!C21</f>
        <v>0</v>
      </c>
      <c r="D21" s="171">
        <f>'4 - Clé SALAIRES'!D21+'4 - Clé multilignes1'!D21+'4 - Clé multilignes2'!D21+'4 - Clé multilignes3'!D21+'4 - Clé multilignes4'!D21+'4 - Clé multilignes5'!D21+'4 - Clé multilignes6'!D21+'4 - Clé multilignes7'!D21</f>
        <v>0</v>
      </c>
      <c r="E21" s="171">
        <f>'4 - Clé SALAIRES'!E21+'4 - Clé multilignes1'!E21+'4 - Clé multilignes2'!E21+'4 - Clé multilignes3'!E21+'4 - Clé multilignes4'!E21+'4 - Clé multilignes5'!E21+'4 - Clé multilignes6'!E21+'4 - Clé multilignes7'!E21</f>
        <v>0</v>
      </c>
      <c r="F21" s="171">
        <f>'4 - Clé SALAIRES'!F21+'4 - Clé multilignes1'!F21+'4 - Clé multilignes2'!F21+'4 - Clé multilignes3'!F21+'4 - Clé multilignes4'!F21+'4 - Clé multilignes5'!F21+'4 - Clé multilignes6'!F21+'4 - Clé multilignes7'!F21</f>
        <v>0</v>
      </c>
      <c r="G21" s="171">
        <f>'4 - Clé SALAIRES'!G21+'4 - Clé multilignes1'!G21+'4 - Clé multilignes2'!G21+'4 - Clé multilignes3'!G21+'4 - Clé multilignes4'!G21+'4 - Clé multilignes5'!G21+'4 - Clé multilignes6'!G21+'4 - Clé multilignes7'!G21</f>
        <v>0</v>
      </c>
      <c r="H21" s="171">
        <f>'4 - Clé SALAIRES'!H21+'4 - Clé multilignes1'!H21+'4 - Clé multilignes2'!H21+'4 - Clé multilignes3'!H21+'4 - Clé multilignes4'!H21+'4 - Clé multilignes5'!H21+'4 - Clé multilignes6'!H21+'4 - Clé multilignes7'!H21</f>
        <v>0</v>
      </c>
      <c r="I21" s="171">
        <f>'4 - Clé SALAIRES'!I21+'4 - Clé multilignes1'!I21+'4 - Clé multilignes2'!I21+'4 - Clé multilignes3'!I21+'4 - Clé multilignes4'!I21+'4 - Clé multilignes5'!I21+'4 - Clé multilignes6'!I21+'4 - Clé multilignes7'!I21</f>
        <v>0</v>
      </c>
      <c r="J21" s="171">
        <f>'4 - Clé SALAIRES'!J21+'4 - Clé multilignes1'!J21+'4 - Clé multilignes2'!J21+'4 - Clé multilignes3'!J21+'4 - Clé multilignes4'!J21+'4 - Clé multilignes5'!J21+'4 - Clé multilignes6'!J21+'4 - Clé multilignes7'!J21</f>
        <v>0</v>
      </c>
      <c r="K21" s="171">
        <f>'4 - Clé SALAIRES'!K21+'4 - Clé multilignes1'!K21+'4 - Clé multilignes2'!K21+'4 - Clé multilignes3'!K21+'4 - Clé multilignes4'!K21+'4 - Clé multilignes5'!K21+'4 - Clé multilignes6'!K21+'4 - Clé multilignes7'!K21</f>
        <v>0</v>
      </c>
      <c r="L21" s="171">
        <f>'4 - Clé SALAIRES'!L21+'4 - Clé multilignes1'!L21+'4 - Clé multilignes2'!L21+'4 - Clé multilignes3'!L21+'4 - Clé multilignes4'!L21+'4 - Clé multilignes5'!L21+'4 - Clé multilignes6'!L21+'4 - Clé multilignes7'!L21</f>
        <v>0</v>
      </c>
      <c r="M21" s="171">
        <f>'4 - Clé SALAIRES'!M21+'4 - Clé multilignes1'!M21+'4 - Clé multilignes2'!M21+'4 - Clé multilignes3'!M21+'4 - Clé multilignes4'!M21+'4 - Clé multilignes5'!M21+'4 - Clé multilignes6'!M21+'4 - Clé multilignes7'!M21</f>
        <v>0</v>
      </c>
      <c r="N21" s="171">
        <f>'4 - Clé SALAIRES'!N21+'4 - Clé multilignes1'!N21+'4 - Clé multilignes2'!N21+'4 - Clé multilignes3'!N21+'4 - Clé multilignes4'!N21+'4 - Clé multilignes5'!N21+'4 - Clé multilignes6'!N21+'4 - Clé multilignes7'!N21</f>
        <v>0</v>
      </c>
      <c r="O21" s="171">
        <f>'4 - Clé SALAIRES'!O21+'4 - Clé multilignes1'!O21+'4 - Clé multilignes2'!O21+'4 - Clé multilignes3'!O21+'4 - Clé multilignes4'!O21+'4 - Clé multilignes5'!O21+'4 - Clé multilignes6'!O21+'4 - Clé multilignes7'!O21</f>
        <v>0</v>
      </c>
      <c r="P21" s="171">
        <f>'4 - Clé SALAIRES'!P21+'4 - Clé multilignes1'!P21+'4 - Clé multilignes2'!P21+'4 - Clé multilignes3'!P21+'4 - Clé multilignes4'!P21+'4 - Clé multilignes5'!P21+'4 - Clé multilignes6'!P21+'4 - Clé multilignes7'!P21</f>
        <v>0</v>
      </c>
      <c r="Q21" s="171">
        <f>'4 - Clé SALAIRES'!Q21+'4 - Clé multilignes1'!Q21+'4 - Clé multilignes2'!Q21+'4 - Clé multilignes3'!Q21+'4 - Clé multilignes4'!Q21+'4 - Clé multilignes5'!Q21+'4 - Clé multilignes6'!Q21+'4 - Clé multilignes7'!Q21</f>
        <v>0</v>
      </c>
      <c r="R21" s="171">
        <f>'4 - Clé SALAIRES'!R21+'4 - Clé multilignes1'!R21+'4 - Clé multilignes2'!R21+'4 - Clé multilignes3'!R21+'4 - Clé multilignes4'!R21+'4 - Clé multilignes5'!R21+'4 - Clé multilignes6'!R21+'4 - Clé multilignes7'!R21</f>
        <v>0</v>
      </c>
      <c r="S21" s="171">
        <f>'4 - Clé SALAIRES'!S21+'4 - Clé multilignes1'!S21+'4 - Clé multilignes2'!S21+'4 - Clé multilignes3'!S21+'4 - Clé multilignes4'!S21+'4 - Clé multilignes5'!S21+'4 - Clé multilignes6'!S21+'4 - Clé multilignes7'!S21</f>
        <v>0</v>
      </c>
      <c r="T21" s="171">
        <f>'4 - Clé SALAIRES'!T21+'4 - Clé multilignes1'!T21+'4 - Clé multilignes2'!T21+'4 - Clé multilignes3'!T21+'4 - Clé multilignes4'!T21+'4 - Clé multilignes5'!T21+'4 - Clé multilignes6'!T21+'4 - Clé multilignes7'!T21</f>
        <v>0</v>
      </c>
      <c r="U21" s="171">
        <f>'4 - Clé SALAIRES'!U21+'4 - Clé multilignes1'!U21+'4 - Clé multilignes2'!U21+'4 - Clé multilignes3'!U21+'4 - Clé multilignes4'!U21+'4 - Clé multilignes5'!U21+'4 - Clé multilignes6'!U21+'4 - Clé multilignes7'!U21</f>
        <v>0</v>
      </c>
      <c r="V21" s="171">
        <f>'4 - Clé SALAIRES'!V21+'4 - Clé multilignes1'!V21+'4 - Clé multilignes2'!V21+'4 - Clé multilignes3'!V21+'4 - Clé multilignes4'!V21+'4 - Clé multilignes5'!V21+'4 - Clé multilignes6'!V21+'4 - Clé multilignes7'!V21</f>
        <v>0</v>
      </c>
      <c r="W21" s="171">
        <f>'4 - Clé SALAIRES'!W21+'4 - Clé multilignes1'!W21+'4 - Clé multilignes2'!W21+'4 - Clé multilignes3'!W21+'4 - Clé multilignes4'!W21+'4 - Clé multilignes5'!W21+'4 - Clé multilignes6'!W21+'4 - Clé multilignes7'!W21</f>
        <v>0</v>
      </c>
      <c r="X21" s="171">
        <f>'4 - Clé SALAIRES'!X21+'4 - Clé multilignes1'!X21+'4 - Clé multilignes2'!X21+'4 - Clé multilignes3'!X21+'4 - Clé multilignes4'!X21+'4 - Clé multilignes5'!X21+'4 - Clé multilignes6'!X21+'4 - Clé multilignes7'!X21</f>
        <v>0</v>
      </c>
      <c r="Y21" s="171">
        <f>'4 - Clé SALAIRES'!Y21+'4 - Clé multilignes1'!Y21+'4 - Clé multilignes2'!Y21+'4 - Clé multilignes3'!Y21+'4 - Clé multilignes4'!Y21+'4 - Clé multilignes5'!Y21+'4 - Clé multilignes6'!Y21+'4 - Clé multilignes7'!Y21</f>
        <v>0</v>
      </c>
      <c r="Z21" s="171">
        <f>'4 - Clé SALAIRES'!Z21+'4 - Clé multilignes1'!Z21+'4 - Clé multilignes2'!Z21+'4 - Clé multilignes3'!Z21+'4 - Clé multilignes4'!Z21+'4 - Clé multilignes5'!Z21+'4 - Clé multilignes6'!Z21+'4 - Clé multilignes7'!Z21</f>
        <v>0</v>
      </c>
      <c r="AB21" s="6"/>
      <c r="AC21" s="6"/>
      <c r="AD21" s="6"/>
      <c r="AE21" s="6"/>
    </row>
    <row r="22" spans="1:32" s="182" customFormat="1" ht="12.75" customHeight="1" x14ac:dyDescent="0.25">
      <c r="A22" s="162">
        <f>Matrice[[#This Row],[Ligne de la matrice]]</f>
        <v>0</v>
      </c>
      <c r="B22" s="171">
        <f>'4 - Clé SALAIRES'!B22+'4 - Clé multilignes1'!B22+'4 - Clé multilignes2'!B22+'4 - Clé multilignes3'!B22+'4 - Clé multilignes4'!B22+'4 - Clé multilignes5'!B22+'4 - Clé multilignes6'!B22+'4 - Clé multilignes7'!B22</f>
        <v>0</v>
      </c>
      <c r="C22" s="171">
        <f>'4 - Clé SALAIRES'!C22+'4 - Clé multilignes1'!C22+'4 - Clé multilignes2'!C22+'4 - Clé multilignes3'!C22+'4 - Clé multilignes4'!C22+'4 - Clé multilignes5'!C22+'4 - Clé multilignes6'!C22+'4 - Clé multilignes7'!C22</f>
        <v>0</v>
      </c>
      <c r="D22" s="171">
        <f>'4 - Clé SALAIRES'!D22+'4 - Clé multilignes1'!D22+'4 - Clé multilignes2'!D22+'4 - Clé multilignes3'!D22+'4 - Clé multilignes4'!D22+'4 - Clé multilignes5'!D22+'4 - Clé multilignes6'!D22+'4 - Clé multilignes7'!D22</f>
        <v>0</v>
      </c>
      <c r="E22" s="171">
        <f>'4 - Clé SALAIRES'!E22+'4 - Clé multilignes1'!E22+'4 - Clé multilignes2'!E22+'4 - Clé multilignes3'!E22+'4 - Clé multilignes4'!E22+'4 - Clé multilignes5'!E22+'4 - Clé multilignes6'!E22+'4 - Clé multilignes7'!E22</f>
        <v>0</v>
      </c>
      <c r="F22" s="171">
        <f>'4 - Clé SALAIRES'!F22+'4 - Clé multilignes1'!F22+'4 - Clé multilignes2'!F22+'4 - Clé multilignes3'!F22+'4 - Clé multilignes4'!F22+'4 - Clé multilignes5'!F22+'4 - Clé multilignes6'!F22+'4 - Clé multilignes7'!F22</f>
        <v>0</v>
      </c>
      <c r="G22" s="171">
        <f>'4 - Clé SALAIRES'!G22+'4 - Clé multilignes1'!G22+'4 - Clé multilignes2'!G22+'4 - Clé multilignes3'!G22+'4 - Clé multilignes4'!G22+'4 - Clé multilignes5'!G22+'4 - Clé multilignes6'!G22+'4 - Clé multilignes7'!G22</f>
        <v>0</v>
      </c>
      <c r="H22" s="171">
        <f>'4 - Clé SALAIRES'!H22+'4 - Clé multilignes1'!H22+'4 - Clé multilignes2'!H22+'4 - Clé multilignes3'!H22+'4 - Clé multilignes4'!H22+'4 - Clé multilignes5'!H22+'4 - Clé multilignes6'!H22+'4 - Clé multilignes7'!H22</f>
        <v>0</v>
      </c>
      <c r="I22" s="171">
        <f>'4 - Clé SALAIRES'!I22+'4 - Clé multilignes1'!I22+'4 - Clé multilignes2'!I22+'4 - Clé multilignes3'!I22+'4 - Clé multilignes4'!I22+'4 - Clé multilignes5'!I22+'4 - Clé multilignes6'!I22+'4 - Clé multilignes7'!I22</f>
        <v>0</v>
      </c>
      <c r="J22" s="171">
        <f>'4 - Clé SALAIRES'!J22+'4 - Clé multilignes1'!J22+'4 - Clé multilignes2'!J22+'4 - Clé multilignes3'!J22+'4 - Clé multilignes4'!J22+'4 - Clé multilignes5'!J22+'4 - Clé multilignes6'!J22+'4 - Clé multilignes7'!J22</f>
        <v>0</v>
      </c>
      <c r="K22" s="171">
        <f>'4 - Clé SALAIRES'!K22+'4 - Clé multilignes1'!K22+'4 - Clé multilignes2'!K22+'4 - Clé multilignes3'!K22+'4 - Clé multilignes4'!K22+'4 - Clé multilignes5'!K22+'4 - Clé multilignes6'!K22+'4 - Clé multilignes7'!K22</f>
        <v>0</v>
      </c>
      <c r="L22" s="171">
        <f>'4 - Clé SALAIRES'!L22+'4 - Clé multilignes1'!L22+'4 - Clé multilignes2'!L22+'4 - Clé multilignes3'!L22+'4 - Clé multilignes4'!L22+'4 - Clé multilignes5'!L22+'4 - Clé multilignes6'!L22+'4 - Clé multilignes7'!L22</f>
        <v>0</v>
      </c>
      <c r="M22" s="171">
        <f>'4 - Clé SALAIRES'!M22+'4 - Clé multilignes1'!M22+'4 - Clé multilignes2'!M22+'4 - Clé multilignes3'!M22+'4 - Clé multilignes4'!M22+'4 - Clé multilignes5'!M22+'4 - Clé multilignes6'!M22+'4 - Clé multilignes7'!M22</f>
        <v>0</v>
      </c>
      <c r="N22" s="171">
        <f>'4 - Clé SALAIRES'!N22+'4 - Clé multilignes1'!N22+'4 - Clé multilignes2'!N22+'4 - Clé multilignes3'!N22+'4 - Clé multilignes4'!N22+'4 - Clé multilignes5'!N22+'4 - Clé multilignes6'!N22+'4 - Clé multilignes7'!N22</f>
        <v>0</v>
      </c>
      <c r="O22" s="171">
        <f>'4 - Clé SALAIRES'!O22+'4 - Clé multilignes1'!O22+'4 - Clé multilignes2'!O22+'4 - Clé multilignes3'!O22+'4 - Clé multilignes4'!O22+'4 - Clé multilignes5'!O22+'4 - Clé multilignes6'!O22+'4 - Clé multilignes7'!O22</f>
        <v>0</v>
      </c>
      <c r="P22" s="171">
        <f>'4 - Clé SALAIRES'!P22+'4 - Clé multilignes1'!P22+'4 - Clé multilignes2'!P22+'4 - Clé multilignes3'!P22+'4 - Clé multilignes4'!P22+'4 - Clé multilignes5'!P22+'4 - Clé multilignes6'!P22+'4 - Clé multilignes7'!P22</f>
        <v>0</v>
      </c>
      <c r="Q22" s="171">
        <f>'4 - Clé SALAIRES'!Q22+'4 - Clé multilignes1'!Q22+'4 - Clé multilignes2'!Q22+'4 - Clé multilignes3'!Q22+'4 - Clé multilignes4'!Q22+'4 - Clé multilignes5'!Q22+'4 - Clé multilignes6'!Q22+'4 - Clé multilignes7'!Q22</f>
        <v>0</v>
      </c>
      <c r="R22" s="171">
        <f>'4 - Clé SALAIRES'!R22+'4 - Clé multilignes1'!R22+'4 - Clé multilignes2'!R22+'4 - Clé multilignes3'!R22+'4 - Clé multilignes4'!R22+'4 - Clé multilignes5'!R22+'4 - Clé multilignes6'!R22+'4 - Clé multilignes7'!R22</f>
        <v>0</v>
      </c>
      <c r="S22" s="171">
        <f>'4 - Clé SALAIRES'!S22+'4 - Clé multilignes1'!S22+'4 - Clé multilignes2'!S22+'4 - Clé multilignes3'!S22+'4 - Clé multilignes4'!S22+'4 - Clé multilignes5'!S22+'4 - Clé multilignes6'!S22+'4 - Clé multilignes7'!S22</f>
        <v>0</v>
      </c>
      <c r="T22" s="171">
        <f>'4 - Clé SALAIRES'!T22+'4 - Clé multilignes1'!T22+'4 - Clé multilignes2'!T22+'4 - Clé multilignes3'!T22+'4 - Clé multilignes4'!T22+'4 - Clé multilignes5'!T22+'4 - Clé multilignes6'!T22+'4 - Clé multilignes7'!T22</f>
        <v>0</v>
      </c>
      <c r="U22" s="171">
        <f>'4 - Clé SALAIRES'!U22+'4 - Clé multilignes1'!U22+'4 - Clé multilignes2'!U22+'4 - Clé multilignes3'!U22+'4 - Clé multilignes4'!U22+'4 - Clé multilignes5'!U22+'4 - Clé multilignes6'!U22+'4 - Clé multilignes7'!U22</f>
        <v>0</v>
      </c>
      <c r="V22" s="171">
        <f>'4 - Clé SALAIRES'!V22+'4 - Clé multilignes1'!V22+'4 - Clé multilignes2'!V22+'4 - Clé multilignes3'!V22+'4 - Clé multilignes4'!V22+'4 - Clé multilignes5'!V22+'4 - Clé multilignes6'!V22+'4 - Clé multilignes7'!V22</f>
        <v>0</v>
      </c>
      <c r="W22" s="171">
        <f>'4 - Clé SALAIRES'!W22+'4 - Clé multilignes1'!W22+'4 - Clé multilignes2'!W22+'4 - Clé multilignes3'!W22+'4 - Clé multilignes4'!W22+'4 - Clé multilignes5'!W22+'4 - Clé multilignes6'!W22+'4 - Clé multilignes7'!W22</f>
        <v>0</v>
      </c>
      <c r="X22" s="171">
        <f>'4 - Clé SALAIRES'!X22+'4 - Clé multilignes1'!X22+'4 - Clé multilignes2'!X22+'4 - Clé multilignes3'!X22+'4 - Clé multilignes4'!X22+'4 - Clé multilignes5'!X22+'4 - Clé multilignes6'!X22+'4 - Clé multilignes7'!X22</f>
        <v>0</v>
      </c>
      <c r="Y22" s="171">
        <f>'4 - Clé SALAIRES'!Y22+'4 - Clé multilignes1'!Y22+'4 - Clé multilignes2'!Y22+'4 - Clé multilignes3'!Y22+'4 - Clé multilignes4'!Y22+'4 - Clé multilignes5'!Y22+'4 - Clé multilignes6'!Y22+'4 - Clé multilignes7'!Y22</f>
        <v>0</v>
      </c>
      <c r="Z22" s="171">
        <f>'4 - Clé SALAIRES'!Z22+'4 - Clé multilignes1'!Z22+'4 - Clé multilignes2'!Z22+'4 - Clé multilignes3'!Z22+'4 - Clé multilignes4'!Z22+'4 - Clé multilignes5'!Z22+'4 - Clé multilignes6'!Z22+'4 - Clé multilignes7'!Z22</f>
        <v>0</v>
      </c>
      <c r="AB22" s="6"/>
      <c r="AC22" s="6"/>
      <c r="AD22" s="6"/>
      <c r="AE22" s="6"/>
    </row>
    <row r="23" spans="1:32" s="182" customFormat="1" ht="12.75" customHeight="1" x14ac:dyDescent="0.25">
      <c r="A23" s="174"/>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B23" s="6"/>
      <c r="AC23" s="6"/>
      <c r="AD23" s="6"/>
      <c r="AE23" s="6"/>
    </row>
    <row r="24" spans="1:32" s="182" customFormat="1" ht="12.75" customHeight="1" x14ac:dyDescent="0.25">
      <c r="A24" s="162" t="str">
        <f>Matrice[[#This Row],[Ligne de la matrice]]</f>
        <v>Ventes de produits et d'énergie</v>
      </c>
      <c r="B24" s="171">
        <f>'4 - Clé SALAIRES'!B24+'4 - Clé multilignes1'!B24+'4 - Clé multilignes2'!B24+'4 - Clé multilignes3'!B24+'4 - Clé multilignes4'!B24+'4 - Clé multilignes5'!B24+'4 - Clé multilignes6'!B24+'4 - Clé multilignes7'!B24</f>
        <v>0</v>
      </c>
      <c r="C24" s="171">
        <f>'4 - Clé SALAIRES'!C24+'4 - Clé multilignes1'!C24+'4 - Clé multilignes2'!C24+'4 - Clé multilignes3'!C24+'4 - Clé multilignes4'!C24+'4 - Clé multilignes5'!C24+'4 - Clé multilignes6'!C24+'4 - Clé multilignes7'!C24</f>
        <v>0</v>
      </c>
      <c r="D24" s="171">
        <f>'4 - Clé SALAIRES'!D24+'4 - Clé multilignes1'!D24+'4 - Clé multilignes2'!D24+'4 - Clé multilignes3'!D24+'4 - Clé multilignes4'!D24+'4 - Clé multilignes5'!D24+'4 - Clé multilignes6'!D24+'4 - Clé multilignes7'!D24</f>
        <v>0</v>
      </c>
      <c r="E24" s="171">
        <f>'4 - Clé SALAIRES'!E24+'4 - Clé multilignes1'!E24+'4 - Clé multilignes2'!E24+'4 - Clé multilignes3'!E24+'4 - Clé multilignes4'!E24+'4 - Clé multilignes5'!E24+'4 - Clé multilignes6'!E24+'4 - Clé multilignes7'!E24</f>
        <v>0</v>
      </c>
      <c r="F24" s="171">
        <f>'4 - Clé SALAIRES'!F24+'4 - Clé multilignes1'!F24+'4 - Clé multilignes2'!F24+'4 - Clé multilignes3'!F24+'4 - Clé multilignes4'!F24+'4 - Clé multilignes5'!F24+'4 - Clé multilignes6'!F24+'4 - Clé multilignes7'!F24</f>
        <v>0</v>
      </c>
      <c r="G24" s="171">
        <f>'4 - Clé SALAIRES'!G24+'4 - Clé multilignes1'!G24+'4 - Clé multilignes2'!G24+'4 - Clé multilignes3'!G24+'4 - Clé multilignes4'!G24+'4 - Clé multilignes5'!G24+'4 - Clé multilignes6'!G24+'4 - Clé multilignes7'!G24</f>
        <v>0</v>
      </c>
      <c r="H24" s="171">
        <f>'4 - Clé SALAIRES'!H24+'4 - Clé multilignes1'!H24+'4 - Clé multilignes2'!H24+'4 - Clé multilignes3'!H24+'4 - Clé multilignes4'!H24+'4 - Clé multilignes5'!H24+'4 - Clé multilignes6'!H24+'4 - Clé multilignes7'!H24</f>
        <v>0</v>
      </c>
      <c r="I24" s="171">
        <f>'4 - Clé SALAIRES'!I24+'4 - Clé multilignes1'!I24+'4 - Clé multilignes2'!I24+'4 - Clé multilignes3'!I24+'4 - Clé multilignes4'!I24+'4 - Clé multilignes5'!I24+'4 - Clé multilignes6'!I24+'4 - Clé multilignes7'!I24</f>
        <v>0</v>
      </c>
      <c r="J24" s="171">
        <f>'4 - Clé SALAIRES'!J24+'4 - Clé multilignes1'!J24+'4 - Clé multilignes2'!J24+'4 - Clé multilignes3'!J24+'4 - Clé multilignes4'!J24+'4 - Clé multilignes5'!J24+'4 - Clé multilignes6'!J24+'4 - Clé multilignes7'!J24</f>
        <v>0</v>
      </c>
      <c r="K24" s="171">
        <f>'4 - Clé SALAIRES'!K24+'4 - Clé multilignes1'!K24+'4 - Clé multilignes2'!K24+'4 - Clé multilignes3'!K24+'4 - Clé multilignes4'!K24+'4 - Clé multilignes5'!K24+'4 - Clé multilignes6'!K24+'4 - Clé multilignes7'!K24</f>
        <v>0</v>
      </c>
      <c r="L24" s="171">
        <f>'4 - Clé SALAIRES'!L24+'4 - Clé multilignes1'!L24+'4 - Clé multilignes2'!L24+'4 - Clé multilignes3'!L24+'4 - Clé multilignes4'!L24+'4 - Clé multilignes5'!L24+'4 - Clé multilignes6'!L24+'4 - Clé multilignes7'!L24</f>
        <v>0</v>
      </c>
      <c r="M24" s="171">
        <f>'4 - Clé SALAIRES'!M24+'4 - Clé multilignes1'!M24+'4 - Clé multilignes2'!M24+'4 - Clé multilignes3'!M24+'4 - Clé multilignes4'!M24+'4 - Clé multilignes5'!M24+'4 - Clé multilignes6'!M24+'4 - Clé multilignes7'!M24</f>
        <v>0</v>
      </c>
      <c r="N24" s="171">
        <f>'4 - Clé SALAIRES'!N24+'4 - Clé multilignes1'!N24+'4 - Clé multilignes2'!N24+'4 - Clé multilignes3'!N24+'4 - Clé multilignes4'!N24+'4 - Clé multilignes5'!N24+'4 - Clé multilignes6'!N24+'4 - Clé multilignes7'!N24</f>
        <v>0</v>
      </c>
      <c r="O24" s="171">
        <f>'4 - Clé SALAIRES'!O24+'4 - Clé multilignes1'!O24+'4 - Clé multilignes2'!O24+'4 - Clé multilignes3'!O24+'4 - Clé multilignes4'!O24+'4 - Clé multilignes5'!O24+'4 - Clé multilignes6'!O24+'4 - Clé multilignes7'!O24</f>
        <v>0</v>
      </c>
      <c r="P24" s="171">
        <f>'4 - Clé SALAIRES'!P24+'4 - Clé multilignes1'!P24+'4 - Clé multilignes2'!P24+'4 - Clé multilignes3'!P24+'4 - Clé multilignes4'!P24+'4 - Clé multilignes5'!P24+'4 - Clé multilignes6'!P24+'4 - Clé multilignes7'!P24</f>
        <v>0</v>
      </c>
      <c r="Q24" s="171">
        <f>'4 - Clé SALAIRES'!Q24+'4 - Clé multilignes1'!Q24+'4 - Clé multilignes2'!Q24+'4 - Clé multilignes3'!Q24+'4 - Clé multilignes4'!Q24+'4 - Clé multilignes5'!Q24+'4 - Clé multilignes6'!Q24+'4 - Clé multilignes7'!Q24</f>
        <v>0</v>
      </c>
      <c r="R24" s="171">
        <f>'4 - Clé SALAIRES'!R24+'4 - Clé multilignes1'!R24+'4 - Clé multilignes2'!R24+'4 - Clé multilignes3'!R24+'4 - Clé multilignes4'!R24+'4 - Clé multilignes5'!R24+'4 - Clé multilignes6'!R24+'4 - Clé multilignes7'!R24</f>
        <v>0</v>
      </c>
      <c r="S24" s="171">
        <f>'4 - Clé SALAIRES'!S24+'4 - Clé multilignes1'!S24+'4 - Clé multilignes2'!S24+'4 - Clé multilignes3'!S24+'4 - Clé multilignes4'!S24+'4 - Clé multilignes5'!S24+'4 - Clé multilignes6'!S24+'4 - Clé multilignes7'!S24</f>
        <v>0</v>
      </c>
      <c r="T24" s="171">
        <f>'4 - Clé SALAIRES'!T24+'4 - Clé multilignes1'!T24+'4 - Clé multilignes2'!T24+'4 - Clé multilignes3'!T24+'4 - Clé multilignes4'!T24+'4 - Clé multilignes5'!T24+'4 - Clé multilignes6'!T24+'4 - Clé multilignes7'!T24</f>
        <v>0</v>
      </c>
      <c r="U24" s="171">
        <f>'4 - Clé SALAIRES'!U24+'4 - Clé multilignes1'!U24+'4 - Clé multilignes2'!U24+'4 - Clé multilignes3'!U24+'4 - Clé multilignes4'!U24+'4 - Clé multilignes5'!U24+'4 - Clé multilignes6'!U24+'4 - Clé multilignes7'!U24</f>
        <v>0</v>
      </c>
      <c r="V24" s="171">
        <f>'4 - Clé SALAIRES'!V24+'4 - Clé multilignes1'!V24+'4 - Clé multilignes2'!V24+'4 - Clé multilignes3'!V24+'4 - Clé multilignes4'!V24+'4 - Clé multilignes5'!V24+'4 - Clé multilignes6'!V24+'4 - Clé multilignes7'!V24</f>
        <v>0</v>
      </c>
      <c r="W24" s="171">
        <f>'4 - Clé SALAIRES'!W24+'4 - Clé multilignes1'!W24+'4 - Clé multilignes2'!W24+'4 - Clé multilignes3'!W24+'4 - Clé multilignes4'!W24+'4 - Clé multilignes5'!W24+'4 - Clé multilignes6'!W24+'4 - Clé multilignes7'!W24</f>
        <v>0</v>
      </c>
      <c r="X24" s="171">
        <f>'4 - Clé SALAIRES'!X24+'4 - Clé multilignes1'!X24+'4 - Clé multilignes2'!X24+'4 - Clé multilignes3'!X24+'4 - Clé multilignes4'!X24+'4 - Clé multilignes5'!X24+'4 - Clé multilignes6'!X24+'4 - Clé multilignes7'!X24</f>
        <v>0</v>
      </c>
      <c r="Y24" s="171">
        <f>'4 - Clé SALAIRES'!Y24+'4 - Clé multilignes1'!Y24+'4 - Clé multilignes2'!Y24+'4 - Clé multilignes3'!Y24+'4 - Clé multilignes4'!Y24+'4 - Clé multilignes5'!Y24+'4 - Clé multilignes6'!Y24+'4 - Clé multilignes7'!Y24</f>
        <v>0</v>
      </c>
      <c r="Z24" s="171">
        <f>'4 - Clé SALAIRES'!Z24+'4 - Clé multilignes1'!Z24+'4 - Clé multilignes2'!Z24+'4 - Clé multilignes3'!Z24+'4 - Clé multilignes4'!Z24+'4 - Clé multilignes5'!Z24+'4 - Clé multilignes6'!Z24+'4 - Clé multilignes7'!Z24</f>
        <v>0</v>
      </c>
      <c r="AB24" s="6"/>
      <c r="AC24" s="6"/>
      <c r="AD24" s="6"/>
      <c r="AE24" s="6"/>
    </row>
    <row r="25" spans="1:32" s="182" customFormat="1" ht="12.75" customHeight="1" x14ac:dyDescent="0.25">
      <c r="A25" s="162" t="str">
        <f>Matrice[[#This Row],[Ligne de la matrice]]</f>
        <v>Matériaux</v>
      </c>
      <c r="B25" s="171">
        <f>'4 - Clé SALAIRES'!B25+'4 - Clé multilignes1'!B25+'4 - Clé multilignes2'!B25+'4 - Clé multilignes3'!B25+'4 - Clé multilignes4'!B25+'4 - Clé multilignes5'!B25+'4 - Clé multilignes6'!B25+'4 - Clé multilignes7'!B25</f>
        <v>0</v>
      </c>
      <c r="C25" s="171">
        <f>'4 - Clé SALAIRES'!C25+'4 - Clé multilignes1'!C25+'4 - Clé multilignes2'!C25+'4 - Clé multilignes3'!C25+'4 - Clé multilignes4'!C25+'4 - Clé multilignes5'!C25+'4 - Clé multilignes6'!C25+'4 - Clé multilignes7'!C25</f>
        <v>0</v>
      </c>
      <c r="D25" s="171">
        <f>'4 - Clé SALAIRES'!D25+'4 - Clé multilignes1'!D25+'4 - Clé multilignes2'!D25+'4 - Clé multilignes3'!D25+'4 - Clé multilignes4'!D25+'4 - Clé multilignes5'!D25+'4 - Clé multilignes6'!D25+'4 - Clé multilignes7'!D25</f>
        <v>0</v>
      </c>
      <c r="E25" s="171">
        <f>'4 - Clé SALAIRES'!E25+'4 - Clé multilignes1'!E25+'4 - Clé multilignes2'!E25+'4 - Clé multilignes3'!E25+'4 - Clé multilignes4'!E25+'4 - Clé multilignes5'!E25+'4 - Clé multilignes6'!E25+'4 - Clé multilignes7'!E25</f>
        <v>0</v>
      </c>
      <c r="F25" s="171">
        <f>'4 - Clé SALAIRES'!F25+'4 - Clé multilignes1'!F25+'4 - Clé multilignes2'!F25+'4 - Clé multilignes3'!F25+'4 - Clé multilignes4'!F25+'4 - Clé multilignes5'!F25+'4 - Clé multilignes6'!F25+'4 - Clé multilignes7'!F25</f>
        <v>0</v>
      </c>
      <c r="G25" s="171">
        <f>'4 - Clé SALAIRES'!G25+'4 - Clé multilignes1'!G25+'4 - Clé multilignes2'!G25+'4 - Clé multilignes3'!G25+'4 - Clé multilignes4'!G25+'4 - Clé multilignes5'!G25+'4 - Clé multilignes6'!G25+'4 - Clé multilignes7'!G25</f>
        <v>0</v>
      </c>
      <c r="H25" s="171">
        <f>'4 - Clé SALAIRES'!H25+'4 - Clé multilignes1'!H25+'4 - Clé multilignes2'!H25+'4 - Clé multilignes3'!H25+'4 - Clé multilignes4'!H25+'4 - Clé multilignes5'!H25+'4 - Clé multilignes6'!H25+'4 - Clé multilignes7'!H25</f>
        <v>0</v>
      </c>
      <c r="I25" s="171">
        <f>'4 - Clé SALAIRES'!I25+'4 - Clé multilignes1'!I25+'4 - Clé multilignes2'!I25+'4 - Clé multilignes3'!I25+'4 - Clé multilignes4'!I25+'4 - Clé multilignes5'!I25+'4 - Clé multilignes6'!I25+'4 - Clé multilignes7'!I25</f>
        <v>0</v>
      </c>
      <c r="J25" s="171">
        <f>'4 - Clé SALAIRES'!J25+'4 - Clé multilignes1'!J25+'4 - Clé multilignes2'!J25+'4 - Clé multilignes3'!J25+'4 - Clé multilignes4'!J25+'4 - Clé multilignes5'!J25+'4 - Clé multilignes6'!J25+'4 - Clé multilignes7'!J25</f>
        <v>0</v>
      </c>
      <c r="K25" s="171">
        <f>'4 - Clé SALAIRES'!K25+'4 - Clé multilignes1'!K25+'4 - Clé multilignes2'!K25+'4 - Clé multilignes3'!K25+'4 - Clé multilignes4'!K25+'4 - Clé multilignes5'!K25+'4 - Clé multilignes6'!K25+'4 - Clé multilignes7'!K25</f>
        <v>0</v>
      </c>
      <c r="L25" s="171">
        <f>'4 - Clé SALAIRES'!L25+'4 - Clé multilignes1'!L25+'4 - Clé multilignes2'!L25+'4 - Clé multilignes3'!L25+'4 - Clé multilignes4'!L25+'4 - Clé multilignes5'!L25+'4 - Clé multilignes6'!L25+'4 - Clé multilignes7'!L25</f>
        <v>0</v>
      </c>
      <c r="M25" s="171">
        <f>'4 - Clé SALAIRES'!M25+'4 - Clé multilignes1'!M25+'4 - Clé multilignes2'!M25+'4 - Clé multilignes3'!M25+'4 - Clé multilignes4'!M25+'4 - Clé multilignes5'!M25+'4 - Clé multilignes6'!M25+'4 - Clé multilignes7'!M25</f>
        <v>0</v>
      </c>
      <c r="N25" s="171">
        <f>'4 - Clé SALAIRES'!N25+'4 - Clé multilignes1'!N25+'4 - Clé multilignes2'!N25+'4 - Clé multilignes3'!N25+'4 - Clé multilignes4'!N25+'4 - Clé multilignes5'!N25+'4 - Clé multilignes6'!N25+'4 - Clé multilignes7'!N25</f>
        <v>0</v>
      </c>
      <c r="O25" s="171">
        <f>'4 - Clé SALAIRES'!O25+'4 - Clé multilignes1'!O25+'4 - Clé multilignes2'!O25+'4 - Clé multilignes3'!O25+'4 - Clé multilignes4'!O25+'4 - Clé multilignes5'!O25+'4 - Clé multilignes6'!O25+'4 - Clé multilignes7'!O25</f>
        <v>0</v>
      </c>
      <c r="P25" s="171">
        <f>'4 - Clé SALAIRES'!P25+'4 - Clé multilignes1'!P25+'4 - Clé multilignes2'!P25+'4 - Clé multilignes3'!P25+'4 - Clé multilignes4'!P25+'4 - Clé multilignes5'!P25+'4 - Clé multilignes6'!P25+'4 - Clé multilignes7'!P25</f>
        <v>0</v>
      </c>
      <c r="Q25" s="171">
        <f>'4 - Clé SALAIRES'!Q25+'4 - Clé multilignes1'!Q25+'4 - Clé multilignes2'!Q25+'4 - Clé multilignes3'!Q25+'4 - Clé multilignes4'!Q25+'4 - Clé multilignes5'!Q25+'4 - Clé multilignes6'!Q25+'4 - Clé multilignes7'!Q25</f>
        <v>0</v>
      </c>
      <c r="R25" s="171">
        <f>'4 - Clé SALAIRES'!R25+'4 - Clé multilignes1'!R25+'4 - Clé multilignes2'!R25+'4 - Clé multilignes3'!R25+'4 - Clé multilignes4'!R25+'4 - Clé multilignes5'!R25+'4 - Clé multilignes6'!R25+'4 - Clé multilignes7'!R25</f>
        <v>0</v>
      </c>
      <c r="S25" s="171">
        <f>'4 - Clé SALAIRES'!S25+'4 - Clé multilignes1'!S25+'4 - Clé multilignes2'!S25+'4 - Clé multilignes3'!S25+'4 - Clé multilignes4'!S25+'4 - Clé multilignes5'!S25+'4 - Clé multilignes6'!S25+'4 - Clé multilignes7'!S25</f>
        <v>0</v>
      </c>
      <c r="T25" s="171">
        <f>'4 - Clé SALAIRES'!T25+'4 - Clé multilignes1'!T25+'4 - Clé multilignes2'!T25+'4 - Clé multilignes3'!T25+'4 - Clé multilignes4'!T25+'4 - Clé multilignes5'!T25+'4 - Clé multilignes6'!T25+'4 - Clé multilignes7'!T25</f>
        <v>0</v>
      </c>
      <c r="U25" s="171">
        <f>'4 - Clé SALAIRES'!U25+'4 - Clé multilignes1'!U25+'4 - Clé multilignes2'!U25+'4 - Clé multilignes3'!U25+'4 - Clé multilignes4'!U25+'4 - Clé multilignes5'!U25+'4 - Clé multilignes6'!U25+'4 - Clé multilignes7'!U25</f>
        <v>0</v>
      </c>
      <c r="V25" s="171">
        <f>'4 - Clé SALAIRES'!V25+'4 - Clé multilignes1'!V25+'4 - Clé multilignes2'!V25+'4 - Clé multilignes3'!V25+'4 - Clé multilignes4'!V25+'4 - Clé multilignes5'!V25+'4 - Clé multilignes6'!V25+'4 - Clé multilignes7'!V25</f>
        <v>0</v>
      </c>
      <c r="W25" s="171">
        <f>'4 - Clé SALAIRES'!W25+'4 - Clé multilignes1'!W25+'4 - Clé multilignes2'!W25+'4 - Clé multilignes3'!W25+'4 - Clé multilignes4'!W25+'4 - Clé multilignes5'!W25+'4 - Clé multilignes6'!W25+'4 - Clé multilignes7'!W25</f>
        <v>0</v>
      </c>
      <c r="X25" s="171">
        <f>'4 - Clé SALAIRES'!X25+'4 - Clé multilignes1'!X25+'4 - Clé multilignes2'!X25+'4 - Clé multilignes3'!X25+'4 - Clé multilignes4'!X25+'4 - Clé multilignes5'!X25+'4 - Clé multilignes6'!X25+'4 - Clé multilignes7'!X25</f>
        <v>0</v>
      </c>
      <c r="Y25" s="171">
        <f>'4 - Clé SALAIRES'!Y25+'4 - Clé multilignes1'!Y25+'4 - Clé multilignes2'!Y25+'4 - Clé multilignes3'!Y25+'4 - Clé multilignes4'!Y25+'4 - Clé multilignes5'!Y25+'4 - Clé multilignes6'!Y25+'4 - Clé multilignes7'!Y25</f>
        <v>0</v>
      </c>
      <c r="Z25" s="171">
        <f>'4 - Clé SALAIRES'!Z25+'4 - Clé multilignes1'!Z25+'4 - Clé multilignes2'!Z25+'4 - Clé multilignes3'!Z25+'4 - Clé multilignes4'!Z25+'4 - Clé multilignes5'!Z25+'4 - Clé multilignes6'!Z25+'4 - Clé multilignes7'!Z25</f>
        <v>0</v>
      </c>
      <c r="AB25" s="6"/>
      <c r="AC25" s="6"/>
      <c r="AD25" s="6"/>
      <c r="AE25" s="6"/>
    </row>
    <row r="26" spans="1:32" s="182" customFormat="1" ht="12.75" customHeight="1" x14ac:dyDescent="0.25">
      <c r="A26" s="162" t="str">
        <f>Matrice[[#This Row],[Ligne de la matrice]]</f>
        <v>Compost</v>
      </c>
      <c r="B26" s="171">
        <f>'4 - Clé SALAIRES'!B26+'4 - Clé multilignes1'!B26+'4 - Clé multilignes2'!B26+'4 - Clé multilignes3'!B26+'4 - Clé multilignes4'!B26+'4 - Clé multilignes5'!B26+'4 - Clé multilignes6'!B26+'4 - Clé multilignes7'!B26</f>
        <v>0</v>
      </c>
      <c r="C26" s="171">
        <f>'4 - Clé SALAIRES'!C26+'4 - Clé multilignes1'!C26+'4 - Clé multilignes2'!C26+'4 - Clé multilignes3'!C26+'4 - Clé multilignes4'!C26+'4 - Clé multilignes5'!C26+'4 - Clé multilignes6'!C26+'4 - Clé multilignes7'!C26</f>
        <v>0</v>
      </c>
      <c r="D26" s="171">
        <f>'4 - Clé SALAIRES'!D26+'4 - Clé multilignes1'!D26+'4 - Clé multilignes2'!D26+'4 - Clé multilignes3'!D26+'4 - Clé multilignes4'!D26+'4 - Clé multilignes5'!D26+'4 - Clé multilignes6'!D26+'4 - Clé multilignes7'!D26</f>
        <v>0</v>
      </c>
      <c r="E26" s="171">
        <f>'4 - Clé SALAIRES'!E26+'4 - Clé multilignes1'!E26+'4 - Clé multilignes2'!E26+'4 - Clé multilignes3'!E26+'4 - Clé multilignes4'!E26+'4 - Clé multilignes5'!E26+'4 - Clé multilignes6'!E26+'4 - Clé multilignes7'!E26</f>
        <v>0</v>
      </c>
      <c r="F26" s="171">
        <f>'4 - Clé SALAIRES'!F26+'4 - Clé multilignes1'!F26+'4 - Clé multilignes2'!F26+'4 - Clé multilignes3'!F26+'4 - Clé multilignes4'!F26+'4 - Clé multilignes5'!F26+'4 - Clé multilignes6'!F26+'4 - Clé multilignes7'!F26</f>
        <v>0</v>
      </c>
      <c r="G26" s="171">
        <f>'4 - Clé SALAIRES'!G26+'4 - Clé multilignes1'!G26+'4 - Clé multilignes2'!G26+'4 - Clé multilignes3'!G26+'4 - Clé multilignes4'!G26+'4 - Clé multilignes5'!G26+'4 - Clé multilignes6'!G26+'4 - Clé multilignes7'!G26</f>
        <v>0</v>
      </c>
      <c r="H26" s="171">
        <f>'4 - Clé SALAIRES'!H26+'4 - Clé multilignes1'!H26+'4 - Clé multilignes2'!H26+'4 - Clé multilignes3'!H26+'4 - Clé multilignes4'!H26+'4 - Clé multilignes5'!H26+'4 - Clé multilignes6'!H26+'4 - Clé multilignes7'!H26</f>
        <v>0</v>
      </c>
      <c r="I26" s="171">
        <f>'4 - Clé SALAIRES'!I26+'4 - Clé multilignes1'!I26+'4 - Clé multilignes2'!I26+'4 - Clé multilignes3'!I26+'4 - Clé multilignes4'!I26+'4 - Clé multilignes5'!I26+'4 - Clé multilignes6'!I26+'4 - Clé multilignes7'!I26</f>
        <v>0</v>
      </c>
      <c r="J26" s="171">
        <f>'4 - Clé SALAIRES'!J26+'4 - Clé multilignes1'!J26+'4 - Clé multilignes2'!J26+'4 - Clé multilignes3'!J26+'4 - Clé multilignes4'!J26+'4 - Clé multilignes5'!J26+'4 - Clé multilignes6'!J26+'4 - Clé multilignes7'!J26</f>
        <v>0</v>
      </c>
      <c r="K26" s="171">
        <f>'4 - Clé SALAIRES'!K26+'4 - Clé multilignes1'!K26+'4 - Clé multilignes2'!K26+'4 - Clé multilignes3'!K26+'4 - Clé multilignes4'!K26+'4 - Clé multilignes5'!K26+'4 - Clé multilignes6'!K26+'4 - Clé multilignes7'!K26</f>
        <v>0</v>
      </c>
      <c r="L26" s="171">
        <f>'4 - Clé SALAIRES'!L26+'4 - Clé multilignes1'!L26+'4 - Clé multilignes2'!L26+'4 - Clé multilignes3'!L26+'4 - Clé multilignes4'!L26+'4 - Clé multilignes5'!L26+'4 - Clé multilignes6'!L26+'4 - Clé multilignes7'!L26</f>
        <v>0</v>
      </c>
      <c r="M26" s="171">
        <f>'4 - Clé SALAIRES'!M26+'4 - Clé multilignes1'!M26+'4 - Clé multilignes2'!M26+'4 - Clé multilignes3'!M26+'4 - Clé multilignes4'!M26+'4 - Clé multilignes5'!M26+'4 - Clé multilignes6'!M26+'4 - Clé multilignes7'!M26</f>
        <v>0</v>
      </c>
      <c r="N26" s="171">
        <f>'4 - Clé SALAIRES'!N26+'4 - Clé multilignes1'!N26+'4 - Clé multilignes2'!N26+'4 - Clé multilignes3'!N26+'4 - Clé multilignes4'!N26+'4 - Clé multilignes5'!N26+'4 - Clé multilignes6'!N26+'4 - Clé multilignes7'!N26</f>
        <v>0</v>
      </c>
      <c r="O26" s="171">
        <f>'4 - Clé SALAIRES'!O26+'4 - Clé multilignes1'!O26+'4 - Clé multilignes2'!O26+'4 - Clé multilignes3'!O26+'4 - Clé multilignes4'!O26+'4 - Clé multilignes5'!O26+'4 - Clé multilignes6'!O26+'4 - Clé multilignes7'!O26</f>
        <v>0</v>
      </c>
      <c r="P26" s="171">
        <f>'4 - Clé SALAIRES'!P26+'4 - Clé multilignes1'!P26+'4 - Clé multilignes2'!P26+'4 - Clé multilignes3'!P26+'4 - Clé multilignes4'!P26+'4 - Clé multilignes5'!P26+'4 - Clé multilignes6'!P26+'4 - Clé multilignes7'!P26</f>
        <v>0</v>
      </c>
      <c r="Q26" s="171">
        <f>'4 - Clé SALAIRES'!Q26+'4 - Clé multilignes1'!Q26+'4 - Clé multilignes2'!Q26+'4 - Clé multilignes3'!Q26+'4 - Clé multilignes4'!Q26+'4 - Clé multilignes5'!Q26+'4 - Clé multilignes6'!Q26+'4 - Clé multilignes7'!Q26</f>
        <v>0</v>
      </c>
      <c r="R26" s="171">
        <f>'4 - Clé SALAIRES'!R26+'4 - Clé multilignes1'!R26+'4 - Clé multilignes2'!R26+'4 - Clé multilignes3'!R26+'4 - Clé multilignes4'!R26+'4 - Clé multilignes5'!R26+'4 - Clé multilignes6'!R26+'4 - Clé multilignes7'!R26</f>
        <v>0</v>
      </c>
      <c r="S26" s="171">
        <f>'4 - Clé SALAIRES'!S26+'4 - Clé multilignes1'!S26+'4 - Clé multilignes2'!S26+'4 - Clé multilignes3'!S26+'4 - Clé multilignes4'!S26+'4 - Clé multilignes5'!S26+'4 - Clé multilignes6'!S26+'4 - Clé multilignes7'!S26</f>
        <v>0</v>
      </c>
      <c r="T26" s="171">
        <f>'4 - Clé SALAIRES'!T26+'4 - Clé multilignes1'!T26+'4 - Clé multilignes2'!T26+'4 - Clé multilignes3'!T26+'4 - Clé multilignes4'!T26+'4 - Clé multilignes5'!T26+'4 - Clé multilignes6'!T26+'4 - Clé multilignes7'!T26</f>
        <v>0</v>
      </c>
      <c r="U26" s="171">
        <f>'4 - Clé SALAIRES'!U26+'4 - Clé multilignes1'!U26+'4 - Clé multilignes2'!U26+'4 - Clé multilignes3'!U26+'4 - Clé multilignes4'!U26+'4 - Clé multilignes5'!U26+'4 - Clé multilignes6'!U26+'4 - Clé multilignes7'!U26</f>
        <v>0</v>
      </c>
      <c r="V26" s="171">
        <f>'4 - Clé SALAIRES'!V26+'4 - Clé multilignes1'!V26+'4 - Clé multilignes2'!V26+'4 - Clé multilignes3'!V26+'4 - Clé multilignes4'!V26+'4 - Clé multilignes5'!V26+'4 - Clé multilignes6'!V26+'4 - Clé multilignes7'!V26</f>
        <v>0</v>
      </c>
      <c r="W26" s="171">
        <f>'4 - Clé SALAIRES'!W26+'4 - Clé multilignes1'!W26+'4 - Clé multilignes2'!W26+'4 - Clé multilignes3'!W26+'4 - Clé multilignes4'!W26+'4 - Clé multilignes5'!W26+'4 - Clé multilignes6'!W26+'4 - Clé multilignes7'!W26</f>
        <v>0</v>
      </c>
      <c r="X26" s="171">
        <f>'4 - Clé SALAIRES'!X26+'4 - Clé multilignes1'!X26+'4 - Clé multilignes2'!X26+'4 - Clé multilignes3'!X26+'4 - Clé multilignes4'!X26+'4 - Clé multilignes5'!X26+'4 - Clé multilignes6'!X26+'4 - Clé multilignes7'!X26</f>
        <v>0</v>
      </c>
      <c r="Y26" s="171">
        <f>'4 - Clé SALAIRES'!Y26+'4 - Clé multilignes1'!Y26+'4 - Clé multilignes2'!Y26+'4 - Clé multilignes3'!Y26+'4 - Clé multilignes4'!Y26+'4 - Clé multilignes5'!Y26+'4 - Clé multilignes6'!Y26+'4 - Clé multilignes7'!Y26</f>
        <v>0</v>
      </c>
      <c r="Z26" s="171">
        <f>'4 - Clé SALAIRES'!Z26+'4 - Clé multilignes1'!Z26+'4 - Clé multilignes2'!Z26+'4 - Clé multilignes3'!Z26+'4 - Clé multilignes4'!Z26+'4 - Clé multilignes5'!Z26+'4 - Clé multilignes6'!Z26+'4 - Clé multilignes7'!Z26</f>
        <v>0</v>
      </c>
      <c r="AB26" s="6"/>
      <c r="AC26" s="6"/>
      <c r="AD26" s="6"/>
      <c r="AE26" s="6"/>
    </row>
    <row r="27" spans="1:32" s="182" customFormat="1" ht="12.75" customHeight="1" x14ac:dyDescent="0.25">
      <c r="A27" s="162" t="str">
        <f>Matrice[[#This Row],[Ligne de la matrice]]</f>
        <v>Énergie</v>
      </c>
      <c r="B27" s="171">
        <f>'4 - Clé SALAIRES'!B27+'4 - Clé multilignes1'!B27+'4 - Clé multilignes2'!B27+'4 - Clé multilignes3'!B27+'4 - Clé multilignes4'!B27+'4 - Clé multilignes5'!B27+'4 - Clé multilignes6'!B27+'4 - Clé multilignes7'!B27</f>
        <v>0</v>
      </c>
      <c r="C27" s="171">
        <f>'4 - Clé SALAIRES'!C27+'4 - Clé multilignes1'!C27+'4 - Clé multilignes2'!C27+'4 - Clé multilignes3'!C27+'4 - Clé multilignes4'!C27+'4 - Clé multilignes5'!C27+'4 - Clé multilignes6'!C27+'4 - Clé multilignes7'!C27</f>
        <v>0</v>
      </c>
      <c r="D27" s="171">
        <f>'4 - Clé SALAIRES'!D27+'4 - Clé multilignes1'!D27+'4 - Clé multilignes2'!D27+'4 - Clé multilignes3'!D27+'4 - Clé multilignes4'!D27+'4 - Clé multilignes5'!D27+'4 - Clé multilignes6'!D27+'4 - Clé multilignes7'!D27</f>
        <v>0</v>
      </c>
      <c r="E27" s="171">
        <f>'4 - Clé SALAIRES'!E27+'4 - Clé multilignes1'!E27+'4 - Clé multilignes2'!E27+'4 - Clé multilignes3'!E27+'4 - Clé multilignes4'!E27+'4 - Clé multilignes5'!E27+'4 - Clé multilignes6'!E27+'4 - Clé multilignes7'!E27</f>
        <v>0</v>
      </c>
      <c r="F27" s="171">
        <f>'4 - Clé SALAIRES'!F27+'4 - Clé multilignes1'!F27+'4 - Clé multilignes2'!F27+'4 - Clé multilignes3'!F27+'4 - Clé multilignes4'!F27+'4 - Clé multilignes5'!F27+'4 - Clé multilignes6'!F27+'4 - Clé multilignes7'!F27</f>
        <v>0</v>
      </c>
      <c r="G27" s="171">
        <f>'4 - Clé SALAIRES'!G27+'4 - Clé multilignes1'!G27+'4 - Clé multilignes2'!G27+'4 - Clé multilignes3'!G27+'4 - Clé multilignes4'!G27+'4 - Clé multilignes5'!G27+'4 - Clé multilignes6'!G27+'4 - Clé multilignes7'!G27</f>
        <v>0</v>
      </c>
      <c r="H27" s="171">
        <f>'4 - Clé SALAIRES'!H27+'4 - Clé multilignes1'!H27+'4 - Clé multilignes2'!H27+'4 - Clé multilignes3'!H27+'4 - Clé multilignes4'!H27+'4 - Clé multilignes5'!H27+'4 - Clé multilignes6'!H27+'4 - Clé multilignes7'!H27</f>
        <v>0</v>
      </c>
      <c r="I27" s="171">
        <f>'4 - Clé SALAIRES'!I27+'4 - Clé multilignes1'!I27+'4 - Clé multilignes2'!I27+'4 - Clé multilignes3'!I27+'4 - Clé multilignes4'!I27+'4 - Clé multilignes5'!I27+'4 - Clé multilignes6'!I27+'4 - Clé multilignes7'!I27</f>
        <v>0</v>
      </c>
      <c r="J27" s="171">
        <f>'4 - Clé SALAIRES'!J27+'4 - Clé multilignes1'!J27+'4 - Clé multilignes2'!J27+'4 - Clé multilignes3'!J27+'4 - Clé multilignes4'!J27+'4 - Clé multilignes5'!J27+'4 - Clé multilignes6'!J27+'4 - Clé multilignes7'!J27</f>
        <v>0</v>
      </c>
      <c r="K27" s="171">
        <f>'4 - Clé SALAIRES'!K27+'4 - Clé multilignes1'!K27+'4 - Clé multilignes2'!K27+'4 - Clé multilignes3'!K27+'4 - Clé multilignes4'!K27+'4 - Clé multilignes5'!K27+'4 - Clé multilignes6'!K27+'4 - Clé multilignes7'!K27</f>
        <v>0</v>
      </c>
      <c r="L27" s="171">
        <f>'4 - Clé SALAIRES'!L27+'4 - Clé multilignes1'!L27+'4 - Clé multilignes2'!L27+'4 - Clé multilignes3'!L27+'4 - Clé multilignes4'!L27+'4 - Clé multilignes5'!L27+'4 - Clé multilignes6'!L27+'4 - Clé multilignes7'!L27</f>
        <v>0</v>
      </c>
      <c r="M27" s="171">
        <f>'4 - Clé SALAIRES'!M27+'4 - Clé multilignes1'!M27+'4 - Clé multilignes2'!M27+'4 - Clé multilignes3'!M27+'4 - Clé multilignes4'!M27+'4 - Clé multilignes5'!M27+'4 - Clé multilignes6'!M27+'4 - Clé multilignes7'!M27</f>
        <v>0</v>
      </c>
      <c r="N27" s="171">
        <f>'4 - Clé SALAIRES'!N27+'4 - Clé multilignes1'!N27+'4 - Clé multilignes2'!N27+'4 - Clé multilignes3'!N27+'4 - Clé multilignes4'!N27+'4 - Clé multilignes5'!N27+'4 - Clé multilignes6'!N27+'4 - Clé multilignes7'!N27</f>
        <v>0</v>
      </c>
      <c r="O27" s="171">
        <f>'4 - Clé SALAIRES'!O27+'4 - Clé multilignes1'!O27+'4 - Clé multilignes2'!O27+'4 - Clé multilignes3'!O27+'4 - Clé multilignes4'!O27+'4 - Clé multilignes5'!O27+'4 - Clé multilignes6'!O27+'4 - Clé multilignes7'!O27</f>
        <v>0</v>
      </c>
      <c r="P27" s="171">
        <f>'4 - Clé SALAIRES'!P27+'4 - Clé multilignes1'!P27+'4 - Clé multilignes2'!P27+'4 - Clé multilignes3'!P27+'4 - Clé multilignes4'!P27+'4 - Clé multilignes5'!P27+'4 - Clé multilignes6'!P27+'4 - Clé multilignes7'!P27</f>
        <v>0</v>
      </c>
      <c r="Q27" s="171">
        <f>'4 - Clé SALAIRES'!Q27+'4 - Clé multilignes1'!Q27+'4 - Clé multilignes2'!Q27+'4 - Clé multilignes3'!Q27+'4 - Clé multilignes4'!Q27+'4 - Clé multilignes5'!Q27+'4 - Clé multilignes6'!Q27+'4 - Clé multilignes7'!Q27</f>
        <v>0</v>
      </c>
      <c r="R27" s="171">
        <f>'4 - Clé SALAIRES'!R27+'4 - Clé multilignes1'!R27+'4 - Clé multilignes2'!R27+'4 - Clé multilignes3'!R27+'4 - Clé multilignes4'!R27+'4 - Clé multilignes5'!R27+'4 - Clé multilignes6'!R27+'4 - Clé multilignes7'!R27</f>
        <v>0</v>
      </c>
      <c r="S27" s="171">
        <f>'4 - Clé SALAIRES'!S27+'4 - Clé multilignes1'!S27+'4 - Clé multilignes2'!S27+'4 - Clé multilignes3'!S27+'4 - Clé multilignes4'!S27+'4 - Clé multilignes5'!S27+'4 - Clé multilignes6'!S27+'4 - Clé multilignes7'!S27</f>
        <v>0</v>
      </c>
      <c r="T27" s="171">
        <f>'4 - Clé SALAIRES'!T27+'4 - Clé multilignes1'!T27+'4 - Clé multilignes2'!T27+'4 - Clé multilignes3'!T27+'4 - Clé multilignes4'!T27+'4 - Clé multilignes5'!T27+'4 - Clé multilignes6'!T27+'4 - Clé multilignes7'!T27</f>
        <v>0</v>
      </c>
      <c r="U27" s="171">
        <f>'4 - Clé SALAIRES'!U27+'4 - Clé multilignes1'!U27+'4 - Clé multilignes2'!U27+'4 - Clé multilignes3'!U27+'4 - Clé multilignes4'!U27+'4 - Clé multilignes5'!U27+'4 - Clé multilignes6'!U27+'4 - Clé multilignes7'!U27</f>
        <v>0</v>
      </c>
      <c r="V27" s="171">
        <f>'4 - Clé SALAIRES'!V27+'4 - Clé multilignes1'!V27+'4 - Clé multilignes2'!V27+'4 - Clé multilignes3'!V27+'4 - Clé multilignes4'!V27+'4 - Clé multilignes5'!V27+'4 - Clé multilignes6'!V27+'4 - Clé multilignes7'!V27</f>
        <v>0</v>
      </c>
      <c r="W27" s="171">
        <f>'4 - Clé SALAIRES'!W27+'4 - Clé multilignes1'!W27+'4 - Clé multilignes2'!W27+'4 - Clé multilignes3'!W27+'4 - Clé multilignes4'!W27+'4 - Clé multilignes5'!W27+'4 - Clé multilignes6'!W27+'4 - Clé multilignes7'!W27</f>
        <v>0</v>
      </c>
      <c r="X27" s="171">
        <f>'4 - Clé SALAIRES'!X27+'4 - Clé multilignes1'!X27+'4 - Clé multilignes2'!X27+'4 - Clé multilignes3'!X27+'4 - Clé multilignes4'!X27+'4 - Clé multilignes5'!X27+'4 - Clé multilignes6'!X27+'4 - Clé multilignes7'!X27</f>
        <v>0</v>
      </c>
      <c r="Y27" s="171">
        <f>'4 - Clé SALAIRES'!Y27+'4 - Clé multilignes1'!Y27+'4 - Clé multilignes2'!Y27+'4 - Clé multilignes3'!Y27+'4 - Clé multilignes4'!Y27+'4 - Clé multilignes5'!Y27+'4 - Clé multilignes6'!Y27+'4 - Clé multilignes7'!Y27</f>
        <v>0</v>
      </c>
      <c r="Z27" s="171">
        <f>'4 - Clé SALAIRES'!Z27+'4 - Clé multilignes1'!Z27+'4 - Clé multilignes2'!Z27+'4 - Clé multilignes3'!Z27+'4 - Clé multilignes4'!Z27+'4 - Clé multilignes5'!Z27+'4 - Clé multilignes6'!Z27+'4 - Clé multilignes7'!Z27</f>
        <v>0</v>
      </c>
      <c r="AB27" s="6"/>
      <c r="AC27" s="6"/>
      <c r="AD27" s="6"/>
      <c r="AE27" s="6"/>
    </row>
    <row r="28" spans="1:32" s="182" customFormat="1" ht="12.75" customHeight="1" x14ac:dyDescent="0.25">
      <c r="A28" s="162" t="str">
        <f>Matrice[[#This Row],[Ligne de la matrice]]</f>
        <v>Prestation à des tiers</v>
      </c>
      <c r="B28" s="171">
        <f>'4 - Clé SALAIRES'!B28+'4 - Clé multilignes1'!B28+'4 - Clé multilignes2'!B28+'4 - Clé multilignes3'!B28+'4 - Clé multilignes4'!B28+'4 - Clé multilignes5'!B28+'4 - Clé multilignes6'!B28+'4 - Clé multilignes7'!B28</f>
        <v>0</v>
      </c>
      <c r="C28" s="171">
        <f>'4 - Clé SALAIRES'!C28+'4 - Clé multilignes1'!C28+'4 - Clé multilignes2'!C28+'4 - Clé multilignes3'!C28+'4 - Clé multilignes4'!C28+'4 - Clé multilignes5'!C28+'4 - Clé multilignes6'!C28+'4 - Clé multilignes7'!C28</f>
        <v>0</v>
      </c>
      <c r="D28" s="171">
        <f>'4 - Clé SALAIRES'!D28+'4 - Clé multilignes1'!D28+'4 - Clé multilignes2'!D28+'4 - Clé multilignes3'!D28+'4 - Clé multilignes4'!D28+'4 - Clé multilignes5'!D28+'4 - Clé multilignes6'!D28+'4 - Clé multilignes7'!D28</f>
        <v>0</v>
      </c>
      <c r="E28" s="171">
        <f>'4 - Clé SALAIRES'!E28+'4 - Clé multilignes1'!E28+'4 - Clé multilignes2'!E28+'4 - Clé multilignes3'!E28+'4 - Clé multilignes4'!E28+'4 - Clé multilignes5'!E28+'4 - Clé multilignes6'!E28+'4 - Clé multilignes7'!E28</f>
        <v>0</v>
      </c>
      <c r="F28" s="171">
        <f>'4 - Clé SALAIRES'!F28+'4 - Clé multilignes1'!F28+'4 - Clé multilignes2'!F28+'4 - Clé multilignes3'!F28+'4 - Clé multilignes4'!F28+'4 - Clé multilignes5'!F28+'4 - Clé multilignes6'!F28+'4 - Clé multilignes7'!F28</f>
        <v>0</v>
      </c>
      <c r="G28" s="171">
        <f>'4 - Clé SALAIRES'!G28+'4 - Clé multilignes1'!G28+'4 - Clé multilignes2'!G28+'4 - Clé multilignes3'!G28+'4 - Clé multilignes4'!G28+'4 - Clé multilignes5'!G28+'4 - Clé multilignes6'!G28+'4 - Clé multilignes7'!G28</f>
        <v>0</v>
      </c>
      <c r="H28" s="171">
        <f>'4 - Clé SALAIRES'!H28+'4 - Clé multilignes1'!H28+'4 - Clé multilignes2'!H28+'4 - Clé multilignes3'!H28+'4 - Clé multilignes4'!H28+'4 - Clé multilignes5'!H28+'4 - Clé multilignes6'!H28+'4 - Clé multilignes7'!H28</f>
        <v>0</v>
      </c>
      <c r="I28" s="171">
        <f>'4 - Clé SALAIRES'!I28+'4 - Clé multilignes1'!I28+'4 - Clé multilignes2'!I28+'4 - Clé multilignes3'!I28+'4 - Clé multilignes4'!I28+'4 - Clé multilignes5'!I28+'4 - Clé multilignes6'!I28+'4 - Clé multilignes7'!I28</f>
        <v>0</v>
      </c>
      <c r="J28" s="171">
        <f>'4 - Clé SALAIRES'!J28+'4 - Clé multilignes1'!J28+'4 - Clé multilignes2'!J28+'4 - Clé multilignes3'!J28+'4 - Clé multilignes4'!J28+'4 - Clé multilignes5'!J28+'4 - Clé multilignes6'!J28+'4 - Clé multilignes7'!J28</f>
        <v>0</v>
      </c>
      <c r="K28" s="171">
        <f>'4 - Clé SALAIRES'!K28+'4 - Clé multilignes1'!K28+'4 - Clé multilignes2'!K28+'4 - Clé multilignes3'!K28+'4 - Clé multilignes4'!K28+'4 - Clé multilignes5'!K28+'4 - Clé multilignes6'!K28+'4 - Clé multilignes7'!K28</f>
        <v>0</v>
      </c>
      <c r="L28" s="171">
        <f>'4 - Clé SALAIRES'!L28+'4 - Clé multilignes1'!L28+'4 - Clé multilignes2'!L28+'4 - Clé multilignes3'!L28+'4 - Clé multilignes4'!L28+'4 - Clé multilignes5'!L28+'4 - Clé multilignes6'!L28+'4 - Clé multilignes7'!L28</f>
        <v>0</v>
      </c>
      <c r="M28" s="171">
        <f>'4 - Clé SALAIRES'!M28+'4 - Clé multilignes1'!M28+'4 - Clé multilignes2'!M28+'4 - Clé multilignes3'!M28+'4 - Clé multilignes4'!M28+'4 - Clé multilignes5'!M28+'4 - Clé multilignes6'!M28+'4 - Clé multilignes7'!M28</f>
        <v>0</v>
      </c>
      <c r="N28" s="171">
        <f>'4 - Clé SALAIRES'!N28+'4 - Clé multilignes1'!N28+'4 - Clé multilignes2'!N28+'4 - Clé multilignes3'!N28+'4 - Clé multilignes4'!N28+'4 - Clé multilignes5'!N28+'4 - Clé multilignes6'!N28+'4 - Clé multilignes7'!N28</f>
        <v>0</v>
      </c>
      <c r="O28" s="171">
        <f>'4 - Clé SALAIRES'!O28+'4 - Clé multilignes1'!O28+'4 - Clé multilignes2'!O28+'4 - Clé multilignes3'!O28+'4 - Clé multilignes4'!O28+'4 - Clé multilignes5'!O28+'4 - Clé multilignes6'!O28+'4 - Clé multilignes7'!O28</f>
        <v>0</v>
      </c>
      <c r="P28" s="171">
        <f>'4 - Clé SALAIRES'!P28+'4 - Clé multilignes1'!P28+'4 - Clé multilignes2'!P28+'4 - Clé multilignes3'!P28+'4 - Clé multilignes4'!P28+'4 - Clé multilignes5'!P28+'4 - Clé multilignes6'!P28+'4 - Clé multilignes7'!P28</f>
        <v>0</v>
      </c>
      <c r="Q28" s="171">
        <f>'4 - Clé SALAIRES'!Q28+'4 - Clé multilignes1'!Q28+'4 - Clé multilignes2'!Q28+'4 - Clé multilignes3'!Q28+'4 - Clé multilignes4'!Q28+'4 - Clé multilignes5'!Q28+'4 - Clé multilignes6'!Q28+'4 - Clé multilignes7'!Q28</f>
        <v>0</v>
      </c>
      <c r="R28" s="171">
        <f>'4 - Clé SALAIRES'!R28+'4 - Clé multilignes1'!R28+'4 - Clé multilignes2'!R28+'4 - Clé multilignes3'!R28+'4 - Clé multilignes4'!R28+'4 - Clé multilignes5'!R28+'4 - Clé multilignes6'!R28+'4 - Clé multilignes7'!R28</f>
        <v>0</v>
      </c>
      <c r="S28" s="171">
        <f>'4 - Clé SALAIRES'!S28+'4 - Clé multilignes1'!S28+'4 - Clé multilignes2'!S28+'4 - Clé multilignes3'!S28+'4 - Clé multilignes4'!S28+'4 - Clé multilignes5'!S28+'4 - Clé multilignes6'!S28+'4 - Clé multilignes7'!S28</f>
        <v>0</v>
      </c>
      <c r="T28" s="171">
        <f>'4 - Clé SALAIRES'!T28+'4 - Clé multilignes1'!T28+'4 - Clé multilignes2'!T28+'4 - Clé multilignes3'!T28+'4 - Clé multilignes4'!T28+'4 - Clé multilignes5'!T28+'4 - Clé multilignes6'!T28+'4 - Clé multilignes7'!T28</f>
        <v>0</v>
      </c>
      <c r="U28" s="171">
        <f>'4 - Clé SALAIRES'!U28+'4 - Clé multilignes1'!U28+'4 - Clé multilignes2'!U28+'4 - Clé multilignes3'!U28+'4 - Clé multilignes4'!U28+'4 - Clé multilignes5'!U28+'4 - Clé multilignes6'!U28+'4 - Clé multilignes7'!U28</f>
        <v>0</v>
      </c>
      <c r="V28" s="171">
        <f>'4 - Clé SALAIRES'!V28+'4 - Clé multilignes1'!V28+'4 - Clé multilignes2'!V28+'4 - Clé multilignes3'!V28+'4 - Clé multilignes4'!V28+'4 - Clé multilignes5'!V28+'4 - Clé multilignes6'!V28+'4 - Clé multilignes7'!V28</f>
        <v>0</v>
      </c>
      <c r="W28" s="171">
        <f>'4 - Clé SALAIRES'!W28+'4 - Clé multilignes1'!W28+'4 - Clé multilignes2'!W28+'4 - Clé multilignes3'!W28+'4 - Clé multilignes4'!W28+'4 - Clé multilignes5'!W28+'4 - Clé multilignes6'!W28+'4 - Clé multilignes7'!W28</f>
        <v>0</v>
      </c>
      <c r="X28" s="171">
        <f>'4 - Clé SALAIRES'!X28+'4 - Clé multilignes1'!X28+'4 - Clé multilignes2'!X28+'4 - Clé multilignes3'!X28+'4 - Clé multilignes4'!X28+'4 - Clé multilignes5'!X28+'4 - Clé multilignes6'!X28+'4 - Clé multilignes7'!X28</f>
        <v>0</v>
      </c>
      <c r="Y28" s="171">
        <f>'4 - Clé SALAIRES'!Y28+'4 - Clé multilignes1'!Y28+'4 - Clé multilignes2'!Y28+'4 - Clé multilignes3'!Y28+'4 - Clé multilignes4'!Y28+'4 - Clé multilignes5'!Y28+'4 - Clé multilignes6'!Y28+'4 - Clé multilignes7'!Y28</f>
        <v>0</v>
      </c>
      <c r="Z28" s="171">
        <f>'4 - Clé SALAIRES'!Z28+'4 - Clé multilignes1'!Z28+'4 - Clé multilignes2'!Z28+'4 - Clé multilignes3'!Z28+'4 - Clé multilignes4'!Z28+'4 - Clé multilignes5'!Z28+'4 - Clé multilignes6'!Z28+'4 - Clé multilignes7'!Z28</f>
        <v>0</v>
      </c>
      <c r="AB28" s="6"/>
      <c r="AC28" s="6"/>
      <c r="AD28" s="6"/>
      <c r="AE28" s="6"/>
    </row>
    <row r="29" spans="1:32" s="182" customFormat="1" ht="12.75" customHeight="1" x14ac:dyDescent="0.25">
      <c r="A29" s="162" t="str">
        <f>Matrice[[#This Row],[Ligne de la matrice]]</f>
        <v>Autres produits</v>
      </c>
      <c r="B29" s="171">
        <f>'4 - Clé SALAIRES'!B29+'4 - Clé multilignes1'!B29+'4 - Clé multilignes2'!B29+'4 - Clé multilignes3'!B29+'4 - Clé multilignes4'!B29+'4 - Clé multilignes5'!B29+'4 - Clé multilignes6'!B29+'4 - Clé multilignes7'!B29</f>
        <v>0</v>
      </c>
      <c r="C29" s="171">
        <f>'4 - Clé SALAIRES'!C29+'4 - Clé multilignes1'!C29+'4 - Clé multilignes2'!C29+'4 - Clé multilignes3'!C29+'4 - Clé multilignes4'!C29+'4 - Clé multilignes5'!C29+'4 - Clé multilignes6'!C29+'4 - Clé multilignes7'!C29</f>
        <v>0</v>
      </c>
      <c r="D29" s="171">
        <f>'4 - Clé SALAIRES'!D29+'4 - Clé multilignes1'!D29+'4 - Clé multilignes2'!D29+'4 - Clé multilignes3'!D29+'4 - Clé multilignes4'!D29+'4 - Clé multilignes5'!D29+'4 - Clé multilignes6'!D29+'4 - Clé multilignes7'!D29</f>
        <v>0</v>
      </c>
      <c r="E29" s="171">
        <f>'4 - Clé SALAIRES'!E29+'4 - Clé multilignes1'!E29+'4 - Clé multilignes2'!E29+'4 - Clé multilignes3'!E29+'4 - Clé multilignes4'!E29+'4 - Clé multilignes5'!E29+'4 - Clé multilignes6'!E29+'4 - Clé multilignes7'!E29</f>
        <v>0</v>
      </c>
      <c r="F29" s="171">
        <f>'4 - Clé SALAIRES'!F29+'4 - Clé multilignes1'!F29+'4 - Clé multilignes2'!F29+'4 - Clé multilignes3'!F29+'4 - Clé multilignes4'!F29+'4 - Clé multilignes5'!F29+'4 - Clé multilignes6'!F29+'4 - Clé multilignes7'!F29</f>
        <v>0</v>
      </c>
      <c r="G29" s="171">
        <f>'4 - Clé SALAIRES'!G29+'4 - Clé multilignes1'!G29+'4 - Clé multilignes2'!G29+'4 - Clé multilignes3'!G29+'4 - Clé multilignes4'!G29+'4 - Clé multilignes5'!G29+'4 - Clé multilignes6'!G29+'4 - Clé multilignes7'!G29</f>
        <v>0</v>
      </c>
      <c r="H29" s="171">
        <f>'4 - Clé SALAIRES'!H29+'4 - Clé multilignes1'!H29+'4 - Clé multilignes2'!H29+'4 - Clé multilignes3'!H29+'4 - Clé multilignes4'!H29+'4 - Clé multilignes5'!H29+'4 - Clé multilignes6'!H29+'4 - Clé multilignes7'!H29</f>
        <v>0</v>
      </c>
      <c r="I29" s="171">
        <f>'4 - Clé SALAIRES'!I29+'4 - Clé multilignes1'!I29+'4 - Clé multilignes2'!I29+'4 - Clé multilignes3'!I29+'4 - Clé multilignes4'!I29+'4 - Clé multilignes5'!I29+'4 - Clé multilignes6'!I29+'4 - Clé multilignes7'!I29</f>
        <v>0</v>
      </c>
      <c r="J29" s="171">
        <f>'4 - Clé SALAIRES'!J29+'4 - Clé multilignes1'!J29+'4 - Clé multilignes2'!J29+'4 - Clé multilignes3'!J29+'4 - Clé multilignes4'!J29+'4 - Clé multilignes5'!J29+'4 - Clé multilignes6'!J29+'4 - Clé multilignes7'!J29</f>
        <v>0</v>
      </c>
      <c r="K29" s="171">
        <f>'4 - Clé SALAIRES'!K29+'4 - Clé multilignes1'!K29+'4 - Clé multilignes2'!K29+'4 - Clé multilignes3'!K29+'4 - Clé multilignes4'!K29+'4 - Clé multilignes5'!K29+'4 - Clé multilignes6'!K29+'4 - Clé multilignes7'!K29</f>
        <v>0</v>
      </c>
      <c r="L29" s="171">
        <f>'4 - Clé SALAIRES'!L29+'4 - Clé multilignes1'!L29+'4 - Clé multilignes2'!L29+'4 - Clé multilignes3'!L29+'4 - Clé multilignes4'!L29+'4 - Clé multilignes5'!L29+'4 - Clé multilignes6'!L29+'4 - Clé multilignes7'!L29</f>
        <v>0</v>
      </c>
      <c r="M29" s="171">
        <f>'4 - Clé SALAIRES'!M29+'4 - Clé multilignes1'!M29+'4 - Clé multilignes2'!M29+'4 - Clé multilignes3'!M29+'4 - Clé multilignes4'!M29+'4 - Clé multilignes5'!M29+'4 - Clé multilignes6'!M29+'4 - Clé multilignes7'!M29</f>
        <v>0</v>
      </c>
      <c r="N29" s="171">
        <f>'4 - Clé SALAIRES'!N29+'4 - Clé multilignes1'!N29+'4 - Clé multilignes2'!N29+'4 - Clé multilignes3'!N29+'4 - Clé multilignes4'!N29+'4 - Clé multilignes5'!N29+'4 - Clé multilignes6'!N29+'4 - Clé multilignes7'!N29</f>
        <v>0</v>
      </c>
      <c r="O29" s="171">
        <f>'4 - Clé SALAIRES'!O29+'4 - Clé multilignes1'!O29+'4 - Clé multilignes2'!O29+'4 - Clé multilignes3'!O29+'4 - Clé multilignes4'!O29+'4 - Clé multilignes5'!O29+'4 - Clé multilignes6'!O29+'4 - Clé multilignes7'!O29</f>
        <v>0</v>
      </c>
      <c r="P29" s="171">
        <f>'4 - Clé SALAIRES'!P29+'4 - Clé multilignes1'!P29+'4 - Clé multilignes2'!P29+'4 - Clé multilignes3'!P29+'4 - Clé multilignes4'!P29+'4 - Clé multilignes5'!P29+'4 - Clé multilignes6'!P29+'4 - Clé multilignes7'!P29</f>
        <v>0</v>
      </c>
      <c r="Q29" s="171">
        <f>'4 - Clé SALAIRES'!Q29+'4 - Clé multilignes1'!Q29+'4 - Clé multilignes2'!Q29+'4 - Clé multilignes3'!Q29+'4 - Clé multilignes4'!Q29+'4 - Clé multilignes5'!Q29+'4 - Clé multilignes6'!Q29+'4 - Clé multilignes7'!Q29</f>
        <v>0</v>
      </c>
      <c r="R29" s="171">
        <f>'4 - Clé SALAIRES'!R29+'4 - Clé multilignes1'!R29+'4 - Clé multilignes2'!R29+'4 - Clé multilignes3'!R29+'4 - Clé multilignes4'!R29+'4 - Clé multilignes5'!R29+'4 - Clé multilignes6'!R29+'4 - Clé multilignes7'!R29</f>
        <v>0</v>
      </c>
      <c r="S29" s="171">
        <f>'4 - Clé SALAIRES'!S29+'4 - Clé multilignes1'!S29+'4 - Clé multilignes2'!S29+'4 - Clé multilignes3'!S29+'4 - Clé multilignes4'!S29+'4 - Clé multilignes5'!S29+'4 - Clé multilignes6'!S29+'4 - Clé multilignes7'!S29</f>
        <v>0</v>
      </c>
      <c r="T29" s="171">
        <f>'4 - Clé SALAIRES'!T29+'4 - Clé multilignes1'!T29+'4 - Clé multilignes2'!T29+'4 - Clé multilignes3'!T29+'4 - Clé multilignes4'!T29+'4 - Clé multilignes5'!T29+'4 - Clé multilignes6'!T29+'4 - Clé multilignes7'!T29</f>
        <v>0</v>
      </c>
      <c r="U29" s="171">
        <f>'4 - Clé SALAIRES'!U29+'4 - Clé multilignes1'!U29+'4 - Clé multilignes2'!U29+'4 - Clé multilignes3'!U29+'4 - Clé multilignes4'!U29+'4 - Clé multilignes5'!U29+'4 - Clé multilignes6'!U29+'4 - Clé multilignes7'!U29</f>
        <v>0</v>
      </c>
      <c r="V29" s="171">
        <f>'4 - Clé SALAIRES'!V29+'4 - Clé multilignes1'!V29+'4 - Clé multilignes2'!V29+'4 - Clé multilignes3'!V29+'4 - Clé multilignes4'!V29+'4 - Clé multilignes5'!V29+'4 - Clé multilignes6'!V29+'4 - Clé multilignes7'!V29</f>
        <v>0</v>
      </c>
      <c r="W29" s="171">
        <f>'4 - Clé SALAIRES'!W29+'4 - Clé multilignes1'!W29+'4 - Clé multilignes2'!W29+'4 - Clé multilignes3'!W29+'4 - Clé multilignes4'!W29+'4 - Clé multilignes5'!W29+'4 - Clé multilignes6'!W29+'4 - Clé multilignes7'!W29</f>
        <v>0</v>
      </c>
      <c r="X29" s="171">
        <f>'4 - Clé SALAIRES'!X29+'4 - Clé multilignes1'!X29+'4 - Clé multilignes2'!X29+'4 - Clé multilignes3'!X29+'4 - Clé multilignes4'!X29+'4 - Clé multilignes5'!X29+'4 - Clé multilignes6'!X29+'4 - Clé multilignes7'!X29</f>
        <v>0</v>
      </c>
      <c r="Y29" s="171">
        <f>'4 - Clé SALAIRES'!Y29+'4 - Clé multilignes1'!Y29+'4 - Clé multilignes2'!Y29+'4 - Clé multilignes3'!Y29+'4 - Clé multilignes4'!Y29+'4 - Clé multilignes5'!Y29+'4 - Clé multilignes6'!Y29+'4 - Clé multilignes7'!Y29</f>
        <v>0</v>
      </c>
      <c r="Z29" s="171">
        <f>'4 - Clé SALAIRES'!Z29+'4 - Clé multilignes1'!Z29+'4 - Clé multilignes2'!Z29+'4 - Clé multilignes3'!Z29+'4 - Clé multilignes4'!Z29+'4 - Clé multilignes5'!Z29+'4 - Clé multilignes6'!Z29+'4 - Clé multilignes7'!Z29</f>
        <v>0</v>
      </c>
      <c r="AB29" s="6"/>
      <c r="AC29" s="6"/>
      <c r="AD29" s="6"/>
      <c r="AE29" s="6"/>
    </row>
    <row r="30" spans="1:32" s="182" customFormat="1" ht="12.75" customHeight="1" x14ac:dyDescent="0.25">
      <c r="A30" s="162" t="str">
        <f>Matrice[[#This Row],[Ligne de la matrice]]</f>
        <v>Tous soutiens des sociétés agréées</v>
      </c>
      <c r="B30" s="171">
        <f>'4 - Clé SALAIRES'!B30+'4 - Clé multilignes1'!B30+'4 - Clé multilignes2'!B30+'4 - Clé multilignes3'!B30+'4 - Clé multilignes4'!B30+'4 - Clé multilignes5'!B30+'4 - Clé multilignes6'!B30+'4 - Clé multilignes7'!B30</f>
        <v>0</v>
      </c>
      <c r="C30" s="171">
        <f>'4 - Clé SALAIRES'!C30+'4 - Clé multilignes1'!C30+'4 - Clé multilignes2'!C30+'4 - Clé multilignes3'!C30+'4 - Clé multilignes4'!C30+'4 - Clé multilignes5'!C30+'4 - Clé multilignes6'!C30+'4 - Clé multilignes7'!C30</f>
        <v>0</v>
      </c>
      <c r="D30" s="171">
        <f>'4 - Clé SALAIRES'!D30+'4 - Clé multilignes1'!D30+'4 - Clé multilignes2'!D30+'4 - Clé multilignes3'!D30+'4 - Clé multilignes4'!D30+'4 - Clé multilignes5'!D30+'4 - Clé multilignes6'!D30+'4 - Clé multilignes7'!D30</f>
        <v>0</v>
      </c>
      <c r="E30" s="171">
        <f>'4 - Clé SALAIRES'!E30+'4 - Clé multilignes1'!E30+'4 - Clé multilignes2'!E30+'4 - Clé multilignes3'!E30+'4 - Clé multilignes4'!E30+'4 - Clé multilignes5'!E30+'4 - Clé multilignes6'!E30+'4 - Clé multilignes7'!E30</f>
        <v>0</v>
      </c>
      <c r="F30" s="171">
        <f>'4 - Clé SALAIRES'!F30+'4 - Clé multilignes1'!F30+'4 - Clé multilignes2'!F30+'4 - Clé multilignes3'!F30+'4 - Clé multilignes4'!F30+'4 - Clé multilignes5'!F30+'4 - Clé multilignes6'!F30+'4 - Clé multilignes7'!F30</f>
        <v>0</v>
      </c>
      <c r="G30" s="171">
        <f>'4 - Clé SALAIRES'!G30+'4 - Clé multilignes1'!G30+'4 - Clé multilignes2'!G30+'4 - Clé multilignes3'!G30+'4 - Clé multilignes4'!G30+'4 - Clé multilignes5'!G30+'4 - Clé multilignes6'!G30+'4 - Clé multilignes7'!G30</f>
        <v>0</v>
      </c>
      <c r="H30" s="171">
        <f>'4 - Clé SALAIRES'!H30+'4 - Clé multilignes1'!H30+'4 - Clé multilignes2'!H30+'4 - Clé multilignes3'!H30+'4 - Clé multilignes4'!H30+'4 - Clé multilignes5'!H30+'4 - Clé multilignes6'!H30+'4 - Clé multilignes7'!H30</f>
        <v>0</v>
      </c>
      <c r="I30" s="171">
        <f>'4 - Clé SALAIRES'!I30+'4 - Clé multilignes1'!I30+'4 - Clé multilignes2'!I30+'4 - Clé multilignes3'!I30+'4 - Clé multilignes4'!I30+'4 - Clé multilignes5'!I30+'4 - Clé multilignes6'!I30+'4 - Clé multilignes7'!I30</f>
        <v>0</v>
      </c>
      <c r="J30" s="171">
        <f>'4 - Clé SALAIRES'!J30+'4 - Clé multilignes1'!J30+'4 - Clé multilignes2'!J30+'4 - Clé multilignes3'!J30+'4 - Clé multilignes4'!J30+'4 - Clé multilignes5'!J30+'4 - Clé multilignes6'!J30+'4 - Clé multilignes7'!J30</f>
        <v>0</v>
      </c>
      <c r="K30" s="171">
        <f>'4 - Clé SALAIRES'!K30+'4 - Clé multilignes1'!K30+'4 - Clé multilignes2'!K30+'4 - Clé multilignes3'!K30+'4 - Clé multilignes4'!K30+'4 - Clé multilignes5'!K30+'4 - Clé multilignes6'!K30+'4 - Clé multilignes7'!K30</f>
        <v>0</v>
      </c>
      <c r="L30" s="171">
        <f>'4 - Clé SALAIRES'!L30+'4 - Clé multilignes1'!L30+'4 - Clé multilignes2'!L30+'4 - Clé multilignes3'!L30+'4 - Clé multilignes4'!L30+'4 - Clé multilignes5'!L30+'4 - Clé multilignes6'!L30+'4 - Clé multilignes7'!L30</f>
        <v>0</v>
      </c>
      <c r="M30" s="171">
        <f>'4 - Clé SALAIRES'!M30+'4 - Clé multilignes1'!M30+'4 - Clé multilignes2'!M30+'4 - Clé multilignes3'!M30+'4 - Clé multilignes4'!M30+'4 - Clé multilignes5'!M30+'4 - Clé multilignes6'!M30+'4 - Clé multilignes7'!M30</f>
        <v>0</v>
      </c>
      <c r="N30" s="171">
        <f>'4 - Clé SALAIRES'!N30+'4 - Clé multilignes1'!N30+'4 - Clé multilignes2'!N30+'4 - Clé multilignes3'!N30+'4 - Clé multilignes4'!N30+'4 - Clé multilignes5'!N30+'4 - Clé multilignes6'!N30+'4 - Clé multilignes7'!N30</f>
        <v>0</v>
      </c>
      <c r="O30" s="171">
        <f>'4 - Clé SALAIRES'!O30+'4 - Clé multilignes1'!O30+'4 - Clé multilignes2'!O30+'4 - Clé multilignes3'!O30+'4 - Clé multilignes4'!O30+'4 - Clé multilignes5'!O30+'4 - Clé multilignes6'!O30+'4 - Clé multilignes7'!O30</f>
        <v>0</v>
      </c>
      <c r="P30" s="171">
        <f>'4 - Clé SALAIRES'!P30+'4 - Clé multilignes1'!P30+'4 - Clé multilignes2'!P30+'4 - Clé multilignes3'!P30+'4 - Clé multilignes4'!P30+'4 - Clé multilignes5'!P30+'4 - Clé multilignes6'!P30+'4 - Clé multilignes7'!P30</f>
        <v>0</v>
      </c>
      <c r="Q30" s="171">
        <f>'4 - Clé SALAIRES'!Q30+'4 - Clé multilignes1'!Q30+'4 - Clé multilignes2'!Q30+'4 - Clé multilignes3'!Q30+'4 - Clé multilignes4'!Q30+'4 - Clé multilignes5'!Q30+'4 - Clé multilignes6'!Q30+'4 - Clé multilignes7'!Q30</f>
        <v>0</v>
      </c>
      <c r="R30" s="171">
        <f>'4 - Clé SALAIRES'!R30+'4 - Clé multilignes1'!R30+'4 - Clé multilignes2'!R30+'4 - Clé multilignes3'!R30+'4 - Clé multilignes4'!R30+'4 - Clé multilignes5'!R30+'4 - Clé multilignes6'!R30+'4 - Clé multilignes7'!R30</f>
        <v>0</v>
      </c>
      <c r="S30" s="171">
        <f>'4 - Clé SALAIRES'!S30+'4 - Clé multilignes1'!S30+'4 - Clé multilignes2'!S30+'4 - Clé multilignes3'!S30+'4 - Clé multilignes4'!S30+'4 - Clé multilignes5'!S30+'4 - Clé multilignes6'!S30+'4 - Clé multilignes7'!S30</f>
        <v>0</v>
      </c>
      <c r="T30" s="171">
        <f>'4 - Clé SALAIRES'!T30+'4 - Clé multilignes1'!T30+'4 - Clé multilignes2'!T30+'4 - Clé multilignes3'!T30+'4 - Clé multilignes4'!T30+'4 - Clé multilignes5'!T30+'4 - Clé multilignes6'!T30+'4 - Clé multilignes7'!T30</f>
        <v>0</v>
      </c>
      <c r="U30" s="171">
        <f>'4 - Clé SALAIRES'!U30+'4 - Clé multilignes1'!U30+'4 - Clé multilignes2'!U30+'4 - Clé multilignes3'!U30+'4 - Clé multilignes4'!U30+'4 - Clé multilignes5'!U30+'4 - Clé multilignes6'!U30+'4 - Clé multilignes7'!U30</f>
        <v>0</v>
      </c>
      <c r="V30" s="171">
        <f>'4 - Clé SALAIRES'!V30+'4 - Clé multilignes1'!V30+'4 - Clé multilignes2'!V30+'4 - Clé multilignes3'!V30+'4 - Clé multilignes4'!V30+'4 - Clé multilignes5'!V30+'4 - Clé multilignes6'!V30+'4 - Clé multilignes7'!V30</f>
        <v>0</v>
      </c>
      <c r="W30" s="171">
        <f>'4 - Clé SALAIRES'!W30+'4 - Clé multilignes1'!W30+'4 - Clé multilignes2'!W30+'4 - Clé multilignes3'!W30+'4 - Clé multilignes4'!W30+'4 - Clé multilignes5'!W30+'4 - Clé multilignes6'!W30+'4 - Clé multilignes7'!W30</f>
        <v>0</v>
      </c>
      <c r="X30" s="171">
        <f>'4 - Clé SALAIRES'!X30+'4 - Clé multilignes1'!X30+'4 - Clé multilignes2'!X30+'4 - Clé multilignes3'!X30+'4 - Clé multilignes4'!X30+'4 - Clé multilignes5'!X30+'4 - Clé multilignes6'!X30+'4 - Clé multilignes7'!X30</f>
        <v>0</v>
      </c>
      <c r="Y30" s="171">
        <f>'4 - Clé SALAIRES'!Y30+'4 - Clé multilignes1'!Y30+'4 - Clé multilignes2'!Y30+'4 - Clé multilignes3'!Y30+'4 - Clé multilignes4'!Y30+'4 - Clé multilignes5'!Y30+'4 - Clé multilignes6'!Y30+'4 - Clé multilignes7'!Y30</f>
        <v>0</v>
      </c>
      <c r="Z30" s="171">
        <f>'4 - Clé SALAIRES'!Z30+'4 - Clé multilignes1'!Z30+'4 - Clé multilignes2'!Z30+'4 - Clé multilignes3'!Z30+'4 - Clé multilignes4'!Z30+'4 - Clé multilignes5'!Z30+'4 - Clé multilignes6'!Z30+'4 - Clé multilignes7'!Z30</f>
        <v>0</v>
      </c>
      <c r="AB30" s="6"/>
      <c r="AC30" s="6"/>
      <c r="AD30" s="6"/>
      <c r="AE30" s="6"/>
    </row>
    <row r="31" spans="1:32" s="182" customFormat="1" ht="12.75" customHeight="1" x14ac:dyDescent="0.25">
      <c r="A31" s="162" t="str">
        <f>Matrice[[#This Row],[Ligne de la matrice]]</f>
        <v>Reprises des subventions d'investissement</v>
      </c>
      <c r="B31" s="171">
        <f>'4 - Clé SALAIRES'!B31+'4 - Clé multilignes1'!B31+'4 - Clé multilignes2'!B31+'4 - Clé multilignes3'!B31+'4 - Clé multilignes4'!B31+'4 - Clé multilignes5'!B31+'4 - Clé multilignes6'!B31+'4 - Clé multilignes7'!B31</f>
        <v>0</v>
      </c>
      <c r="C31" s="171">
        <f>'4 - Clé SALAIRES'!C31+'4 - Clé multilignes1'!C31+'4 - Clé multilignes2'!C31+'4 - Clé multilignes3'!C31+'4 - Clé multilignes4'!C31+'4 - Clé multilignes5'!C31+'4 - Clé multilignes6'!C31+'4 - Clé multilignes7'!C31</f>
        <v>0</v>
      </c>
      <c r="D31" s="171">
        <f>'4 - Clé SALAIRES'!D31+'4 - Clé multilignes1'!D31+'4 - Clé multilignes2'!D31+'4 - Clé multilignes3'!D31+'4 - Clé multilignes4'!D31+'4 - Clé multilignes5'!D31+'4 - Clé multilignes6'!D31+'4 - Clé multilignes7'!D31</f>
        <v>0</v>
      </c>
      <c r="E31" s="171">
        <f>'4 - Clé SALAIRES'!E31+'4 - Clé multilignes1'!E31+'4 - Clé multilignes2'!E31+'4 - Clé multilignes3'!E31+'4 - Clé multilignes4'!E31+'4 - Clé multilignes5'!E31+'4 - Clé multilignes6'!E31+'4 - Clé multilignes7'!E31</f>
        <v>0</v>
      </c>
      <c r="F31" s="171">
        <f>'4 - Clé SALAIRES'!F31+'4 - Clé multilignes1'!F31+'4 - Clé multilignes2'!F31+'4 - Clé multilignes3'!F31+'4 - Clé multilignes4'!F31+'4 - Clé multilignes5'!F31+'4 - Clé multilignes6'!F31+'4 - Clé multilignes7'!F31</f>
        <v>0</v>
      </c>
      <c r="G31" s="171">
        <f>'4 - Clé SALAIRES'!G31+'4 - Clé multilignes1'!G31+'4 - Clé multilignes2'!G31+'4 - Clé multilignes3'!G31+'4 - Clé multilignes4'!G31+'4 - Clé multilignes5'!G31+'4 - Clé multilignes6'!G31+'4 - Clé multilignes7'!G31</f>
        <v>0</v>
      </c>
      <c r="H31" s="171">
        <f>'4 - Clé SALAIRES'!H31+'4 - Clé multilignes1'!H31+'4 - Clé multilignes2'!H31+'4 - Clé multilignes3'!H31+'4 - Clé multilignes4'!H31+'4 - Clé multilignes5'!H31+'4 - Clé multilignes6'!H31+'4 - Clé multilignes7'!H31</f>
        <v>0</v>
      </c>
      <c r="I31" s="171">
        <f>'4 - Clé SALAIRES'!I31+'4 - Clé multilignes1'!I31+'4 - Clé multilignes2'!I31+'4 - Clé multilignes3'!I31+'4 - Clé multilignes4'!I31+'4 - Clé multilignes5'!I31+'4 - Clé multilignes6'!I31+'4 - Clé multilignes7'!I31</f>
        <v>0</v>
      </c>
      <c r="J31" s="171">
        <f>'4 - Clé SALAIRES'!J31+'4 - Clé multilignes1'!J31+'4 - Clé multilignes2'!J31+'4 - Clé multilignes3'!J31+'4 - Clé multilignes4'!J31+'4 - Clé multilignes5'!J31+'4 - Clé multilignes6'!J31+'4 - Clé multilignes7'!J31</f>
        <v>0</v>
      </c>
      <c r="K31" s="171">
        <f>'4 - Clé SALAIRES'!K31+'4 - Clé multilignes1'!K31+'4 - Clé multilignes2'!K31+'4 - Clé multilignes3'!K31+'4 - Clé multilignes4'!K31+'4 - Clé multilignes5'!K31+'4 - Clé multilignes6'!K31+'4 - Clé multilignes7'!K31</f>
        <v>0</v>
      </c>
      <c r="L31" s="171">
        <f>'4 - Clé SALAIRES'!L31+'4 - Clé multilignes1'!L31+'4 - Clé multilignes2'!L31+'4 - Clé multilignes3'!L31+'4 - Clé multilignes4'!L31+'4 - Clé multilignes5'!L31+'4 - Clé multilignes6'!L31+'4 - Clé multilignes7'!L31</f>
        <v>0</v>
      </c>
      <c r="M31" s="171">
        <f>'4 - Clé SALAIRES'!M31+'4 - Clé multilignes1'!M31+'4 - Clé multilignes2'!M31+'4 - Clé multilignes3'!M31+'4 - Clé multilignes4'!M31+'4 - Clé multilignes5'!M31+'4 - Clé multilignes6'!M31+'4 - Clé multilignes7'!M31</f>
        <v>0</v>
      </c>
      <c r="N31" s="171">
        <f>'4 - Clé SALAIRES'!N31+'4 - Clé multilignes1'!N31+'4 - Clé multilignes2'!N31+'4 - Clé multilignes3'!N31+'4 - Clé multilignes4'!N31+'4 - Clé multilignes5'!N31+'4 - Clé multilignes6'!N31+'4 - Clé multilignes7'!N31</f>
        <v>0</v>
      </c>
      <c r="O31" s="171">
        <f>'4 - Clé SALAIRES'!O31+'4 - Clé multilignes1'!O31+'4 - Clé multilignes2'!O31+'4 - Clé multilignes3'!O31+'4 - Clé multilignes4'!O31+'4 - Clé multilignes5'!O31+'4 - Clé multilignes6'!O31+'4 - Clé multilignes7'!O31</f>
        <v>0</v>
      </c>
      <c r="P31" s="171">
        <f>'4 - Clé SALAIRES'!P31+'4 - Clé multilignes1'!P31+'4 - Clé multilignes2'!P31+'4 - Clé multilignes3'!P31+'4 - Clé multilignes4'!P31+'4 - Clé multilignes5'!P31+'4 - Clé multilignes6'!P31+'4 - Clé multilignes7'!P31</f>
        <v>0</v>
      </c>
      <c r="Q31" s="171">
        <f>'4 - Clé SALAIRES'!Q31+'4 - Clé multilignes1'!Q31+'4 - Clé multilignes2'!Q31+'4 - Clé multilignes3'!Q31+'4 - Clé multilignes4'!Q31+'4 - Clé multilignes5'!Q31+'4 - Clé multilignes6'!Q31+'4 - Clé multilignes7'!Q31</f>
        <v>0</v>
      </c>
      <c r="R31" s="171">
        <f>'4 - Clé SALAIRES'!R31+'4 - Clé multilignes1'!R31+'4 - Clé multilignes2'!R31+'4 - Clé multilignes3'!R31+'4 - Clé multilignes4'!R31+'4 - Clé multilignes5'!R31+'4 - Clé multilignes6'!R31+'4 - Clé multilignes7'!R31</f>
        <v>0</v>
      </c>
      <c r="S31" s="171">
        <f>'4 - Clé SALAIRES'!S31+'4 - Clé multilignes1'!S31+'4 - Clé multilignes2'!S31+'4 - Clé multilignes3'!S31+'4 - Clé multilignes4'!S31+'4 - Clé multilignes5'!S31+'4 - Clé multilignes6'!S31+'4 - Clé multilignes7'!S31</f>
        <v>0</v>
      </c>
      <c r="T31" s="171">
        <f>'4 - Clé SALAIRES'!T31+'4 - Clé multilignes1'!T31+'4 - Clé multilignes2'!T31+'4 - Clé multilignes3'!T31+'4 - Clé multilignes4'!T31+'4 - Clé multilignes5'!T31+'4 - Clé multilignes6'!T31+'4 - Clé multilignes7'!T31</f>
        <v>0</v>
      </c>
      <c r="U31" s="171">
        <f>'4 - Clé SALAIRES'!U31+'4 - Clé multilignes1'!U31+'4 - Clé multilignes2'!U31+'4 - Clé multilignes3'!U31+'4 - Clé multilignes4'!U31+'4 - Clé multilignes5'!U31+'4 - Clé multilignes6'!U31+'4 - Clé multilignes7'!U31</f>
        <v>0</v>
      </c>
      <c r="V31" s="171">
        <f>'4 - Clé SALAIRES'!V31+'4 - Clé multilignes1'!V31+'4 - Clé multilignes2'!V31+'4 - Clé multilignes3'!V31+'4 - Clé multilignes4'!V31+'4 - Clé multilignes5'!V31+'4 - Clé multilignes6'!V31+'4 - Clé multilignes7'!V31</f>
        <v>0</v>
      </c>
      <c r="W31" s="171">
        <f>'4 - Clé SALAIRES'!W31+'4 - Clé multilignes1'!W31+'4 - Clé multilignes2'!W31+'4 - Clé multilignes3'!W31+'4 - Clé multilignes4'!W31+'4 - Clé multilignes5'!W31+'4 - Clé multilignes6'!W31+'4 - Clé multilignes7'!W31</f>
        <v>0</v>
      </c>
      <c r="X31" s="171">
        <f>'4 - Clé SALAIRES'!X31+'4 - Clé multilignes1'!X31+'4 - Clé multilignes2'!X31+'4 - Clé multilignes3'!X31+'4 - Clé multilignes4'!X31+'4 - Clé multilignes5'!X31+'4 - Clé multilignes6'!X31+'4 - Clé multilignes7'!X31</f>
        <v>0</v>
      </c>
      <c r="Y31" s="171">
        <f>'4 - Clé SALAIRES'!Y31+'4 - Clé multilignes1'!Y31+'4 - Clé multilignes2'!Y31+'4 - Clé multilignes3'!Y31+'4 - Clé multilignes4'!Y31+'4 - Clé multilignes5'!Y31+'4 - Clé multilignes6'!Y31+'4 - Clé multilignes7'!Y31</f>
        <v>0</v>
      </c>
      <c r="Z31" s="171">
        <f>'4 - Clé SALAIRES'!Z31+'4 - Clé multilignes1'!Z31+'4 - Clé multilignes2'!Z31+'4 - Clé multilignes3'!Z31+'4 - Clé multilignes4'!Z31+'4 - Clé multilignes5'!Z31+'4 - Clé multilignes6'!Z31+'4 - Clé multilignes7'!Z31</f>
        <v>0</v>
      </c>
      <c r="AB31" s="6"/>
      <c r="AC31" s="6"/>
      <c r="AD31" s="6"/>
      <c r="AE31" s="6"/>
    </row>
    <row r="32" spans="1:32" s="182" customFormat="1" ht="12.75" customHeight="1" x14ac:dyDescent="0.25">
      <c r="A32" s="162" t="str">
        <f>Matrice[[#This Row],[Ligne de la matrice]]</f>
        <v>Subventions de fonctionnement</v>
      </c>
      <c r="B32" s="171">
        <f>'4 - Clé SALAIRES'!B32+'4 - Clé multilignes1'!B32+'4 - Clé multilignes2'!B32+'4 - Clé multilignes3'!B32+'4 - Clé multilignes4'!B32+'4 - Clé multilignes5'!B32+'4 - Clé multilignes6'!B32+'4 - Clé multilignes7'!B32</f>
        <v>0</v>
      </c>
      <c r="C32" s="171">
        <f>'4 - Clé SALAIRES'!C32+'4 - Clé multilignes1'!C32+'4 - Clé multilignes2'!C32+'4 - Clé multilignes3'!C32+'4 - Clé multilignes4'!C32+'4 - Clé multilignes5'!C32+'4 - Clé multilignes6'!C32+'4 - Clé multilignes7'!C32</f>
        <v>0</v>
      </c>
      <c r="D32" s="171">
        <f>'4 - Clé SALAIRES'!D32+'4 - Clé multilignes1'!D32+'4 - Clé multilignes2'!D32+'4 - Clé multilignes3'!D32+'4 - Clé multilignes4'!D32+'4 - Clé multilignes5'!D32+'4 - Clé multilignes6'!D32+'4 - Clé multilignes7'!D32</f>
        <v>0</v>
      </c>
      <c r="E32" s="171">
        <f>'4 - Clé SALAIRES'!E32+'4 - Clé multilignes1'!E32+'4 - Clé multilignes2'!E32+'4 - Clé multilignes3'!E32+'4 - Clé multilignes4'!E32+'4 - Clé multilignes5'!E32+'4 - Clé multilignes6'!E32+'4 - Clé multilignes7'!E32</f>
        <v>0</v>
      </c>
      <c r="F32" s="171">
        <f>'4 - Clé SALAIRES'!F32+'4 - Clé multilignes1'!F32+'4 - Clé multilignes2'!F32+'4 - Clé multilignes3'!F32+'4 - Clé multilignes4'!F32+'4 - Clé multilignes5'!F32+'4 - Clé multilignes6'!F32+'4 - Clé multilignes7'!F32</f>
        <v>0</v>
      </c>
      <c r="G32" s="171">
        <f>'4 - Clé SALAIRES'!G32+'4 - Clé multilignes1'!G32+'4 - Clé multilignes2'!G32+'4 - Clé multilignes3'!G32+'4 - Clé multilignes4'!G32+'4 - Clé multilignes5'!G32+'4 - Clé multilignes6'!G32+'4 - Clé multilignes7'!G32</f>
        <v>0</v>
      </c>
      <c r="H32" s="171">
        <f>'4 - Clé SALAIRES'!H32+'4 - Clé multilignes1'!H32+'4 - Clé multilignes2'!H32+'4 - Clé multilignes3'!H32+'4 - Clé multilignes4'!H32+'4 - Clé multilignes5'!H32+'4 - Clé multilignes6'!H32+'4 - Clé multilignes7'!H32</f>
        <v>0</v>
      </c>
      <c r="I32" s="171">
        <f>'4 - Clé SALAIRES'!I32+'4 - Clé multilignes1'!I32+'4 - Clé multilignes2'!I32+'4 - Clé multilignes3'!I32+'4 - Clé multilignes4'!I32+'4 - Clé multilignes5'!I32+'4 - Clé multilignes6'!I32+'4 - Clé multilignes7'!I32</f>
        <v>0</v>
      </c>
      <c r="J32" s="171">
        <f>'4 - Clé SALAIRES'!J32+'4 - Clé multilignes1'!J32+'4 - Clé multilignes2'!J32+'4 - Clé multilignes3'!J32+'4 - Clé multilignes4'!J32+'4 - Clé multilignes5'!J32+'4 - Clé multilignes6'!J32+'4 - Clé multilignes7'!J32</f>
        <v>0</v>
      </c>
      <c r="K32" s="171">
        <f>'4 - Clé SALAIRES'!K32+'4 - Clé multilignes1'!K32+'4 - Clé multilignes2'!K32+'4 - Clé multilignes3'!K32+'4 - Clé multilignes4'!K32+'4 - Clé multilignes5'!K32+'4 - Clé multilignes6'!K32+'4 - Clé multilignes7'!K32</f>
        <v>0</v>
      </c>
      <c r="L32" s="171">
        <f>'4 - Clé SALAIRES'!L32+'4 - Clé multilignes1'!L32+'4 - Clé multilignes2'!L32+'4 - Clé multilignes3'!L32+'4 - Clé multilignes4'!L32+'4 - Clé multilignes5'!L32+'4 - Clé multilignes6'!L32+'4 - Clé multilignes7'!L32</f>
        <v>0</v>
      </c>
      <c r="M32" s="171">
        <f>'4 - Clé SALAIRES'!M32+'4 - Clé multilignes1'!M32+'4 - Clé multilignes2'!M32+'4 - Clé multilignes3'!M32+'4 - Clé multilignes4'!M32+'4 - Clé multilignes5'!M32+'4 - Clé multilignes6'!M32+'4 - Clé multilignes7'!M32</f>
        <v>0</v>
      </c>
      <c r="N32" s="171">
        <f>'4 - Clé SALAIRES'!N32+'4 - Clé multilignes1'!N32+'4 - Clé multilignes2'!N32+'4 - Clé multilignes3'!N32+'4 - Clé multilignes4'!N32+'4 - Clé multilignes5'!N32+'4 - Clé multilignes6'!N32+'4 - Clé multilignes7'!N32</f>
        <v>0</v>
      </c>
      <c r="O32" s="171">
        <f>'4 - Clé SALAIRES'!O32+'4 - Clé multilignes1'!O32+'4 - Clé multilignes2'!O32+'4 - Clé multilignes3'!O32+'4 - Clé multilignes4'!O32+'4 - Clé multilignes5'!O32+'4 - Clé multilignes6'!O32+'4 - Clé multilignes7'!O32</f>
        <v>0</v>
      </c>
      <c r="P32" s="171">
        <f>'4 - Clé SALAIRES'!P32+'4 - Clé multilignes1'!P32+'4 - Clé multilignes2'!P32+'4 - Clé multilignes3'!P32+'4 - Clé multilignes4'!P32+'4 - Clé multilignes5'!P32+'4 - Clé multilignes6'!P32+'4 - Clé multilignes7'!P32</f>
        <v>0</v>
      </c>
      <c r="Q32" s="171">
        <f>'4 - Clé SALAIRES'!Q32+'4 - Clé multilignes1'!Q32+'4 - Clé multilignes2'!Q32+'4 - Clé multilignes3'!Q32+'4 - Clé multilignes4'!Q32+'4 - Clé multilignes5'!Q32+'4 - Clé multilignes6'!Q32+'4 - Clé multilignes7'!Q32</f>
        <v>0</v>
      </c>
      <c r="R32" s="171">
        <f>'4 - Clé SALAIRES'!R32+'4 - Clé multilignes1'!R32+'4 - Clé multilignes2'!R32+'4 - Clé multilignes3'!R32+'4 - Clé multilignes4'!R32+'4 - Clé multilignes5'!R32+'4 - Clé multilignes6'!R32+'4 - Clé multilignes7'!R32</f>
        <v>0</v>
      </c>
      <c r="S32" s="171">
        <f>'4 - Clé SALAIRES'!S32+'4 - Clé multilignes1'!S32+'4 - Clé multilignes2'!S32+'4 - Clé multilignes3'!S32+'4 - Clé multilignes4'!S32+'4 - Clé multilignes5'!S32+'4 - Clé multilignes6'!S32+'4 - Clé multilignes7'!S32</f>
        <v>0</v>
      </c>
      <c r="T32" s="171">
        <f>'4 - Clé SALAIRES'!T32+'4 - Clé multilignes1'!T32+'4 - Clé multilignes2'!T32+'4 - Clé multilignes3'!T32+'4 - Clé multilignes4'!T32+'4 - Clé multilignes5'!T32+'4 - Clé multilignes6'!T32+'4 - Clé multilignes7'!T32</f>
        <v>0</v>
      </c>
      <c r="U32" s="171">
        <f>'4 - Clé SALAIRES'!U32+'4 - Clé multilignes1'!U32+'4 - Clé multilignes2'!U32+'4 - Clé multilignes3'!U32+'4 - Clé multilignes4'!U32+'4 - Clé multilignes5'!U32+'4 - Clé multilignes6'!U32+'4 - Clé multilignes7'!U32</f>
        <v>0</v>
      </c>
      <c r="V32" s="171">
        <f>'4 - Clé SALAIRES'!V32+'4 - Clé multilignes1'!V32+'4 - Clé multilignes2'!V32+'4 - Clé multilignes3'!V32+'4 - Clé multilignes4'!V32+'4 - Clé multilignes5'!V32+'4 - Clé multilignes6'!V32+'4 - Clé multilignes7'!V32</f>
        <v>0</v>
      </c>
      <c r="W32" s="171">
        <f>'4 - Clé SALAIRES'!W32+'4 - Clé multilignes1'!W32+'4 - Clé multilignes2'!W32+'4 - Clé multilignes3'!W32+'4 - Clé multilignes4'!W32+'4 - Clé multilignes5'!W32+'4 - Clé multilignes6'!W32+'4 - Clé multilignes7'!W32</f>
        <v>0</v>
      </c>
      <c r="X32" s="171">
        <f>'4 - Clé SALAIRES'!X32+'4 - Clé multilignes1'!X32+'4 - Clé multilignes2'!X32+'4 - Clé multilignes3'!X32+'4 - Clé multilignes4'!X32+'4 - Clé multilignes5'!X32+'4 - Clé multilignes6'!X32+'4 - Clé multilignes7'!X32</f>
        <v>0</v>
      </c>
      <c r="Y32" s="171">
        <f>'4 - Clé SALAIRES'!Y32+'4 - Clé multilignes1'!Y32+'4 - Clé multilignes2'!Y32+'4 - Clé multilignes3'!Y32+'4 - Clé multilignes4'!Y32+'4 - Clé multilignes5'!Y32+'4 - Clé multilignes6'!Y32+'4 - Clé multilignes7'!Y32</f>
        <v>0</v>
      </c>
      <c r="Z32" s="171">
        <f>'4 - Clé SALAIRES'!Z32+'4 - Clé multilignes1'!Z32+'4 - Clé multilignes2'!Z32+'4 - Clé multilignes3'!Z32+'4 - Clé multilignes4'!Z32+'4 - Clé multilignes5'!Z32+'4 - Clé multilignes6'!Z32+'4 - Clé multilignes7'!Z32</f>
        <v>0</v>
      </c>
      <c r="AB32" s="6"/>
      <c r="AC32" s="6"/>
      <c r="AD32" s="6"/>
      <c r="AE32" s="6"/>
    </row>
    <row r="33" spans="1:31" s="182" customFormat="1" ht="12.75" customHeight="1" x14ac:dyDescent="0.25">
      <c r="A33" s="162" t="str">
        <f>Matrice[[#This Row],[Ligne de la matrice]]</f>
        <v>Aides à l'emploi</v>
      </c>
      <c r="B33" s="171">
        <f>'4 - Clé SALAIRES'!B33+'4 - Clé multilignes1'!B33+'4 - Clé multilignes2'!B33+'4 - Clé multilignes3'!B33+'4 - Clé multilignes4'!B33+'4 - Clé multilignes5'!B33+'4 - Clé multilignes6'!B33+'4 - Clé multilignes7'!B33</f>
        <v>0</v>
      </c>
      <c r="C33" s="171">
        <f>'4 - Clé SALAIRES'!C33+'4 - Clé multilignes1'!C33+'4 - Clé multilignes2'!C33+'4 - Clé multilignes3'!C33+'4 - Clé multilignes4'!C33+'4 - Clé multilignes5'!C33+'4 - Clé multilignes6'!C33+'4 - Clé multilignes7'!C33</f>
        <v>0</v>
      </c>
      <c r="D33" s="171">
        <f>'4 - Clé SALAIRES'!D33+'4 - Clé multilignes1'!D33+'4 - Clé multilignes2'!D33+'4 - Clé multilignes3'!D33+'4 - Clé multilignes4'!D33+'4 - Clé multilignes5'!D33+'4 - Clé multilignes6'!D33+'4 - Clé multilignes7'!D33</f>
        <v>0</v>
      </c>
      <c r="E33" s="171">
        <f>'4 - Clé SALAIRES'!E33+'4 - Clé multilignes1'!E33+'4 - Clé multilignes2'!E33+'4 - Clé multilignes3'!E33+'4 - Clé multilignes4'!E33+'4 - Clé multilignes5'!E33+'4 - Clé multilignes6'!E33+'4 - Clé multilignes7'!E33</f>
        <v>0</v>
      </c>
      <c r="F33" s="171">
        <f>'4 - Clé SALAIRES'!F33+'4 - Clé multilignes1'!F33+'4 - Clé multilignes2'!F33+'4 - Clé multilignes3'!F33+'4 - Clé multilignes4'!F33+'4 - Clé multilignes5'!F33+'4 - Clé multilignes6'!F33+'4 - Clé multilignes7'!F33</f>
        <v>0</v>
      </c>
      <c r="G33" s="171">
        <f>'4 - Clé SALAIRES'!G33+'4 - Clé multilignes1'!G33+'4 - Clé multilignes2'!G33+'4 - Clé multilignes3'!G33+'4 - Clé multilignes4'!G33+'4 - Clé multilignes5'!G33+'4 - Clé multilignes6'!G33+'4 - Clé multilignes7'!G33</f>
        <v>0</v>
      </c>
      <c r="H33" s="171">
        <f>'4 - Clé SALAIRES'!H33+'4 - Clé multilignes1'!H33+'4 - Clé multilignes2'!H33+'4 - Clé multilignes3'!H33+'4 - Clé multilignes4'!H33+'4 - Clé multilignes5'!H33+'4 - Clé multilignes6'!H33+'4 - Clé multilignes7'!H33</f>
        <v>0</v>
      </c>
      <c r="I33" s="171">
        <f>'4 - Clé SALAIRES'!I33+'4 - Clé multilignes1'!I33+'4 - Clé multilignes2'!I33+'4 - Clé multilignes3'!I33+'4 - Clé multilignes4'!I33+'4 - Clé multilignes5'!I33+'4 - Clé multilignes6'!I33+'4 - Clé multilignes7'!I33</f>
        <v>0</v>
      </c>
      <c r="J33" s="171">
        <f>'4 - Clé SALAIRES'!J33+'4 - Clé multilignes1'!J33+'4 - Clé multilignes2'!J33+'4 - Clé multilignes3'!J33+'4 - Clé multilignes4'!J33+'4 - Clé multilignes5'!J33+'4 - Clé multilignes6'!J33+'4 - Clé multilignes7'!J33</f>
        <v>0</v>
      </c>
      <c r="K33" s="171">
        <f>'4 - Clé SALAIRES'!K33+'4 - Clé multilignes1'!K33+'4 - Clé multilignes2'!K33+'4 - Clé multilignes3'!K33+'4 - Clé multilignes4'!K33+'4 - Clé multilignes5'!K33+'4 - Clé multilignes6'!K33+'4 - Clé multilignes7'!K33</f>
        <v>0</v>
      </c>
      <c r="L33" s="171">
        <f>'4 - Clé SALAIRES'!L33+'4 - Clé multilignes1'!L33+'4 - Clé multilignes2'!L33+'4 - Clé multilignes3'!L33+'4 - Clé multilignes4'!L33+'4 - Clé multilignes5'!L33+'4 - Clé multilignes6'!L33+'4 - Clé multilignes7'!L33</f>
        <v>0</v>
      </c>
      <c r="M33" s="171">
        <f>'4 - Clé SALAIRES'!M33+'4 - Clé multilignes1'!M33+'4 - Clé multilignes2'!M33+'4 - Clé multilignes3'!M33+'4 - Clé multilignes4'!M33+'4 - Clé multilignes5'!M33+'4 - Clé multilignes6'!M33+'4 - Clé multilignes7'!M33</f>
        <v>0</v>
      </c>
      <c r="N33" s="171">
        <f>'4 - Clé SALAIRES'!N33+'4 - Clé multilignes1'!N33+'4 - Clé multilignes2'!N33+'4 - Clé multilignes3'!N33+'4 - Clé multilignes4'!N33+'4 - Clé multilignes5'!N33+'4 - Clé multilignes6'!N33+'4 - Clé multilignes7'!N33</f>
        <v>0</v>
      </c>
      <c r="O33" s="171">
        <f>'4 - Clé SALAIRES'!O33+'4 - Clé multilignes1'!O33+'4 - Clé multilignes2'!O33+'4 - Clé multilignes3'!O33+'4 - Clé multilignes4'!O33+'4 - Clé multilignes5'!O33+'4 - Clé multilignes6'!O33+'4 - Clé multilignes7'!O33</f>
        <v>0</v>
      </c>
      <c r="P33" s="171">
        <f>'4 - Clé SALAIRES'!P33+'4 - Clé multilignes1'!P33+'4 - Clé multilignes2'!P33+'4 - Clé multilignes3'!P33+'4 - Clé multilignes4'!P33+'4 - Clé multilignes5'!P33+'4 - Clé multilignes6'!P33+'4 - Clé multilignes7'!P33</f>
        <v>0</v>
      </c>
      <c r="Q33" s="171">
        <f>'4 - Clé SALAIRES'!Q33+'4 - Clé multilignes1'!Q33+'4 - Clé multilignes2'!Q33+'4 - Clé multilignes3'!Q33+'4 - Clé multilignes4'!Q33+'4 - Clé multilignes5'!Q33+'4 - Clé multilignes6'!Q33+'4 - Clé multilignes7'!Q33</f>
        <v>0</v>
      </c>
      <c r="R33" s="171">
        <f>'4 - Clé SALAIRES'!R33+'4 - Clé multilignes1'!R33+'4 - Clé multilignes2'!R33+'4 - Clé multilignes3'!R33+'4 - Clé multilignes4'!R33+'4 - Clé multilignes5'!R33+'4 - Clé multilignes6'!R33+'4 - Clé multilignes7'!R33</f>
        <v>0</v>
      </c>
      <c r="S33" s="171">
        <f>'4 - Clé SALAIRES'!S33+'4 - Clé multilignes1'!S33+'4 - Clé multilignes2'!S33+'4 - Clé multilignes3'!S33+'4 - Clé multilignes4'!S33+'4 - Clé multilignes5'!S33+'4 - Clé multilignes6'!S33+'4 - Clé multilignes7'!S33</f>
        <v>0</v>
      </c>
      <c r="T33" s="171">
        <f>'4 - Clé SALAIRES'!T33+'4 - Clé multilignes1'!T33+'4 - Clé multilignes2'!T33+'4 - Clé multilignes3'!T33+'4 - Clé multilignes4'!T33+'4 - Clé multilignes5'!T33+'4 - Clé multilignes6'!T33+'4 - Clé multilignes7'!T33</f>
        <v>0</v>
      </c>
      <c r="U33" s="171">
        <f>'4 - Clé SALAIRES'!U33+'4 - Clé multilignes1'!U33+'4 - Clé multilignes2'!U33+'4 - Clé multilignes3'!U33+'4 - Clé multilignes4'!U33+'4 - Clé multilignes5'!U33+'4 - Clé multilignes6'!U33+'4 - Clé multilignes7'!U33</f>
        <v>0</v>
      </c>
      <c r="V33" s="171">
        <f>'4 - Clé SALAIRES'!V33+'4 - Clé multilignes1'!V33+'4 - Clé multilignes2'!V33+'4 - Clé multilignes3'!V33+'4 - Clé multilignes4'!V33+'4 - Clé multilignes5'!V33+'4 - Clé multilignes6'!V33+'4 - Clé multilignes7'!V33</f>
        <v>0</v>
      </c>
      <c r="W33" s="171">
        <f>'4 - Clé SALAIRES'!W33+'4 - Clé multilignes1'!W33+'4 - Clé multilignes2'!W33+'4 - Clé multilignes3'!W33+'4 - Clé multilignes4'!W33+'4 - Clé multilignes5'!W33+'4 - Clé multilignes6'!W33+'4 - Clé multilignes7'!W33</f>
        <v>0</v>
      </c>
      <c r="X33" s="171">
        <f>'4 - Clé SALAIRES'!X33+'4 - Clé multilignes1'!X33+'4 - Clé multilignes2'!X33+'4 - Clé multilignes3'!X33+'4 - Clé multilignes4'!X33+'4 - Clé multilignes5'!X33+'4 - Clé multilignes6'!X33+'4 - Clé multilignes7'!X33</f>
        <v>0</v>
      </c>
      <c r="Y33" s="171">
        <f>'4 - Clé SALAIRES'!Y33+'4 - Clé multilignes1'!Y33+'4 - Clé multilignes2'!Y33+'4 - Clé multilignes3'!Y33+'4 - Clé multilignes4'!Y33+'4 - Clé multilignes5'!Y33+'4 - Clé multilignes6'!Y33+'4 - Clé multilignes7'!Y33</f>
        <v>0</v>
      </c>
      <c r="Z33" s="171">
        <f>'4 - Clé SALAIRES'!Z33+'4 - Clé multilignes1'!Z33+'4 - Clé multilignes2'!Z33+'4 - Clé multilignes3'!Z33+'4 - Clé multilignes4'!Z33+'4 - Clé multilignes5'!Z33+'4 - Clé multilignes6'!Z33+'4 - Clé multilignes7'!Z33</f>
        <v>0</v>
      </c>
      <c r="AB33" s="6"/>
      <c r="AC33" s="6"/>
      <c r="AD33" s="6"/>
      <c r="AE33" s="6"/>
    </row>
    <row r="34" spans="1:31" s="182" customFormat="1" ht="12.75" customHeight="1" x14ac:dyDescent="0.25">
      <c r="A34" s="174"/>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B34" s="6"/>
      <c r="AC34" s="6"/>
      <c r="AD34" s="6"/>
      <c r="AE34" s="6"/>
    </row>
    <row r="35" spans="1:31" s="182" customFormat="1" ht="12.75" customHeight="1" x14ac:dyDescent="0.25">
      <c r="A35" s="162" t="str">
        <f>Matrice[[#This Row],[Ligne de la matrice]]</f>
        <v>TVA acquittée</v>
      </c>
      <c r="B35" s="171">
        <f>'4 - Clé SALAIRES'!B35+'4 - Clé multilignes1'!B35+'4 - Clé multilignes2'!B35+'4 - Clé multilignes3'!B35+'4 - Clé multilignes4'!B35+'4 - Clé multilignes5'!B35+'4 - Clé multilignes6'!B35+'4 - Clé multilignes7'!B35</f>
        <v>0</v>
      </c>
      <c r="C35" s="171">
        <f>'4 - Clé SALAIRES'!C35+'4 - Clé multilignes1'!C35+'4 - Clé multilignes2'!C35+'4 - Clé multilignes3'!C35+'4 - Clé multilignes4'!C35+'4 - Clé multilignes5'!C35+'4 - Clé multilignes6'!C35+'4 - Clé multilignes7'!C35</f>
        <v>0</v>
      </c>
      <c r="D35" s="171">
        <f>'4 - Clé SALAIRES'!D35+'4 - Clé multilignes1'!D35+'4 - Clé multilignes2'!D35+'4 - Clé multilignes3'!D35+'4 - Clé multilignes4'!D35+'4 - Clé multilignes5'!D35+'4 - Clé multilignes6'!D35+'4 - Clé multilignes7'!D35</f>
        <v>0</v>
      </c>
      <c r="E35" s="171">
        <f>'4 - Clé SALAIRES'!E35+'4 - Clé multilignes1'!E35+'4 - Clé multilignes2'!E35+'4 - Clé multilignes3'!E35+'4 - Clé multilignes4'!E35+'4 - Clé multilignes5'!E35+'4 - Clé multilignes6'!E35+'4 - Clé multilignes7'!E35</f>
        <v>0</v>
      </c>
      <c r="F35" s="171">
        <f>'4 - Clé SALAIRES'!F35+'4 - Clé multilignes1'!F35+'4 - Clé multilignes2'!F35+'4 - Clé multilignes3'!F35+'4 - Clé multilignes4'!F35+'4 - Clé multilignes5'!F35+'4 - Clé multilignes6'!F35+'4 - Clé multilignes7'!F35</f>
        <v>0</v>
      </c>
      <c r="G35" s="171">
        <f>'4 - Clé SALAIRES'!G35+'4 - Clé multilignes1'!G35+'4 - Clé multilignes2'!G35+'4 - Clé multilignes3'!G35+'4 - Clé multilignes4'!G35+'4 - Clé multilignes5'!G35+'4 - Clé multilignes6'!G35+'4 - Clé multilignes7'!G35</f>
        <v>0</v>
      </c>
      <c r="H35" s="171">
        <f>'4 - Clé SALAIRES'!H35+'4 - Clé multilignes1'!H35+'4 - Clé multilignes2'!H35+'4 - Clé multilignes3'!H35+'4 - Clé multilignes4'!H35+'4 - Clé multilignes5'!H35+'4 - Clé multilignes6'!H35+'4 - Clé multilignes7'!H35</f>
        <v>0</v>
      </c>
      <c r="I35" s="171">
        <f>'4 - Clé SALAIRES'!I35+'4 - Clé multilignes1'!I35+'4 - Clé multilignes2'!I35+'4 - Clé multilignes3'!I35+'4 - Clé multilignes4'!I35+'4 - Clé multilignes5'!I35+'4 - Clé multilignes6'!I35+'4 - Clé multilignes7'!I35</f>
        <v>0</v>
      </c>
      <c r="J35" s="171">
        <f>'4 - Clé SALAIRES'!J35+'4 - Clé multilignes1'!J35+'4 - Clé multilignes2'!J35+'4 - Clé multilignes3'!J35+'4 - Clé multilignes4'!J35+'4 - Clé multilignes5'!J35+'4 - Clé multilignes6'!J35+'4 - Clé multilignes7'!J35</f>
        <v>0</v>
      </c>
      <c r="K35" s="171">
        <f>'4 - Clé SALAIRES'!K35+'4 - Clé multilignes1'!K35+'4 - Clé multilignes2'!K35+'4 - Clé multilignes3'!K35+'4 - Clé multilignes4'!K35+'4 - Clé multilignes5'!K35+'4 - Clé multilignes6'!K35+'4 - Clé multilignes7'!K35</f>
        <v>0</v>
      </c>
      <c r="L35" s="171">
        <f>'4 - Clé SALAIRES'!L35+'4 - Clé multilignes1'!L35+'4 - Clé multilignes2'!L35+'4 - Clé multilignes3'!L35+'4 - Clé multilignes4'!L35+'4 - Clé multilignes5'!L35+'4 - Clé multilignes6'!L35+'4 - Clé multilignes7'!L35</f>
        <v>0</v>
      </c>
      <c r="M35" s="171">
        <f>'4 - Clé SALAIRES'!M35+'4 - Clé multilignes1'!M35+'4 - Clé multilignes2'!M35+'4 - Clé multilignes3'!M35+'4 - Clé multilignes4'!M35+'4 - Clé multilignes5'!M35+'4 - Clé multilignes6'!M35+'4 - Clé multilignes7'!M35</f>
        <v>0</v>
      </c>
      <c r="N35" s="171">
        <f>'4 - Clé SALAIRES'!N35+'4 - Clé multilignes1'!N35+'4 - Clé multilignes2'!N35+'4 - Clé multilignes3'!N35+'4 - Clé multilignes4'!N35+'4 - Clé multilignes5'!N35+'4 - Clé multilignes6'!N35+'4 - Clé multilignes7'!N35</f>
        <v>0</v>
      </c>
      <c r="O35" s="171">
        <f>'4 - Clé SALAIRES'!O35+'4 - Clé multilignes1'!O35+'4 - Clé multilignes2'!O35+'4 - Clé multilignes3'!O35+'4 - Clé multilignes4'!O35+'4 - Clé multilignes5'!O35+'4 - Clé multilignes6'!O35+'4 - Clé multilignes7'!O35</f>
        <v>0</v>
      </c>
      <c r="P35" s="171">
        <f>'4 - Clé SALAIRES'!P35+'4 - Clé multilignes1'!P35+'4 - Clé multilignes2'!P35+'4 - Clé multilignes3'!P35+'4 - Clé multilignes4'!P35+'4 - Clé multilignes5'!P35+'4 - Clé multilignes6'!P35+'4 - Clé multilignes7'!P35</f>
        <v>0</v>
      </c>
      <c r="Q35" s="171">
        <f>'4 - Clé SALAIRES'!Q35+'4 - Clé multilignes1'!Q35+'4 - Clé multilignes2'!Q35+'4 - Clé multilignes3'!Q35+'4 - Clé multilignes4'!Q35+'4 - Clé multilignes5'!Q35+'4 - Clé multilignes6'!Q35+'4 - Clé multilignes7'!Q35</f>
        <v>0</v>
      </c>
      <c r="R35" s="171">
        <f>'4 - Clé SALAIRES'!R35+'4 - Clé multilignes1'!R35+'4 - Clé multilignes2'!R35+'4 - Clé multilignes3'!R35+'4 - Clé multilignes4'!R35+'4 - Clé multilignes5'!R35+'4 - Clé multilignes6'!R35+'4 - Clé multilignes7'!R35</f>
        <v>0</v>
      </c>
      <c r="S35" s="171">
        <f>'4 - Clé SALAIRES'!S35+'4 - Clé multilignes1'!S35+'4 - Clé multilignes2'!S35+'4 - Clé multilignes3'!S35+'4 - Clé multilignes4'!S35+'4 - Clé multilignes5'!S35+'4 - Clé multilignes6'!S35+'4 - Clé multilignes7'!S35</f>
        <v>0</v>
      </c>
      <c r="T35" s="171">
        <f>'4 - Clé SALAIRES'!T35+'4 - Clé multilignes1'!T35+'4 - Clé multilignes2'!T35+'4 - Clé multilignes3'!T35+'4 - Clé multilignes4'!T35+'4 - Clé multilignes5'!T35+'4 - Clé multilignes6'!T35+'4 - Clé multilignes7'!T35</f>
        <v>0</v>
      </c>
      <c r="U35" s="171">
        <f>'4 - Clé SALAIRES'!U35+'4 - Clé multilignes1'!U35+'4 - Clé multilignes2'!U35+'4 - Clé multilignes3'!U35+'4 - Clé multilignes4'!U35+'4 - Clé multilignes5'!U35+'4 - Clé multilignes6'!U35+'4 - Clé multilignes7'!U35</f>
        <v>0</v>
      </c>
      <c r="V35" s="171">
        <f>'4 - Clé SALAIRES'!V35+'4 - Clé multilignes1'!V35+'4 - Clé multilignes2'!V35+'4 - Clé multilignes3'!V35+'4 - Clé multilignes4'!V35+'4 - Clé multilignes5'!V35+'4 - Clé multilignes6'!V35+'4 - Clé multilignes7'!V35</f>
        <v>0</v>
      </c>
      <c r="W35" s="171">
        <f>'4 - Clé SALAIRES'!W35+'4 - Clé multilignes1'!W35+'4 - Clé multilignes2'!W35+'4 - Clé multilignes3'!W35+'4 - Clé multilignes4'!W35+'4 - Clé multilignes5'!W35+'4 - Clé multilignes6'!W35+'4 - Clé multilignes7'!W35</f>
        <v>0</v>
      </c>
      <c r="X35" s="171">
        <f>'4 - Clé SALAIRES'!X35+'4 - Clé multilignes1'!X35+'4 - Clé multilignes2'!X35+'4 - Clé multilignes3'!X35+'4 - Clé multilignes4'!X35+'4 - Clé multilignes5'!X35+'4 - Clé multilignes6'!X35+'4 - Clé multilignes7'!X35</f>
        <v>0</v>
      </c>
      <c r="Y35" s="171">
        <f>'4 - Clé SALAIRES'!Y35+'4 - Clé multilignes1'!Y35+'4 - Clé multilignes2'!Y35+'4 - Clé multilignes3'!Y35+'4 - Clé multilignes4'!Y35+'4 - Clé multilignes5'!Y35+'4 - Clé multilignes6'!Y35+'4 - Clé multilignes7'!Y35</f>
        <v>0</v>
      </c>
      <c r="Z35" s="171">
        <f>'4 - Clé SALAIRES'!Z35+'4 - Clé multilignes1'!Z35+'4 - Clé multilignes2'!Z35+'4 - Clé multilignes3'!Z35+'4 - Clé multilignes4'!Z35+'4 - Clé multilignes5'!Z35+'4 - Clé multilignes6'!Z35+'4 - Clé multilignes7'!Z35</f>
        <v>0</v>
      </c>
      <c r="AB35" s="6"/>
      <c r="AC35" s="6"/>
      <c r="AD35" s="6"/>
      <c r="AE35" s="6"/>
    </row>
    <row r="36" spans="1:31" s="182" customFormat="1" ht="12.75" customHeight="1" x14ac:dyDescent="0.25">
      <c r="A36" s="162" t="str">
        <f>Matrice[[#This Row],[Ligne de la matrice]]</f>
        <v>TEOM</v>
      </c>
      <c r="B36" s="171">
        <f>'4 - Clé SALAIRES'!B36+'4 - Clé multilignes1'!B36+'4 - Clé multilignes2'!B36+'4 - Clé multilignes3'!B36+'4 - Clé multilignes4'!B36+'4 - Clé multilignes5'!B36+'4 - Clé multilignes6'!B36+'4 - Clé multilignes7'!B36</f>
        <v>0</v>
      </c>
      <c r="C36" s="171">
        <f>'4 - Clé SALAIRES'!C36+'4 - Clé multilignes1'!C36+'4 - Clé multilignes2'!C36+'4 - Clé multilignes3'!C36+'4 - Clé multilignes4'!C36+'4 - Clé multilignes5'!C36+'4 - Clé multilignes6'!C36+'4 - Clé multilignes7'!C36</f>
        <v>0</v>
      </c>
      <c r="D36" s="171">
        <f>'4 - Clé SALAIRES'!D36+'4 - Clé multilignes1'!D36+'4 - Clé multilignes2'!D36+'4 - Clé multilignes3'!D36+'4 - Clé multilignes4'!D36+'4 - Clé multilignes5'!D36+'4 - Clé multilignes6'!D36+'4 - Clé multilignes7'!D36</f>
        <v>0</v>
      </c>
      <c r="E36" s="171">
        <f>'4 - Clé SALAIRES'!E36+'4 - Clé multilignes1'!E36+'4 - Clé multilignes2'!E36+'4 - Clé multilignes3'!E36+'4 - Clé multilignes4'!E36+'4 - Clé multilignes5'!E36+'4 - Clé multilignes6'!E36+'4 - Clé multilignes7'!E36</f>
        <v>0</v>
      </c>
      <c r="F36" s="171">
        <f>'4 - Clé SALAIRES'!F36+'4 - Clé multilignes1'!F36+'4 - Clé multilignes2'!F36+'4 - Clé multilignes3'!F36+'4 - Clé multilignes4'!F36+'4 - Clé multilignes5'!F36+'4 - Clé multilignes6'!F36+'4 - Clé multilignes7'!F36</f>
        <v>0</v>
      </c>
      <c r="G36" s="171">
        <f>'4 - Clé SALAIRES'!G36+'4 - Clé multilignes1'!G36+'4 - Clé multilignes2'!G36+'4 - Clé multilignes3'!G36+'4 - Clé multilignes4'!G36+'4 - Clé multilignes5'!G36+'4 - Clé multilignes6'!G36+'4 - Clé multilignes7'!G36</f>
        <v>0</v>
      </c>
      <c r="H36" s="171">
        <f>'4 - Clé SALAIRES'!H36+'4 - Clé multilignes1'!H36+'4 - Clé multilignes2'!H36+'4 - Clé multilignes3'!H36+'4 - Clé multilignes4'!H36+'4 - Clé multilignes5'!H36+'4 - Clé multilignes6'!H36+'4 - Clé multilignes7'!H36</f>
        <v>0</v>
      </c>
      <c r="I36" s="171">
        <f>'4 - Clé SALAIRES'!I36+'4 - Clé multilignes1'!I36+'4 - Clé multilignes2'!I36+'4 - Clé multilignes3'!I36+'4 - Clé multilignes4'!I36+'4 - Clé multilignes5'!I36+'4 - Clé multilignes6'!I36+'4 - Clé multilignes7'!I36</f>
        <v>0</v>
      </c>
      <c r="J36" s="171">
        <f>'4 - Clé SALAIRES'!J36+'4 - Clé multilignes1'!J36+'4 - Clé multilignes2'!J36+'4 - Clé multilignes3'!J36+'4 - Clé multilignes4'!J36+'4 - Clé multilignes5'!J36+'4 - Clé multilignes6'!J36+'4 - Clé multilignes7'!J36</f>
        <v>0</v>
      </c>
      <c r="K36" s="171">
        <f>'4 - Clé SALAIRES'!K36+'4 - Clé multilignes1'!K36+'4 - Clé multilignes2'!K36+'4 - Clé multilignes3'!K36+'4 - Clé multilignes4'!K36+'4 - Clé multilignes5'!K36+'4 - Clé multilignes6'!K36+'4 - Clé multilignes7'!K36</f>
        <v>0</v>
      </c>
      <c r="L36" s="171">
        <f>'4 - Clé SALAIRES'!L36+'4 - Clé multilignes1'!L36+'4 - Clé multilignes2'!L36+'4 - Clé multilignes3'!L36+'4 - Clé multilignes4'!L36+'4 - Clé multilignes5'!L36+'4 - Clé multilignes6'!L36+'4 - Clé multilignes7'!L36</f>
        <v>0</v>
      </c>
      <c r="M36" s="171">
        <f>'4 - Clé SALAIRES'!M36+'4 - Clé multilignes1'!M36+'4 - Clé multilignes2'!M36+'4 - Clé multilignes3'!M36+'4 - Clé multilignes4'!M36+'4 - Clé multilignes5'!M36+'4 - Clé multilignes6'!M36+'4 - Clé multilignes7'!M36</f>
        <v>0</v>
      </c>
      <c r="N36" s="171">
        <f>'4 - Clé SALAIRES'!N36+'4 - Clé multilignes1'!N36+'4 - Clé multilignes2'!N36+'4 - Clé multilignes3'!N36+'4 - Clé multilignes4'!N36+'4 - Clé multilignes5'!N36+'4 - Clé multilignes6'!N36+'4 - Clé multilignes7'!N36</f>
        <v>0</v>
      </c>
      <c r="O36" s="171">
        <f>'4 - Clé SALAIRES'!O36+'4 - Clé multilignes1'!O36+'4 - Clé multilignes2'!O36+'4 - Clé multilignes3'!O36+'4 - Clé multilignes4'!O36+'4 - Clé multilignes5'!O36+'4 - Clé multilignes6'!O36+'4 - Clé multilignes7'!O36</f>
        <v>0</v>
      </c>
      <c r="P36" s="171">
        <f>'4 - Clé SALAIRES'!P36+'4 - Clé multilignes1'!P36+'4 - Clé multilignes2'!P36+'4 - Clé multilignes3'!P36+'4 - Clé multilignes4'!P36+'4 - Clé multilignes5'!P36+'4 - Clé multilignes6'!P36+'4 - Clé multilignes7'!P36</f>
        <v>0</v>
      </c>
      <c r="Q36" s="171">
        <f>'4 - Clé SALAIRES'!Q36+'4 - Clé multilignes1'!Q36+'4 - Clé multilignes2'!Q36+'4 - Clé multilignes3'!Q36+'4 - Clé multilignes4'!Q36+'4 - Clé multilignes5'!Q36+'4 - Clé multilignes6'!Q36+'4 - Clé multilignes7'!Q36</f>
        <v>0</v>
      </c>
      <c r="R36" s="171">
        <f>'4 - Clé SALAIRES'!R36+'4 - Clé multilignes1'!R36+'4 - Clé multilignes2'!R36+'4 - Clé multilignes3'!R36+'4 - Clé multilignes4'!R36+'4 - Clé multilignes5'!R36+'4 - Clé multilignes6'!R36+'4 - Clé multilignes7'!R36</f>
        <v>0</v>
      </c>
      <c r="S36" s="171">
        <f>'4 - Clé SALAIRES'!S36+'4 - Clé multilignes1'!S36+'4 - Clé multilignes2'!S36+'4 - Clé multilignes3'!S36+'4 - Clé multilignes4'!S36+'4 - Clé multilignes5'!S36+'4 - Clé multilignes6'!S36+'4 - Clé multilignes7'!S36</f>
        <v>0</v>
      </c>
      <c r="T36" s="171">
        <f>'4 - Clé SALAIRES'!T36+'4 - Clé multilignes1'!T36+'4 - Clé multilignes2'!T36+'4 - Clé multilignes3'!T36+'4 - Clé multilignes4'!T36+'4 - Clé multilignes5'!T36+'4 - Clé multilignes6'!T36+'4 - Clé multilignes7'!T36</f>
        <v>0</v>
      </c>
      <c r="U36" s="171">
        <f>'4 - Clé SALAIRES'!U36+'4 - Clé multilignes1'!U36+'4 - Clé multilignes2'!U36+'4 - Clé multilignes3'!U36+'4 - Clé multilignes4'!U36+'4 - Clé multilignes5'!U36+'4 - Clé multilignes6'!U36+'4 - Clé multilignes7'!U36</f>
        <v>0</v>
      </c>
      <c r="V36" s="171">
        <f>'4 - Clé SALAIRES'!V36+'4 - Clé multilignes1'!V36+'4 - Clé multilignes2'!V36+'4 - Clé multilignes3'!V36+'4 - Clé multilignes4'!V36+'4 - Clé multilignes5'!V36+'4 - Clé multilignes6'!V36+'4 - Clé multilignes7'!V36</f>
        <v>0</v>
      </c>
      <c r="W36" s="171">
        <f>'4 - Clé SALAIRES'!W36+'4 - Clé multilignes1'!W36+'4 - Clé multilignes2'!W36+'4 - Clé multilignes3'!W36+'4 - Clé multilignes4'!W36+'4 - Clé multilignes5'!W36+'4 - Clé multilignes6'!W36+'4 - Clé multilignes7'!W36</f>
        <v>0</v>
      </c>
      <c r="X36" s="171">
        <f>'4 - Clé SALAIRES'!X36+'4 - Clé multilignes1'!X36+'4 - Clé multilignes2'!X36+'4 - Clé multilignes3'!X36+'4 - Clé multilignes4'!X36+'4 - Clé multilignes5'!X36+'4 - Clé multilignes6'!X36+'4 - Clé multilignes7'!X36</f>
        <v>0</v>
      </c>
      <c r="Y36" s="171">
        <f>'4 - Clé SALAIRES'!Y36+'4 - Clé multilignes1'!Y36+'4 - Clé multilignes2'!Y36+'4 - Clé multilignes3'!Y36+'4 - Clé multilignes4'!Y36+'4 - Clé multilignes5'!Y36+'4 - Clé multilignes6'!Y36+'4 - Clé multilignes7'!Y36</f>
        <v>0</v>
      </c>
      <c r="Z36" s="171">
        <f>'4 - Clé SALAIRES'!Z36+'4 - Clé multilignes1'!Z36+'4 - Clé multilignes2'!Z36+'4 - Clé multilignes3'!Z36+'4 - Clé multilignes4'!Z36+'4 - Clé multilignes5'!Z36+'4 - Clé multilignes6'!Z36+'4 - Clé multilignes7'!Z36</f>
        <v>0</v>
      </c>
      <c r="AB36" s="6"/>
      <c r="AC36" s="6"/>
      <c r="AD36" s="6"/>
      <c r="AE36" s="6"/>
    </row>
    <row r="37" spans="1:31" s="182" customFormat="1" ht="12.75" customHeight="1" x14ac:dyDescent="0.25">
      <c r="A37" s="162" t="str">
        <f>Matrice[[#This Row],[Ligne de la matrice]]</f>
        <v>REOM</v>
      </c>
      <c r="B37" s="171">
        <f>'4 - Clé SALAIRES'!B37+'4 - Clé multilignes1'!B37+'4 - Clé multilignes2'!B37+'4 - Clé multilignes3'!B37+'4 - Clé multilignes4'!B37+'4 - Clé multilignes5'!B37+'4 - Clé multilignes6'!B37+'4 - Clé multilignes7'!B37</f>
        <v>0</v>
      </c>
      <c r="C37" s="171">
        <f>'4 - Clé SALAIRES'!C37+'4 - Clé multilignes1'!C37+'4 - Clé multilignes2'!C37+'4 - Clé multilignes3'!C37+'4 - Clé multilignes4'!C37+'4 - Clé multilignes5'!C37+'4 - Clé multilignes6'!C37+'4 - Clé multilignes7'!C37</f>
        <v>0</v>
      </c>
      <c r="D37" s="171">
        <f>'4 - Clé SALAIRES'!D37+'4 - Clé multilignes1'!D37+'4 - Clé multilignes2'!D37+'4 - Clé multilignes3'!D37+'4 - Clé multilignes4'!D37+'4 - Clé multilignes5'!D37+'4 - Clé multilignes6'!D37+'4 - Clé multilignes7'!D37</f>
        <v>0</v>
      </c>
      <c r="E37" s="171">
        <f>'4 - Clé SALAIRES'!E37+'4 - Clé multilignes1'!E37+'4 - Clé multilignes2'!E37+'4 - Clé multilignes3'!E37+'4 - Clé multilignes4'!E37+'4 - Clé multilignes5'!E37+'4 - Clé multilignes6'!E37+'4 - Clé multilignes7'!E37</f>
        <v>0</v>
      </c>
      <c r="F37" s="171">
        <f>'4 - Clé SALAIRES'!F37+'4 - Clé multilignes1'!F37+'4 - Clé multilignes2'!F37+'4 - Clé multilignes3'!F37+'4 - Clé multilignes4'!F37+'4 - Clé multilignes5'!F37+'4 - Clé multilignes6'!F37+'4 - Clé multilignes7'!F37</f>
        <v>0</v>
      </c>
      <c r="G37" s="171">
        <f>'4 - Clé SALAIRES'!G37+'4 - Clé multilignes1'!G37+'4 - Clé multilignes2'!G37+'4 - Clé multilignes3'!G37+'4 - Clé multilignes4'!G37+'4 - Clé multilignes5'!G37+'4 - Clé multilignes6'!G37+'4 - Clé multilignes7'!G37</f>
        <v>0</v>
      </c>
      <c r="H37" s="171">
        <f>'4 - Clé SALAIRES'!H37+'4 - Clé multilignes1'!H37+'4 - Clé multilignes2'!H37+'4 - Clé multilignes3'!H37+'4 - Clé multilignes4'!H37+'4 - Clé multilignes5'!H37+'4 - Clé multilignes6'!H37+'4 - Clé multilignes7'!H37</f>
        <v>0</v>
      </c>
      <c r="I37" s="171">
        <f>'4 - Clé SALAIRES'!I37+'4 - Clé multilignes1'!I37+'4 - Clé multilignes2'!I37+'4 - Clé multilignes3'!I37+'4 - Clé multilignes4'!I37+'4 - Clé multilignes5'!I37+'4 - Clé multilignes6'!I37+'4 - Clé multilignes7'!I37</f>
        <v>0</v>
      </c>
      <c r="J37" s="171">
        <f>'4 - Clé SALAIRES'!J37+'4 - Clé multilignes1'!J37+'4 - Clé multilignes2'!J37+'4 - Clé multilignes3'!J37+'4 - Clé multilignes4'!J37+'4 - Clé multilignes5'!J37+'4 - Clé multilignes6'!J37+'4 - Clé multilignes7'!J37</f>
        <v>0</v>
      </c>
      <c r="K37" s="171">
        <f>'4 - Clé SALAIRES'!K37+'4 - Clé multilignes1'!K37+'4 - Clé multilignes2'!K37+'4 - Clé multilignes3'!K37+'4 - Clé multilignes4'!K37+'4 - Clé multilignes5'!K37+'4 - Clé multilignes6'!K37+'4 - Clé multilignes7'!K37</f>
        <v>0</v>
      </c>
      <c r="L37" s="171">
        <f>'4 - Clé SALAIRES'!L37+'4 - Clé multilignes1'!L37+'4 - Clé multilignes2'!L37+'4 - Clé multilignes3'!L37+'4 - Clé multilignes4'!L37+'4 - Clé multilignes5'!L37+'4 - Clé multilignes6'!L37+'4 - Clé multilignes7'!L37</f>
        <v>0</v>
      </c>
      <c r="M37" s="171">
        <f>'4 - Clé SALAIRES'!M37+'4 - Clé multilignes1'!M37+'4 - Clé multilignes2'!M37+'4 - Clé multilignes3'!M37+'4 - Clé multilignes4'!M37+'4 - Clé multilignes5'!M37+'4 - Clé multilignes6'!M37+'4 - Clé multilignes7'!M37</f>
        <v>0</v>
      </c>
      <c r="N37" s="171">
        <f>'4 - Clé SALAIRES'!N37+'4 - Clé multilignes1'!N37+'4 - Clé multilignes2'!N37+'4 - Clé multilignes3'!N37+'4 - Clé multilignes4'!N37+'4 - Clé multilignes5'!N37+'4 - Clé multilignes6'!N37+'4 - Clé multilignes7'!N37</f>
        <v>0</v>
      </c>
      <c r="O37" s="171">
        <f>'4 - Clé SALAIRES'!O37+'4 - Clé multilignes1'!O37+'4 - Clé multilignes2'!O37+'4 - Clé multilignes3'!O37+'4 - Clé multilignes4'!O37+'4 - Clé multilignes5'!O37+'4 - Clé multilignes6'!O37+'4 - Clé multilignes7'!O37</f>
        <v>0</v>
      </c>
      <c r="P37" s="171">
        <f>'4 - Clé SALAIRES'!P37+'4 - Clé multilignes1'!P37+'4 - Clé multilignes2'!P37+'4 - Clé multilignes3'!P37+'4 - Clé multilignes4'!P37+'4 - Clé multilignes5'!P37+'4 - Clé multilignes6'!P37+'4 - Clé multilignes7'!P37</f>
        <v>0</v>
      </c>
      <c r="Q37" s="171">
        <f>'4 - Clé SALAIRES'!Q37+'4 - Clé multilignes1'!Q37+'4 - Clé multilignes2'!Q37+'4 - Clé multilignes3'!Q37+'4 - Clé multilignes4'!Q37+'4 - Clé multilignes5'!Q37+'4 - Clé multilignes6'!Q37+'4 - Clé multilignes7'!Q37</f>
        <v>0</v>
      </c>
      <c r="R37" s="171">
        <f>'4 - Clé SALAIRES'!R37+'4 - Clé multilignes1'!R37+'4 - Clé multilignes2'!R37+'4 - Clé multilignes3'!R37+'4 - Clé multilignes4'!R37+'4 - Clé multilignes5'!R37+'4 - Clé multilignes6'!R37+'4 - Clé multilignes7'!R37</f>
        <v>0</v>
      </c>
      <c r="S37" s="171">
        <f>'4 - Clé SALAIRES'!S37+'4 - Clé multilignes1'!S37+'4 - Clé multilignes2'!S37+'4 - Clé multilignes3'!S37+'4 - Clé multilignes4'!S37+'4 - Clé multilignes5'!S37+'4 - Clé multilignes6'!S37+'4 - Clé multilignes7'!S37</f>
        <v>0</v>
      </c>
      <c r="T37" s="171">
        <f>'4 - Clé SALAIRES'!T37+'4 - Clé multilignes1'!T37+'4 - Clé multilignes2'!T37+'4 - Clé multilignes3'!T37+'4 - Clé multilignes4'!T37+'4 - Clé multilignes5'!T37+'4 - Clé multilignes6'!T37+'4 - Clé multilignes7'!T37</f>
        <v>0</v>
      </c>
      <c r="U37" s="171">
        <f>'4 - Clé SALAIRES'!U37+'4 - Clé multilignes1'!U37+'4 - Clé multilignes2'!U37+'4 - Clé multilignes3'!U37+'4 - Clé multilignes4'!U37+'4 - Clé multilignes5'!U37+'4 - Clé multilignes6'!U37+'4 - Clé multilignes7'!U37</f>
        <v>0</v>
      </c>
      <c r="V37" s="171">
        <f>'4 - Clé SALAIRES'!V37+'4 - Clé multilignes1'!V37+'4 - Clé multilignes2'!V37+'4 - Clé multilignes3'!V37+'4 - Clé multilignes4'!V37+'4 - Clé multilignes5'!V37+'4 - Clé multilignes6'!V37+'4 - Clé multilignes7'!V37</f>
        <v>0</v>
      </c>
      <c r="W37" s="171">
        <f>'4 - Clé SALAIRES'!W37+'4 - Clé multilignes1'!W37+'4 - Clé multilignes2'!W37+'4 - Clé multilignes3'!W37+'4 - Clé multilignes4'!W37+'4 - Clé multilignes5'!W37+'4 - Clé multilignes6'!W37+'4 - Clé multilignes7'!W37</f>
        <v>0</v>
      </c>
      <c r="X37" s="171">
        <f>'4 - Clé SALAIRES'!X37+'4 - Clé multilignes1'!X37+'4 - Clé multilignes2'!X37+'4 - Clé multilignes3'!X37+'4 - Clé multilignes4'!X37+'4 - Clé multilignes5'!X37+'4 - Clé multilignes6'!X37+'4 - Clé multilignes7'!X37</f>
        <v>0</v>
      </c>
      <c r="Y37" s="171">
        <f>'4 - Clé SALAIRES'!Y37+'4 - Clé multilignes1'!Y37+'4 - Clé multilignes2'!Y37+'4 - Clé multilignes3'!Y37+'4 - Clé multilignes4'!Y37+'4 - Clé multilignes5'!Y37+'4 - Clé multilignes6'!Y37+'4 - Clé multilignes7'!Y37</f>
        <v>0</v>
      </c>
      <c r="Z37" s="171">
        <f>'4 - Clé SALAIRES'!Z37+'4 - Clé multilignes1'!Z37+'4 - Clé multilignes2'!Z37+'4 - Clé multilignes3'!Z37+'4 - Clé multilignes4'!Z37+'4 - Clé multilignes5'!Z37+'4 - Clé multilignes6'!Z37+'4 - Clé multilignes7'!Z37</f>
        <v>0</v>
      </c>
      <c r="AB37" s="6"/>
      <c r="AC37" s="6"/>
      <c r="AD37" s="6"/>
      <c r="AE37" s="6"/>
    </row>
    <row r="38" spans="1:31" s="182" customFormat="1" ht="12.75" customHeight="1" x14ac:dyDescent="0.25">
      <c r="A38" s="162" t="str">
        <f>Matrice[[#This Row],[Ligne de la matrice]]</f>
        <v>Redevance spéciale et facturation à l'usager</v>
      </c>
      <c r="B38" s="171">
        <f>'4 - Clé SALAIRES'!B38+'4 - Clé multilignes1'!B38+'4 - Clé multilignes2'!B38+'4 - Clé multilignes3'!B38+'4 - Clé multilignes4'!B38+'4 - Clé multilignes5'!B38+'4 - Clé multilignes6'!B38+'4 - Clé multilignes7'!B38</f>
        <v>0</v>
      </c>
      <c r="C38" s="171">
        <f>'4 - Clé SALAIRES'!C38+'4 - Clé multilignes1'!C38+'4 - Clé multilignes2'!C38+'4 - Clé multilignes3'!C38+'4 - Clé multilignes4'!C38+'4 - Clé multilignes5'!C38+'4 - Clé multilignes6'!C38+'4 - Clé multilignes7'!C38</f>
        <v>0</v>
      </c>
      <c r="D38" s="171">
        <f>'4 - Clé SALAIRES'!D38+'4 - Clé multilignes1'!D38+'4 - Clé multilignes2'!D38+'4 - Clé multilignes3'!D38+'4 - Clé multilignes4'!D38+'4 - Clé multilignes5'!D38+'4 - Clé multilignes6'!D38+'4 - Clé multilignes7'!D38</f>
        <v>0</v>
      </c>
      <c r="E38" s="171">
        <f>'4 - Clé SALAIRES'!E38+'4 - Clé multilignes1'!E38+'4 - Clé multilignes2'!E38+'4 - Clé multilignes3'!E38+'4 - Clé multilignes4'!E38+'4 - Clé multilignes5'!E38+'4 - Clé multilignes6'!E38+'4 - Clé multilignes7'!E38</f>
        <v>0</v>
      </c>
      <c r="F38" s="171">
        <f>'4 - Clé SALAIRES'!F38+'4 - Clé multilignes1'!F38+'4 - Clé multilignes2'!F38+'4 - Clé multilignes3'!F38+'4 - Clé multilignes4'!F38+'4 - Clé multilignes5'!F38+'4 - Clé multilignes6'!F38+'4 - Clé multilignes7'!F38</f>
        <v>0</v>
      </c>
      <c r="G38" s="171">
        <f>'4 - Clé SALAIRES'!G38+'4 - Clé multilignes1'!G38+'4 - Clé multilignes2'!G38+'4 - Clé multilignes3'!G38+'4 - Clé multilignes4'!G38+'4 - Clé multilignes5'!G38+'4 - Clé multilignes6'!G38+'4 - Clé multilignes7'!G38</f>
        <v>0</v>
      </c>
      <c r="H38" s="171">
        <f>'4 - Clé SALAIRES'!H38+'4 - Clé multilignes1'!H38+'4 - Clé multilignes2'!H38+'4 - Clé multilignes3'!H38+'4 - Clé multilignes4'!H38+'4 - Clé multilignes5'!H38+'4 - Clé multilignes6'!H38+'4 - Clé multilignes7'!H38</f>
        <v>0</v>
      </c>
      <c r="I38" s="171">
        <f>'4 - Clé SALAIRES'!I38+'4 - Clé multilignes1'!I38+'4 - Clé multilignes2'!I38+'4 - Clé multilignes3'!I38+'4 - Clé multilignes4'!I38+'4 - Clé multilignes5'!I38+'4 - Clé multilignes6'!I38+'4 - Clé multilignes7'!I38</f>
        <v>0</v>
      </c>
      <c r="J38" s="171">
        <f>'4 - Clé SALAIRES'!J38+'4 - Clé multilignes1'!J38+'4 - Clé multilignes2'!J38+'4 - Clé multilignes3'!J38+'4 - Clé multilignes4'!J38+'4 - Clé multilignes5'!J38+'4 - Clé multilignes6'!J38+'4 - Clé multilignes7'!J38</f>
        <v>0</v>
      </c>
      <c r="K38" s="171">
        <f>'4 - Clé SALAIRES'!K38+'4 - Clé multilignes1'!K38+'4 - Clé multilignes2'!K38+'4 - Clé multilignes3'!K38+'4 - Clé multilignes4'!K38+'4 - Clé multilignes5'!K38+'4 - Clé multilignes6'!K38+'4 - Clé multilignes7'!K38</f>
        <v>0</v>
      </c>
      <c r="L38" s="171">
        <f>'4 - Clé SALAIRES'!L38+'4 - Clé multilignes1'!L38+'4 - Clé multilignes2'!L38+'4 - Clé multilignes3'!L38+'4 - Clé multilignes4'!L38+'4 - Clé multilignes5'!L38+'4 - Clé multilignes6'!L38+'4 - Clé multilignes7'!L38</f>
        <v>0</v>
      </c>
      <c r="M38" s="171">
        <f>'4 - Clé SALAIRES'!M38+'4 - Clé multilignes1'!M38+'4 - Clé multilignes2'!M38+'4 - Clé multilignes3'!M38+'4 - Clé multilignes4'!M38+'4 - Clé multilignes5'!M38+'4 - Clé multilignes6'!M38+'4 - Clé multilignes7'!M38</f>
        <v>0</v>
      </c>
      <c r="N38" s="171">
        <f>'4 - Clé SALAIRES'!N38+'4 - Clé multilignes1'!N38+'4 - Clé multilignes2'!N38+'4 - Clé multilignes3'!N38+'4 - Clé multilignes4'!N38+'4 - Clé multilignes5'!N38+'4 - Clé multilignes6'!N38+'4 - Clé multilignes7'!N38</f>
        <v>0</v>
      </c>
      <c r="O38" s="171">
        <f>'4 - Clé SALAIRES'!O38+'4 - Clé multilignes1'!O38+'4 - Clé multilignes2'!O38+'4 - Clé multilignes3'!O38+'4 - Clé multilignes4'!O38+'4 - Clé multilignes5'!O38+'4 - Clé multilignes6'!O38+'4 - Clé multilignes7'!O38</f>
        <v>0</v>
      </c>
      <c r="P38" s="171">
        <f>'4 - Clé SALAIRES'!P38+'4 - Clé multilignes1'!P38+'4 - Clé multilignes2'!P38+'4 - Clé multilignes3'!P38+'4 - Clé multilignes4'!P38+'4 - Clé multilignes5'!P38+'4 - Clé multilignes6'!P38+'4 - Clé multilignes7'!P38</f>
        <v>0</v>
      </c>
      <c r="Q38" s="171">
        <f>'4 - Clé SALAIRES'!Q38+'4 - Clé multilignes1'!Q38+'4 - Clé multilignes2'!Q38+'4 - Clé multilignes3'!Q38+'4 - Clé multilignes4'!Q38+'4 - Clé multilignes5'!Q38+'4 - Clé multilignes6'!Q38+'4 - Clé multilignes7'!Q38</f>
        <v>0</v>
      </c>
      <c r="R38" s="171">
        <f>'4 - Clé SALAIRES'!R38+'4 - Clé multilignes1'!R38+'4 - Clé multilignes2'!R38+'4 - Clé multilignes3'!R38+'4 - Clé multilignes4'!R38+'4 - Clé multilignes5'!R38+'4 - Clé multilignes6'!R38+'4 - Clé multilignes7'!R38</f>
        <v>0</v>
      </c>
      <c r="S38" s="171">
        <f>'4 - Clé SALAIRES'!S38+'4 - Clé multilignes1'!S38+'4 - Clé multilignes2'!S38+'4 - Clé multilignes3'!S38+'4 - Clé multilignes4'!S38+'4 - Clé multilignes5'!S38+'4 - Clé multilignes6'!S38+'4 - Clé multilignes7'!S38</f>
        <v>0</v>
      </c>
      <c r="T38" s="171">
        <f>'4 - Clé SALAIRES'!T38+'4 - Clé multilignes1'!T38+'4 - Clé multilignes2'!T38+'4 - Clé multilignes3'!T38+'4 - Clé multilignes4'!T38+'4 - Clé multilignes5'!T38+'4 - Clé multilignes6'!T38+'4 - Clé multilignes7'!T38</f>
        <v>0</v>
      </c>
      <c r="U38" s="171">
        <f>'4 - Clé SALAIRES'!U38+'4 - Clé multilignes1'!U38+'4 - Clé multilignes2'!U38+'4 - Clé multilignes3'!U38+'4 - Clé multilignes4'!U38+'4 - Clé multilignes5'!U38+'4 - Clé multilignes6'!U38+'4 - Clé multilignes7'!U38</f>
        <v>0</v>
      </c>
      <c r="V38" s="171">
        <f>'4 - Clé SALAIRES'!V38+'4 - Clé multilignes1'!V38+'4 - Clé multilignes2'!V38+'4 - Clé multilignes3'!V38+'4 - Clé multilignes4'!V38+'4 - Clé multilignes5'!V38+'4 - Clé multilignes6'!V38+'4 - Clé multilignes7'!V38</f>
        <v>0</v>
      </c>
      <c r="W38" s="171">
        <f>'4 - Clé SALAIRES'!W38+'4 - Clé multilignes1'!W38+'4 - Clé multilignes2'!W38+'4 - Clé multilignes3'!W38+'4 - Clé multilignes4'!W38+'4 - Clé multilignes5'!W38+'4 - Clé multilignes6'!W38+'4 - Clé multilignes7'!W38</f>
        <v>0</v>
      </c>
      <c r="X38" s="171">
        <f>'4 - Clé SALAIRES'!X38+'4 - Clé multilignes1'!X38+'4 - Clé multilignes2'!X38+'4 - Clé multilignes3'!X38+'4 - Clé multilignes4'!X38+'4 - Clé multilignes5'!X38+'4 - Clé multilignes6'!X38+'4 - Clé multilignes7'!X38</f>
        <v>0</v>
      </c>
      <c r="Y38" s="171">
        <f>'4 - Clé SALAIRES'!Y38+'4 - Clé multilignes1'!Y38+'4 - Clé multilignes2'!Y38+'4 - Clé multilignes3'!Y38+'4 - Clé multilignes4'!Y38+'4 - Clé multilignes5'!Y38+'4 - Clé multilignes6'!Y38+'4 - Clé multilignes7'!Y38</f>
        <v>0</v>
      </c>
      <c r="Z38" s="171">
        <f>'4 - Clé SALAIRES'!Z38+'4 - Clé multilignes1'!Z38+'4 - Clé multilignes2'!Z38+'4 - Clé multilignes3'!Z38+'4 - Clé multilignes4'!Z38+'4 - Clé multilignes5'!Z38+'4 - Clé multilignes6'!Z38+'4 - Clé multilignes7'!Z38</f>
        <v>0</v>
      </c>
      <c r="AB38" s="6"/>
      <c r="AC38" s="6"/>
      <c r="AD38" s="6"/>
      <c r="AE38" s="6"/>
    </row>
    <row r="39" spans="1:31" s="182" customFormat="1" ht="12.75" customHeight="1" x14ac:dyDescent="0.25">
      <c r="A39" s="162" t="str">
        <f>Matrice[[#This Row],[Ligne de la matrice]]</f>
        <v>Redevance spéciale</v>
      </c>
      <c r="B39" s="171">
        <f>'4 - Clé SALAIRES'!B39+'4 - Clé multilignes1'!B39+'4 - Clé multilignes2'!B39+'4 - Clé multilignes3'!B39+'4 - Clé multilignes4'!B39+'4 - Clé multilignes5'!B39+'4 - Clé multilignes6'!B39+'4 - Clé multilignes7'!B39</f>
        <v>0</v>
      </c>
      <c r="C39" s="171">
        <f>'4 - Clé SALAIRES'!C39+'4 - Clé multilignes1'!C39+'4 - Clé multilignes2'!C39+'4 - Clé multilignes3'!C39+'4 - Clé multilignes4'!C39+'4 - Clé multilignes5'!C39+'4 - Clé multilignes6'!C39+'4 - Clé multilignes7'!C39</f>
        <v>0</v>
      </c>
      <c r="D39" s="171">
        <f>'4 - Clé SALAIRES'!D39+'4 - Clé multilignes1'!D39+'4 - Clé multilignes2'!D39+'4 - Clé multilignes3'!D39+'4 - Clé multilignes4'!D39+'4 - Clé multilignes5'!D39+'4 - Clé multilignes6'!D39+'4 - Clé multilignes7'!D39</f>
        <v>0</v>
      </c>
      <c r="E39" s="171">
        <f>'4 - Clé SALAIRES'!E39+'4 - Clé multilignes1'!E39+'4 - Clé multilignes2'!E39+'4 - Clé multilignes3'!E39+'4 - Clé multilignes4'!E39+'4 - Clé multilignes5'!E39+'4 - Clé multilignes6'!E39+'4 - Clé multilignes7'!E39</f>
        <v>0</v>
      </c>
      <c r="F39" s="171">
        <f>'4 - Clé SALAIRES'!F39+'4 - Clé multilignes1'!F39+'4 - Clé multilignes2'!F39+'4 - Clé multilignes3'!F39+'4 - Clé multilignes4'!F39+'4 - Clé multilignes5'!F39+'4 - Clé multilignes6'!F39+'4 - Clé multilignes7'!F39</f>
        <v>0</v>
      </c>
      <c r="G39" s="171">
        <f>'4 - Clé SALAIRES'!G39+'4 - Clé multilignes1'!G39+'4 - Clé multilignes2'!G39+'4 - Clé multilignes3'!G39+'4 - Clé multilignes4'!G39+'4 - Clé multilignes5'!G39+'4 - Clé multilignes6'!G39+'4 - Clé multilignes7'!G39</f>
        <v>0</v>
      </c>
      <c r="H39" s="171">
        <f>'4 - Clé SALAIRES'!H39+'4 - Clé multilignes1'!H39+'4 - Clé multilignes2'!H39+'4 - Clé multilignes3'!H39+'4 - Clé multilignes4'!H39+'4 - Clé multilignes5'!H39+'4 - Clé multilignes6'!H39+'4 - Clé multilignes7'!H39</f>
        <v>0</v>
      </c>
      <c r="I39" s="171">
        <f>'4 - Clé SALAIRES'!I39+'4 - Clé multilignes1'!I39+'4 - Clé multilignes2'!I39+'4 - Clé multilignes3'!I39+'4 - Clé multilignes4'!I39+'4 - Clé multilignes5'!I39+'4 - Clé multilignes6'!I39+'4 - Clé multilignes7'!I39</f>
        <v>0</v>
      </c>
      <c r="J39" s="171">
        <f>'4 - Clé SALAIRES'!J39+'4 - Clé multilignes1'!J39+'4 - Clé multilignes2'!J39+'4 - Clé multilignes3'!J39+'4 - Clé multilignes4'!J39+'4 - Clé multilignes5'!J39+'4 - Clé multilignes6'!J39+'4 - Clé multilignes7'!J39</f>
        <v>0</v>
      </c>
      <c r="K39" s="171">
        <f>'4 - Clé SALAIRES'!K39+'4 - Clé multilignes1'!K39+'4 - Clé multilignes2'!K39+'4 - Clé multilignes3'!K39+'4 - Clé multilignes4'!K39+'4 - Clé multilignes5'!K39+'4 - Clé multilignes6'!K39+'4 - Clé multilignes7'!K39</f>
        <v>0</v>
      </c>
      <c r="L39" s="171">
        <f>'4 - Clé SALAIRES'!L39+'4 - Clé multilignes1'!L39+'4 - Clé multilignes2'!L39+'4 - Clé multilignes3'!L39+'4 - Clé multilignes4'!L39+'4 - Clé multilignes5'!L39+'4 - Clé multilignes6'!L39+'4 - Clé multilignes7'!L39</f>
        <v>0</v>
      </c>
      <c r="M39" s="171">
        <f>'4 - Clé SALAIRES'!M39+'4 - Clé multilignes1'!M39+'4 - Clé multilignes2'!M39+'4 - Clé multilignes3'!M39+'4 - Clé multilignes4'!M39+'4 - Clé multilignes5'!M39+'4 - Clé multilignes6'!M39+'4 - Clé multilignes7'!M39</f>
        <v>0</v>
      </c>
      <c r="N39" s="171">
        <f>'4 - Clé SALAIRES'!N39+'4 - Clé multilignes1'!N39+'4 - Clé multilignes2'!N39+'4 - Clé multilignes3'!N39+'4 - Clé multilignes4'!N39+'4 - Clé multilignes5'!N39+'4 - Clé multilignes6'!N39+'4 - Clé multilignes7'!N39</f>
        <v>0</v>
      </c>
      <c r="O39" s="171">
        <f>'4 - Clé SALAIRES'!O39+'4 - Clé multilignes1'!O39+'4 - Clé multilignes2'!O39+'4 - Clé multilignes3'!O39+'4 - Clé multilignes4'!O39+'4 - Clé multilignes5'!O39+'4 - Clé multilignes6'!O39+'4 - Clé multilignes7'!O39</f>
        <v>0</v>
      </c>
      <c r="P39" s="171">
        <f>'4 - Clé SALAIRES'!P39+'4 - Clé multilignes1'!P39+'4 - Clé multilignes2'!P39+'4 - Clé multilignes3'!P39+'4 - Clé multilignes4'!P39+'4 - Clé multilignes5'!P39+'4 - Clé multilignes6'!P39+'4 - Clé multilignes7'!P39</f>
        <v>0</v>
      </c>
      <c r="Q39" s="171">
        <f>'4 - Clé SALAIRES'!Q39+'4 - Clé multilignes1'!Q39+'4 - Clé multilignes2'!Q39+'4 - Clé multilignes3'!Q39+'4 - Clé multilignes4'!Q39+'4 - Clé multilignes5'!Q39+'4 - Clé multilignes6'!Q39+'4 - Clé multilignes7'!Q39</f>
        <v>0</v>
      </c>
      <c r="R39" s="171">
        <f>'4 - Clé SALAIRES'!R39+'4 - Clé multilignes1'!R39+'4 - Clé multilignes2'!R39+'4 - Clé multilignes3'!R39+'4 - Clé multilignes4'!R39+'4 - Clé multilignes5'!R39+'4 - Clé multilignes6'!R39+'4 - Clé multilignes7'!R39</f>
        <v>0</v>
      </c>
      <c r="S39" s="171">
        <f>'4 - Clé SALAIRES'!S39+'4 - Clé multilignes1'!S39+'4 - Clé multilignes2'!S39+'4 - Clé multilignes3'!S39+'4 - Clé multilignes4'!S39+'4 - Clé multilignes5'!S39+'4 - Clé multilignes6'!S39+'4 - Clé multilignes7'!S39</f>
        <v>0</v>
      </c>
      <c r="T39" s="171">
        <f>'4 - Clé SALAIRES'!T39+'4 - Clé multilignes1'!T39+'4 - Clé multilignes2'!T39+'4 - Clé multilignes3'!T39+'4 - Clé multilignes4'!T39+'4 - Clé multilignes5'!T39+'4 - Clé multilignes6'!T39+'4 - Clé multilignes7'!T39</f>
        <v>0</v>
      </c>
      <c r="U39" s="171">
        <f>'4 - Clé SALAIRES'!U39+'4 - Clé multilignes1'!U39+'4 - Clé multilignes2'!U39+'4 - Clé multilignes3'!U39+'4 - Clé multilignes4'!U39+'4 - Clé multilignes5'!U39+'4 - Clé multilignes6'!U39+'4 - Clé multilignes7'!U39</f>
        <v>0</v>
      </c>
      <c r="V39" s="171">
        <f>'4 - Clé SALAIRES'!V39+'4 - Clé multilignes1'!V39+'4 - Clé multilignes2'!V39+'4 - Clé multilignes3'!V39+'4 - Clé multilignes4'!V39+'4 - Clé multilignes5'!V39+'4 - Clé multilignes6'!V39+'4 - Clé multilignes7'!V39</f>
        <v>0</v>
      </c>
      <c r="W39" s="171">
        <f>'4 - Clé SALAIRES'!W39+'4 - Clé multilignes1'!W39+'4 - Clé multilignes2'!W39+'4 - Clé multilignes3'!W39+'4 - Clé multilignes4'!W39+'4 - Clé multilignes5'!W39+'4 - Clé multilignes6'!W39+'4 - Clé multilignes7'!W39</f>
        <v>0</v>
      </c>
      <c r="X39" s="171">
        <f>'4 - Clé SALAIRES'!X39+'4 - Clé multilignes1'!X39+'4 - Clé multilignes2'!X39+'4 - Clé multilignes3'!X39+'4 - Clé multilignes4'!X39+'4 - Clé multilignes5'!X39+'4 - Clé multilignes6'!X39+'4 - Clé multilignes7'!X39</f>
        <v>0</v>
      </c>
      <c r="Y39" s="171">
        <f>'4 - Clé SALAIRES'!Y39+'4 - Clé multilignes1'!Y39+'4 - Clé multilignes2'!Y39+'4 - Clé multilignes3'!Y39+'4 - Clé multilignes4'!Y39+'4 - Clé multilignes5'!Y39+'4 - Clé multilignes6'!Y39+'4 - Clé multilignes7'!Y39</f>
        <v>0</v>
      </c>
      <c r="Z39" s="171">
        <f>'4 - Clé SALAIRES'!Z39+'4 - Clé multilignes1'!Z39+'4 - Clé multilignes2'!Z39+'4 - Clé multilignes3'!Z39+'4 - Clé multilignes4'!Z39+'4 - Clé multilignes5'!Z39+'4 - Clé multilignes6'!Z39+'4 - Clé multilignes7'!Z39</f>
        <v>0</v>
      </c>
      <c r="AB39" s="6"/>
      <c r="AC39" s="6"/>
      <c r="AD39" s="6"/>
      <c r="AE39" s="6"/>
    </row>
    <row r="40" spans="1:31" s="182" customFormat="1" ht="12.75" customHeight="1" x14ac:dyDescent="0.25">
      <c r="A40" s="162" t="str">
        <f>Matrice[[#This Row],[Ligne de la matrice]]</f>
        <v>Facturation à l'usager</v>
      </c>
      <c r="B40" s="171">
        <f>'4 - Clé SALAIRES'!B40+'4 - Clé multilignes1'!B40+'4 - Clé multilignes2'!B40+'4 - Clé multilignes3'!B40+'4 - Clé multilignes4'!B40+'4 - Clé multilignes5'!B40+'4 - Clé multilignes6'!B40+'4 - Clé multilignes7'!B40</f>
        <v>0</v>
      </c>
      <c r="C40" s="171">
        <f>'4 - Clé SALAIRES'!C40+'4 - Clé multilignes1'!C40+'4 - Clé multilignes2'!C40+'4 - Clé multilignes3'!C40+'4 - Clé multilignes4'!C40+'4 - Clé multilignes5'!C40+'4 - Clé multilignes6'!C40+'4 - Clé multilignes7'!C40</f>
        <v>0</v>
      </c>
      <c r="D40" s="171">
        <f>'4 - Clé SALAIRES'!D40+'4 - Clé multilignes1'!D40+'4 - Clé multilignes2'!D40+'4 - Clé multilignes3'!D40+'4 - Clé multilignes4'!D40+'4 - Clé multilignes5'!D40+'4 - Clé multilignes6'!D40+'4 - Clé multilignes7'!D40</f>
        <v>0</v>
      </c>
      <c r="E40" s="171">
        <f>'4 - Clé SALAIRES'!E40+'4 - Clé multilignes1'!E40+'4 - Clé multilignes2'!E40+'4 - Clé multilignes3'!E40+'4 - Clé multilignes4'!E40+'4 - Clé multilignes5'!E40+'4 - Clé multilignes6'!E40+'4 - Clé multilignes7'!E40</f>
        <v>0</v>
      </c>
      <c r="F40" s="171">
        <f>'4 - Clé SALAIRES'!F40+'4 - Clé multilignes1'!F40+'4 - Clé multilignes2'!F40+'4 - Clé multilignes3'!F40+'4 - Clé multilignes4'!F40+'4 - Clé multilignes5'!F40+'4 - Clé multilignes6'!F40+'4 - Clé multilignes7'!F40</f>
        <v>0</v>
      </c>
      <c r="G40" s="171">
        <f>'4 - Clé SALAIRES'!G40+'4 - Clé multilignes1'!G40+'4 - Clé multilignes2'!G40+'4 - Clé multilignes3'!G40+'4 - Clé multilignes4'!G40+'4 - Clé multilignes5'!G40+'4 - Clé multilignes6'!G40+'4 - Clé multilignes7'!G40</f>
        <v>0</v>
      </c>
      <c r="H40" s="171">
        <f>'4 - Clé SALAIRES'!H40+'4 - Clé multilignes1'!H40+'4 - Clé multilignes2'!H40+'4 - Clé multilignes3'!H40+'4 - Clé multilignes4'!H40+'4 - Clé multilignes5'!H40+'4 - Clé multilignes6'!H40+'4 - Clé multilignes7'!H40</f>
        <v>0</v>
      </c>
      <c r="I40" s="171">
        <f>'4 - Clé SALAIRES'!I40+'4 - Clé multilignes1'!I40+'4 - Clé multilignes2'!I40+'4 - Clé multilignes3'!I40+'4 - Clé multilignes4'!I40+'4 - Clé multilignes5'!I40+'4 - Clé multilignes6'!I40+'4 - Clé multilignes7'!I40</f>
        <v>0</v>
      </c>
      <c r="J40" s="171">
        <f>'4 - Clé SALAIRES'!J40+'4 - Clé multilignes1'!J40+'4 - Clé multilignes2'!J40+'4 - Clé multilignes3'!J40+'4 - Clé multilignes4'!J40+'4 - Clé multilignes5'!J40+'4 - Clé multilignes6'!J40+'4 - Clé multilignes7'!J40</f>
        <v>0</v>
      </c>
      <c r="K40" s="171">
        <f>'4 - Clé SALAIRES'!K40+'4 - Clé multilignes1'!K40+'4 - Clé multilignes2'!K40+'4 - Clé multilignes3'!K40+'4 - Clé multilignes4'!K40+'4 - Clé multilignes5'!K40+'4 - Clé multilignes6'!K40+'4 - Clé multilignes7'!K40</f>
        <v>0</v>
      </c>
      <c r="L40" s="171">
        <f>'4 - Clé SALAIRES'!L40+'4 - Clé multilignes1'!L40+'4 - Clé multilignes2'!L40+'4 - Clé multilignes3'!L40+'4 - Clé multilignes4'!L40+'4 - Clé multilignes5'!L40+'4 - Clé multilignes6'!L40+'4 - Clé multilignes7'!L40</f>
        <v>0</v>
      </c>
      <c r="M40" s="171">
        <f>'4 - Clé SALAIRES'!M40+'4 - Clé multilignes1'!M40+'4 - Clé multilignes2'!M40+'4 - Clé multilignes3'!M40+'4 - Clé multilignes4'!M40+'4 - Clé multilignes5'!M40+'4 - Clé multilignes6'!M40+'4 - Clé multilignes7'!M40</f>
        <v>0</v>
      </c>
      <c r="N40" s="171">
        <f>'4 - Clé SALAIRES'!N40+'4 - Clé multilignes1'!N40+'4 - Clé multilignes2'!N40+'4 - Clé multilignes3'!N40+'4 - Clé multilignes4'!N40+'4 - Clé multilignes5'!N40+'4 - Clé multilignes6'!N40+'4 - Clé multilignes7'!N40</f>
        <v>0</v>
      </c>
      <c r="O40" s="171">
        <f>'4 - Clé SALAIRES'!O40+'4 - Clé multilignes1'!O40+'4 - Clé multilignes2'!O40+'4 - Clé multilignes3'!O40+'4 - Clé multilignes4'!O40+'4 - Clé multilignes5'!O40+'4 - Clé multilignes6'!O40+'4 - Clé multilignes7'!O40</f>
        <v>0</v>
      </c>
      <c r="P40" s="171">
        <f>'4 - Clé SALAIRES'!P40+'4 - Clé multilignes1'!P40+'4 - Clé multilignes2'!P40+'4 - Clé multilignes3'!P40+'4 - Clé multilignes4'!P40+'4 - Clé multilignes5'!P40+'4 - Clé multilignes6'!P40+'4 - Clé multilignes7'!P40</f>
        <v>0</v>
      </c>
      <c r="Q40" s="171">
        <f>'4 - Clé SALAIRES'!Q40+'4 - Clé multilignes1'!Q40+'4 - Clé multilignes2'!Q40+'4 - Clé multilignes3'!Q40+'4 - Clé multilignes4'!Q40+'4 - Clé multilignes5'!Q40+'4 - Clé multilignes6'!Q40+'4 - Clé multilignes7'!Q40</f>
        <v>0</v>
      </c>
      <c r="R40" s="171">
        <f>'4 - Clé SALAIRES'!R40+'4 - Clé multilignes1'!R40+'4 - Clé multilignes2'!R40+'4 - Clé multilignes3'!R40+'4 - Clé multilignes4'!R40+'4 - Clé multilignes5'!R40+'4 - Clé multilignes6'!R40+'4 - Clé multilignes7'!R40</f>
        <v>0</v>
      </c>
      <c r="S40" s="171">
        <f>'4 - Clé SALAIRES'!S40+'4 - Clé multilignes1'!S40+'4 - Clé multilignes2'!S40+'4 - Clé multilignes3'!S40+'4 - Clé multilignes4'!S40+'4 - Clé multilignes5'!S40+'4 - Clé multilignes6'!S40+'4 - Clé multilignes7'!S40</f>
        <v>0</v>
      </c>
      <c r="T40" s="171">
        <f>'4 - Clé SALAIRES'!T40+'4 - Clé multilignes1'!T40+'4 - Clé multilignes2'!T40+'4 - Clé multilignes3'!T40+'4 - Clé multilignes4'!T40+'4 - Clé multilignes5'!T40+'4 - Clé multilignes6'!T40+'4 - Clé multilignes7'!T40</f>
        <v>0</v>
      </c>
      <c r="U40" s="171">
        <f>'4 - Clé SALAIRES'!U40+'4 - Clé multilignes1'!U40+'4 - Clé multilignes2'!U40+'4 - Clé multilignes3'!U40+'4 - Clé multilignes4'!U40+'4 - Clé multilignes5'!U40+'4 - Clé multilignes6'!U40+'4 - Clé multilignes7'!U40</f>
        <v>0</v>
      </c>
      <c r="V40" s="171">
        <f>'4 - Clé SALAIRES'!V40+'4 - Clé multilignes1'!V40+'4 - Clé multilignes2'!V40+'4 - Clé multilignes3'!V40+'4 - Clé multilignes4'!V40+'4 - Clé multilignes5'!V40+'4 - Clé multilignes6'!V40+'4 - Clé multilignes7'!V40</f>
        <v>0</v>
      </c>
      <c r="W40" s="171">
        <f>'4 - Clé SALAIRES'!W40+'4 - Clé multilignes1'!W40+'4 - Clé multilignes2'!W40+'4 - Clé multilignes3'!W40+'4 - Clé multilignes4'!W40+'4 - Clé multilignes5'!W40+'4 - Clé multilignes6'!W40+'4 - Clé multilignes7'!W40</f>
        <v>0</v>
      </c>
      <c r="X40" s="171">
        <f>'4 - Clé SALAIRES'!X40+'4 - Clé multilignes1'!X40+'4 - Clé multilignes2'!X40+'4 - Clé multilignes3'!X40+'4 - Clé multilignes4'!X40+'4 - Clé multilignes5'!X40+'4 - Clé multilignes6'!X40+'4 - Clé multilignes7'!X40</f>
        <v>0</v>
      </c>
      <c r="Y40" s="171">
        <f>'4 - Clé SALAIRES'!Y40+'4 - Clé multilignes1'!Y40+'4 - Clé multilignes2'!Y40+'4 - Clé multilignes3'!Y40+'4 - Clé multilignes4'!Y40+'4 - Clé multilignes5'!Y40+'4 - Clé multilignes6'!Y40+'4 - Clé multilignes7'!Y40</f>
        <v>0</v>
      </c>
      <c r="Z40" s="171">
        <f>'4 - Clé SALAIRES'!Z40+'4 - Clé multilignes1'!Z40+'4 - Clé multilignes2'!Z40+'4 - Clé multilignes3'!Z40+'4 - Clé multilignes4'!Z40+'4 - Clé multilignes5'!Z40+'4 - Clé multilignes6'!Z40+'4 - Clé multilignes7'!Z40</f>
        <v>0</v>
      </c>
      <c r="AB40" s="6"/>
      <c r="AC40" s="6"/>
      <c r="AD40" s="6"/>
      <c r="AE40" s="6"/>
    </row>
    <row r="41" spans="1:31" s="182" customFormat="1" ht="12.75" customHeight="1" x14ac:dyDescent="0.25">
      <c r="A41" s="162" t="str">
        <f>Matrice[[#This Row],[Ligne de la matrice]]</f>
        <v>Contribution des collectivités</v>
      </c>
      <c r="B41" s="171">
        <f>'4 - Clé SALAIRES'!B41+'4 - Clé multilignes1'!B41+'4 - Clé multilignes2'!B41+'4 - Clé multilignes3'!B41+'4 - Clé multilignes4'!B41+'4 - Clé multilignes5'!B41+'4 - Clé multilignes6'!B41+'4 - Clé multilignes7'!B41</f>
        <v>0</v>
      </c>
      <c r="C41" s="171">
        <f>'4 - Clé SALAIRES'!C41+'4 - Clé multilignes1'!C41+'4 - Clé multilignes2'!C41+'4 - Clé multilignes3'!C41+'4 - Clé multilignes4'!C41+'4 - Clé multilignes5'!C41+'4 - Clé multilignes6'!C41+'4 - Clé multilignes7'!C41</f>
        <v>0</v>
      </c>
      <c r="D41" s="171">
        <f>'4 - Clé SALAIRES'!D41+'4 - Clé multilignes1'!D41+'4 - Clé multilignes2'!D41+'4 - Clé multilignes3'!D41+'4 - Clé multilignes4'!D41+'4 - Clé multilignes5'!D41+'4 - Clé multilignes6'!D41+'4 - Clé multilignes7'!D41</f>
        <v>0</v>
      </c>
      <c r="E41" s="171">
        <f>'4 - Clé SALAIRES'!E41+'4 - Clé multilignes1'!E41+'4 - Clé multilignes2'!E41+'4 - Clé multilignes3'!E41+'4 - Clé multilignes4'!E41+'4 - Clé multilignes5'!E41+'4 - Clé multilignes6'!E41+'4 - Clé multilignes7'!E41</f>
        <v>0</v>
      </c>
      <c r="F41" s="171">
        <f>'4 - Clé SALAIRES'!F41+'4 - Clé multilignes1'!F41+'4 - Clé multilignes2'!F41+'4 - Clé multilignes3'!F41+'4 - Clé multilignes4'!F41+'4 - Clé multilignes5'!F41+'4 - Clé multilignes6'!F41+'4 - Clé multilignes7'!F41</f>
        <v>0</v>
      </c>
      <c r="G41" s="171">
        <f>'4 - Clé SALAIRES'!G41+'4 - Clé multilignes1'!G41+'4 - Clé multilignes2'!G41+'4 - Clé multilignes3'!G41+'4 - Clé multilignes4'!G41+'4 - Clé multilignes5'!G41+'4 - Clé multilignes6'!G41+'4 - Clé multilignes7'!G41</f>
        <v>0</v>
      </c>
      <c r="H41" s="171">
        <f>'4 - Clé SALAIRES'!H41+'4 - Clé multilignes1'!H41+'4 - Clé multilignes2'!H41+'4 - Clé multilignes3'!H41+'4 - Clé multilignes4'!H41+'4 - Clé multilignes5'!H41+'4 - Clé multilignes6'!H41+'4 - Clé multilignes7'!H41</f>
        <v>0</v>
      </c>
      <c r="I41" s="171">
        <f>'4 - Clé SALAIRES'!I41+'4 - Clé multilignes1'!I41+'4 - Clé multilignes2'!I41+'4 - Clé multilignes3'!I41+'4 - Clé multilignes4'!I41+'4 - Clé multilignes5'!I41+'4 - Clé multilignes6'!I41+'4 - Clé multilignes7'!I41</f>
        <v>0</v>
      </c>
      <c r="J41" s="171">
        <f>'4 - Clé SALAIRES'!J41+'4 - Clé multilignes1'!J41+'4 - Clé multilignes2'!J41+'4 - Clé multilignes3'!J41+'4 - Clé multilignes4'!J41+'4 - Clé multilignes5'!J41+'4 - Clé multilignes6'!J41+'4 - Clé multilignes7'!J41</f>
        <v>0</v>
      </c>
      <c r="K41" s="171">
        <f>'4 - Clé SALAIRES'!K41+'4 - Clé multilignes1'!K41+'4 - Clé multilignes2'!K41+'4 - Clé multilignes3'!K41+'4 - Clé multilignes4'!K41+'4 - Clé multilignes5'!K41+'4 - Clé multilignes6'!K41+'4 - Clé multilignes7'!K41</f>
        <v>0</v>
      </c>
      <c r="L41" s="171">
        <f>'4 - Clé SALAIRES'!L41+'4 - Clé multilignes1'!L41+'4 - Clé multilignes2'!L41+'4 - Clé multilignes3'!L41+'4 - Clé multilignes4'!L41+'4 - Clé multilignes5'!L41+'4 - Clé multilignes6'!L41+'4 - Clé multilignes7'!L41</f>
        <v>0</v>
      </c>
      <c r="M41" s="171">
        <f>'4 - Clé SALAIRES'!M41+'4 - Clé multilignes1'!M41+'4 - Clé multilignes2'!M41+'4 - Clé multilignes3'!M41+'4 - Clé multilignes4'!M41+'4 - Clé multilignes5'!M41+'4 - Clé multilignes6'!M41+'4 - Clé multilignes7'!M41</f>
        <v>0</v>
      </c>
      <c r="N41" s="171">
        <f>'4 - Clé SALAIRES'!N41+'4 - Clé multilignes1'!N41+'4 - Clé multilignes2'!N41+'4 - Clé multilignes3'!N41+'4 - Clé multilignes4'!N41+'4 - Clé multilignes5'!N41+'4 - Clé multilignes6'!N41+'4 - Clé multilignes7'!N41</f>
        <v>0</v>
      </c>
      <c r="O41" s="171">
        <f>'4 - Clé SALAIRES'!O41+'4 - Clé multilignes1'!O41+'4 - Clé multilignes2'!O41+'4 - Clé multilignes3'!O41+'4 - Clé multilignes4'!O41+'4 - Clé multilignes5'!O41+'4 - Clé multilignes6'!O41+'4 - Clé multilignes7'!O41</f>
        <v>0</v>
      </c>
      <c r="P41" s="171">
        <f>'4 - Clé SALAIRES'!P41+'4 - Clé multilignes1'!P41+'4 - Clé multilignes2'!P41+'4 - Clé multilignes3'!P41+'4 - Clé multilignes4'!P41+'4 - Clé multilignes5'!P41+'4 - Clé multilignes6'!P41+'4 - Clé multilignes7'!P41</f>
        <v>0</v>
      </c>
      <c r="Q41" s="171">
        <f>'4 - Clé SALAIRES'!Q41+'4 - Clé multilignes1'!Q41+'4 - Clé multilignes2'!Q41+'4 - Clé multilignes3'!Q41+'4 - Clé multilignes4'!Q41+'4 - Clé multilignes5'!Q41+'4 - Clé multilignes6'!Q41+'4 - Clé multilignes7'!Q41</f>
        <v>0</v>
      </c>
      <c r="R41" s="171">
        <f>'4 - Clé SALAIRES'!R41+'4 - Clé multilignes1'!R41+'4 - Clé multilignes2'!R41+'4 - Clé multilignes3'!R41+'4 - Clé multilignes4'!R41+'4 - Clé multilignes5'!R41+'4 - Clé multilignes6'!R41+'4 - Clé multilignes7'!R41</f>
        <v>0</v>
      </c>
      <c r="S41" s="171">
        <f>'4 - Clé SALAIRES'!S41+'4 - Clé multilignes1'!S41+'4 - Clé multilignes2'!S41+'4 - Clé multilignes3'!S41+'4 - Clé multilignes4'!S41+'4 - Clé multilignes5'!S41+'4 - Clé multilignes6'!S41+'4 - Clé multilignes7'!S41</f>
        <v>0</v>
      </c>
      <c r="T41" s="171">
        <f>'4 - Clé SALAIRES'!T41+'4 - Clé multilignes1'!T41+'4 - Clé multilignes2'!T41+'4 - Clé multilignes3'!T41+'4 - Clé multilignes4'!T41+'4 - Clé multilignes5'!T41+'4 - Clé multilignes6'!T41+'4 - Clé multilignes7'!T41</f>
        <v>0</v>
      </c>
      <c r="U41" s="171">
        <f>'4 - Clé SALAIRES'!U41+'4 - Clé multilignes1'!U41+'4 - Clé multilignes2'!U41+'4 - Clé multilignes3'!U41+'4 - Clé multilignes4'!U41+'4 - Clé multilignes5'!U41+'4 - Clé multilignes6'!U41+'4 - Clé multilignes7'!U41</f>
        <v>0</v>
      </c>
      <c r="V41" s="171">
        <f>'4 - Clé SALAIRES'!V41+'4 - Clé multilignes1'!V41+'4 - Clé multilignes2'!V41+'4 - Clé multilignes3'!V41+'4 - Clé multilignes4'!V41+'4 - Clé multilignes5'!V41+'4 - Clé multilignes6'!V41+'4 - Clé multilignes7'!V41</f>
        <v>0</v>
      </c>
      <c r="W41" s="171">
        <f>'4 - Clé SALAIRES'!W41+'4 - Clé multilignes1'!W41+'4 - Clé multilignes2'!W41+'4 - Clé multilignes3'!W41+'4 - Clé multilignes4'!W41+'4 - Clé multilignes5'!W41+'4 - Clé multilignes6'!W41+'4 - Clé multilignes7'!W41</f>
        <v>0</v>
      </c>
      <c r="X41" s="171">
        <f>'4 - Clé SALAIRES'!X41+'4 - Clé multilignes1'!X41+'4 - Clé multilignes2'!X41+'4 - Clé multilignes3'!X41+'4 - Clé multilignes4'!X41+'4 - Clé multilignes5'!X41+'4 - Clé multilignes6'!X41+'4 - Clé multilignes7'!X41</f>
        <v>0</v>
      </c>
      <c r="Y41" s="171">
        <f>'4 - Clé SALAIRES'!Y41+'4 - Clé multilignes1'!Y41+'4 - Clé multilignes2'!Y41+'4 - Clé multilignes3'!Y41+'4 - Clé multilignes4'!Y41+'4 - Clé multilignes5'!Y41+'4 - Clé multilignes6'!Y41+'4 - Clé multilignes7'!Y41</f>
        <v>0</v>
      </c>
      <c r="Z41" s="171">
        <f>'4 - Clé SALAIRES'!Z41+'4 - Clé multilignes1'!Z41+'4 - Clé multilignes2'!Z41+'4 - Clé multilignes3'!Z41+'4 - Clé multilignes4'!Z41+'4 - Clé multilignes5'!Z41+'4 - Clé multilignes6'!Z41+'4 - Clé multilignes7'!Z41</f>
        <v>0</v>
      </c>
      <c r="AB41" s="6"/>
      <c r="AC41" s="6"/>
      <c r="AD41" s="6"/>
      <c r="AE41" s="6"/>
    </row>
    <row r="42" spans="1:31" s="182" customFormat="1" ht="12.75" customHeight="1" x14ac:dyDescent="0.25">
      <c r="A42" s="174"/>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B42" s="6"/>
      <c r="AC42" s="6"/>
      <c r="AD42" s="6"/>
      <c r="AE42" s="6"/>
    </row>
    <row r="43" spans="1:31" s="6" customFormat="1" ht="12.75" customHeight="1" x14ac:dyDescent="0.25">
      <c r="A43" s="183"/>
    </row>
    <row r="44" spans="1:31" x14ac:dyDescent="0.25">
      <c r="A44" s="162" t="str">
        <f>Matrice[[#This Row],[Ligne de la matrice]]</f>
        <v>Exemple : REG incinération / énergie</v>
      </c>
      <c r="B44" s="171">
        <f>'4 - Clé SALAIRES'!B44+'4 - Clé multilignes1'!B44+'4 - Clé multilignes2'!B44+'4 - Clé multilignes3'!B44+'4 - Clé multilignes4'!B44+'4 - Clé multilignes5'!B44+'4 - Clé multilignes6'!B44+'4 - Clé multilignes7'!B44</f>
        <v>0</v>
      </c>
      <c r="C44" s="171">
        <f>'4 - Clé SALAIRES'!C44+'4 - Clé multilignes1'!C44+'4 - Clé multilignes2'!C44+'4 - Clé multilignes3'!C44+'4 - Clé multilignes4'!C44+'4 - Clé multilignes5'!C44+'4 - Clé multilignes6'!C44+'4 - Clé multilignes7'!C44</f>
        <v>0</v>
      </c>
      <c r="D44" s="171">
        <f>'4 - Clé SALAIRES'!D44+'4 - Clé multilignes1'!D44+'4 - Clé multilignes2'!D44+'4 - Clé multilignes3'!D44+'4 - Clé multilignes4'!D44+'4 - Clé multilignes5'!D44+'4 - Clé multilignes6'!D44+'4 - Clé multilignes7'!D44</f>
        <v>0</v>
      </c>
      <c r="E44" s="171">
        <f>'4 - Clé SALAIRES'!E44+'4 - Clé multilignes1'!E44+'4 - Clé multilignes2'!E44+'4 - Clé multilignes3'!E44+'4 - Clé multilignes4'!E44+'4 - Clé multilignes5'!E44+'4 - Clé multilignes6'!E44+'4 - Clé multilignes7'!E44</f>
        <v>0</v>
      </c>
      <c r="F44" s="171">
        <f>'4 - Clé SALAIRES'!F44+'4 - Clé multilignes1'!F44+'4 - Clé multilignes2'!F44+'4 - Clé multilignes3'!F44+'4 - Clé multilignes4'!F44+'4 - Clé multilignes5'!F44+'4 - Clé multilignes6'!F44+'4 - Clé multilignes7'!F44</f>
        <v>0</v>
      </c>
      <c r="G44" s="171">
        <f>'4 - Clé SALAIRES'!G44+'4 - Clé multilignes1'!G44+'4 - Clé multilignes2'!G44+'4 - Clé multilignes3'!G44+'4 - Clé multilignes4'!G44+'4 - Clé multilignes5'!G44+'4 - Clé multilignes6'!G44+'4 - Clé multilignes7'!G44</f>
        <v>0</v>
      </c>
      <c r="H44" s="171">
        <f>'4 - Clé SALAIRES'!H44+'4 - Clé multilignes1'!H44+'4 - Clé multilignes2'!H44+'4 - Clé multilignes3'!H44+'4 - Clé multilignes4'!H44+'4 - Clé multilignes5'!H44+'4 - Clé multilignes6'!H44+'4 - Clé multilignes7'!H44</f>
        <v>0</v>
      </c>
      <c r="I44" s="171">
        <f>'4 - Clé SALAIRES'!I44+'4 - Clé multilignes1'!I44+'4 - Clé multilignes2'!I44+'4 - Clé multilignes3'!I44+'4 - Clé multilignes4'!I44+'4 - Clé multilignes5'!I44+'4 - Clé multilignes6'!I44+'4 - Clé multilignes7'!I44</f>
        <v>0</v>
      </c>
      <c r="J44" s="171">
        <f>'4 - Clé SALAIRES'!J44+'4 - Clé multilignes1'!J44+'4 - Clé multilignes2'!J44+'4 - Clé multilignes3'!J44+'4 - Clé multilignes4'!J44+'4 - Clé multilignes5'!J44+'4 - Clé multilignes6'!J44+'4 - Clé multilignes7'!J44</f>
        <v>0</v>
      </c>
      <c r="K44" s="171">
        <f>'4 - Clé SALAIRES'!K44+'4 - Clé multilignes1'!K44+'4 - Clé multilignes2'!K44+'4 - Clé multilignes3'!K44+'4 - Clé multilignes4'!K44+'4 - Clé multilignes5'!K44+'4 - Clé multilignes6'!K44+'4 - Clé multilignes7'!K44</f>
        <v>0</v>
      </c>
      <c r="L44" s="171">
        <f>'4 - Clé SALAIRES'!L44+'4 - Clé multilignes1'!L44+'4 - Clé multilignes2'!L44+'4 - Clé multilignes3'!L44+'4 - Clé multilignes4'!L44+'4 - Clé multilignes5'!L44+'4 - Clé multilignes6'!L44+'4 - Clé multilignes7'!L44</f>
        <v>0</v>
      </c>
      <c r="M44" s="171">
        <f>'4 - Clé SALAIRES'!M44+'4 - Clé multilignes1'!M44+'4 - Clé multilignes2'!M44+'4 - Clé multilignes3'!M44+'4 - Clé multilignes4'!M44+'4 - Clé multilignes5'!M44+'4 - Clé multilignes6'!M44+'4 - Clé multilignes7'!M44</f>
        <v>0</v>
      </c>
      <c r="N44" s="171">
        <f>'4 - Clé SALAIRES'!N44+'4 - Clé multilignes1'!N44+'4 - Clé multilignes2'!N44+'4 - Clé multilignes3'!N44+'4 - Clé multilignes4'!N44+'4 - Clé multilignes5'!N44+'4 - Clé multilignes6'!N44+'4 - Clé multilignes7'!N44</f>
        <v>0</v>
      </c>
      <c r="O44" s="171">
        <f>'4 - Clé SALAIRES'!O44+'4 - Clé multilignes1'!O44+'4 - Clé multilignes2'!O44+'4 - Clé multilignes3'!O44+'4 - Clé multilignes4'!O44+'4 - Clé multilignes5'!O44+'4 - Clé multilignes6'!O44+'4 - Clé multilignes7'!O44</f>
        <v>0</v>
      </c>
      <c r="P44" s="171">
        <f>'4 - Clé SALAIRES'!P44+'4 - Clé multilignes1'!P44+'4 - Clé multilignes2'!P44+'4 - Clé multilignes3'!P44+'4 - Clé multilignes4'!P44+'4 - Clé multilignes5'!P44+'4 - Clé multilignes6'!P44+'4 - Clé multilignes7'!P44</f>
        <v>0</v>
      </c>
      <c r="Q44" s="171">
        <f>'4 - Clé SALAIRES'!Q44+'4 - Clé multilignes1'!Q44+'4 - Clé multilignes2'!Q44+'4 - Clé multilignes3'!Q44+'4 - Clé multilignes4'!Q44+'4 - Clé multilignes5'!Q44+'4 - Clé multilignes6'!Q44+'4 - Clé multilignes7'!Q44</f>
        <v>0</v>
      </c>
      <c r="R44" s="171">
        <f>'4 - Clé SALAIRES'!R44+'4 - Clé multilignes1'!R44+'4 - Clé multilignes2'!R44+'4 - Clé multilignes3'!R44+'4 - Clé multilignes4'!R44+'4 - Clé multilignes5'!R44+'4 - Clé multilignes6'!R44+'4 - Clé multilignes7'!R44</f>
        <v>0</v>
      </c>
      <c r="S44" s="171">
        <f>'4 - Clé SALAIRES'!S44+'4 - Clé multilignes1'!S44+'4 - Clé multilignes2'!S44+'4 - Clé multilignes3'!S44+'4 - Clé multilignes4'!S44+'4 - Clé multilignes5'!S44+'4 - Clé multilignes6'!S44+'4 - Clé multilignes7'!S44</f>
        <v>0</v>
      </c>
      <c r="T44" s="171">
        <f>'4 - Clé SALAIRES'!T44+'4 - Clé multilignes1'!T44+'4 - Clé multilignes2'!T44+'4 - Clé multilignes3'!T44+'4 - Clé multilignes4'!T44+'4 - Clé multilignes5'!T44+'4 - Clé multilignes6'!T44+'4 - Clé multilignes7'!T44</f>
        <v>0</v>
      </c>
      <c r="U44" s="171">
        <f>'4 - Clé SALAIRES'!U44+'4 - Clé multilignes1'!U44+'4 - Clé multilignes2'!U44+'4 - Clé multilignes3'!U44+'4 - Clé multilignes4'!U44+'4 - Clé multilignes5'!U44+'4 - Clé multilignes6'!U44+'4 - Clé multilignes7'!U44</f>
        <v>0</v>
      </c>
      <c r="V44" s="171">
        <f>'4 - Clé SALAIRES'!V44+'4 - Clé multilignes1'!V44+'4 - Clé multilignes2'!V44+'4 - Clé multilignes3'!V44+'4 - Clé multilignes4'!V44+'4 - Clé multilignes5'!V44+'4 - Clé multilignes6'!V44+'4 - Clé multilignes7'!V44</f>
        <v>0</v>
      </c>
      <c r="W44" s="171">
        <f>'4 - Clé SALAIRES'!W44+'4 - Clé multilignes1'!W44+'4 - Clé multilignes2'!W44+'4 - Clé multilignes3'!W44+'4 - Clé multilignes4'!W44+'4 - Clé multilignes5'!W44+'4 - Clé multilignes6'!W44+'4 - Clé multilignes7'!W44</f>
        <v>0</v>
      </c>
      <c r="X44" s="171">
        <f>'4 - Clé SALAIRES'!X44+'4 - Clé multilignes1'!X44+'4 - Clé multilignes2'!X44+'4 - Clé multilignes3'!X44+'4 - Clé multilignes4'!X44+'4 - Clé multilignes5'!X44+'4 - Clé multilignes6'!X44+'4 - Clé multilignes7'!X44</f>
        <v>0</v>
      </c>
      <c r="Y44" s="171">
        <f>'4 - Clé SALAIRES'!Y44+'4 - Clé multilignes1'!Y44+'4 - Clé multilignes2'!Y44+'4 - Clé multilignes3'!Y44+'4 - Clé multilignes4'!Y44+'4 - Clé multilignes5'!Y44+'4 - Clé multilignes6'!Y44+'4 - Clé multilignes7'!Y44</f>
        <v>0</v>
      </c>
      <c r="Z44" s="171">
        <f>'4 - Clé SALAIRES'!Z44+'4 - Clé multilignes1'!Z44+'4 - Clé multilignes2'!Z44+'4 - Clé multilignes3'!Z44+'4 - Clé multilignes4'!Z44+'4 - Clé multilignes5'!Z44+'4 - Clé multilignes6'!Z44+'4 - Clé multilignes7'!Z44</f>
        <v>0</v>
      </c>
    </row>
    <row r="45" spans="1:31" x14ac:dyDescent="0.25">
      <c r="A45" s="162">
        <f>Matrice[[#This Row],[Ligne de la matrice]]</f>
        <v>0</v>
      </c>
      <c r="B45" s="171">
        <f>'4 - Clé SALAIRES'!B45+'4 - Clé multilignes1'!B45+'4 - Clé multilignes2'!B45+'4 - Clé multilignes3'!B45+'4 - Clé multilignes4'!B45+'4 - Clé multilignes5'!B45+'4 - Clé multilignes6'!B45+'4 - Clé multilignes7'!B45</f>
        <v>0</v>
      </c>
      <c r="C45" s="171">
        <f>'4 - Clé SALAIRES'!C45+'4 - Clé multilignes1'!C45+'4 - Clé multilignes2'!C45+'4 - Clé multilignes3'!C45+'4 - Clé multilignes4'!C45+'4 - Clé multilignes5'!C45+'4 - Clé multilignes6'!C45+'4 - Clé multilignes7'!C45</f>
        <v>0</v>
      </c>
      <c r="D45" s="171">
        <f>'4 - Clé SALAIRES'!D45+'4 - Clé multilignes1'!D45+'4 - Clé multilignes2'!D45+'4 - Clé multilignes3'!D45+'4 - Clé multilignes4'!D45+'4 - Clé multilignes5'!D45+'4 - Clé multilignes6'!D45+'4 - Clé multilignes7'!D45</f>
        <v>0</v>
      </c>
      <c r="E45" s="171">
        <f>'4 - Clé SALAIRES'!E45+'4 - Clé multilignes1'!E45+'4 - Clé multilignes2'!E45+'4 - Clé multilignes3'!E45+'4 - Clé multilignes4'!E45+'4 - Clé multilignes5'!E45+'4 - Clé multilignes6'!E45+'4 - Clé multilignes7'!E45</f>
        <v>0</v>
      </c>
      <c r="F45" s="171">
        <f>'4 - Clé SALAIRES'!F45+'4 - Clé multilignes1'!F45+'4 - Clé multilignes2'!F45+'4 - Clé multilignes3'!F45+'4 - Clé multilignes4'!F45+'4 - Clé multilignes5'!F45+'4 - Clé multilignes6'!F45+'4 - Clé multilignes7'!F45</f>
        <v>0</v>
      </c>
      <c r="G45" s="171">
        <f>'4 - Clé SALAIRES'!G45+'4 - Clé multilignes1'!G45+'4 - Clé multilignes2'!G45+'4 - Clé multilignes3'!G45+'4 - Clé multilignes4'!G45+'4 - Clé multilignes5'!G45+'4 - Clé multilignes6'!G45+'4 - Clé multilignes7'!G45</f>
        <v>0</v>
      </c>
      <c r="H45" s="171">
        <f>'4 - Clé SALAIRES'!H45+'4 - Clé multilignes1'!H45+'4 - Clé multilignes2'!H45+'4 - Clé multilignes3'!H45+'4 - Clé multilignes4'!H45+'4 - Clé multilignes5'!H45+'4 - Clé multilignes6'!H45+'4 - Clé multilignes7'!H45</f>
        <v>0</v>
      </c>
      <c r="I45" s="171">
        <f>'4 - Clé SALAIRES'!I45+'4 - Clé multilignes1'!I45+'4 - Clé multilignes2'!I45+'4 - Clé multilignes3'!I45+'4 - Clé multilignes4'!I45+'4 - Clé multilignes5'!I45+'4 - Clé multilignes6'!I45+'4 - Clé multilignes7'!I45</f>
        <v>0</v>
      </c>
      <c r="J45" s="171">
        <f>'4 - Clé SALAIRES'!J45+'4 - Clé multilignes1'!J45+'4 - Clé multilignes2'!J45+'4 - Clé multilignes3'!J45+'4 - Clé multilignes4'!J45+'4 - Clé multilignes5'!J45+'4 - Clé multilignes6'!J45+'4 - Clé multilignes7'!J45</f>
        <v>0</v>
      </c>
      <c r="K45" s="171">
        <f>'4 - Clé SALAIRES'!K45+'4 - Clé multilignes1'!K45+'4 - Clé multilignes2'!K45+'4 - Clé multilignes3'!K45+'4 - Clé multilignes4'!K45+'4 - Clé multilignes5'!K45+'4 - Clé multilignes6'!K45+'4 - Clé multilignes7'!K45</f>
        <v>0</v>
      </c>
      <c r="L45" s="171">
        <f>'4 - Clé SALAIRES'!L45+'4 - Clé multilignes1'!L45+'4 - Clé multilignes2'!L45+'4 - Clé multilignes3'!L45+'4 - Clé multilignes4'!L45+'4 - Clé multilignes5'!L45+'4 - Clé multilignes6'!L45+'4 - Clé multilignes7'!L45</f>
        <v>0</v>
      </c>
      <c r="M45" s="171">
        <f>'4 - Clé SALAIRES'!M45+'4 - Clé multilignes1'!M45+'4 - Clé multilignes2'!M45+'4 - Clé multilignes3'!M45+'4 - Clé multilignes4'!M45+'4 - Clé multilignes5'!M45+'4 - Clé multilignes6'!M45+'4 - Clé multilignes7'!M45</f>
        <v>0</v>
      </c>
      <c r="N45" s="171">
        <f>'4 - Clé SALAIRES'!N45+'4 - Clé multilignes1'!N45+'4 - Clé multilignes2'!N45+'4 - Clé multilignes3'!N45+'4 - Clé multilignes4'!N45+'4 - Clé multilignes5'!N45+'4 - Clé multilignes6'!N45+'4 - Clé multilignes7'!N45</f>
        <v>0</v>
      </c>
      <c r="O45" s="171">
        <f>'4 - Clé SALAIRES'!O45+'4 - Clé multilignes1'!O45+'4 - Clé multilignes2'!O45+'4 - Clé multilignes3'!O45+'4 - Clé multilignes4'!O45+'4 - Clé multilignes5'!O45+'4 - Clé multilignes6'!O45+'4 - Clé multilignes7'!O45</f>
        <v>0</v>
      </c>
      <c r="P45" s="171">
        <f>'4 - Clé SALAIRES'!P45+'4 - Clé multilignes1'!P45+'4 - Clé multilignes2'!P45+'4 - Clé multilignes3'!P45+'4 - Clé multilignes4'!P45+'4 - Clé multilignes5'!P45+'4 - Clé multilignes6'!P45+'4 - Clé multilignes7'!P45</f>
        <v>0</v>
      </c>
      <c r="Q45" s="171">
        <f>'4 - Clé SALAIRES'!Q45+'4 - Clé multilignes1'!Q45+'4 - Clé multilignes2'!Q45+'4 - Clé multilignes3'!Q45+'4 - Clé multilignes4'!Q45+'4 - Clé multilignes5'!Q45+'4 - Clé multilignes6'!Q45+'4 - Clé multilignes7'!Q45</f>
        <v>0</v>
      </c>
      <c r="R45" s="171">
        <f>'4 - Clé SALAIRES'!R45+'4 - Clé multilignes1'!R45+'4 - Clé multilignes2'!R45+'4 - Clé multilignes3'!R45+'4 - Clé multilignes4'!R45+'4 - Clé multilignes5'!R45+'4 - Clé multilignes6'!R45+'4 - Clé multilignes7'!R45</f>
        <v>0</v>
      </c>
      <c r="S45" s="171">
        <f>'4 - Clé SALAIRES'!S45+'4 - Clé multilignes1'!S45+'4 - Clé multilignes2'!S45+'4 - Clé multilignes3'!S45+'4 - Clé multilignes4'!S45+'4 - Clé multilignes5'!S45+'4 - Clé multilignes6'!S45+'4 - Clé multilignes7'!S45</f>
        <v>0</v>
      </c>
      <c r="T45" s="171">
        <f>'4 - Clé SALAIRES'!T45+'4 - Clé multilignes1'!T45+'4 - Clé multilignes2'!T45+'4 - Clé multilignes3'!T45+'4 - Clé multilignes4'!T45+'4 - Clé multilignes5'!T45+'4 - Clé multilignes6'!T45+'4 - Clé multilignes7'!T45</f>
        <v>0</v>
      </c>
      <c r="U45" s="171">
        <f>'4 - Clé SALAIRES'!U45+'4 - Clé multilignes1'!U45+'4 - Clé multilignes2'!U45+'4 - Clé multilignes3'!U45+'4 - Clé multilignes4'!U45+'4 - Clé multilignes5'!U45+'4 - Clé multilignes6'!U45+'4 - Clé multilignes7'!U45</f>
        <v>0</v>
      </c>
      <c r="V45" s="171">
        <f>'4 - Clé SALAIRES'!V45+'4 - Clé multilignes1'!V45+'4 - Clé multilignes2'!V45+'4 - Clé multilignes3'!V45+'4 - Clé multilignes4'!V45+'4 - Clé multilignes5'!V45+'4 - Clé multilignes6'!V45+'4 - Clé multilignes7'!V45</f>
        <v>0</v>
      </c>
      <c r="W45" s="171">
        <f>'4 - Clé SALAIRES'!W45+'4 - Clé multilignes1'!W45+'4 - Clé multilignes2'!W45+'4 - Clé multilignes3'!W45+'4 - Clé multilignes4'!W45+'4 - Clé multilignes5'!W45+'4 - Clé multilignes6'!W45+'4 - Clé multilignes7'!W45</f>
        <v>0</v>
      </c>
      <c r="X45" s="171">
        <f>'4 - Clé SALAIRES'!X45+'4 - Clé multilignes1'!X45+'4 - Clé multilignes2'!X45+'4 - Clé multilignes3'!X45+'4 - Clé multilignes4'!X45+'4 - Clé multilignes5'!X45+'4 - Clé multilignes6'!X45+'4 - Clé multilignes7'!X45</f>
        <v>0</v>
      </c>
      <c r="Y45" s="171">
        <f>'4 - Clé SALAIRES'!Y45+'4 - Clé multilignes1'!Y45+'4 - Clé multilignes2'!Y45+'4 - Clé multilignes3'!Y45+'4 - Clé multilignes4'!Y45+'4 - Clé multilignes5'!Y45+'4 - Clé multilignes6'!Y45+'4 - Clé multilignes7'!Y45</f>
        <v>0</v>
      </c>
      <c r="Z45" s="171">
        <f>'4 - Clé SALAIRES'!Z45+'4 - Clé multilignes1'!Z45+'4 - Clé multilignes2'!Z45+'4 - Clé multilignes3'!Z45+'4 - Clé multilignes4'!Z45+'4 - Clé multilignes5'!Z45+'4 - Clé multilignes6'!Z45+'4 - Clé multilignes7'!Z45</f>
        <v>0</v>
      </c>
    </row>
    <row r="46" spans="1:31" x14ac:dyDescent="0.25">
      <c r="A46" s="162">
        <f>Matrice[[#This Row],[Ligne de la matrice]]</f>
        <v>0</v>
      </c>
      <c r="B46" s="171">
        <f>'4 - Clé SALAIRES'!B46+'4 - Clé multilignes1'!B46+'4 - Clé multilignes2'!B46+'4 - Clé multilignes3'!B46+'4 - Clé multilignes4'!B46+'4 - Clé multilignes5'!B46+'4 - Clé multilignes6'!B46+'4 - Clé multilignes7'!B46</f>
        <v>0</v>
      </c>
      <c r="C46" s="171">
        <f>'4 - Clé SALAIRES'!C46+'4 - Clé multilignes1'!C46+'4 - Clé multilignes2'!C46+'4 - Clé multilignes3'!C46+'4 - Clé multilignes4'!C46+'4 - Clé multilignes5'!C46+'4 - Clé multilignes6'!C46+'4 - Clé multilignes7'!C46</f>
        <v>0</v>
      </c>
      <c r="D46" s="171">
        <f>'4 - Clé SALAIRES'!D46+'4 - Clé multilignes1'!D46+'4 - Clé multilignes2'!D46+'4 - Clé multilignes3'!D46+'4 - Clé multilignes4'!D46+'4 - Clé multilignes5'!D46+'4 - Clé multilignes6'!D46+'4 - Clé multilignes7'!D46</f>
        <v>0</v>
      </c>
      <c r="E46" s="171">
        <f>'4 - Clé SALAIRES'!E46+'4 - Clé multilignes1'!E46+'4 - Clé multilignes2'!E46+'4 - Clé multilignes3'!E46+'4 - Clé multilignes4'!E46+'4 - Clé multilignes5'!E46+'4 - Clé multilignes6'!E46+'4 - Clé multilignes7'!E46</f>
        <v>0</v>
      </c>
      <c r="F46" s="171">
        <f>'4 - Clé SALAIRES'!F46+'4 - Clé multilignes1'!F46+'4 - Clé multilignes2'!F46+'4 - Clé multilignes3'!F46+'4 - Clé multilignes4'!F46+'4 - Clé multilignes5'!F46+'4 - Clé multilignes6'!F46+'4 - Clé multilignes7'!F46</f>
        <v>0</v>
      </c>
      <c r="G46" s="171">
        <f>'4 - Clé SALAIRES'!G46+'4 - Clé multilignes1'!G46+'4 - Clé multilignes2'!G46+'4 - Clé multilignes3'!G46+'4 - Clé multilignes4'!G46+'4 - Clé multilignes5'!G46+'4 - Clé multilignes6'!G46+'4 - Clé multilignes7'!G46</f>
        <v>0</v>
      </c>
      <c r="H46" s="171">
        <f>'4 - Clé SALAIRES'!H46+'4 - Clé multilignes1'!H46+'4 - Clé multilignes2'!H46+'4 - Clé multilignes3'!H46+'4 - Clé multilignes4'!H46+'4 - Clé multilignes5'!H46+'4 - Clé multilignes6'!H46+'4 - Clé multilignes7'!H46</f>
        <v>0</v>
      </c>
      <c r="I46" s="171">
        <f>'4 - Clé SALAIRES'!I46+'4 - Clé multilignes1'!I46+'4 - Clé multilignes2'!I46+'4 - Clé multilignes3'!I46+'4 - Clé multilignes4'!I46+'4 - Clé multilignes5'!I46+'4 - Clé multilignes6'!I46+'4 - Clé multilignes7'!I46</f>
        <v>0</v>
      </c>
      <c r="J46" s="171">
        <f>'4 - Clé SALAIRES'!J46+'4 - Clé multilignes1'!J46+'4 - Clé multilignes2'!J46+'4 - Clé multilignes3'!J46+'4 - Clé multilignes4'!J46+'4 - Clé multilignes5'!J46+'4 - Clé multilignes6'!J46+'4 - Clé multilignes7'!J46</f>
        <v>0</v>
      </c>
      <c r="K46" s="171">
        <f>'4 - Clé SALAIRES'!K46+'4 - Clé multilignes1'!K46+'4 - Clé multilignes2'!K46+'4 - Clé multilignes3'!K46+'4 - Clé multilignes4'!K46+'4 - Clé multilignes5'!K46+'4 - Clé multilignes6'!K46+'4 - Clé multilignes7'!K46</f>
        <v>0</v>
      </c>
      <c r="L46" s="171">
        <f>'4 - Clé SALAIRES'!L46+'4 - Clé multilignes1'!L46+'4 - Clé multilignes2'!L46+'4 - Clé multilignes3'!L46+'4 - Clé multilignes4'!L46+'4 - Clé multilignes5'!L46+'4 - Clé multilignes6'!L46+'4 - Clé multilignes7'!L46</f>
        <v>0</v>
      </c>
      <c r="M46" s="171">
        <f>'4 - Clé SALAIRES'!M46+'4 - Clé multilignes1'!M46+'4 - Clé multilignes2'!M46+'4 - Clé multilignes3'!M46+'4 - Clé multilignes4'!M46+'4 - Clé multilignes5'!M46+'4 - Clé multilignes6'!M46+'4 - Clé multilignes7'!M46</f>
        <v>0</v>
      </c>
      <c r="N46" s="171">
        <f>'4 - Clé SALAIRES'!N46+'4 - Clé multilignes1'!N46+'4 - Clé multilignes2'!N46+'4 - Clé multilignes3'!N46+'4 - Clé multilignes4'!N46+'4 - Clé multilignes5'!N46+'4 - Clé multilignes6'!N46+'4 - Clé multilignes7'!N46</f>
        <v>0</v>
      </c>
      <c r="O46" s="171">
        <f>'4 - Clé SALAIRES'!O46+'4 - Clé multilignes1'!O46+'4 - Clé multilignes2'!O46+'4 - Clé multilignes3'!O46+'4 - Clé multilignes4'!O46+'4 - Clé multilignes5'!O46+'4 - Clé multilignes6'!O46+'4 - Clé multilignes7'!O46</f>
        <v>0</v>
      </c>
      <c r="P46" s="171">
        <f>'4 - Clé SALAIRES'!P46+'4 - Clé multilignes1'!P46+'4 - Clé multilignes2'!P46+'4 - Clé multilignes3'!P46+'4 - Clé multilignes4'!P46+'4 - Clé multilignes5'!P46+'4 - Clé multilignes6'!P46+'4 - Clé multilignes7'!P46</f>
        <v>0</v>
      </c>
      <c r="Q46" s="171">
        <f>'4 - Clé SALAIRES'!Q46+'4 - Clé multilignes1'!Q46+'4 - Clé multilignes2'!Q46+'4 - Clé multilignes3'!Q46+'4 - Clé multilignes4'!Q46+'4 - Clé multilignes5'!Q46+'4 - Clé multilignes6'!Q46+'4 - Clé multilignes7'!Q46</f>
        <v>0</v>
      </c>
      <c r="R46" s="171">
        <f>'4 - Clé SALAIRES'!R46+'4 - Clé multilignes1'!R46+'4 - Clé multilignes2'!R46+'4 - Clé multilignes3'!R46+'4 - Clé multilignes4'!R46+'4 - Clé multilignes5'!R46+'4 - Clé multilignes6'!R46+'4 - Clé multilignes7'!R46</f>
        <v>0</v>
      </c>
      <c r="S46" s="171">
        <f>'4 - Clé SALAIRES'!S46+'4 - Clé multilignes1'!S46+'4 - Clé multilignes2'!S46+'4 - Clé multilignes3'!S46+'4 - Clé multilignes4'!S46+'4 - Clé multilignes5'!S46+'4 - Clé multilignes6'!S46+'4 - Clé multilignes7'!S46</f>
        <v>0</v>
      </c>
      <c r="T46" s="171">
        <f>'4 - Clé SALAIRES'!T46+'4 - Clé multilignes1'!T46+'4 - Clé multilignes2'!T46+'4 - Clé multilignes3'!T46+'4 - Clé multilignes4'!T46+'4 - Clé multilignes5'!T46+'4 - Clé multilignes6'!T46+'4 - Clé multilignes7'!T46</f>
        <v>0</v>
      </c>
      <c r="U46" s="171">
        <f>'4 - Clé SALAIRES'!U46+'4 - Clé multilignes1'!U46+'4 - Clé multilignes2'!U46+'4 - Clé multilignes3'!U46+'4 - Clé multilignes4'!U46+'4 - Clé multilignes5'!U46+'4 - Clé multilignes6'!U46+'4 - Clé multilignes7'!U46</f>
        <v>0</v>
      </c>
      <c r="V46" s="171">
        <f>'4 - Clé SALAIRES'!V46+'4 - Clé multilignes1'!V46+'4 - Clé multilignes2'!V46+'4 - Clé multilignes3'!V46+'4 - Clé multilignes4'!V46+'4 - Clé multilignes5'!V46+'4 - Clé multilignes6'!V46+'4 - Clé multilignes7'!V46</f>
        <v>0</v>
      </c>
      <c r="W46" s="171">
        <f>'4 - Clé SALAIRES'!W46+'4 - Clé multilignes1'!W46+'4 - Clé multilignes2'!W46+'4 - Clé multilignes3'!W46+'4 - Clé multilignes4'!W46+'4 - Clé multilignes5'!W46+'4 - Clé multilignes6'!W46+'4 - Clé multilignes7'!W46</f>
        <v>0</v>
      </c>
      <c r="X46" s="171">
        <f>'4 - Clé SALAIRES'!X46+'4 - Clé multilignes1'!X46+'4 - Clé multilignes2'!X46+'4 - Clé multilignes3'!X46+'4 - Clé multilignes4'!X46+'4 - Clé multilignes5'!X46+'4 - Clé multilignes6'!X46+'4 - Clé multilignes7'!X46</f>
        <v>0</v>
      </c>
      <c r="Y46" s="171">
        <f>'4 - Clé SALAIRES'!Y46+'4 - Clé multilignes1'!Y46+'4 - Clé multilignes2'!Y46+'4 - Clé multilignes3'!Y46+'4 - Clé multilignes4'!Y46+'4 - Clé multilignes5'!Y46+'4 - Clé multilignes6'!Y46+'4 - Clé multilignes7'!Y46</f>
        <v>0</v>
      </c>
      <c r="Z46" s="171">
        <f>'4 - Clé SALAIRES'!Z46+'4 - Clé multilignes1'!Z46+'4 - Clé multilignes2'!Z46+'4 - Clé multilignes3'!Z46+'4 - Clé multilignes4'!Z46+'4 - Clé multilignes5'!Z46+'4 - Clé multilignes6'!Z46+'4 - Clé multilignes7'!Z46</f>
        <v>0</v>
      </c>
    </row>
    <row r="47" spans="1:31" x14ac:dyDescent="0.25">
      <c r="A47" s="162">
        <f>Matrice[[#This Row],[Ligne de la matrice]]</f>
        <v>0</v>
      </c>
      <c r="B47" s="171">
        <f>'4 - Clé SALAIRES'!B47+'4 - Clé multilignes1'!B47+'4 - Clé multilignes2'!B47+'4 - Clé multilignes3'!B47+'4 - Clé multilignes4'!B47+'4 - Clé multilignes5'!B47+'4 - Clé multilignes6'!B47+'4 - Clé multilignes7'!B47</f>
        <v>0</v>
      </c>
      <c r="C47" s="171">
        <f>'4 - Clé SALAIRES'!C47+'4 - Clé multilignes1'!C47+'4 - Clé multilignes2'!C47+'4 - Clé multilignes3'!C47+'4 - Clé multilignes4'!C47+'4 - Clé multilignes5'!C47+'4 - Clé multilignes6'!C47+'4 - Clé multilignes7'!C47</f>
        <v>0</v>
      </c>
      <c r="D47" s="171">
        <f>'4 - Clé SALAIRES'!D47+'4 - Clé multilignes1'!D47+'4 - Clé multilignes2'!D47+'4 - Clé multilignes3'!D47+'4 - Clé multilignes4'!D47+'4 - Clé multilignes5'!D47+'4 - Clé multilignes6'!D47+'4 - Clé multilignes7'!D47</f>
        <v>0</v>
      </c>
      <c r="E47" s="171">
        <f>'4 - Clé SALAIRES'!E47+'4 - Clé multilignes1'!E47+'4 - Clé multilignes2'!E47+'4 - Clé multilignes3'!E47+'4 - Clé multilignes4'!E47+'4 - Clé multilignes5'!E47+'4 - Clé multilignes6'!E47+'4 - Clé multilignes7'!E47</f>
        <v>0</v>
      </c>
      <c r="F47" s="171">
        <f>'4 - Clé SALAIRES'!F47+'4 - Clé multilignes1'!F47+'4 - Clé multilignes2'!F47+'4 - Clé multilignes3'!F47+'4 - Clé multilignes4'!F47+'4 - Clé multilignes5'!F47+'4 - Clé multilignes6'!F47+'4 - Clé multilignes7'!F47</f>
        <v>0</v>
      </c>
      <c r="G47" s="171">
        <f>'4 - Clé SALAIRES'!G47+'4 - Clé multilignes1'!G47+'4 - Clé multilignes2'!G47+'4 - Clé multilignes3'!G47+'4 - Clé multilignes4'!G47+'4 - Clé multilignes5'!G47+'4 - Clé multilignes6'!G47+'4 - Clé multilignes7'!G47</f>
        <v>0</v>
      </c>
      <c r="H47" s="171">
        <f>'4 - Clé SALAIRES'!H47+'4 - Clé multilignes1'!H47+'4 - Clé multilignes2'!H47+'4 - Clé multilignes3'!H47+'4 - Clé multilignes4'!H47+'4 - Clé multilignes5'!H47+'4 - Clé multilignes6'!H47+'4 - Clé multilignes7'!H47</f>
        <v>0</v>
      </c>
      <c r="I47" s="171">
        <f>'4 - Clé SALAIRES'!I47+'4 - Clé multilignes1'!I47+'4 - Clé multilignes2'!I47+'4 - Clé multilignes3'!I47+'4 - Clé multilignes4'!I47+'4 - Clé multilignes5'!I47+'4 - Clé multilignes6'!I47+'4 - Clé multilignes7'!I47</f>
        <v>0</v>
      </c>
      <c r="J47" s="171">
        <f>'4 - Clé SALAIRES'!J47+'4 - Clé multilignes1'!J47+'4 - Clé multilignes2'!J47+'4 - Clé multilignes3'!J47+'4 - Clé multilignes4'!J47+'4 - Clé multilignes5'!J47+'4 - Clé multilignes6'!J47+'4 - Clé multilignes7'!J47</f>
        <v>0</v>
      </c>
      <c r="K47" s="171">
        <f>'4 - Clé SALAIRES'!K47+'4 - Clé multilignes1'!K47+'4 - Clé multilignes2'!K47+'4 - Clé multilignes3'!K47+'4 - Clé multilignes4'!K47+'4 - Clé multilignes5'!K47+'4 - Clé multilignes6'!K47+'4 - Clé multilignes7'!K47</f>
        <v>0</v>
      </c>
      <c r="L47" s="171">
        <f>'4 - Clé SALAIRES'!L47+'4 - Clé multilignes1'!L47+'4 - Clé multilignes2'!L47+'4 - Clé multilignes3'!L47+'4 - Clé multilignes4'!L47+'4 - Clé multilignes5'!L47+'4 - Clé multilignes6'!L47+'4 - Clé multilignes7'!L47</f>
        <v>0</v>
      </c>
      <c r="M47" s="171">
        <f>'4 - Clé SALAIRES'!M47+'4 - Clé multilignes1'!M47+'4 - Clé multilignes2'!M47+'4 - Clé multilignes3'!M47+'4 - Clé multilignes4'!M47+'4 - Clé multilignes5'!M47+'4 - Clé multilignes6'!M47+'4 - Clé multilignes7'!M47</f>
        <v>0</v>
      </c>
      <c r="N47" s="171">
        <f>'4 - Clé SALAIRES'!N47+'4 - Clé multilignes1'!N47+'4 - Clé multilignes2'!N47+'4 - Clé multilignes3'!N47+'4 - Clé multilignes4'!N47+'4 - Clé multilignes5'!N47+'4 - Clé multilignes6'!N47+'4 - Clé multilignes7'!N47</f>
        <v>0</v>
      </c>
      <c r="O47" s="171">
        <f>'4 - Clé SALAIRES'!O47+'4 - Clé multilignes1'!O47+'4 - Clé multilignes2'!O47+'4 - Clé multilignes3'!O47+'4 - Clé multilignes4'!O47+'4 - Clé multilignes5'!O47+'4 - Clé multilignes6'!O47+'4 - Clé multilignes7'!O47</f>
        <v>0</v>
      </c>
      <c r="P47" s="171">
        <f>'4 - Clé SALAIRES'!P47+'4 - Clé multilignes1'!P47+'4 - Clé multilignes2'!P47+'4 - Clé multilignes3'!P47+'4 - Clé multilignes4'!P47+'4 - Clé multilignes5'!P47+'4 - Clé multilignes6'!P47+'4 - Clé multilignes7'!P47</f>
        <v>0</v>
      </c>
      <c r="Q47" s="171">
        <f>'4 - Clé SALAIRES'!Q47+'4 - Clé multilignes1'!Q47+'4 - Clé multilignes2'!Q47+'4 - Clé multilignes3'!Q47+'4 - Clé multilignes4'!Q47+'4 - Clé multilignes5'!Q47+'4 - Clé multilignes6'!Q47+'4 - Clé multilignes7'!Q47</f>
        <v>0</v>
      </c>
      <c r="R47" s="171">
        <f>'4 - Clé SALAIRES'!R47+'4 - Clé multilignes1'!R47+'4 - Clé multilignes2'!R47+'4 - Clé multilignes3'!R47+'4 - Clé multilignes4'!R47+'4 - Clé multilignes5'!R47+'4 - Clé multilignes6'!R47+'4 - Clé multilignes7'!R47</f>
        <v>0</v>
      </c>
      <c r="S47" s="171">
        <f>'4 - Clé SALAIRES'!S47+'4 - Clé multilignes1'!S47+'4 - Clé multilignes2'!S47+'4 - Clé multilignes3'!S47+'4 - Clé multilignes4'!S47+'4 - Clé multilignes5'!S47+'4 - Clé multilignes6'!S47+'4 - Clé multilignes7'!S47</f>
        <v>0</v>
      </c>
      <c r="T47" s="171">
        <f>'4 - Clé SALAIRES'!T47+'4 - Clé multilignes1'!T47+'4 - Clé multilignes2'!T47+'4 - Clé multilignes3'!T47+'4 - Clé multilignes4'!T47+'4 - Clé multilignes5'!T47+'4 - Clé multilignes6'!T47+'4 - Clé multilignes7'!T47</f>
        <v>0</v>
      </c>
      <c r="U47" s="171">
        <f>'4 - Clé SALAIRES'!U47+'4 - Clé multilignes1'!U47+'4 - Clé multilignes2'!U47+'4 - Clé multilignes3'!U47+'4 - Clé multilignes4'!U47+'4 - Clé multilignes5'!U47+'4 - Clé multilignes6'!U47+'4 - Clé multilignes7'!U47</f>
        <v>0</v>
      </c>
      <c r="V47" s="171">
        <f>'4 - Clé SALAIRES'!V47+'4 - Clé multilignes1'!V47+'4 - Clé multilignes2'!V47+'4 - Clé multilignes3'!V47+'4 - Clé multilignes4'!V47+'4 - Clé multilignes5'!V47+'4 - Clé multilignes6'!V47+'4 - Clé multilignes7'!V47</f>
        <v>0</v>
      </c>
      <c r="W47" s="171">
        <f>'4 - Clé SALAIRES'!W47+'4 - Clé multilignes1'!W47+'4 - Clé multilignes2'!W47+'4 - Clé multilignes3'!W47+'4 - Clé multilignes4'!W47+'4 - Clé multilignes5'!W47+'4 - Clé multilignes6'!W47+'4 - Clé multilignes7'!W47</f>
        <v>0</v>
      </c>
      <c r="X47" s="171">
        <f>'4 - Clé SALAIRES'!X47+'4 - Clé multilignes1'!X47+'4 - Clé multilignes2'!X47+'4 - Clé multilignes3'!X47+'4 - Clé multilignes4'!X47+'4 - Clé multilignes5'!X47+'4 - Clé multilignes6'!X47+'4 - Clé multilignes7'!X47</f>
        <v>0</v>
      </c>
      <c r="Y47" s="171">
        <f>'4 - Clé SALAIRES'!Y47+'4 - Clé multilignes1'!Y47+'4 - Clé multilignes2'!Y47+'4 - Clé multilignes3'!Y47+'4 - Clé multilignes4'!Y47+'4 - Clé multilignes5'!Y47+'4 - Clé multilignes6'!Y47+'4 - Clé multilignes7'!Y47</f>
        <v>0</v>
      </c>
      <c r="Z47" s="171">
        <f>'4 - Clé SALAIRES'!Z47+'4 - Clé multilignes1'!Z47+'4 - Clé multilignes2'!Z47+'4 - Clé multilignes3'!Z47+'4 - Clé multilignes4'!Z47+'4 - Clé multilignes5'!Z47+'4 - Clé multilignes6'!Z47+'4 - Clé multilignes7'!Z47</f>
        <v>0</v>
      </c>
    </row>
    <row r="48" spans="1:31" x14ac:dyDescent="0.25">
      <c r="A48" s="162">
        <f>Matrice[[#This Row],[Ligne de la matrice]]</f>
        <v>0</v>
      </c>
      <c r="B48" s="171">
        <f>'4 - Clé SALAIRES'!B48+'4 - Clé multilignes1'!B48+'4 - Clé multilignes2'!B48+'4 - Clé multilignes3'!B48+'4 - Clé multilignes4'!B48+'4 - Clé multilignes5'!B48+'4 - Clé multilignes6'!B48+'4 - Clé multilignes7'!B48</f>
        <v>0</v>
      </c>
      <c r="C48" s="171">
        <f>'4 - Clé SALAIRES'!C48+'4 - Clé multilignes1'!C48+'4 - Clé multilignes2'!C48+'4 - Clé multilignes3'!C48+'4 - Clé multilignes4'!C48+'4 - Clé multilignes5'!C48+'4 - Clé multilignes6'!C48+'4 - Clé multilignes7'!C48</f>
        <v>0</v>
      </c>
      <c r="D48" s="171">
        <f>'4 - Clé SALAIRES'!D48+'4 - Clé multilignes1'!D48+'4 - Clé multilignes2'!D48+'4 - Clé multilignes3'!D48+'4 - Clé multilignes4'!D48+'4 - Clé multilignes5'!D48+'4 - Clé multilignes6'!D48+'4 - Clé multilignes7'!D48</f>
        <v>0</v>
      </c>
      <c r="E48" s="171">
        <f>'4 - Clé SALAIRES'!E48+'4 - Clé multilignes1'!E48+'4 - Clé multilignes2'!E48+'4 - Clé multilignes3'!E48+'4 - Clé multilignes4'!E48+'4 - Clé multilignes5'!E48+'4 - Clé multilignes6'!E48+'4 - Clé multilignes7'!E48</f>
        <v>0</v>
      </c>
      <c r="F48" s="171">
        <f>'4 - Clé SALAIRES'!F48+'4 - Clé multilignes1'!F48+'4 - Clé multilignes2'!F48+'4 - Clé multilignes3'!F48+'4 - Clé multilignes4'!F48+'4 - Clé multilignes5'!F48+'4 - Clé multilignes6'!F48+'4 - Clé multilignes7'!F48</f>
        <v>0</v>
      </c>
      <c r="G48" s="171">
        <f>'4 - Clé SALAIRES'!G48+'4 - Clé multilignes1'!G48+'4 - Clé multilignes2'!G48+'4 - Clé multilignes3'!G48+'4 - Clé multilignes4'!G48+'4 - Clé multilignes5'!G48+'4 - Clé multilignes6'!G48+'4 - Clé multilignes7'!G48</f>
        <v>0</v>
      </c>
      <c r="H48" s="171">
        <f>'4 - Clé SALAIRES'!H48+'4 - Clé multilignes1'!H48+'4 - Clé multilignes2'!H48+'4 - Clé multilignes3'!H48+'4 - Clé multilignes4'!H48+'4 - Clé multilignes5'!H48+'4 - Clé multilignes6'!H48+'4 - Clé multilignes7'!H48</f>
        <v>0</v>
      </c>
      <c r="I48" s="171">
        <f>'4 - Clé SALAIRES'!I48+'4 - Clé multilignes1'!I48+'4 - Clé multilignes2'!I48+'4 - Clé multilignes3'!I48+'4 - Clé multilignes4'!I48+'4 - Clé multilignes5'!I48+'4 - Clé multilignes6'!I48+'4 - Clé multilignes7'!I48</f>
        <v>0</v>
      </c>
      <c r="J48" s="171">
        <f>'4 - Clé SALAIRES'!J48+'4 - Clé multilignes1'!J48+'4 - Clé multilignes2'!J48+'4 - Clé multilignes3'!J48+'4 - Clé multilignes4'!J48+'4 - Clé multilignes5'!J48+'4 - Clé multilignes6'!J48+'4 - Clé multilignes7'!J48</f>
        <v>0</v>
      </c>
      <c r="K48" s="171">
        <f>'4 - Clé SALAIRES'!K48+'4 - Clé multilignes1'!K48+'4 - Clé multilignes2'!K48+'4 - Clé multilignes3'!K48+'4 - Clé multilignes4'!K48+'4 - Clé multilignes5'!K48+'4 - Clé multilignes6'!K48+'4 - Clé multilignes7'!K48</f>
        <v>0</v>
      </c>
      <c r="L48" s="171">
        <f>'4 - Clé SALAIRES'!L48+'4 - Clé multilignes1'!L48+'4 - Clé multilignes2'!L48+'4 - Clé multilignes3'!L48+'4 - Clé multilignes4'!L48+'4 - Clé multilignes5'!L48+'4 - Clé multilignes6'!L48+'4 - Clé multilignes7'!L48</f>
        <v>0</v>
      </c>
      <c r="M48" s="171">
        <f>'4 - Clé SALAIRES'!M48+'4 - Clé multilignes1'!M48+'4 - Clé multilignes2'!M48+'4 - Clé multilignes3'!M48+'4 - Clé multilignes4'!M48+'4 - Clé multilignes5'!M48+'4 - Clé multilignes6'!M48+'4 - Clé multilignes7'!M48</f>
        <v>0</v>
      </c>
      <c r="N48" s="171">
        <f>'4 - Clé SALAIRES'!N48+'4 - Clé multilignes1'!N48+'4 - Clé multilignes2'!N48+'4 - Clé multilignes3'!N48+'4 - Clé multilignes4'!N48+'4 - Clé multilignes5'!N48+'4 - Clé multilignes6'!N48+'4 - Clé multilignes7'!N48</f>
        <v>0</v>
      </c>
      <c r="O48" s="171">
        <f>'4 - Clé SALAIRES'!O48+'4 - Clé multilignes1'!O48+'4 - Clé multilignes2'!O48+'4 - Clé multilignes3'!O48+'4 - Clé multilignes4'!O48+'4 - Clé multilignes5'!O48+'4 - Clé multilignes6'!O48+'4 - Clé multilignes7'!O48</f>
        <v>0</v>
      </c>
      <c r="P48" s="171">
        <f>'4 - Clé SALAIRES'!P48+'4 - Clé multilignes1'!P48+'4 - Clé multilignes2'!P48+'4 - Clé multilignes3'!P48+'4 - Clé multilignes4'!P48+'4 - Clé multilignes5'!P48+'4 - Clé multilignes6'!P48+'4 - Clé multilignes7'!P48</f>
        <v>0</v>
      </c>
      <c r="Q48" s="171">
        <f>'4 - Clé SALAIRES'!Q48+'4 - Clé multilignes1'!Q48+'4 - Clé multilignes2'!Q48+'4 - Clé multilignes3'!Q48+'4 - Clé multilignes4'!Q48+'4 - Clé multilignes5'!Q48+'4 - Clé multilignes6'!Q48+'4 - Clé multilignes7'!Q48</f>
        <v>0</v>
      </c>
      <c r="R48" s="171">
        <f>'4 - Clé SALAIRES'!R48+'4 - Clé multilignes1'!R48+'4 - Clé multilignes2'!R48+'4 - Clé multilignes3'!R48+'4 - Clé multilignes4'!R48+'4 - Clé multilignes5'!R48+'4 - Clé multilignes6'!R48+'4 - Clé multilignes7'!R48</f>
        <v>0</v>
      </c>
      <c r="S48" s="171">
        <f>'4 - Clé SALAIRES'!S48+'4 - Clé multilignes1'!S48+'4 - Clé multilignes2'!S48+'4 - Clé multilignes3'!S48+'4 - Clé multilignes4'!S48+'4 - Clé multilignes5'!S48+'4 - Clé multilignes6'!S48+'4 - Clé multilignes7'!S48</f>
        <v>0</v>
      </c>
      <c r="T48" s="171">
        <f>'4 - Clé SALAIRES'!T48+'4 - Clé multilignes1'!T48+'4 - Clé multilignes2'!T48+'4 - Clé multilignes3'!T48+'4 - Clé multilignes4'!T48+'4 - Clé multilignes5'!T48+'4 - Clé multilignes6'!T48+'4 - Clé multilignes7'!T48</f>
        <v>0</v>
      </c>
      <c r="U48" s="171">
        <f>'4 - Clé SALAIRES'!U48+'4 - Clé multilignes1'!U48+'4 - Clé multilignes2'!U48+'4 - Clé multilignes3'!U48+'4 - Clé multilignes4'!U48+'4 - Clé multilignes5'!U48+'4 - Clé multilignes6'!U48+'4 - Clé multilignes7'!U48</f>
        <v>0</v>
      </c>
      <c r="V48" s="171">
        <f>'4 - Clé SALAIRES'!V48+'4 - Clé multilignes1'!V48+'4 - Clé multilignes2'!V48+'4 - Clé multilignes3'!V48+'4 - Clé multilignes4'!V48+'4 - Clé multilignes5'!V48+'4 - Clé multilignes6'!V48+'4 - Clé multilignes7'!V48</f>
        <v>0</v>
      </c>
      <c r="W48" s="171">
        <f>'4 - Clé SALAIRES'!W48+'4 - Clé multilignes1'!W48+'4 - Clé multilignes2'!W48+'4 - Clé multilignes3'!W48+'4 - Clé multilignes4'!W48+'4 - Clé multilignes5'!W48+'4 - Clé multilignes6'!W48+'4 - Clé multilignes7'!W48</f>
        <v>0</v>
      </c>
      <c r="X48" s="171">
        <f>'4 - Clé SALAIRES'!X48+'4 - Clé multilignes1'!X48+'4 - Clé multilignes2'!X48+'4 - Clé multilignes3'!X48+'4 - Clé multilignes4'!X48+'4 - Clé multilignes5'!X48+'4 - Clé multilignes6'!X48+'4 - Clé multilignes7'!X48</f>
        <v>0</v>
      </c>
      <c r="Y48" s="171">
        <f>'4 - Clé SALAIRES'!Y48+'4 - Clé multilignes1'!Y48+'4 - Clé multilignes2'!Y48+'4 - Clé multilignes3'!Y48+'4 - Clé multilignes4'!Y48+'4 - Clé multilignes5'!Y48+'4 - Clé multilignes6'!Y48+'4 - Clé multilignes7'!Y48</f>
        <v>0</v>
      </c>
      <c r="Z48" s="171">
        <f>'4 - Clé SALAIRES'!Z48+'4 - Clé multilignes1'!Z48+'4 - Clé multilignes2'!Z48+'4 - Clé multilignes3'!Z48+'4 - Clé multilignes4'!Z48+'4 - Clé multilignes5'!Z48+'4 - Clé multilignes6'!Z48+'4 - Clé multilignes7'!Z48</f>
        <v>0</v>
      </c>
    </row>
    <row r="49" spans="1:26" x14ac:dyDescent="0.25">
      <c r="A49" s="162">
        <f>Matrice[[#This Row],[Ligne de la matrice]]</f>
        <v>0</v>
      </c>
      <c r="B49" s="171">
        <f>'4 - Clé SALAIRES'!B49+'4 - Clé multilignes1'!B49+'4 - Clé multilignes2'!B49+'4 - Clé multilignes3'!B49+'4 - Clé multilignes4'!B49+'4 - Clé multilignes5'!B49+'4 - Clé multilignes6'!B49+'4 - Clé multilignes7'!B49</f>
        <v>0</v>
      </c>
      <c r="C49" s="171">
        <f>'4 - Clé SALAIRES'!C49+'4 - Clé multilignes1'!C49+'4 - Clé multilignes2'!C49+'4 - Clé multilignes3'!C49+'4 - Clé multilignes4'!C49+'4 - Clé multilignes5'!C49+'4 - Clé multilignes6'!C49+'4 - Clé multilignes7'!C49</f>
        <v>0</v>
      </c>
      <c r="D49" s="171">
        <f>'4 - Clé SALAIRES'!D49+'4 - Clé multilignes1'!D49+'4 - Clé multilignes2'!D49+'4 - Clé multilignes3'!D49+'4 - Clé multilignes4'!D49+'4 - Clé multilignes5'!D49+'4 - Clé multilignes6'!D49+'4 - Clé multilignes7'!D49</f>
        <v>0</v>
      </c>
      <c r="E49" s="171">
        <f>'4 - Clé SALAIRES'!E49+'4 - Clé multilignes1'!E49+'4 - Clé multilignes2'!E49+'4 - Clé multilignes3'!E49+'4 - Clé multilignes4'!E49+'4 - Clé multilignes5'!E49+'4 - Clé multilignes6'!E49+'4 - Clé multilignes7'!E49</f>
        <v>0</v>
      </c>
      <c r="F49" s="171">
        <f>'4 - Clé SALAIRES'!F49+'4 - Clé multilignes1'!F49+'4 - Clé multilignes2'!F49+'4 - Clé multilignes3'!F49+'4 - Clé multilignes4'!F49+'4 - Clé multilignes5'!F49+'4 - Clé multilignes6'!F49+'4 - Clé multilignes7'!F49</f>
        <v>0</v>
      </c>
      <c r="G49" s="171">
        <f>'4 - Clé SALAIRES'!G49+'4 - Clé multilignes1'!G49+'4 - Clé multilignes2'!G49+'4 - Clé multilignes3'!G49+'4 - Clé multilignes4'!G49+'4 - Clé multilignes5'!G49+'4 - Clé multilignes6'!G49+'4 - Clé multilignes7'!G49</f>
        <v>0</v>
      </c>
      <c r="H49" s="171">
        <f>'4 - Clé SALAIRES'!H49+'4 - Clé multilignes1'!H49+'4 - Clé multilignes2'!H49+'4 - Clé multilignes3'!H49+'4 - Clé multilignes4'!H49+'4 - Clé multilignes5'!H49+'4 - Clé multilignes6'!H49+'4 - Clé multilignes7'!H49</f>
        <v>0</v>
      </c>
      <c r="I49" s="171">
        <f>'4 - Clé SALAIRES'!I49+'4 - Clé multilignes1'!I49+'4 - Clé multilignes2'!I49+'4 - Clé multilignes3'!I49+'4 - Clé multilignes4'!I49+'4 - Clé multilignes5'!I49+'4 - Clé multilignes6'!I49+'4 - Clé multilignes7'!I49</f>
        <v>0</v>
      </c>
      <c r="J49" s="171">
        <f>'4 - Clé SALAIRES'!J49+'4 - Clé multilignes1'!J49+'4 - Clé multilignes2'!J49+'4 - Clé multilignes3'!J49+'4 - Clé multilignes4'!J49+'4 - Clé multilignes5'!J49+'4 - Clé multilignes6'!J49+'4 - Clé multilignes7'!J49</f>
        <v>0</v>
      </c>
      <c r="K49" s="171">
        <f>'4 - Clé SALAIRES'!K49+'4 - Clé multilignes1'!K49+'4 - Clé multilignes2'!K49+'4 - Clé multilignes3'!K49+'4 - Clé multilignes4'!K49+'4 - Clé multilignes5'!K49+'4 - Clé multilignes6'!K49+'4 - Clé multilignes7'!K49</f>
        <v>0</v>
      </c>
      <c r="L49" s="171">
        <f>'4 - Clé SALAIRES'!L49+'4 - Clé multilignes1'!L49+'4 - Clé multilignes2'!L49+'4 - Clé multilignes3'!L49+'4 - Clé multilignes4'!L49+'4 - Clé multilignes5'!L49+'4 - Clé multilignes6'!L49+'4 - Clé multilignes7'!L49</f>
        <v>0</v>
      </c>
      <c r="M49" s="171">
        <f>'4 - Clé SALAIRES'!M49+'4 - Clé multilignes1'!M49+'4 - Clé multilignes2'!M49+'4 - Clé multilignes3'!M49+'4 - Clé multilignes4'!M49+'4 - Clé multilignes5'!M49+'4 - Clé multilignes6'!M49+'4 - Clé multilignes7'!M49</f>
        <v>0</v>
      </c>
      <c r="N49" s="171">
        <f>'4 - Clé SALAIRES'!N49+'4 - Clé multilignes1'!N49+'4 - Clé multilignes2'!N49+'4 - Clé multilignes3'!N49+'4 - Clé multilignes4'!N49+'4 - Clé multilignes5'!N49+'4 - Clé multilignes6'!N49+'4 - Clé multilignes7'!N49</f>
        <v>0</v>
      </c>
      <c r="O49" s="171">
        <f>'4 - Clé SALAIRES'!O49+'4 - Clé multilignes1'!O49+'4 - Clé multilignes2'!O49+'4 - Clé multilignes3'!O49+'4 - Clé multilignes4'!O49+'4 - Clé multilignes5'!O49+'4 - Clé multilignes6'!O49+'4 - Clé multilignes7'!O49</f>
        <v>0</v>
      </c>
      <c r="P49" s="171">
        <f>'4 - Clé SALAIRES'!P49+'4 - Clé multilignes1'!P49+'4 - Clé multilignes2'!P49+'4 - Clé multilignes3'!P49+'4 - Clé multilignes4'!P49+'4 - Clé multilignes5'!P49+'4 - Clé multilignes6'!P49+'4 - Clé multilignes7'!P49</f>
        <v>0</v>
      </c>
      <c r="Q49" s="171">
        <f>'4 - Clé SALAIRES'!Q49+'4 - Clé multilignes1'!Q49+'4 - Clé multilignes2'!Q49+'4 - Clé multilignes3'!Q49+'4 - Clé multilignes4'!Q49+'4 - Clé multilignes5'!Q49+'4 - Clé multilignes6'!Q49+'4 - Clé multilignes7'!Q49</f>
        <v>0</v>
      </c>
      <c r="R49" s="171">
        <f>'4 - Clé SALAIRES'!R49+'4 - Clé multilignes1'!R49+'4 - Clé multilignes2'!R49+'4 - Clé multilignes3'!R49+'4 - Clé multilignes4'!R49+'4 - Clé multilignes5'!R49+'4 - Clé multilignes6'!R49+'4 - Clé multilignes7'!R49</f>
        <v>0</v>
      </c>
      <c r="S49" s="171">
        <f>'4 - Clé SALAIRES'!S49+'4 - Clé multilignes1'!S49+'4 - Clé multilignes2'!S49+'4 - Clé multilignes3'!S49+'4 - Clé multilignes4'!S49+'4 - Clé multilignes5'!S49+'4 - Clé multilignes6'!S49+'4 - Clé multilignes7'!S49</f>
        <v>0</v>
      </c>
      <c r="T49" s="171">
        <f>'4 - Clé SALAIRES'!T49+'4 - Clé multilignes1'!T49+'4 - Clé multilignes2'!T49+'4 - Clé multilignes3'!T49+'4 - Clé multilignes4'!T49+'4 - Clé multilignes5'!T49+'4 - Clé multilignes6'!T49+'4 - Clé multilignes7'!T49</f>
        <v>0</v>
      </c>
      <c r="U49" s="171">
        <f>'4 - Clé SALAIRES'!U49+'4 - Clé multilignes1'!U49+'4 - Clé multilignes2'!U49+'4 - Clé multilignes3'!U49+'4 - Clé multilignes4'!U49+'4 - Clé multilignes5'!U49+'4 - Clé multilignes6'!U49+'4 - Clé multilignes7'!U49</f>
        <v>0</v>
      </c>
      <c r="V49" s="171">
        <f>'4 - Clé SALAIRES'!V49+'4 - Clé multilignes1'!V49+'4 - Clé multilignes2'!V49+'4 - Clé multilignes3'!V49+'4 - Clé multilignes4'!V49+'4 - Clé multilignes5'!V49+'4 - Clé multilignes6'!V49+'4 - Clé multilignes7'!V49</f>
        <v>0</v>
      </c>
      <c r="W49" s="171">
        <f>'4 - Clé SALAIRES'!W49+'4 - Clé multilignes1'!W49+'4 - Clé multilignes2'!W49+'4 - Clé multilignes3'!W49+'4 - Clé multilignes4'!W49+'4 - Clé multilignes5'!W49+'4 - Clé multilignes6'!W49+'4 - Clé multilignes7'!W49</f>
        <v>0</v>
      </c>
      <c r="X49" s="171">
        <f>'4 - Clé SALAIRES'!X49+'4 - Clé multilignes1'!X49+'4 - Clé multilignes2'!X49+'4 - Clé multilignes3'!X49+'4 - Clé multilignes4'!X49+'4 - Clé multilignes5'!X49+'4 - Clé multilignes6'!X49+'4 - Clé multilignes7'!X49</f>
        <v>0</v>
      </c>
      <c r="Y49" s="171">
        <f>'4 - Clé SALAIRES'!Y49+'4 - Clé multilignes1'!Y49+'4 - Clé multilignes2'!Y49+'4 - Clé multilignes3'!Y49+'4 - Clé multilignes4'!Y49+'4 - Clé multilignes5'!Y49+'4 - Clé multilignes6'!Y49+'4 - Clé multilignes7'!Y49</f>
        <v>0</v>
      </c>
      <c r="Z49" s="171">
        <f>'4 - Clé SALAIRES'!Z49+'4 - Clé multilignes1'!Z49+'4 - Clé multilignes2'!Z49+'4 - Clé multilignes3'!Z49+'4 - Clé multilignes4'!Z49+'4 - Clé multilignes5'!Z49+'4 - Clé multilignes6'!Z49+'4 - Clé multilignes7'!Z49</f>
        <v>0</v>
      </c>
    </row>
    <row r="50" spans="1:26" x14ac:dyDescent="0.25">
      <c r="A50" s="162">
        <f>Matrice[[#This Row],[Ligne de la matrice]]</f>
        <v>0</v>
      </c>
      <c r="B50" s="171">
        <f>'4 - Clé SALAIRES'!B50+'4 - Clé multilignes1'!B50+'4 - Clé multilignes2'!B50+'4 - Clé multilignes3'!B50+'4 - Clé multilignes4'!B50+'4 - Clé multilignes5'!B50+'4 - Clé multilignes6'!B50+'4 - Clé multilignes7'!B50</f>
        <v>0</v>
      </c>
      <c r="C50" s="171">
        <f>'4 - Clé SALAIRES'!C50+'4 - Clé multilignes1'!C50+'4 - Clé multilignes2'!C50+'4 - Clé multilignes3'!C50+'4 - Clé multilignes4'!C50+'4 - Clé multilignes5'!C50+'4 - Clé multilignes6'!C50+'4 - Clé multilignes7'!C50</f>
        <v>0</v>
      </c>
      <c r="D50" s="171">
        <f>'4 - Clé SALAIRES'!D50+'4 - Clé multilignes1'!D50+'4 - Clé multilignes2'!D50+'4 - Clé multilignes3'!D50+'4 - Clé multilignes4'!D50+'4 - Clé multilignes5'!D50+'4 - Clé multilignes6'!D50+'4 - Clé multilignes7'!D50</f>
        <v>0</v>
      </c>
      <c r="E50" s="171">
        <f>'4 - Clé SALAIRES'!E50+'4 - Clé multilignes1'!E50+'4 - Clé multilignes2'!E50+'4 - Clé multilignes3'!E50+'4 - Clé multilignes4'!E50+'4 - Clé multilignes5'!E50+'4 - Clé multilignes6'!E50+'4 - Clé multilignes7'!E50</f>
        <v>0</v>
      </c>
      <c r="F50" s="171">
        <f>'4 - Clé SALAIRES'!F50+'4 - Clé multilignes1'!F50+'4 - Clé multilignes2'!F50+'4 - Clé multilignes3'!F50+'4 - Clé multilignes4'!F50+'4 - Clé multilignes5'!F50+'4 - Clé multilignes6'!F50+'4 - Clé multilignes7'!F50</f>
        <v>0</v>
      </c>
      <c r="G50" s="171">
        <f>'4 - Clé SALAIRES'!G50+'4 - Clé multilignes1'!G50+'4 - Clé multilignes2'!G50+'4 - Clé multilignes3'!G50+'4 - Clé multilignes4'!G50+'4 - Clé multilignes5'!G50+'4 - Clé multilignes6'!G50+'4 - Clé multilignes7'!G50</f>
        <v>0</v>
      </c>
      <c r="H50" s="171">
        <f>'4 - Clé SALAIRES'!H50+'4 - Clé multilignes1'!H50+'4 - Clé multilignes2'!H50+'4 - Clé multilignes3'!H50+'4 - Clé multilignes4'!H50+'4 - Clé multilignes5'!H50+'4 - Clé multilignes6'!H50+'4 - Clé multilignes7'!H50</f>
        <v>0</v>
      </c>
      <c r="I50" s="171">
        <f>'4 - Clé SALAIRES'!I50+'4 - Clé multilignes1'!I50+'4 - Clé multilignes2'!I50+'4 - Clé multilignes3'!I50+'4 - Clé multilignes4'!I50+'4 - Clé multilignes5'!I50+'4 - Clé multilignes6'!I50+'4 - Clé multilignes7'!I50</f>
        <v>0</v>
      </c>
      <c r="J50" s="171">
        <f>'4 - Clé SALAIRES'!J50+'4 - Clé multilignes1'!J50+'4 - Clé multilignes2'!J50+'4 - Clé multilignes3'!J50+'4 - Clé multilignes4'!J50+'4 - Clé multilignes5'!J50+'4 - Clé multilignes6'!J50+'4 - Clé multilignes7'!J50</f>
        <v>0</v>
      </c>
      <c r="K50" s="171">
        <f>'4 - Clé SALAIRES'!K50+'4 - Clé multilignes1'!K50+'4 - Clé multilignes2'!K50+'4 - Clé multilignes3'!K50+'4 - Clé multilignes4'!K50+'4 - Clé multilignes5'!K50+'4 - Clé multilignes6'!K50+'4 - Clé multilignes7'!K50</f>
        <v>0</v>
      </c>
      <c r="L50" s="171">
        <f>'4 - Clé SALAIRES'!L50+'4 - Clé multilignes1'!L50+'4 - Clé multilignes2'!L50+'4 - Clé multilignes3'!L50+'4 - Clé multilignes4'!L50+'4 - Clé multilignes5'!L50+'4 - Clé multilignes6'!L50+'4 - Clé multilignes7'!L50</f>
        <v>0</v>
      </c>
      <c r="M50" s="171">
        <f>'4 - Clé SALAIRES'!M50+'4 - Clé multilignes1'!M50+'4 - Clé multilignes2'!M50+'4 - Clé multilignes3'!M50+'4 - Clé multilignes4'!M50+'4 - Clé multilignes5'!M50+'4 - Clé multilignes6'!M50+'4 - Clé multilignes7'!M50</f>
        <v>0</v>
      </c>
      <c r="N50" s="171">
        <f>'4 - Clé SALAIRES'!N50+'4 - Clé multilignes1'!N50+'4 - Clé multilignes2'!N50+'4 - Clé multilignes3'!N50+'4 - Clé multilignes4'!N50+'4 - Clé multilignes5'!N50+'4 - Clé multilignes6'!N50+'4 - Clé multilignes7'!N50</f>
        <v>0</v>
      </c>
      <c r="O50" s="171">
        <f>'4 - Clé SALAIRES'!O50+'4 - Clé multilignes1'!O50+'4 - Clé multilignes2'!O50+'4 - Clé multilignes3'!O50+'4 - Clé multilignes4'!O50+'4 - Clé multilignes5'!O50+'4 - Clé multilignes6'!O50+'4 - Clé multilignes7'!O50</f>
        <v>0</v>
      </c>
      <c r="P50" s="171">
        <f>'4 - Clé SALAIRES'!P50+'4 - Clé multilignes1'!P50+'4 - Clé multilignes2'!P50+'4 - Clé multilignes3'!P50+'4 - Clé multilignes4'!P50+'4 - Clé multilignes5'!P50+'4 - Clé multilignes6'!P50+'4 - Clé multilignes7'!P50</f>
        <v>0</v>
      </c>
      <c r="Q50" s="171">
        <f>'4 - Clé SALAIRES'!Q50+'4 - Clé multilignes1'!Q50+'4 - Clé multilignes2'!Q50+'4 - Clé multilignes3'!Q50+'4 - Clé multilignes4'!Q50+'4 - Clé multilignes5'!Q50+'4 - Clé multilignes6'!Q50+'4 - Clé multilignes7'!Q50</f>
        <v>0</v>
      </c>
      <c r="R50" s="171">
        <f>'4 - Clé SALAIRES'!R50+'4 - Clé multilignes1'!R50+'4 - Clé multilignes2'!R50+'4 - Clé multilignes3'!R50+'4 - Clé multilignes4'!R50+'4 - Clé multilignes5'!R50+'4 - Clé multilignes6'!R50+'4 - Clé multilignes7'!R50</f>
        <v>0</v>
      </c>
      <c r="S50" s="171">
        <f>'4 - Clé SALAIRES'!S50+'4 - Clé multilignes1'!S50+'4 - Clé multilignes2'!S50+'4 - Clé multilignes3'!S50+'4 - Clé multilignes4'!S50+'4 - Clé multilignes5'!S50+'4 - Clé multilignes6'!S50+'4 - Clé multilignes7'!S50</f>
        <v>0</v>
      </c>
      <c r="T50" s="171">
        <f>'4 - Clé SALAIRES'!T50+'4 - Clé multilignes1'!T50+'4 - Clé multilignes2'!T50+'4 - Clé multilignes3'!T50+'4 - Clé multilignes4'!T50+'4 - Clé multilignes5'!T50+'4 - Clé multilignes6'!T50+'4 - Clé multilignes7'!T50</f>
        <v>0</v>
      </c>
      <c r="U50" s="171">
        <f>'4 - Clé SALAIRES'!U50+'4 - Clé multilignes1'!U50+'4 - Clé multilignes2'!U50+'4 - Clé multilignes3'!U50+'4 - Clé multilignes4'!U50+'4 - Clé multilignes5'!U50+'4 - Clé multilignes6'!U50+'4 - Clé multilignes7'!U50</f>
        <v>0</v>
      </c>
      <c r="V50" s="171">
        <f>'4 - Clé SALAIRES'!V50+'4 - Clé multilignes1'!V50+'4 - Clé multilignes2'!V50+'4 - Clé multilignes3'!V50+'4 - Clé multilignes4'!V50+'4 - Clé multilignes5'!V50+'4 - Clé multilignes6'!V50+'4 - Clé multilignes7'!V50</f>
        <v>0</v>
      </c>
      <c r="W50" s="171">
        <f>'4 - Clé SALAIRES'!W50+'4 - Clé multilignes1'!W50+'4 - Clé multilignes2'!W50+'4 - Clé multilignes3'!W50+'4 - Clé multilignes4'!W50+'4 - Clé multilignes5'!W50+'4 - Clé multilignes6'!W50+'4 - Clé multilignes7'!W50</f>
        <v>0</v>
      </c>
      <c r="X50" s="171">
        <f>'4 - Clé SALAIRES'!X50+'4 - Clé multilignes1'!X50+'4 - Clé multilignes2'!X50+'4 - Clé multilignes3'!X50+'4 - Clé multilignes4'!X50+'4 - Clé multilignes5'!X50+'4 - Clé multilignes6'!X50+'4 - Clé multilignes7'!X50</f>
        <v>0</v>
      </c>
      <c r="Y50" s="171">
        <f>'4 - Clé SALAIRES'!Y50+'4 - Clé multilignes1'!Y50+'4 - Clé multilignes2'!Y50+'4 - Clé multilignes3'!Y50+'4 - Clé multilignes4'!Y50+'4 - Clé multilignes5'!Y50+'4 - Clé multilignes6'!Y50+'4 - Clé multilignes7'!Y50</f>
        <v>0</v>
      </c>
      <c r="Z50" s="171">
        <f>'4 - Clé SALAIRES'!Z50+'4 - Clé multilignes1'!Z50+'4 - Clé multilignes2'!Z50+'4 - Clé multilignes3'!Z50+'4 - Clé multilignes4'!Z50+'4 - Clé multilignes5'!Z50+'4 - Clé multilignes6'!Z50+'4 - Clé multilignes7'!Z50</f>
        <v>0</v>
      </c>
    </row>
    <row r="51" spans="1:26" ht="12.75" customHeight="1" x14ac:dyDescent="0.25">
      <c r="A51" s="162">
        <f>Matrice[[#This Row],[Ligne de la matrice]]</f>
        <v>0</v>
      </c>
      <c r="B51" s="171">
        <f>'4 - Clé SALAIRES'!B51+'4 - Clé multilignes1'!B51+'4 - Clé multilignes2'!B51+'4 - Clé multilignes3'!B51+'4 - Clé multilignes4'!B51+'4 - Clé multilignes5'!B51+'4 - Clé multilignes6'!B51+'4 - Clé multilignes7'!B51</f>
        <v>0</v>
      </c>
      <c r="C51" s="171">
        <f>'4 - Clé SALAIRES'!C51+'4 - Clé multilignes1'!C51+'4 - Clé multilignes2'!C51+'4 - Clé multilignes3'!C51+'4 - Clé multilignes4'!C51+'4 - Clé multilignes5'!C51+'4 - Clé multilignes6'!C51+'4 - Clé multilignes7'!C51</f>
        <v>0</v>
      </c>
      <c r="D51" s="171">
        <f>'4 - Clé SALAIRES'!D51+'4 - Clé multilignes1'!D51+'4 - Clé multilignes2'!D51+'4 - Clé multilignes3'!D51+'4 - Clé multilignes4'!D51+'4 - Clé multilignes5'!D51+'4 - Clé multilignes6'!D51+'4 - Clé multilignes7'!D51</f>
        <v>0</v>
      </c>
      <c r="E51" s="171">
        <f>'4 - Clé SALAIRES'!E51+'4 - Clé multilignes1'!E51+'4 - Clé multilignes2'!E51+'4 - Clé multilignes3'!E51+'4 - Clé multilignes4'!E51+'4 - Clé multilignes5'!E51+'4 - Clé multilignes6'!E51+'4 - Clé multilignes7'!E51</f>
        <v>0</v>
      </c>
      <c r="F51" s="171">
        <f>'4 - Clé SALAIRES'!F51+'4 - Clé multilignes1'!F51+'4 - Clé multilignes2'!F51+'4 - Clé multilignes3'!F51+'4 - Clé multilignes4'!F51+'4 - Clé multilignes5'!F51+'4 - Clé multilignes6'!F51+'4 - Clé multilignes7'!F51</f>
        <v>0</v>
      </c>
      <c r="G51" s="171">
        <f>'4 - Clé SALAIRES'!G51+'4 - Clé multilignes1'!G51+'4 - Clé multilignes2'!G51+'4 - Clé multilignes3'!G51+'4 - Clé multilignes4'!G51+'4 - Clé multilignes5'!G51+'4 - Clé multilignes6'!G51+'4 - Clé multilignes7'!G51</f>
        <v>0</v>
      </c>
      <c r="H51" s="171">
        <f>'4 - Clé SALAIRES'!H51+'4 - Clé multilignes1'!H51+'4 - Clé multilignes2'!H51+'4 - Clé multilignes3'!H51+'4 - Clé multilignes4'!H51+'4 - Clé multilignes5'!H51+'4 - Clé multilignes6'!H51+'4 - Clé multilignes7'!H51</f>
        <v>0</v>
      </c>
      <c r="I51" s="171">
        <f>'4 - Clé SALAIRES'!I51+'4 - Clé multilignes1'!I51+'4 - Clé multilignes2'!I51+'4 - Clé multilignes3'!I51+'4 - Clé multilignes4'!I51+'4 - Clé multilignes5'!I51+'4 - Clé multilignes6'!I51+'4 - Clé multilignes7'!I51</f>
        <v>0</v>
      </c>
      <c r="J51" s="171">
        <f>'4 - Clé SALAIRES'!J51+'4 - Clé multilignes1'!J51+'4 - Clé multilignes2'!J51+'4 - Clé multilignes3'!J51+'4 - Clé multilignes4'!J51+'4 - Clé multilignes5'!J51+'4 - Clé multilignes6'!J51+'4 - Clé multilignes7'!J51</f>
        <v>0</v>
      </c>
      <c r="K51" s="171">
        <f>'4 - Clé SALAIRES'!K51+'4 - Clé multilignes1'!K51+'4 - Clé multilignes2'!K51+'4 - Clé multilignes3'!K51+'4 - Clé multilignes4'!K51+'4 - Clé multilignes5'!K51+'4 - Clé multilignes6'!K51+'4 - Clé multilignes7'!K51</f>
        <v>0</v>
      </c>
      <c r="L51" s="171">
        <f>'4 - Clé SALAIRES'!L51+'4 - Clé multilignes1'!L51+'4 - Clé multilignes2'!L51+'4 - Clé multilignes3'!L51+'4 - Clé multilignes4'!L51+'4 - Clé multilignes5'!L51+'4 - Clé multilignes6'!L51+'4 - Clé multilignes7'!L51</f>
        <v>0</v>
      </c>
      <c r="M51" s="171">
        <f>'4 - Clé SALAIRES'!M51+'4 - Clé multilignes1'!M51+'4 - Clé multilignes2'!M51+'4 - Clé multilignes3'!M51+'4 - Clé multilignes4'!M51+'4 - Clé multilignes5'!M51+'4 - Clé multilignes6'!M51+'4 - Clé multilignes7'!M51</f>
        <v>0</v>
      </c>
      <c r="N51" s="171">
        <f>'4 - Clé SALAIRES'!N51+'4 - Clé multilignes1'!N51+'4 - Clé multilignes2'!N51+'4 - Clé multilignes3'!N51+'4 - Clé multilignes4'!N51+'4 - Clé multilignes5'!N51+'4 - Clé multilignes6'!N51+'4 - Clé multilignes7'!N51</f>
        <v>0</v>
      </c>
      <c r="O51" s="171">
        <f>'4 - Clé SALAIRES'!O51+'4 - Clé multilignes1'!O51+'4 - Clé multilignes2'!O51+'4 - Clé multilignes3'!O51+'4 - Clé multilignes4'!O51+'4 - Clé multilignes5'!O51+'4 - Clé multilignes6'!O51+'4 - Clé multilignes7'!O51</f>
        <v>0</v>
      </c>
      <c r="P51" s="171">
        <f>'4 - Clé SALAIRES'!P51+'4 - Clé multilignes1'!P51+'4 - Clé multilignes2'!P51+'4 - Clé multilignes3'!P51+'4 - Clé multilignes4'!P51+'4 - Clé multilignes5'!P51+'4 - Clé multilignes6'!P51+'4 - Clé multilignes7'!P51</f>
        <v>0</v>
      </c>
      <c r="Q51" s="171">
        <f>'4 - Clé SALAIRES'!Q51+'4 - Clé multilignes1'!Q51+'4 - Clé multilignes2'!Q51+'4 - Clé multilignes3'!Q51+'4 - Clé multilignes4'!Q51+'4 - Clé multilignes5'!Q51+'4 - Clé multilignes6'!Q51+'4 - Clé multilignes7'!Q51</f>
        <v>0</v>
      </c>
      <c r="R51" s="171">
        <f>'4 - Clé SALAIRES'!R51+'4 - Clé multilignes1'!R51+'4 - Clé multilignes2'!R51+'4 - Clé multilignes3'!R51+'4 - Clé multilignes4'!R51+'4 - Clé multilignes5'!R51+'4 - Clé multilignes6'!R51+'4 - Clé multilignes7'!R51</f>
        <v>0</v>
      </c>
      <c r="S51" s="171">
        <f>'4 - Clé SALAIRES'!S51+'4 - Clé multilignes1'!S51+'4 - Clé multilignes2'!S51+'4 - Clé multilignes3'!S51+'4 - Clé multilignes4'!S51+'4 - Clé multilignes5'!S51+'4 - Clé multilignes6'!S51+'4 - Clé multilignes7'!S51</f>
        <v>0</v>
      </c>
      <c r="T51" s="171">
        <f>'4 - Clé SALAIRES'!T51+'4 - Clé multilignes1'!T51+'4 - Clé multilignes2'!T51+'4 - Clé multilignes3'!T51+'4 - Clé multilignes4'!T51+'4 - Clé multilignes5'!T51+'4 - Clé multilignes6'!T51+'4 - Clé multilignes7'!T51</f>
        <v>0</v>
      </c>
      <c r="U51" s="171">
        <f>'4 - Clé SALAIRES'!U51+'4 - Clé multilignes1'!U51+'4 - Clé multilignes2'!U51+'4 - Clé multilignes3'!U51+'4 - Clé multilignes4'!U51+'4 - Clé multilignes5'!U51+'4 - Clé multilignes6'!U51+'4 - Clé multilignes7'!U51</f>
        <v>0</v>
      </c>
      <c r="V51" s="171">
        <f>'4 - Clé SALAIRES'!V51+'4 - Clé multilignes1'!V51+'4 - Clé multilignes2'!V51+'4 - Clé multilignes3'!V51+'4 - Clé multilignes4'!V51+'4 - Clé multilignes5'!V51+'4 - Clé multilignes6'!V51+'4 - Clé multilignes7'!V51</f>
        <v>0</v>
      </c>
      <c r="W51" s="171">
        <f>'4 - Clé SALAIRES'!W51+'4 - Clé multilignes1'!W51+'4 - Clé multilignes2'!W51+'4 - Clé multilignes3'!W51+'4 - Clé multilignes4'!W51+'4 - Clé multilignes5'!W51+'4 - Clé multilignes6'!W51+'4 - Clé multilignes7'!W51</f>
        <v>0</v>
      </c>
      <c r="X51" s="171">
        <f>'4 - Clé SALAIRES'!X51+'4 - Clé multilignes1'!X51+'4 - Clé multilignes2'!X51+'4 - Clé multilignes3'!X51+'4 - Clé multilignes4'!X51+'4 - Clé multilignes5'!X51+'4 - Clé multilignes6'!X51+'4 - Clé multilignes7'!X51</f>
        <v>0</v>
      </c>
      <c r="Y51" s="171">
        <f>'4 - Clé SALAIRES'!Y51+'4 - Clé multilignes1'!Y51+'4 - Clé multilignes2'!Y51+'4 - Clé multilignes3'!Y51+'4 - Clé multilignes4'!Y51+'4 - Clé multilignes5'!Y51+'4 - Clé multilignes6'!Y51+'4 - Clé multilignes7'!Y51</f>
        <v>0</v>
      </c>
      <c r="Z51" s="171">
        <f>'4 - Clé SALAIRES'!Z51+'4 - Clé multilignes1'!Z51+'4 - Clé multilignes2'!Z51+'4 - Clé multilignes3'!Z51+'4 - Clé multilignes4'!Z51+'4 - Clé multilignes5'!Z51+'4 - Clé multilignes6'!Z51+'4 - Clé multilignes7'!Z51</f>
        <v>0</v>
      </c>
    </row>
    <row r="52" spans="1:26" x14ac:dyDescent="0.25">
      <c r="A52" s="162">
        <f>Matrice[[#This Row],[Ligne de la matrice]]</f>
        <v>0</v>
      </c>
      <c r="B52" s="171">
        <f>'4 - Clé SALAIRES'!B52+'4 - Clé multilignes1'!B52+'4 - Clé multilignes2'!B52+'4 - Clé multilignes3'!B52+'4 - Clé multilignes4'!B52+'4 - Clé multilignes5'!B52+'4 - Clé multilignes6'!B52+'4 - Clé multilignes7'!B52</f>
        <v>0</v>
      </c>
      <c r="C52" s="171">
        <f>'4 - Clé SALAIRES'!C52+'4 - Clé multilignes1'!C52+'4 - Clé multilignes2'!C52+'4 - Clé multilignes3'!C52+'4 - Clé multilignes4'!C52+'4 - Clé multilignes5'!C52+'4 - Clé multilignes6'!C52+'4 - Clé multilignes7'!C52</f>
        <v>0</v>
      </c>
      <c r="D52" s="171">
        <f>'4 - Clé SALAIRES'!D52+'4 - Clé multilignes1'!D52+'4 - Clé multilignes2'!D52+'4 - Clé multilignes3'!D52+'4 - Clé multilignes4'!D52+'4 - Clé multilignes5'!D52+'4 - Clé multilignes6'!D52+'4 - Clé multilignes7'!D52</f>
        <v>0</v>
      </c>
      <c r="E52" s="171">
        <f>'4 - Clé SALAIRES'!E52+'4 - Clé multilignes1'!E52+'4 - Clé multilignes2'!E52+'4 - Clé multilignes3'!E52+'4 - Clé multilignes4'!E52+'4 - Clé multilignes5'!E52+'4 - Clé multilignes6'!E52+'4 - Clé multilignes7'!E52</f>
        <v>0</v>
      </c>
      <c r="F52" s="171">
        <f>'4 - Clé SALAIRES'!F52+'4 - Clé multilignes1'!F52+'4 - Clé multilignes2'!F52+'4 - Clé multilignes3'!F52+'4 - Clé multilignes4'!F52+'4 - Clé multilignes5'!F52+'4 - Clé multilignes6'!F52+'4 - Clé multilignes7'!F52</f>
        <v>0</v>
      </c>
      <c r="G52" s="171">
        <f>'4 - Clé SALAIRES'!G52+'4 - Clé multilignes1'!G52+'4 - Clé multilignes2'!G52+'4 - Clé multilignes3'!G52+'4 - Clé multilignes4'!G52+'4 - Clé multilignes5'!G52+'4 - Clé multilignes6'!G52+'4 - Clé multilignes7'!G52</f>
        <v>0</v>
      </c>
      <c r="H52" s="171">
        <f>'4 - Clé SALAIRES'!H52+'4 - Clé multilignes1'!H52+'4 - Clé multilignes2'!H52+'4 - Clé multilignes3'!H52+'4 - Clé multilignes4'!H52+'4 - Clé multilignes5'!H52+'4 - Clé multilignes6'!H52+'4 - Clé multilignes7'!H52</f>
        <v>0</v>
      </c>
      <c r="I52" s="171">
        <f>'4 - Clé SALAIRES'!I52+'4 - Clé multilignes1'!I52+'4 - Clé multilignes2'!I52+'4 - Clé multilignes3'!I52+'4 - Clé multilignes4'!I52+'4 - Clé multilignes5'!I52+'4 - Clé multilignes6'!I52+'4 - Clé multilignes7'!I52</f>
        <v>0</v>
      </c>
      <c r="J52" s="171">
        <f>'4 - Clé SALAIRES'!J52+'4 - Clé multilignes1'!J52+'4 - Clé multilignes2'!J52+'4 - Clé multilignes3'!J52+'4 - Clé multilignes4'!J52+'4 - Clé multilignes5'!J52+'4 - Clé multilignes6'!J52+'4 - Clé multilignes7'!J52</f>
        <v>0</v>
      </c>
      <c r="K52" s="171">
        <f>'4 - Clé SALAIRES'!K52+'4 - Clé multilignes1'!K52+'4 - Clé multilignes2'!K52+'4 - Clé multilignes3'!K52+'4 - Clé multilignes4'!K52+'4 - Clé multilignes5'!K52+'4 - Clé multilignes6'!K52+'4 - Clé multilignes7'!K52</f>
        <v>0</v>
      </c>
      <c r="L52" s="171">
        <f>'4 - Clé SALAIRES'!L52+'4 - Clé multilignes1'!L52+'4 - Clé multilignes2'!L52+'4 - Clé multilignes3'!L52+'4 - Clé multilignes4'!L52+'4 - Clé multilignes5'!L52+'4 - Clé multilignes6'!L52+'4 - Clé multilignes7'!L52</f>
        <v>0</v>
      </c>
      <c r="M52" s="171">
        <f>'4 - Clé SALAIRES'!M52+'4 - Clé multilignes1'!M52+'4 - Clé multilignes2'!M52+'4 - Clé multilignes3'!M52+'4 - Clé multilignes4'!M52+'4 - Clé multilignes5'!M52+'4 - Clé multilignes6'!M52+'4 - Clé multilignes7'!M52</f>
        <v>0</v>
      </c>
      <c r="N52" s="171">
        <f>'4 - Clé SALAIRES'!N52+'4 - Clé multilignes1'!N52+'4 - Clé multilignes2'!N52+'4 - Clé multilignes3'!N52+'4 - Clé multilignes4'!N52+'4 - Clé multilignes5'!N52+'4 - Clé multilignes6'!N52+'4 - Clé multilignes7'!N52</f>
        <v>0</v>
      </c>
      <c r="O52" s="171">
        <f>'4 - Clé SALAIRES'!O52+'4 - Clé multilignes1'!O52+'4 - Clé multilignes2'!O52+'4 - Clé multilignes3'!O52+'4 - Clé multilignes4'!O52+'4 - Clé multilignes5'!O52+'4 - Clé multilignes6'!O52+'4 - Clé multilignes7'!O52</f>
        <v>0</v>
      </c>
      <c r="P52" s="171">
        <f>'4 - Clé SALAIRES'!P52+'4 - Clé multilignes1'!P52+'4 - Clé multilignes2'!P52+'4 - Clé multilignes3'!P52+'4 - Clé multilignes4'!P52+'4 - Clé multilignes5'!P52+'4 - Clé multilignes6'!P52+'4 - Clé multilignes7'!P52</f>
        <v>0</v>
      </c>
      <c r="Q52" s="171">
        <f>'4 - Clé SALAIRES'!Q52+'4 - Clé multilignes1'!Q52+'4 - Clé multilignes2'!Q52+'4 - Clé multilignes3'!Q52+'4 - Clé multilignes4'!Q52+'4 - Clé multilignes5'!Q52+'4 - Clé multilignes6'!Q52+'4 - Clé multilignes7'!Q52</f>
        <v>0</v>
      </c>
      <c r="R52" s="171">
        <f>'4 - Clé SALAIRES'!R52+'4 - Clé multilignes1'!R52+'4 - Clé multilignes2'!R52+'4 - Clé multilignes3'!R52+'4 - Clé multilignes4'!R52+'4 - Clé multilignes5'!R52+'4 - Clé multilignes6'!R52+'4 - Clé multilignes7'!R52</f>
        <v>0</v>
      </c>
      <c r="S52" s="171">
        <f>'4 - Clé SALAIRES'!S52+'4 - Clé multilignes1'!S52+'4 - Clé multilignes2'!S52+'4 - Clé multilignes3'!S52+'4 - Clé multilignes4'!S52+'4 - Clé multilignes5'!S52+'4 - Clé multilignes6'!S52+'4 - Clé multilignes7'!S52</f>
        <v>0</v>
      </c>
      <c r="T52" s="171">
        <f>'4 - Clé SALAIRES'!T52+'4 - Clé multilignes1'!T52+'4 - Clé multilignes2'!T52+'4 - Clé multilignes3'!T52+'4 - Clé multilignes4'!T52+'4 - Clé multilignes5'!T52+'4 - Clé multilignes6'!T52+'4 - Clé multilignes7'!T52</f>
        <v>0</v>
      </c>
      <c r="U52" s="171">
        <f>'4 - Clé SALAIRES'!U52+'4 - Clé multilignes1'!U52+'4 - Clé multilignes2'!U52+'4 - Clé multilignes3'!U52+'4 - Clé multilignes4'!U52+'4 - Clé multilignes5'!U52+'4 - Clé multilignes6'!U52+'4 - Clé multilignes7'!U52</f>
        <v>0</v>
      </c>
      <c r="V52" s="171">
        <f>'4 - Clé SALAIRES'!V52+'4 - Clé multilignes1'!V52+'4 - Clé multilignes2'!V52+'4 - Clé multilignes3'!V52+'4 - Clé multilignes4'!V52+'4 - Clé multilignes5'!V52+'4 - Clé multilignes6'!V52+'4 - Clé multilignes7'!V52</f>
        <v>0</v>
      </c>
      <c r="W52" s="171">
        <f>'4 - Clé SALAIRES'!W52+'4 - Clé multilignes1'!W52+'4 - Clé multilignes2'!W52+'4 - Clé multilignes3'!W52+'4 - Clé multilignes4'!W52+'4 - Clé multilignes5'!W52+'4 - Clé multilignes6'!W52+'4 - Clé multilignes7'!W52</f>
        <v>0</v>
      </c>
      <c r="X52" s="171">
        <f>'4 - Clé SALAIRES'!X52+'4 - Clé multilignes1'!X52+'4 - Clé multilignes2'!X52+'4 - Clé multilignes3'!X52+'4 - Clé multilignes4'!X52+'4 - Clé multilignes5'!X52+'4 - Clé multilignes6'!X52+'4 - Clé multilignes7'!X52</f>
        <v>0</v>
      </c>
      <c r="Y52" s="171">
        <f>'4 - Clé SALAIRES'!Y52+'4 - Clé multilignes1'!Y52+'4 - Clé multilignes2'!Y52+'4 - Clé multilignes3'!Y52+'4 - Clé multilignes4'!Y52+'4 - Clé multilignes5'!Y52+'4 - Clé multilignes6'!Y52+'4 - Clé multilignes7'!Y52</f>
        <v>0</v>
      </c>
      <c r="Z52" s="171">
        <f>'4 - Clé SALAIRES'!Z52+'4 - Clé multilignes1'!Z52+'4 - Clé multilignes2'!Z52+'4 - Clé multilignes3'!Z52+'4 - Clé multilignes4'!Z52+'4 - Clé multilignes5'!Z52+'4 - Clé multilignes6'!Z52+'4 - Clé multilignes7'!Z52</f>
        <v>0</v>
      </c>
    </row>
  </sheetData>
  <sheetProtection sheet="1" objects="1" scenarios="1"/>
  <printOptions horizontalCentered="1" verticalCentered="1"/>
  <pageMargins left="0.19685039370078741" right="0.19685039370078741" top="0.43307086614173229" bottom="0.59055118110236227" header="0.51181102362204722" footer="0.31496062992125984"/>
  <pageSetup paperSize="9" scale="3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9">
    <tabColor rgb="FF0070C0"/>
  </sheetPr>
  <dimension ref="A1:AF52"/>
  <sheetViews>
    <sheetView showGridLines="0" zoomScaleNormal="100" workbookViewId="0">
      <selection activeCell="A42" sqref="A42:XFD43"/>
    </sheetView>
  </sheetViews>
  <sheetFormatPr baseColWidth="10" defaultColWidth="11.44140625" defaultRowHeight="13.2" x14ac:dyDescent="0.25"/>
  <cols>
    <col min="1" max="1" width="41.109375" style="166" bestFit="1" customWidth="1"/>
    <col min="2" max="5" width="13.44140625" style="166" customWidth="1"/>
    <col min="6" max="26" width="2.44140625" style="166" customWidth="1"/>
    <col min="27" max="16384" width="11.44140625" style="167"/>
  </cols>
  <sheetData>
    <row r="1" spans="1:32" ht="6" customHeight="1" x14ac:dyDescent="0.25">
      <c r="A1" s="168"/>
      <c r="B1" s="169"/>
      <c r="C1" s="169"/>
      <c r="D1" s="169"/>
      <c r="E1" s="169"/>
      <c r="F1" s="169"/>
      <c r="G1" s="169"/>
      <c r="H1" s="169"/>
      <c r="I1" s="169"/>
      <c r="J1" s="169"/>
      <c r="K1" s="169"/>
      <c r="L1" s="169"/>
      <c r="M1" s="169"/>
      <c r="N1" s="169"/>
      <c r="O1" s="169"/>
      <c r="P1" s="169"/>
      <c r="Q1" s="169"/>
      <c r="R1" s="169"/>
      <c r="S1" s="169"/>
      <c r="T1" s="169"/>
      <c r="U1" s="169"/>
      <c r="V1" s="169"/>
      <c r="W1" s="169"/>
      <c r="X1" s="169"/>
      <c r="Y1" s="169"/>
      <c r="Z1" s="169"/>
    </row>
    <row r="2" spans="1:32" ht="6" customHeight="1" x14ac:dyDescent="0.25">
      <c r="A2" s="168"/>
      <c r="B2" s="169"/>
      <c r="C2" s="169"/>
      <c r="D2" s="169"/>
      <c r="E2" s="169"/>
      <c r="F2" s="169"/>
      <c r="G2" s="169"/>
      <c r="H2" s="169"/>
      <c r="I2" s="169"/>
      <c r="J2" s="169"/>
      <c r="K2" s="169"/>
      <c r="L2" s="169"/>
      <c r="M2" s="169"/>
      <c r="N2" s="169"/>
      <c r="O2" s="169"/>
      <c r="P2" s="169"/>
      <c r="Q2" s="169"/>
      <c r="R2" s="169"/>
      <c r="S2" s="169"/>
      <c r="T2" s="169"/>
      <c r="U2" s="169"/>
      <c r="V2" s="169"/>
      <c r="W2" s="169"/>
      <c r="X2" s="169"/>
      <c r="Y2" s="169"/>
      <c r="Z2" s="169"/>
    </row>
    <row r="3" spans="1:32" ht="21" customHeight="1" x14ac:dyDescent="0.25">
      <c r="A3" s="4"/>
      <c r="B3" s="6"/>
      <c r="C3" s="6"/>
      <c r="D3" s="6"/>
      <c r="E3" s="6"/>
      <c r="F3" s="6"/>
      <c r="G3" s="6"/>
      <c r="H3" s="6"/>
      <c r="I3" s="6"/>
      <c r="J3" s="6"/>
      <c r="K3" s="6"/>
      <c r="L3" s="6"/>
      <c r="M3" s="6"/>
      <c r="N3" s="6"/>
      <c r="O3" s="6"/>
      <c r="P3" s="6"/>
      <c r="Q3" s="6"/>
      <c r="R3" s="6"/>
      <c r="S3" s="6"/>
      <c r="T3" s="6"/>
      <c r="U3" s="6"/>
      <c r="V3" s="6"/>
      <c r="W3" s="6"/>
      <c r="X3" s="6"/>
      <c r="Y3" s="6"/>
      <c r="Z3" s="6"/>
    </row>
    <row r="4" spans="1:32" ht="42" customHeight="1" x14ac:dyDescent="0.25">
      <c r="A4" s="163" t="s">
        <v>173</v>
      </c>
      <c r="B4" s="164" t="str">
        <f>Matrice[[#Headers],[OMR]]</f>
        <v>OMR</v>
      </c>
      <c r="C4" s="164" t="str">
        <f>Matrice[[#Headers],[Verre]]</f>
        <v>Verre</v>
      </c>
      <c r="D4" s="164" t="str">
        <f>Matrice[[#Headers],[RSOM hors verre]]</f>
        <v>RSOM hors verre</v>
      </c>
      <c r="E4" s="164" t="str">
        <f>Matrice[[#Headers],[Déchets des déchèteries]]</f>
        <v>Déchets des déchèteries</v>
      </c>
      <c r="F4" s="164" t="str">
        <f>Matrice[[#Headers],[Flux 5]]</f>
        <v>Flux 5</v>
      </c>
      <c r="G4" s="164" t="str">
        <f>Matrice[[#Headers],[Flux 6]]</f>
        <v>Flux 6</v>
      </c>
      <c r="H4" s="164" t="str">
        <f>Matrice[[#Headers],[Flux 7]]</f>
        <v>Flux 7</v>
      </c>
      <c r="I4" s="164" t="str">
        <f>Matrice[[#Headers],[Flux 8]]</f>
        <v>Flux 8</v>
      </c>
      <c r="J4" s="164" t="str">
        <f>Matrice[[#Headers],[Flux 9]]</f>
        <v>Flux 9</v>
      </c>
      <c r="K4" s="164" t="str">
        <f>Matrice[[#Headers],[Flux 10]]</f>
        <v>Flux 10</v>
      </c>
      <c r="L4" s="164" t="str">
        <f>Matrice[[#Headers],[Flux 11]]</f>
        <v>Flux 11</v>
      </c>
      <c r="M4" s="164" t="str">
        <f>Matrice[[#Headers],[Flux 12]]</f>
        <v>Flux 12</v>
      </c>
      <c r="N4" s="164" t="str">
        <f>Matrice[[#Headers],[Flux 13]]</f>
        <v>Flux 13</v>
      </c>
      <c r="O4" s="164" t="str">
        <f>Matrice[[#Headers],[Flux 14]]</f>
        <v>Flux 14</v>
      </c>
      <c r="P4" s="164" t="str">
        <f>Matrice[[#Headers],[Flux 15]]</f>
        <v>Flux 15</v>
      </c>
      <c r="Q4" s="164" t="str">
        <f>Matrice[[#Headers],[Flux 16]]</f>
        <v>Flux 16</v>
      </c>
      <c r="R4" s="164" t="str">
        <f>Matrice[[#Headers],[Flux 17]]</f>
        <v>Flux 17</v>
      </c>
      <c r="S4" s="164" t="str">
        <f>Matrice[[#Headers],[Flux 18]]</f>
        <v>Flux 18</v>
      </c>
      <c r="T4" s="164" t="str">
        <f>Matrice[[#Headers],[Flux 19]]</f>
        <v>Flux 19</v>
      </c>
      <c r="U4" s="164" t="str">
        <f>Matrice[[#Headers],[Flux 20]]</f>
        <v>Flux 20</v>
      </c>
      <c r="V4" s="164" t="str">
        <f>Matrice[[#Headers],[Flux 21]]</f>
        <v>Flux 21</v>
      </c>
      <c r="W4" s="164" t="str">
        <f>Matrice[[#Headers],[Flux 22]]</f>
        <v>Flux 22</v>
      </c>
      <c r="X4" s="164" t="str">
        <f>Matrice[[#Headers],[Flux 23]]</f>
        <v>Flux 23</v>
      </c>
      <c r="Y4" s="164" t="str">
        <f>Matrice[[#Headers],[Flux 24]]</f>
        <v>Flux 24</v>
      </c>
      <c r="Z4" s="164" t="str">
        <f>Matrice[[#Headers],[Flux 25]]</f>
        <v>Flux 25</v>
      </c>
      <c r="AA4" s="170"/>
    </row>
    <row r="5" spans="1:32" ht="15" customHeight="1" x14ac:dyDescent="0.25">
      <c r="A5" s="165" t="str">
        <f>Matrice[[#This Row],[Ligne de la matrice]]</f>
        <v>Charges de structure</v>
      </c>
      <c r="B5" s="171">
        <f>'4 - Clé SALAIRES'!CD5+'4 - Clé multilignes1'!CD5+'4 - Clé multilignes2'!CD5+'4 - Clé multilignes3'!CD5+'4 - Clé multilignes4'!CD5+'4 - Clé multilignes5'!CD5+'4 - Clé multilignes6'!CD5+'4 - Clé multilignes7'!CD5</f>
        <v>0</v>
      </c>
      <c r="C5" s="171">
        <f>'4 - Clé SALAIRES'!CE5+'4 - Clé multilignes1'!CE5+'4 - Clé multilignes2'!CE5+'4 - Clé multilignes3'!CE5+'4 - Clé multilignes4'!CE5+'4 - Clé multilignes5'!CE5+'4 - Clé multilignes6'!CE5+'4 - Clé multilignes7'!CE5</f>
        <v>0</v>
      </c>
      <c r="D5" s="171">
        <f>'4 - Clé SALAIRES'!CF5+'4 - Clé multilignes1'!CF5+'4 - Clé multilignes2'!CF5+'4 - Clé multilignes3'!CF5+'4 - Clé multilignes4'!CF5+'4 - Clé multilignes5'!CF5+'4 - Clé multilignes6'!CF5+'4 - Clé multilignes7'!CF5</f>
        <v>0</v>
      </c>
      <c r="E5" s="171">
        <f>'4 - Clé SALAIRES'!CG5+'4 - Clé multilignes1'!CG5+'4 - Clé multilignes2'!CG5+'4 - Clé multilignes3'!CG5+'4 - Clé multilignes4'!CG5+'4 - Clé multilignes5'!CG5+'4 - Clé multilignes6'!CG5+'4 - Clé multilignes7'!CG5</f>
        <v>0</v>
      </c>
      <c r="F5" s="171">
        <f>'4 - Clé SALAIRES'!CH5+'4 - Clé multilignes1'!CH5+'4 - Clé multilignes2'!CH5+'4 - Clé multilignes3'!CH5+'4 - Clé multilignes4'!CH5+'4 - Clé multilignes5'!CH5+'4 - Clé multilignes6'!CH5+'4 - Clé multilignes7'!CH5</f>
        <v>0</v>
      </c>
      <c r="G5" s="171">
        <f>'4 - Clé SALAIRES'!CI5+'4 - Clé multilignes1'!CI5+'4 - Clé multilignes2'!CI5+'4 - Clé multilignes3'!CI5+'4 - Clé multilignes4'!CI5+'4 - Clé multilignes5'!CI5+'4 - Clé multilignes6'!CI5+'4 - Clé multilignes7'!CI5</f>
        <v>0</v>
      </c>
      <c r="H5" s="171">
        <f>'4 - Clé SALAIRES'!CJ5+'4 - Clé multilignes1'!CJ5+'4 - Clé multilignes2'!CJ5+'4 - Clé multilignes3'!CJ5+'4 - Clé multilignes4'!CJ5+'4 - Clé multilignes5'!CJ5+'4 - Clé multilignes6'!CJ5+'4 - Clé multilignes7'!CJ5</f>
        <v>0</v>
      </c>
      <c r="I5" s="171">
        <f>'4 - Clé SALAIRES'!CK5+'4 - Clé multilignes1'!CK5+'4 - Clé multilignes2'!CK5+'4 - Clé multilignes3'!CK5+'4 - Clé multilignes4'!CK5+'4 - Clé multilignes5'!CK5+'4 - Clé multilignes6'!CK5+'4 - Clé multilignes7'!CK5</f>
        <v>0</v>
      </c>
      <c r="J5" s="171">
        <f>'4 - Clé SALAIRES'!CL5+'4 - Clé multilignes1'!CL5+'4 - Clé multilignes2'!CL5+'4 - Clé multilignes3'!CL5+'4 - Clé multilignes4'!CL5+'4 - Clé multilignes5'!CL5+'4 - Clé multilignes6'!CL5+'4 - Clé multilignes7'!CL5</f>
        <v>0</v>
      </c>
      <c r="K5" s="171">
        <f>'4 - Clé SALAIRES'!CM5+'4 - Clé multilignes1'!CM5+'4 - Clé multilignes2'!CM5+'4 - Clé multilignes3'!CM5+'4 - Clé multilignes4'!CM5+'4 - Clé multilignes5'!CM5+'4 - Clé multilignes6'!CM5+'4 - Clé multilignes7'!CM5</f>
        <v>0</v>
      </c>
      <c r="L5" s="171">
        <f>'4 - Clé SALAIRES'!CN5+'4 - Clé multilignes1'!CN5+'4 - Clé multilignes2'!CN5+'4 - Clé multilignes3'!CN5+'4 - Clé multilignes4'!CN5+'4 - Clé multilignes5'!CN5+'4 - Clé multilignes6'!CN5+'4 - Clé multilignes7'!CN5</f>
        <v>0</v>
      </c>
      <c r="M5" s="171">
        <f>'4 - Clé SALAIRES'!CO5+'4 - Clé multilignes1'!CO5+'4 - Clé multilignes2'!CO5+'4 - Clé multilignes3'!CO5+'4 - Clé multilignes4'!CO5+'4 - Clé multilignes5'!CO5+'4 - Clé multilignes6'!CO5+'4 - Clé multilignes7'!CO5</f>
        <v>0</v>
      </c>
      <c r="N5" s="171">
        <f>'4 - Clé SALAIRES'!CP5+'4 - Clé multilignes1'!CP5+'4 - Clé multilignes2'!CP5+'4 - Clé multilignes3'!CP5+'4 - Clé multilignes4'!CP5+'4 - Clé multilignes5'!CP5+'4 - Clé multilignes6'!CP5+'4 - Clé multilignes7'!CP5</f>
        <v>0</v>
      </c>
      <c r="O5" s="171">
        <f>'4 - Clé SALAIRES'!CQ5+'4 - Clé multilignes1'!CQ5+'4 - Clé multilignes2'!CQ5+'4 - Clé multilignes3'!CQ5+'4 - Clé multilignes4'!CQ5+'4 - Clé multilignes5'!CQ5+'4 - Clé multilignes6'!CQ5+'4 - Clé multilignes7'!CQ5</f>
        <v>0</v>
      </c>
      <c r="P5" s="171">
        <f>'4 - Clé SALAIRES'!CR5+'4 - Clé multilignes1'!CR5+'4 - Clé multilignes2'!CR5+'4 - Clé multilignes3'!CR5+'4 - Clé multilignes4'!CR5+'4 - Clé multilignes5'!CR5+'4 - Clé multilignes6'!CR5+'4 - Clé multilignes7'!CR5</f>
        <v>0</v>
      </c>
      <c r="Q5" s="171">
        <f>'4 - Clé SALAIRES'!CS5+'4 - Clé multilignes1'!CS5+'4 - Clé multilignes2'!CS5+'4 - Clé multilignes3'!CS5+'4 - Clé multilignes4'!CS5+'4 - Clé multilignes5'!CS5+'4 - Clé multilignes6'!CS5+'4 - Clé multilignes7'!CS5</f>
        <v>0</v>
      </c>
      <c r="R5" s="171">
        <f>'4 - Clé SALAIRES'!CT5+'4 - Clé multilignes1'!CT5+'4 - Clé multilignes2'!CT5+'4 - Clé multilignes3'!CT5+'4 - Clé multilignes4'!CT5+'4 - Clé multilignes5'!CT5+'4 - Clé multilignes6'!CT5+'4 - Clé multilignes7'!CT5</f>
        <v>0</v>
      </c>
      <c r="S5" s="171">
        <f>'4 - Clé SALAIRES'!CU5+'4 - Clé multilignes1'!CU5+'4 - Clé multilignes2'!CU5+'4 - Clé multilignes3'!CU5+'4 - Clé multilignes4'!CU5+'4 - Clé multilignes5'!CU5+'4 - Clé multilignes6'!CU5+'4 - Clé multilignes7'!CU5</f>
        <v>0</v>
      </c>
      <c r="T5" s="171">
        <f>'4 - Clé SALAIRES'!CV5+'4 - Clé multilignes1'!CV5+'4 - Clé multilignes2'!CV5+'4 - Clé multilignes3'!CV5+'4 - Clé multilignes4'!CV5+'4 - Clé multilignes5'!CV5+'4 - Clé multilignes6'!CV5+'4 - Clé multilignes7'!CV5</f>
        <v>0</v>
      </c>
      <c r="U5" s="171">
        <f>'4 - Clé SALAIRES'!CW5+'4 - Clé multilignes1'!CW5+'4 - Clé multilignes2'!CW5+'4 - Clé multilignes3'!CW5+'4 - Clé multilignes4'!CW5+'4 - Clé multilignes5'!CW5+'4 - Clé multilignes6'!CW5+'4 - Clé multilignes7'!CW5</f>
        <v>0</v>
      </c>
      <c r="V5" s="171">
        <f>'4 - Clé SALAIRES'!CX5+'4 - Clé multilignes1'!CX5+'4 - Clé multilignes2'!CX5+'4 - Clé multilignes3'!CX5+'4 - Clé multilignes4'!CX5+'4 - Clé multilignes5'!CX5+'4 - Clé multilignes6'!CX5+'4 - Clé multilignes7'!CX5</f>
        <v>0</v>
      </c>
      <c r="W5" s="171">
        <f>'4 - Clé SALAIRES'!CY5+'4 - Clé multilignes1'!CY5+'4 - Clé multilignes2'!CY5+'4 - Clé multilignes3'!CY5+'4 - Clé multilignes4'!CY5+'4 - Clé multilignes5'!CY5+'4 - Clé multilignes6'!CY5+'4 - Clé multilignes7'!CY5</f>
        <v>0</v>
      </c>
      <c r="X5" s="171">
        <f>'4 - Clé SALAIRES'!CZ5+'4 - Clé multilignes1'!CZ5+'4 - Clé multilignes2'!CZ5+'4 - Clé multilignes3'!CZ5+'4 - Clé multilignes4'!CZ5+'4 - Clé multilignes5'!CZ5+'4 - Clé multilignes6'!CZ5+'4 - Clé multilignes7'!CZ5</f>
        <v>0</v>
      </c>
      <c r="Y5" s="171">
        <f>'4 - Clé SALAIRES'!DA5+'4 - Clé multilignes1'!DA5+'4 - Clé multilignes2'!DA5+'4 - Clé multilignes3'!DA5+'4 - Clé multilignes4'!DA5+'4 - Clé multilignes5'!DA5+'4 - Clé multilignes6'!DA5+'4 - Clé multilignes7'!DA5</f>
        <v>0</v>
      </c>
      <c r="Z5" s="171">
        <f>'4 - Clé SALAIRES'!DB5+'4 - Clé multilignes1'!DB5+'4 - Clé multilignes2'!DB5+'4 - Clé multilignes3'!DB5+'4 - Clé multilignes4'!DB5+'4 - Clé multilignes5'!DB5+'4 - Clé multilignes6'!DB5+'4 - Clé multilignes7'!DB5</f>
        <v>0</v>
      </c>
      <c r="AB5" s="172"/>
      <c r="AC5" s="172"/>
      <c r="AD5" s="172"/>
      <c r="AE5" s="172"/>
    </row>
    <row r="6" spans="1:32" ht="15" customHeight="1" x14ac:dyDescent="0.25">
      <c r="A6" s="165" t="str">
        <f>Matrice[[#This Row],[Ligne de la matrice]]</f>
        <v>Communication</v>
      </c>
      <c r="B6" s="171">
        <f>'4 - Clé SALAIRES'!CD6+'4 - Clé multilignes1'!CD6+'4 - Clé multilignes2'!CD6+'4 - Clé multilignes3'!CD6+'4 - Clé multilignes4'!CD6+'4 - Clé multilignes5'!CD6+'4 - Clé multilignes6'!CD6+'4 - Clé multilignes7'!CD6</f>
        <v>0</v>
      </c>
      <c r="C6" s="171">
        <f>'4 - Clé SALAIRES'!CE6+'4 - Clé multilignes1'!CE6+'4 - Clé multilignes2'!CE6+'4 - Clé multilignes3'!CE6+'4 - Clé multilignes4'!CE6+'4 - Clé multilignes5'!CE6+'4 - Clé multilignes6'!CE6+'4 - Clé multilignes7'!CE6</f>
        <v>0</v>
      </c>
      <c r="D6" s="171">
        <f>'4 - Clé SALAIRES'!CF6+'4 - Clé multilignes1'!CF6+'4 - Clé multilignes2'!CF6+'4 - Clé multilignes3'!CF6+'4 - Clé multilignes4'!CF6+'4 - Clé multilignes5'!CF6+'4 - Clé multilignes6'!CF6+'4 - Clé multilignes7'!CF6</f>
        <v>0</v>
      </c>
      <c r="E6" s="171">
        <f>'4 - Clé SALAIRES'!CG6+'4 - Clé multilignes1'!CG6+'4 - Clé multilignes2'!CG6+'4 - Clé multilignes3'!CG6+'4 - Clé multilignes4'!CG6+'4 - Clé multilignes5'!CG6+'4 - Clé multilignes6'!CG6+'4 - Clé multilignes7'!CG6</f>
        <v>0</v>
      </c>
      <c r="F6" s="171">
        <f>'4 - Clé SALAIRES'!CH6+'4 - Clé multilignes1'!CH6+'4 - Clé multilignes2'!CH6+'4 - Clé multilignes3'!CH6+'4 - Clé multilignes4'!CH6+'4 - Clé multilignes5'!CH6+'4 - Clé multilignes6'!CH6+'4 - Clé multilignes7'!CH6</f>
        <v>0</v>
      </c>
      <c r="G6" s="171">
        <f>'4 - Clé SALAIRES'!CI6+'4 - Clé multilignes1'!CI6+'4 - Clé multilignes2'!CI6+'4 - Clé multilignes3'!CI6+'4 - Clé multilignes4'!CI6+'4 - Clé multilignes5'!CI6+'4 - Clé multilignes6'!CI6+'4 - Clé multilignes7'!CI6</f>
        <v>0</v>
      </c>
      <c r="H6" s="171">
        <f>'4 - Clé SALAIRES'!CJ6+'4 - Clé multilignes1'!CJ6+'4 - Clé multilignes2'!CJ6+'4 - Clé multilignes3'!CJ6+'4 - Clé multilignes4'!CJ6+'4 - Clé multilignes5'!CJ6+'4 - Clé multilignes6'!CJ6+'4 - Clé multilignes7'!CJ6</f>
        <v>0</v>
      </c>
      <c r="I6" s="171">
        <f>'4 - Clé SALAIRES'!CK6+'4 - Clé multilignes1'!CK6+'4 - Clé multilignes2'!CK6+'4 - Clé multilignes3'!CK6+'4 - Clé multilignes4'!CK6+'4 - Clé multilignes5'!CK6+'4 - Clé multilignes6'!CK6+'4 - Clé multilignes7'!CK6</f>
        <v>0</v>
      </c>
      <c r="J6" s="171">
        <f>'4 - Clé SALAIRES'!CL6+'4 - Clé multilignes1'!CL6+'4 - Clé multilignes2'!CL6+'4 - Clé multilignes3'!CL6+'4 - Clé multilignes4'!CL6+'4 - Clé multilignes5'!CL6+'4 - Clé multilignes6'!CL6+'4 - Clé multilignes7'!CL6</f>
        <v>0</v>
      </c>
      <c r="K6" s="171">
        <f>'4 - Clé SALAIRES'!CM6+'4 - Clé multilignes1'!CM6+'4 - Clé multilignes2'!CM6+'4 - Clé multilignes3'!CM6+'4 - Clé multilignes4'!CM6+'4 - Clé multilignes5'!CM6+'4 - Clé multilignes6'!CM6+'4 - Clé multilignes7'!CM6</f>
        <v>0</v>
      </c>
      <c r="L6" s="171">
        <f>'4 - Clé SALAIRES'!CN6+'4 - Clé multilignes1'!CN6+'4 - Clé multilignes2'!CN6+'4 - Clé multilignes3'!CN6+'4 - Clé multilignes4'!CN6+'4 - Clé multilignes5'!CN6+'4 - Clé multilignes6'!CN6+'4 - Clé multilignes7'!CN6</f>
        <v>0</v>
      </c>
      <c r="M6" s="171">
        <f>'4 - Clé SALAIRES'!CO6+'4 - Clé multilignes1'!CO6+'4 - Clé multilignes2'!CO6+'4 - Clé multilignes3'!CO6+'4 - Clé multilignes4'!CO6+'4 - Clé multilignes5'!CO6+'4 - Clé multilignes6'!CO6+'4 - Clé multilignes7'!CO6</f>
        <v>0</v>
      </c>
      <c r="N6" s="171">
        <f>'4 - Clé SALAIRES'!CP6+'4 - Clé multilignes1'!CP6+'4 - Clé multilignes2'!CP6+'4 - Clé multilignes3'!CP6+'4 - Clé multilignes4'!CP6+'4 - Clé multilignes5'!CP6+'4 - Clé multilignes6'!CP6+'4 - Clé multilignes7'!CP6</f>
        <v>0</v>
      </c>
      <c r="O6" s="171">
        <f>'4 - Clé SALAIRES'!CQ6+'4 - Clé multilignes1'!CQ6+'4 - Clé multilignes2'!CQ6+'4 - Clé multilignes3'!CQ6+'4 - Clé multilignes4'!CQ6+'4 - Clé multilignes5'!CQ6+'4 - Clé multilignes6'!CQ6+'4 - Clé multilignes7'!CQ6</f>
        <v>0</v>
      </c>
      <c r="P6" s="171">
        <f>'4 - Clé SALAIRES'!CR6+'4 - Clé multilignes1'!CR6+'4 - Clé multilignes2'!CR6+'4 - Clé multilignes3'!CR6+'4 - Clé multilignes4'!CR6+'4 - Clé multilignes5'!CR6+'4 - Clé multilignes6'!CR6+'4 - Clé multilignes7'!CR6</f>
        <v>0</v>
      </c>
      <c r="Q6" s="171">
        <f>'4 - Clé SALAIRES'!CS6+'4 - Clé multilignes1'!CS6+'4 - Clé multilignes2'!CS6+'4 - Clé multilignes3'!CS6+'4 - Clé multilignes4'!CS6+'4 - Clé multilignes5'!CS6+'4 - Clé multilignes6'!CS6+'4 - Clé multilignes7'!CS6</f>
        <v>0</v>
      </c>
      <c r="R6" s="171">
        <f>'4 - Clé SALAIRES'!CT6+'4 - Clé multilignes1'!CT6+'4 - Clé multilignes2'!CT6+'4 - Clé multilignes3'!CT6+'4 - Clé multilignes4'!CT6+'4 - Clé multilignes5'!CT6+'4 - Clé multilignes6'!CT6+'4 - Clé multilignes7'!CT6</f>
        <v>0</v>
      </c>
      <c r="S6" s="171">
        <f>'4 - Clé SALAIRES'!CU6+'4 - Clé multilignes1'!CU6+'4 - Clé multilignes2'!CU6+'4 - Clé multilignes3'!CU6+'4 - Clé multilignes4'!CU6+'4 - Clé multilignes5'!CU6+'4 - Clé multilignes6'!CU6+'4 - Clé multilignes7'!CU6</f>
        <v>0</v>
      </c>
      <c r="T6" s="171">
        <f>'4 - Clé SALAIRES'!CV6+'4 - Clé multilignes1'!CV6+'4 - Clé multilignes2'!CV6+'4 - Clé multilignes3'!CV6+'4 - Clé multilignes4'!CV6+'4 - Clé multilignes5'!CV6+'4 - Clé multilignes6'!CV6+'4 - Clé multilignes7'!CV6</f>
        <v>0</v>
      </c>
      <c r="U6" s="171">
        <f>'4 - Clé SALAIRES'!CW6+'4 - Clé multilignes1'!CW6+'4 - Clé multilignes2'!CW6+'4 - Clé multilignes3'!CW6+'4 - Clé multilignes4'!CW6+'4 - Clé multilignes5'!CW6+'4 - Clé multilignes6'!CW6+'4 - Clé multilignes7'!CW6</f>
        <v>0</v>
      </c>
      <c r="V6" s="171">
        <f>'4 - Clé SALAIRES'!CX6+'4 - Clé multilignes1'!CX6+'4 - Clé multilignes2'!CX6+'4 - Clé multilignes3'!CX6+'4 - Clé multilignes4'!CX6+'4 - Clé multilignes5'!CX6+'4 - Clé multilignes6'!CX6+'4 - Clé multilignes7'!CX6</f>
        <v>0</v>
      </c>
      <c r="W6" s="171">
        <f>'4 - Clé SALAIRES'!CY6+'4 - Clé multilignes1'!CY6+'4 - Clé multilignes2'!CY6+'4 - Clé multilignes3'!CY6+'4 - Clé multilignes4'!CY6+'4 - Clé multilignes5'!CY6+'4 - Clé multilignes6'!CY6+'4 - Clé multilignes7'!CY6</f>
        <v>0</v>
      </c>
      <c r="X6" s="171">
        <f>'4 - Clé SALAIRES'!CZ6+'4 - Clé multilignes1'!CZ6+'4 - Clé multilignes2'!CZ6+'4 - Clé multilignes3'!CZ6+'4 - Clé multilignes4'!CZ6+'4 - Clé multilignes5'!CZ6+'4 - Clé multilignes6'!CZ6+'4 - Clé multilignes7'!CZ6</f>
        <v>0</v>
      </c>
      <c r="Y6" s="171">
        <f>'4 - Clé SALAIRES'!DA6+'4 - Clé multilignes1'!DA6+'4 - Clé multilignes2'!DA6+'4 - Clé multilignes3'!DA6+'4 - Clé multilignes4'!DA6+'4 - Clé multilignes5'!DA6+'4 - Clé multilignes6'!DA6+'4 - Clé multilignes7'!DA6</f>
        <v>0</v>
      </c>
      <c r="Z6" s="171">
        <f>'4 - Clé SALAIRES'!DB6+'4 - Clé multilignes1'!DB6+'4 - Clé multilignes2'!DB6+'4 - Clé multilignes3'!DB6+'4 - Clé multilignes4'!DB6+'4 - Clé multilignes5'!DB6+'4 - Clé multilignes6'!DB6+'4 - Clé multilignes7'!DB6</f>
        <v>0</v>
      </c>
      <c r="AB6" s="172"/>
      <c r="AC6" s="172"/>
      <c r="AD6" s="172"/>
      <c r="AE6" s="172"/>
      <c r="AF6" s="173"/>
    </row>
    <row r="7" spans="1:32" ht="15" customHeight="1" x14ac:dyDescent="0.25">
      <c r="A7" s="165" t="str">
        <f>Matrice[[#This Row],[Ligne de la matrice]]</f>
        <v>Prévention</v>
      </c>
      <c r="B7" s="171">
        <f>'4 - Clé SALAIRES'!CD7+'4 - Clé multilignes1'!CD7+'4 - Clé multilignes2'!CD7+'4 - Clé multilignes3'!CD7+'4 - Clé multilignes4'!CD7+'4 - Clé multilignes5'!CD7+'4 - Clé multilignes6'!CD7+'4 - Clé multilignes7'!CD7</f>
        <v>0</v>
      </c>
      <c r="C7" s="171">
        <f>'4 - Clé SALAIRES'!CE7+'4 - Clé multilignes1'!CE7+'4 - Clé multilignes2'!CE7+'4 - Clé multilignes3'!CE7+'4 - Clé multilignes4'!CE7+'4 - Clé multilignes5'!CE7+'4 - Clé multilignes6'!CE7+'4 - Clé multilignes7'!CE7</f>
        <v>0</v>
      </c>
      <c r="D7" s="171">
        <f>'4 - Clé SALAIRES'!CF7+'4 - Clé multilignes1'!CF7+'4 - Clé multilignes2'!CF7+'4 - Clé multilignes3'!CF7+'4 - Clé multilignes4'!CF7+'4 - Clé multilignes5'!CF7+'4 - Clé multilignes6'!CF7+'4 - Clé multilignes7'!CF7</f>
        <v>0</v>
      </c>
      <c r="E7" s="171">
        <f>'4 - Clé SALAIRES'!CG7+'4 - Clé multilignes1'!CG7+'4 - Clé multilignes2'!CG7+'4 - Clé multilignes3'!CG7+'4 - Clé multilignes4'!CG7+'4 - Clé multilignes5'!CG7+'4 - Clé multilignes6'!CG7+'4 - Clé multilignes7'!CG7</f>
        <v>0</v>
      </c>
      <c r="F7" s="171">
        <f>'4 - Clé SALAIRES'!CH7+'4 - Clé multilignes1'!CH7+'4 - Clé multilignes2'!CH7+'4 - Clé multilignes3'!CH7+'4 - Clé multilignes4'!CH7+'4 - Clé multilignes5'!CH7+'4 - Clé multilignes6'!CH7+'4 - Clé multilignes7'!CH7</f>
        <v>0</v>
      </c>
      <c r="G7" s="171">
        <f>'4 - Clé SALAIRES'!CI7+'4 - Clé multilignes1'!CI7+'4 - Clé multilignes2'!CI7+'4 - Clé multilignes3'!CI7+'4 - Clé multilignes4'!CI7+'4 - Clé multilignes5'!CI7+'4 - Clé multilignes6'!CI7+'4 - Clé multilignes7'!CI7</f>
        <v>0</v>
      </c>
      <c r="H7" s="171">
        <f>'4 - Clé SALAIRES'!CJ7+'4 - Clé multilignes1'!CJ7+'4 - Clé multilignes2'!CJ7+'4 - Clé multilignes3'!CJ7+'4 - Clé multilignes4'!CJ7+'4 - Clé multilignes5'!CJ7+'4 - Clé multilignes6'!CJ7+'4 - Clé multilignes7'!CJ7</f>
        <v>0</v>
      </c>
      <c r="I7" s="171">
        <f>'4 - Clé SALAIRES'!CK7+'4 - Clé multilignes1'!CK7+'4 - Clé multilignes2'!CK7+'4 - Clé multilignes3'!CK7+'4 - Clé multilignes4'!CK7+'4 - Clé multilignes5'!CK7+'4 - Clé multilignes6'!CK7+'4 - Clé multilignes7'!CK7</f>
        <v>0</v>
      </c>
      <c r="J7" s="171">
        <f>'4 - Clé SALAIRES'!CL7+'4 - Clé multilignes1'!CL7+'4 - Clé multilignes2'!CL7+'4 - Clé multilignes3'!CL7+'4 - Clé multilignes4'!CL7+'4 - Clé multilignes5'!CL7+'4 - Clé multilignes6'!CL7+'4 - Clé multilignes7'!CL7</f>
        <v>0</v>
      </c>
      <c r="K7" s="171">
        <f>'4 - Clé SALAIRES'!CM7+'4 - Clé multilignes1'!CM7+'4 - Clé multilignes2'!CM7+'4 - Clé multilignes3'!CM7+'4 - Clé multilignes4'!CM7+'4 - Clé multilignes5'!CM7+'4 - Clé multilignes6'!CM7+'4 - Clé multilignes7'!CM7</f>
        <v>0</v>
      </c>
      <c r="L7" s="171">
        <f>'4 - Clé SALAIRES'!CN7+'4 - Clé multilignes1'!CN7+'4 - Clé multilignes2'!CN7+'4 - Clé multilignes3'!CN7+'4 - Clé multilignes4'!CN7+'4 - Clé multilignes5'!CN7+'4 - Clé multilignes6'!CN7+'4 - Clé multilignes7'!CN7</f>
        <v>0</v>
      </c>
      <c r="M7" s="171">
        <f>'4 - Clé SALAIRES'!CO7+'4 - Clé multilignes1'!CO7+'4 - Clé multilignes2'!CO7+'4 - Clé multilignes3'!CO7+'4 - Clé multilignes4'!CO7+'4 - Clé multilignes5'!CO7+'4 - Clé multilignes6'!CO7+'4 - Clé multilignes7'!CO7</f>
        <v>0</v>
      </c>
      <c r="N7" s="171">
        <f>'4 - Clé SALAIRES'!CP7+'4 - Clé multilignes1'!CP7+'4 - Clé multilignes2'!CP7+'4 - Clé multilignes3'!CP7+'4 - Clé multilignes4'!CP7+'4 - Clé multilignes5'!CP7+'4 - Clé multilignes6'!CP7+'4 - Clé multilignes7'!CP7</f>
        <v>0</v>
      </c>
      <c r="O7" s="171">
        <f>'4 - Clé SALAIRES'!CQ7+'4 - Clé multilignes1'!CQ7+'4 - Clé multilignes2'!CQ7+'4 - Clé multilignes3'!CQ7+'4 - Clé multilignes4'!CQ7+'4 - Clé multilignes5'!CQ7+'4 - Clé multilignes6'!CQ7+'4 - Clé multilignes7'!CQ7</f>
        <v>0</v>
      </c>
      <c r="P7" s="171">
        <f>'4 - Clé SALAIRES'!CR7+'4 - Clé multilignes1'!CR7+'4 - Clé multilignes2'!CR7+'4 - Clé multilignes3'!CR7+'4 - Clé multilignes4'!CR7+'4 - Clé multilignes5'!CR7+'4 - Clé multilignes6'!CR7+'4 - Clé multilignes7'!CR7</f>
        <v>0</v>
      </c>
      <c r="Q7" s="171">
        <f>'4 - Clé SALAIRES'!CS7+'4 - Clé multilignes1'!CS7+'4 - Clé multilignes2'!CS7+'4 - Clé multilignes3'!CS7+'4 - Clé multilignes4'!CS7+'4 - Clé multilignes5'!CS7+'4 - Clé multilignes6'!CS7+'4 - Clé multilignes7'!CS7</f>
        <v>0</v>
      </c>
      <c r="R7" s="171">
        <f>'4 - Clé SALAIRES'!CT7+'4 - Clé multilignes1'!CT7+'4 - Clé multilignes2'!CT7+'4 - Clé multilignes3'!CT7+'4 - Clé multilignes4'!CT7+'4 - Clé multilignes5'!CT7+'4 - Clé multilignes6'!CT7+'4 - Clé multilignes7'!CT7</f>
        <v>0</v>
      </c>
      <c r="S7" s="171">
        <f>'4 - Clé SALAIRES'!CU7+'4 - Clé multilignes1'!CU7+'4 - Clé multilignes2'!CU7+'4 - Clé multilignes3'!CU7+'4 - Clé multilignes4'!CU7+'4 - Clé multilignes5'!CU7+'4 - Clé multilignes6'!CU7+'4 - Clé multilignes7'!CU7</f>
        <v>0</v>
      </c>
      <c r="T7" s="171">
        <f>'4 - Clé SALAIRES'!CV7+'4 - Clé multilignes1'!CV7+'4 - Clé multilignes2'!CV7+'4 - Clé multilignes3'!CV7+'4 - Clé multilignes4'!CV7+'4 - Clé multilignes5'!CV7+'4 - Clé multilignes6'!CV7+'4 - Clé multilignes7'!CV7</f>
        <v>0</v>
      </c>
      <c r="U7" s="171">
        <f>'4 - Clé SALAIRES'!CW7+'4 - Clé multilignes1'!CW7+'4 - Clé multilignes2'!CW7+'4 - Clé multilignes3'!CW7+'4 - Clé multilignes4'!CW7+'4 - Clé multilignes5'!CW7+'4 - Clé multilignes6'!CW7+'4 - Clé multilignes7'!CW7</f>
        <v>0</v>
      </c>
      <c r="V7" s="171">
        <f>'4 - Clé SALAIRES'!CX7+'4 - Clé multilignes1'!CX7+'4 - Clé multilignes2'!CX7+'4 - Clé multilignes3'!CX7+'4 - Clé multilignes4'!CX7+'4 - Clé multilignes5'!CX7+'4 - Clé multilignes6'!CX7+'4 - Clé multilignes7'!CX7</f>
        <v>0</v>
      </c>
      <c r="W7" s="171">
        <f>'4 - Clé SALAIRES'!CY7+'4 - Clé multilignes1'!CY7+'4 - Clé multilignes2'!CY7+'4 - Clé multilignes3'!CY7+'4 - Clé multilignes4'!CY7+'4 - Clé multilignes5'!CY7+'4 - Clé multilignes6'!CY7+'4 - Clé multilignes7'!CY7</f>
        <v>0</v>
      </c>
      <c r="X7" s="171">
        <f>'4 - Clé SALAIRES'!CZ7+'4 - Clé multilignes1'!CZ7+'4 - Clé multilignes2'!CZ7+'4 - Clé multilignes3'!CZ7+'4 - Clé multilignes4'!CZ7+'4 - Clé multilignes5'!CZ7+'4 - Clé multilignes6'!CZ7+'4 - Clé multilignes7'!CZ7</f>
        <v>0</v>
      </c>
      <c r="Y7" s="171">
        <f>'4 - Clé SALAIRES'!DA7+'4 - Clé multilignes1'!DA7+'4 - Clé multilignes2'!DA7+'4 - Clé multilignes3'!DA7+'4 - Clé multilignes4'!DA7+'4 - Clé multilignes5'!DA7+'4 - Clé multilignes6'!DA7+'4 - Clé multilignes7'!DA7</f>
        <v>0</v>
      </c>
      <c r="Z7" s="171">
        <f>'4 - Clé SALAIRES'!DB7+'4 - Clé multilignes1'!DB7+'4 - Clé multilignes2'!DB7+'4 - Clé multilignes3'!DB7+'4 - Clé multilignes4'!DB7+'4 - Clé multilignes5'!DB7+'4 - Clé multilignes6'!DB7+'4 - Clé multilignes7'!DB7</f>
        <v>0</v>
      </c>
      <c r="AB7" s="172"/>
      <c r="AC7" s="172"/>
      <c r="AD7" s="172"/>
      <c r="AE7" s="172"/>
      <c r="AF7" s="173"/>
    </row>
    <row r="8" spans="1:32" ht="12.75" customHeight="1" x14ac:dyDescent="0.25">
      <c r="A8" s="165" t="str">
        <f>Matrice[[#This Row],[Ligne de la matrice]]</f>
        <v>Pré-collecte</v>
      </c>
      <c r="B8" s="171">
        <f>'4 - Clé SALAIRES'!CD8+'4 - Clé multilignes1'!CD8+'4 - Clé multilignes2'!CD8+'4 - Clé multilignes3'!CD8+'4 - Clé multilignes4'!CD8+'4 - Clé multilignes5'!CD8+'4 - Clé multilignes6'!CD8+'4 - Clé multilignes7'!CD8</f>
        <v>0</v>
      </c>
      <c r="C8" s="171">
        <f>'4 - Clé SALAIRES'!CE8+'4 - Clé multilignes1'!CE8+'4 - Clé multilignes2'!CE8+'4 - Clé multilignes3'!CE8+'4 - Clé multilignes4'!CE8+'4 - Clé multilignes5'!CE8+'4 - Clé multilignes6'!CE8+'4 - Clé multilignes7'!CE8</f>
        <v>0</v>
      </c>
      <c r="D8" s="171">
        <f>'4 - Clé SALAIRES'!CF8+'4 - Clé multilignes1'!CF8+'4 - Clé multilignes2'!CF8+'4 - Clé multilignes3'!CF8+'4 - Clé multilignes4'!CF8+'4 - Clé multilignes5'!CF8+'4 - Clé multilignes6'!CF8+'4 - Clé multilignes7'!CF8</f>
        <v>0</v>
      </c>
      <c r="E8" s="171">
        <f>'4 - Clé SALAIRES'!CG8+'4 - Clé multilignes1'!CG8+'4 - Clé multilignes2'!CG8+'4 - Clé multilignes3'!CG8+'4 - Clé multilignes4'!CG8+'4 - Clé multilignes5'!CG8+'4 - Clé multilignes6'!CG8+'4 - Clé multilignes7'!CG8</f>
        <v>0</v>
      </c>
      <c r="F8" s="171">
        <f>'4 - Clé SALAIRES'!CH8+'4 - Clé multilignes1'!CH8+'4 - Clé multilignes2'!CH8+'4 - Clé multilignes3'!CH8+'4 - Clé multilignes4'!CH8+'4 - Clé multilignes5'!CH8+'4 - Clé multilignes6'!CH8+'4 - Clé multilignes7'!CH8</f>
        <v>0</v>
      </c>
      <c r="G8" s="171">
        <f>'4 - Clé SALAIRES'!CI8+'4 - Clé multilignes1'!CI8+'4 - Clé multilignes2'!CI8+'4 - Clé multilignes3'!CI8+'4 - Clé multilignes4'!CI8+'4 - Clé multilignes5'!CI8+'4 - Clé multilignes6'!CI8+'4 - Clé multilignes7'!CI8</f>
        <v>0</v>
      </c>
      <c r="H8" s="171">
        <f>'4 - Clé SALAIRES'!CJ8+'4 - Clé multilignes1'!CJ8+'4 - Clé multilignes2'!CJ8+'4 - Clé multilignes3'!CJ8+'4 - Clé multilignes4'!CJ8+'4 - Clé multilignes5'!CJ8+'4 - Clé multilignes6'!CJ8+'4 - Clé multilignes7'!CJ8</f>
        <v>0</v>
      </c>
      <c r="I8" s="171">
        <f>'4 - Clé SALAIRES'!CK8+'4 - Clé multilignes1'!CK8+'4 - Clé multilignes2'!CK8+'4 - Clé multilignes3'!CK8+'4 - Clé multilignes4'!CK8+'4 - Clé multilignes5'!CK8+'4 - Clé multilignes6'!CK8+'4 - Clé multilignes7'!CK8</f>
        <v>0</v>
      </c>
      <c r="J8" s="171">
        <f>'4 - Clé SALAIRES'!CL8+'4 - Clé multilignes1'!CL8+'4 - Clé multilignes2'!CL8+'4 - Clé multilignes3'!CL8+'4 - Clé multilignes4'!CL8+'4 - Clé multilignes5'!CL8+'4 - Clé multilignes6'!CL8+'4 - Clé multilignes7'!CL8</f>
        <v>0</v>
      </c>
      <c r="K8" s="171">
        <f>'4 - Clé SALAIRES'!CM8+'4 - Clé multilignes1'!CM8+'4 - Clé multilignes2'!CM8+'4 - Clé multilignes3'!CM8+'4 - Clé multilignes4'!CM8+'4 - Clé multilignes5'!CM8+'4 - Clé multilignes6'!CM8+'4 - Clé multilignes7'!CM8</f>
        <v>0</v>
      </c>
      <c r="L8" s="171">
        <f>'4 - Clé SALAIRES'!CN8+'4 - Clé multilignes1'!CN8+'4 - Clé multilignes2'!CN8+'4 - Clé multilignes3'!CN8+'4 - Clé multilignes4'!CN8+'4 - Clé multilignes5'!CN8+'4 - Clé multilignes6'!CN8+'4 - Clé multilignes7'!CN8</f>
        <v>0</v>
      </c>
      <c r="M8" s="171">
        <f>'4 - Clé SALAIRES'!CO8+'4 - Clé multilignes1'!CO8+'4 - Clé multilignes2'!CO8+'4 - Clé multilignes3'!CO8+'4 - Clé multilignes4'!CO8+'4 - Clé multilignes5'!CO8+'4 - Clé multilignes6'!CO8+'4 - Clé multilignes7'!CO8</f>
        <v>0</v>
      </c>
      <c r="N8" s="171">
        <f>'4 - Clé SALAIRES'!CP8+'4 - Clé multilignes1'!CP8+'4 - Clé multilignes2'!CP8+'4 - Clé multilignes3'!CP8+'4 - Clé multilignes4'!CP8+'4 - Clé multilignes5'!CP8+'4 - Clé multilignes6'!CP8+'4 - Clé multilignes7'!CP8</f>
        <v>0</v>
      </c>
      <c r="O8" s="171">
        <f>'4 - Clé SALAIRES'!CQ8+'4 - Clé multilignes1'!CQ8+'4 - Clé multilignes2'!CQ8+'4 - Clé multilignes3'!CQ8+'4 - Clé multilignes4'!CQ8+'4 - Clé multilignes5'!CQ8+'4 - Clé multilignes6'!CQ8+'4 - Clé multilignes7'!CQ8</f>
        <v>0</v>
      </c>
      <c r="P8" s="171">
        <f>'4 - Clé SALAIRES'!CR8+'4 - Clé multilignes1'!CR8+'4 - Clé multilignes2'!CR8+'4 - Clé multilignes3'!CR8+'4 - Clé multilignes4'!CR8+'4 - Clé multilignes5'!CR8+'4 - Clé multilignes6'!CR8+'4 - Clé multilignes7'!CR8</f>
        <v>0</v>
      </c>
      <c r="Q8" s="171">
        <f>'4 - Clé SALAIRES'!CS8+'4 - Clé multilignes1'!CS8+'4 - Clé multilignes2'!CS8+'4 - Clé multilignes3'!CS8+'4 - Clé multilignes4'!CS8+'4 - Clé multilignes5'!CS8+'4 - Clé multilignes6'!CS8+'4 - Clé multilignes7'!CS8</f>
        <v>0</v>
      </c>
      <c r="R8" s="171">
        <f>'4 - Clé SALAIRES'!CT8+'4 - Clé multilignes1'!CT8+'4 - Clé multilignes2'!CT8+'4 - Clé multilignes3'!CT8+'4 - Clé multilignes4'!CT8+'4 - Clé multilignes5'!CT8+'4 - Clé multilignes6'!CT8+'4 - Clé multilignes7'!CT8</f>
        <v>0</v>
      </c>
      <c r="S8" s="171">
        <f>'4 - Clé SALAIRES'!CU8+'4 - Clé multilignes1'!CU8+'4 - Clé multilignes2'!CU8+'4 - Clé multilignes3'!CU8+'4 - Clé multilignes4'!CU8+'4 - Clé multilignes5'!CU8+'4 - Clé multilignes6'!CU8+'4 - Clé multilignes7'!CU8</f>
        <v>0</v>
      </c>
      <c r="T8" s="171">
        <f>'4 - Clé SALAIRES'!CV8+'4 - Clé multilignes1'!CV8+'4 - Clé multilignes2'!CV8+'4 - Clé multilignes3'!CV8+'4 - Clé multilignes4'!CV8+'4 - Clé multilignes5'!CV8+'4 - Clé multilignes6'!CV8+'4 - Clé multilignes7'!CV8</f>
        <v>0</v>
      </c>
      <c r="U8" s="171">
        <f>'4 - Clé SALAIRES'!CW8+'4 - Clé multilignes1'!CW8+'4 - Clé multilignes2'!CW8+'4 - Clé multilignes3'!CW8+'4 - Clé multilignes4'!CW8+'4 - Clé multilignes5'!CW8+'4 - Clé multilignes6'!CW8+'4 - Clé multilignes7'!CW8</f>
        <v>0</v>
      </c>
      <c r="V8" s="171">
        <f>'4 - Clé SALAIRES'!CX8+'4 - Clé multilignes1'!CX8+'4 - Clé multilignes2'!CX8+'4 - Clé multilignes3'!CX8+'4 - Clé multilignes4'!CX8+'4 - Clé multilignes5'!CX8+'4 - Clé multilignes6'!CX8+'4 - Clé multilignes7'!CX8</f>
        <v>0</v>
      </c>
      <c r="W8" s="171">
        <f>'4 - Clé SALAIRES'!CY8+'4 - Clé multilignes1'!CY8+'4 - Clé multilignes2'!CY8+'4 - Clé multilignes3'!CY8+'4 - Clé multilignes4'!CY8+'4 - Clé multilignes5'!CY8+'4 - Clé multilignes6'!CY8+'4 - Clé multilignes7'!CY8</f>
        <v>0</v>
      </c>
      <c r="X8" s="171">
        <f>'4 - Clé SALAIRES'!CZ8+'4 - Clé multilignes1'!CZ8+'4 - Clé multilignes2'!CZ8+'4 - Clé multilignes3'!CZ8+'4 - Clé multilignes4'!CZ8+'4 - Clé multilignes5'!CZ8+'4 - Clé multilignes6'!CZ8+'4 - Clé multilignes7'!CZ8</f>
        <v>0</v>
      </c>
      <c r="Y8" s="171">
        <f>'4 - Clé SALAIRES'!DA8+'4 - Clé multilignes1'!DA8+'4 - Clé multilignes2'!DA8+'4 - Clé multilignes3'!DA8+'4 - Clé multilignes4'!DA8+'4 - Clé multilignes5'!DA8+'4 - Clé multilignes6'!DA8+'4 - Clé multilignes7'!DA8</f>
        <v>0</v>
      </c>
      <c r="Z8" s="171">
        <f>'4 - Clé SALAIRES'!DB8+'4 - Clé multilignes1'!DB8+'4 - Clé multilignes2'!DB8+'4 - Clé multilignes3'!DB8+'4 - Clé multilignes4'!DB8+'4 - Clé multilignes5'!DB8+'4 - Clé multilignes6'!DB8+'4 - Clé multilignes7'!DB8</f>
        <v>0</v>
      </c>
      <c r="AB8" s="172"/>
      <c r="AC8" s="172"/>
      <c r="AD8" s="172"/>
      <c r="AE8" s="172"/>
      <c r="AF8" s="173"/>
    </row>
    <row r="9" spans="1:32" s="173" customFormat="1" ht="12.75" customHeight="1" x14ac:dyDescent="0.25">
      <c r="A9" s="165" t="str">
        <f>Matrice[[#This Row],[Ligne de la matrice]]</f>
        <v>Collecte</v>
      </c>
      <c r="B9" s="171">
        <f>'4 - Clé SALAIRES'!CD9+'4 - Clé multilignes1'!CD9+'4 - Clé multilignes2'!CD9+'4 - Clé multilignes3'!CD9+'4 - Clé multilignes4'!CD9+'4 - Clé multilignes5'!CD9+'4 - Clé multilignes6'!CD9+'4 - Clé multilignes7'!CD9</f>
        <v>0</v>
      </c>
      <c r="C9" s="171">
        <f>'4 - Clé SALAIRES'!CE9+'4 - Clé multilignes1'!CE9+'4 - Clé multilignes2'!CE9+'4 - Clé multilignes3'!CE9+'4 - Clé multilignes4'!CE9+'4 - Clé multilignes5'!CE9+'4 - Clé multilignes6'!CE9+'4 - Clé multilignes7'!CE9</f>
        <v>0</v>
      </c>
      <c r="D9" s="171">
        <f>'4 - Clé SALAIRES'!CF9+'4 - Clé multilignes1'!CF9+'4 - Clé multilignes2'!CF9+'4 - Clé multilignes3'!CF9+'4 - Clé multilignes4'!CF9+'4 - Clé multilignes5'!CF9+'4 - Clé multilignes6'!CF9+'4 - Clé multilignes7'!CF9</f>
        <v>0</v>
      </c>
      <c r="E9" s="171">
        <f>'4 - Clé SALAIRES'!CG9+'4 - Clé multilignes1'!CG9+'4 - Clé multilignes2'!CG9+'4 - Clé multilignes3'!CG9+'4 - Clé multilignes4'!CG9+'4 - Clé multilignes5'!CG9+'4 - Clé multilignes6'!CG9+'4 - Clé multilignes7'!CG9</f>
        <v>0</v>
      </c>
      <c r="F9" s="171">
        <f>'4 - Clé SALAIRES'!CH9+'4 - Clé multilignes1'!CH9+'4 - Clé multilignes2'!CH9+'4 - Clé multilignes3'!CH9+'4 - Clé multilignes4'!CH9+'4 - Clé multilignes5'!CH9+'4 - Clé multilignes6'!CH9+'4 - Clé multilignes7'!CH9</f>
        <v>0</v>
      </c>
      <c r="G9" s="171">
        <f>'4 - Clé SALAIRES'!CI9+'4 - Clé multilignes1'!CI9+'4 - Clé multilignes2'!CI9+'4 - Clé multilignes3'!CI9+'4 - Clé multilignes4'!CI9+'4 - Clé multilignes5'!CI9+'4 - Clé multilignes6'!CI9+'4 - Clé multilignes7'!CI9</f>
        <v>0</v>
      </c>
      <c r="H9" s="171">
        <f>'4 - Clé SALAIRES'!CJ9+'4 - Clé multilignes1'!CJ9+'4 - Clé multilignes2'!CJ9+'4 - Clé multilignes3'!CJ9+'4 - Clé multilignes4'!CJ9+'4 - Clé multilignes5'!CJ9+'4 - Clé multilignes6'!CJ9+'4 - Clé multilignes7'!CJ9</f>
        <v>0</v>
      </c>
      <c r="I9" s="171">
        <f>'4 - Clé SALAIRES'!CK9+'4 - Clé multilignes1'!CK9+'4 - Clé multilignes2'!CK9+'4 - Clé multilignes3'!CK9+'4 - Clé multilignes4'!CK9+'4 - Clé multilignes5'!CK9+'4 - Clé multilignes6'!CK9+'4 - Clé multilignes7'!CK9</f>
        <v>0</v>
      </c>
      <c r="J9" s="171">
        <f>'4 - Clé SALAIRES'!CL9+'4 - Clé multilignes1'!CL9+'4 - Clé multilignes2'!CL9+'4 - Clé multilignes3'!CL9+'4 - Clé multilignes4'!CL9+'4 - Clé multilignes5'!CL9+'4 - Clé multilignes6'!CL9+'4 - Clé multilignes7'!CL9</f>
        <v>0</v>
      </c>
      <c r="K9" s="171">
        <f>'4 - Clé SALAIRES'!CM9+'4 - Clé multilignes1'!CM9+'4 - Clé multilignes2'!CM9+'4 - Clé multilignes3'!CM9+'4 - Clé multilignes4'!CM9+'4 - Clé multilignes5'!CM9+'4 - Clé multilignes6'!CM9+'4 - Clé multilignes7'!CM9</f>
        <v>0</v>
      </c>
      <c r="L9" s="171">
        <f>'4 - Clé SALAIRES'!CN9+'4 - Clé multilignes1'!CN9+'4 - Clé multilignes2'!CN9+'4 - Clé multilignes3'!CN9+'4 - Clé multilignes4'!CN9+'4 - Clé multilignes5'!CN9+'4 - Clé multilignes6'!CN9+'4 - Clé multilignes7'!CN9</f>
        <v>0</v>
      </c>
      <c r="M9" s="171">
        <f>'4 - Clé SALAIRES'!CO9+'4 - Clé multilignes1'!CO9+'4 - Clé multilignes2'!CO9+'4 - Clé multilignes3'!CO9+'4 - Clé multilignes4'!CO9+'4 - Clé multilignes5'!CO9+'4 - Clé multilignes6'!CO9+'4 - Clé multilignes7'!CO9</f>
        <v>0</v>
      </c>
      <c r="N9" s="171">
        <f>'4 - Clé SALAIRES'!CP9+'4 - Clé multilignes1'!CP9+'4 - Clé multilignes2'!CP9+'4 - Clé multilignes3'!CP9+'4 - Clé multilignes4'!CP9+'4 - Clé multilignes5'!CP9+'4 - Clé multilignes6'!CP9+'4 - Clé multilignes7'!CP9</f>
        <v>0</v>
      </c>
      <c r="O9" s="171">
        <f>'4 - Clé SALAIRES'!CQ9+'4 - Clé multilignes1'!CQ9+'4 - Clé multilignes2'!CQ9+'4 - Clé multilignes3'!CQ9+'4 - Clé multilignes4'!CQ9+'4 - Clé multilignes5'!CQ9+'4 - Clé multilignes6'!CQ9+'4 - Clé multilignes7'!CQ9</f>
        <v>0</v>
      </c>
      <c r="P9" s="171">
        <f>'4 - Clé SALAIRES'!CR9+'4 - Clé multilignes1'!CR9+'4 - Clé multilignes2'!CR9+'4 - Clé multilignes3'!CR9+'4 - Clé multilignes4'!CR9+'4 - Clé multilignes5'!CR9+'4 - Clé multilignes6'!CR9+'4 - Clé multilignes7'!CR9</f>
        <v>0</v>
      </c>
      <c r="Q9" s="171">
        <f>'4 - Clé SALAIRES'!CS9+'4 - Clé multilignes1'!CS9+'4 - Clé multilignes2'!CS9+'4 - Clé multilignes3'!CS9+'4 - Clé multilignes4'!CS9+'4 - Clé multilignes5'!CS9+'4 - Clé multilignes6'!CS9+'4 - Clé multilignes7'!CS9</f>
        <v>0</v>
      </c>
      <c r="R9" s="171">
        <f>'4 - Clé SALAIRES'!CT9+'4 - Clé multilignes1'!CT9+'4 - Clé multilignes2'!CT9+'4 - Clé multilignes3'!CT9+'4 - Clé multilignes4'!CT9+'4 - Clé multilignes5'!CT9+'4 - Clé multilignes6'!CT9+'4 - Clé multilignes7'!CT9</f>
        <v>0</v>
      </c>
      <c r="S9" s="171">
        <f>'4 - Clé SALAIRES'!CU9+'4 - Clé multilignes1'!CU9+'4 - Clé multilignes2'!CU9+'4 - Clé multilignes3'!CU9+'4 - Clé multilignes4'!CU9+'4 - Clé multilignes5'!CU9+'4 - Clé multilignes6'!CU9+'4 - Clé multilignes7'!CU9</f>
        <v>0</v>
      </c>
      <c r="T9" s="171">
        <f>'4 - Clé SALAIRES'!CV9+'4 - Clé multilignes1'!CV9+'4 - Clé multilignes2'!CV9+'4 - Clé multilignes3'!CV9+'4 - Clé multilignes4'!CV9+'4 - Clé multilignes5'!CV9+'4 - Clé multilignes6'!CV9+'4 - Clé multilignes7'!CV9</f>
        <v>0</v>
      </c>
      <c r="U9" s="171">
        <f>'4 - Clé SALAIRES'!CW9+'4 - Clé multilignes1'!CW9+'4 - Clé multilignes2'!CW9+'4 - Clé multilignes3'!CW9+'4 - Clé multilignes4'!CW9+'4 - Clé multilignes5'!CW9+'4 - Clé multilignes6'!CW9+'4 - Clé multilignes7'!CW9</f>
        <v>0</v>
      </c>
      <c r="V9" s="171">
        <f>'4 - Clé SALAIRES'!CX9+'4 - Clé multilignes1'!CX9+'4 - Clé multilignes2'!CX9+'4 - Clé multilignes3'!CX9+'4 - Clé multilignes4'!CX9+'4 - Clé multilignes5'!CX9+'4 - Clé multilignes6'!CX9+'4 - Clé multilignes7'!CX9</f>
        <v>0</v>
      </c>
      <c r="W9" s="171">
        <f>'4 - Clé SALAIRES'!CY9+'4 - Clé multilignes1'!CY9+'4 - Clé multilignes2'!CY9+'4 - Clé multilignes3'!CY9+'4 - Clé multilignes4'!CY9+'4 - Clé multilignes5'!CY9+'4 - Clé multilignes6'!CY9+'4 - Clé multilignes7'!CY9</f>
        <v>0</v>
      </c>
      <c r="X9" s="171">
        <f>'4 - Clé SALAIRES'!CZ9+'4 - Clé multilignes1'!CZ9+'4 - Clé multilignes2'!CZ9+'4 - Clé multilignes3'!CZ9+'4 - Clé multilignes4'!CZ9+'4 - Clé multilignes5'!CZ9+'4 - Clé multilignes6'!CZ9+'4 - Clé multilignes7'!CZ9</f>
        <v>0</v>
      </c>
      <c r="Y9" s="171">
        <f>'4 - Clé SALAIRES'!DA9+'4 - Clé multilignes1'!DA9+'4 - Clé multilignes2'!DA9+'4 - Clé multilignes3'!DA9+'4 - Clé multilignes4'!DA9+'4 - Clé multilignes5'!DA9+'4 - Clé multilignes6'!DA9+'4 - Clé multilignes7'!DA9</f>
        <v>0</v>
      </c>
      <c r="Z9" s="171">
        <f>'4 - Clé SALAIRES'!DB9+'4 - Clé multilignes1'!DB9+'4 - Clé multilignes2'!DB9+'4 - Clé multilignes3'!DB9+'4 - Clé multilignes4'!DB9+'4 - Clé multilignes5'!DB9+'4 - Clé multilignes6'!DB9+'4 - Clé multilignes7'!DB9</f>
        <v>0</v>
      </c>
      <c r="AB9" s="172"/>
      <c r="AC9" s="172"/>
      <c r="AD9" s="172"/>
      <c r="AE9" s="172"/>
    </row>
    <row r="10" spans="1:32" s="173" customFormat="1" ht="12.75" customHeight="1" x14ac:dyDescent="0.25">
      <c r="A10" s="165" t="str">
        <f>Matrice[[#This Row],[Ligne de la matrice]]</f>
        <v>Transfert/Transport</v>
      </c>
      <c r="B10" s="171">
        <f>'4 - Clé SALAIRES'!CD10+'4 - Clé multilignes1'!CD10+'4 - Clé multilignes2'!CD10+'4 - Clé multilignes3'!CD10+'4 - Clé multilignes4'!CD10+'4 - Clé multilignes5'!CD10+'4 - Clé multilignes6'!CD10+'4 - Clé multilignes7'!CD10</f>
        <v>0</v>
      </c>
      <c r="C10" s="171">
        <f>'4 - Clé SALAIRES'!CE10+'4 - Clé multilignes1'!CE10+'4 - Clé multilignes2'!CE10+'4 - Clé multilignes3'!CE10+'4 - Clé multilignes4'!CE10+'4 - Clé multilignes5'!CE10+'4 - Clé multilignes6'!CE10+'4 - Clé multilignes7'!CE10</f>
        <v>0</v>
      </c>
      <c r="D10" s="171">
        <f>'4 - Clé SALAIRES'!CF10+'4 - Clé multilignes1'!CF10+'4 - Clé multilignes2'!CF10+'4 - Clé multilignes3'!CF10+'4 - Clé multilignes4'!CF10+'4 - Clé multilignes5'!CF10+'4 - Clé multilignes6'!CF10+'4 - Clé multilignes7'!CF10</f>
        <v>0</v>
      </c>
      <c r="E10" s="171">
        <f>'4 - Clé SALAIRES'!CG10+'4 - Clé multilignes1'!CG10+'4 - Clé multilignes2'!CG10+'4 - Clé multilignes3'!CG10+'4 - Clé multilignes4'!CG10+'4 - Clé multilignes5'!CG10+'4 - Clé multilignes6'!CG10+'4 - Clé multilignes7'!CG10</f>
        <v>0</v>
      </c>
      <c r="F10" s="171">
        <f>'4 - Clé SALAIRES'!CH10+'4 - Clé multilignes1'!CH10+'4 - Clé multilignes2'!CH10+'4 - Clé multilignes3'!CH10+'4 - Clé multilignes4'!CH10+'4 - Clé multilignes5'!CH10+'4 - Clé multilignes6'!CH10+'4 - Clé multilignes7'!CH10</f>
        <v>0</v>
      </c>
      <c r="G10" s="171">
        <f>'4 - Clé SALAIRES'!CI10+'4 - Clé multilignes1'!CI10+'4 - Clé multilignes2'!CI10+'4 - Clé multilignes3'!CI10+'4 - Clé multilignes4'!CI10+'4 - Clé multilignes5'!CI10+'4 - Clé multilignes6'!CI10+'4 - Clé multilignes7'!CI10</f>
        <v>0</v>
      </c>
      <c r="H10" s="171">
        <f>'4 - Clé SALAIRES'!CJ10+'4 - Clé multilignes1'!CJ10+'4 - Clé multilignes2'!CJ10+'4 - Clé multilignes3'!CJ10+'4 - Clé multilignes4'!CJ10+'4 - Clé multilignes5'!CJ10+'4 - Clé multilignes6'!CJ10+'4 - Clé multilignes7'!CJ10</f>
        <v>0</v>
      </c>
      <c r="I10" s="171">
        <f>'4 - Clé SALAIRES'!CK10+'4 - Clé multilignes1'!CK10+'4 - Clé multilignes2'!CK10+'4 - Clé multilignes3'!CK10+'4 - Clé multilignes4'!CK10+'4 - Clé multilignes5'!CK10+'4 - Clé multilignes6'!CK10+'4 - Clé multilignes7'!CK10</f>
        <v>0</v>
      </c>
      <c r="J10" s="171">
        <f>'4 - Clé SALAIRES'!CL10+'4 - Clé multilignes1'!CL10+'4 - Clé multilignes2'!CL10+'4 - Clé multilignes3'!CL10+'4 - Clé multilignes4'!CL10+'4 - Clé multilignes5'!CL10+'4 - Clé multilignes6'!CL10+'4 - Clé multilignes7'!CL10</f>
        <v>0</v>
      </c>
      <c r="K10" s="171">
        <f>'4 - Clé SALAIRES'!CM10+'4 - Clé multilignes1'!CM10+'4 - Clé multilignes2'!CM10+'4 - Clé multilignes3'!CM10+'4 - Clé multilignes4'!CM10+'4 - Clé multilignes5'!CM10+'4 - Clé multilignes6'!CM10+'4 - Clé multilignes7'!CM10</f>
        <v>0</v>
      </c>
      <c r="L10" s="171">
        <f>'4 - Clé SALAIRES'!CN10+'4 - Clé multilignes1'!CN10+'4 - Clé multilignes2'!CN10+'4 - Clé multilignes3'!CN10+'4 - Clé multilignes4'!CN10+'4 - Clé multilignes5'!CN10+'4 - Clé multilignes6'!CN10+'4 - Clé multilignes7'!CN10</f>
        <v>0</v>
      </c>
      <c r="M10" s="171">
        <f>'4 - Clé SALAIRES'!CO10+'4 - Clé multilignes1'!CO10+'4 - Clé multilignes2'!CO10+'4 - Clé multilignes3'!CO10+'4 - Clé multilignes4'!CO10+'4 - Clé multilignes5'!CO10+'4 - Clé multilignes6'!CO10+'4 - Clé multilignes7'!CO10</f>
        <v>0</v>
      </c>
      <c r="N10" s="171">
        <f>'4 - Clé SALAIRES'!CP10+'4 - Clé multilignes1'!CP10+'4 - Clé multilignes2'!CP10+'4 - Clé multilignes3'!CP10+'4 - Clé multilignes4'!CP10+'4 - Clé multilignes5'!CP10+'4 - Clé multilignes6'!CP10+'4 - Clé multilignes7'!CP10</f>
        <v>0</v>
      </c>
      <c r="O10" s="171">
        <f>'4 - Clé SALAIRES'!CQ10+'4 - Clé multilignes1'!CQ10+'4 - Clé multilignes2'!CQ10+'4 - Clé multilignes3'!CQ10+'4 - Clé multilignes4'!CQ10+'4 - Clé multilignes5'!CQ10+'4 - Clé multilignes6'!CQ10+'4 - Clé multilignes7'!CQ10</f>
        <v>0</v>
      </c>
      <c r="P10" s="171">
        <f>'4 - Clé SALAIRES'!CR10+'4 - Clé multilignes1'!CR10+'4 - Clé multilignes2'!CR10+'4 - Clé multilignes3'!CR10+'4 - Clé multilignes4'!CR10+'4 - Clé multilignes5'!CR10+'4 - Clé multilignes6'!CR10+'4 - Clé multilignes7'!CR10</f>
        <v>0</v>
      </c>
      <c r="Q10" s="171">
        <f>'4 - Clé SALAIRES'!CS10+'4 - Clé multilignes1'!CS10+'4 - Clé multilignes2'!CS10+'4 - Clé multilignes3'!CS10+'4 - Clé multilignes4'!CS10+'4 - Clé multilignes5'!CS10+'4 - Clé multilignes6'!CS10+'4 - Clé multilignes7'!CS10</f>
        <v>0</v>
      </c>
      <c r="R10" s="171">
        <f>'4 - Clé SALAIRES'!CT10+'4 - Clé multilignes1'!CT10+'4 - Clé multilignes2'!CT10+'4 - Clé multilignes3'!CT10+'4 - Clé multilignes4'!CT10+'4 - Clé multilignes5'!CT10+'4 - Clé multilignes6'!CT10+'4 - Clé multilignes7'!CT10</f>
        <v>0</v>
      </c>
      <c r="S10" s="171">
        <f>'4 - Clé SALAIRES'!CU10+'4 - Clé multilignes1'!CU10+'4 - Clé multilignes2'!CU10+'4 - Clé multilignes3'!CU10+'4 - Clé multilignes4'!CU10+'4 - Clé multilignes5'!CU10+'4 - Clé multilignes6'!CU10+'4 - Clé multilignes7'!CU10</f>
        <v>0</v>
      </c>
      <c r="T10" s="171">
        <f>'4 - Clé SALAIRES'!CV10+'4 - Clé multilignes1'!CV10+'4 - Clé multilignes2'!CV10+'4 - Clé multilignes3'!CV10+'4 - Clé multilignes4'!CV10+'4 - Clé multilignes5'!CV10+'4 - Clé multilignes6'!CV10+'4 - Clé multilignes7'!CV10</f>
        <v>0</v>
      </c>
      <c r="U10" s="171">
        <f>'4 - Clé SALAIRES'!CW10+'4 - Clé multilignes1'!CW10+'4 - Clé multilignes2'!CW10+'4 - Clé multilignes3'!CW10+'4 - Clé multilignes4'!CW10+'4 - Clé multilignes5'!CW10+'4 - Clé multilignes6'!CW10+'4 - Clé multilignes7'!CW10</f>
        <v>0</v>
      </c>
      <c r="V10" s="171">
        <f>'4 - Clé SALAIRES'!CX10+'4 - Clé multilignes1'!CX10+'4 - Clé multilignes2'!CX10+'4 - Clé multilignes3'!CX10+'4 - Clé multilignes4'!CX10+'4 - Clé multilignes5'!CX10+'4 - Clé multilignes6'!CX10+'4 - Clé multilignes7'!CX10</f>
        <v>0</v>
      </c>
      <c r="W10" s="171">
        <f>'4 - Clé SALAIRES'!CY10+'4 - Clé multilignes1'!CY10+'4 - Clé multilignes2'!CY10+'4 - Clé multilignes3'!CY10+'4 - Clé multilignes4'!CY10+'4 - Clé multilignes5'!CY10+'4 - Clé multilignes6'!CY10+'4 - Clé multilignes7'!CY10</f>
        <v>0</v>
      </c>
      <c r="X10" s="171">
        <f>'4 - Clé SALAIRES'!CZ10+'4 - Clé multilignes1'!CZ10+'4 - Clé multilignes2'!CZ10+'4 - Clé multilignes3'!CZ10+'4 - Clé multilignes4'!CZ10+'4 - Clé multilignes5'!CZ10+'4 - Clé multilignes6'!CZ10+'4 - Clé multilignes7'!CZ10</f>
        <v>0</v>
      </c>
      <c r="Y10" s="171">
        <f>'4 - Clé SALAIRES'!DA10+'4 - Clé multilignes1'!DA10+'4 - Clé multilignes2'!DA10+'4 - Clé multilignes3'!DA10+'4 - Clé multilignes4'!DA10+'4 - Clé multilignes5'!DA10+'4 - Clé multilignes6'!DA10+'4 - Clé multilignes7'!DA10</f>
        <v>0</v>
      </c>
      <c r="Z10" s="171">
        <f>'4 - Clé SALAIRES'!DB10+'4 - Clé multilignes1'!DB10+'4 - Clé multilignes2'!DB10+'4 - Clé multilignes3'!DB10+'4 - Clé multilignes4'!DB10+'4 - Clé multilignes5'!DB10+'4 - Clé multilignes6'!DB10+'4 - Clé multilignes7'!DB10</f>
        <v>0</v>
      </c>
      <c r="AB10" s="172"/>
      <c r="AC10" s="172"/>
      <c r="AD10" s="172"/>
      <c r="AE10" s="172"/>
    </row>
    <row r="11" spans="1:32" s="173" customFormat="1" ht="12.75" customHeight="1" x14ac:dyDescent="0.25">
      <c r="A11" s="165" t="str">
        <f>Matrice[[#This Row],[Ligne de la matrice]]</f>
        <v>Traitement des déchets non dangereux</v>
      </c>
      <c r="B11" s="171">
        <f>'4 - Clé SALAIRES'!CD11+'4 - Clé multilignes1'!CD11+'4 - Clé multilignes2'!CD11+'4 - Clé multilignes3'!CD11+'4 - Clé multilignes4'!CD11+'4 - Clé multilignes5'!CD11+'4 - Clé multilignes6'!CD11+'4 - Clé multilignes7'!CD11</f>
        <v>0</v>
      </c>
      <c r="C11" s="171">
        <f>'4 - Clé SALAIRES'!CE11+'4 - Clé multilignes1'!CE11+'4 - Clé multilignes2'!CE11+'4 - Clé multilignes3'!CE11+'4 - Clé multilignes4'!CE11+'4 - Clé multilignes5'!CE11+'4 - Clé multilignes6'!CE11+'4 - Clé multilignes7'!CE11</f>
        <v>0</v>
      </c>
      <c r="D11" s="171">
        <f>'4 - Clé SALAIRES'!CF11+'4 - Clé multilignes1'!CF11+'4 - Clé multilignes2'!CF11+'4 - Clé multilignes3'!CF11+'4 - Clé multilignes4'!CF11+'4 - Clé multilignes5'!CF11+'4 - Clé multilignes6'!CF11+'4 - Clé multilignes7'!CF11</f>
        <v>0</v>
      </c>
      <c r="E11" s="171">
        <f>'4 - Clé SALAIRES'!CG11+'4 - Clé multilignes1'!CG11+'4 - Clé multilignes2'!CG11+'4 - Clé multilignes3'!CG11+'4 - Clé multilignes4'!CG11+'4 - Clé multilignes5'!CG11+'4 - Clé multilignes6'!CG11+'4 - Clé multilignes7'!CG11</f>
        <v>0</v>
      </c>
      <c r="F11" s="171">
        <f>'4 - Clé SALAIRES'!CH11+'4 - Clé multilignes1'!CH11+'4 - Clé multilignes2'!CH11+'4 - Clé multilignes3'!CH11+'4 - Clé multilignes4'!CH11+'4 - Clé multilignes5'!CH11+'4 - Clé multilignes6'!CH11+'4 - Clé multilignes7'!CH11</f>
        <v>0</v>
      </c>
      <c r="G11" s="171">
        <f>'4 - Clé SALAIRES'!CI11+'4 - Clé multilignes1'!CI11+'4 - Clé multilignes2'!CI11+'4 - Clé multilignes3'!CI11+'4 - Clé multilignes4'!CI11+'4 - Clé multilignes5'!CI11+'4 - Clé multilignes6'!CI11+'4 - Clé multilignes7'!CI11</f>
        <v>0</v>
      </c>
      <c r="H11" s="171">
        <f>'4 - Clé SALAIRES'!CJ11+'4 - Clé multilignes1'!CJ11+'4 - Clé multilignes2'!CJ11+'4 - Clé multilignes3'!CJ11+'4 - Clé multilignes4'!CJ11+'4 - Clé multilignes5'!CJ11+'4 - Clé multilignes6'!CJ11+'4 - Clé multilignes7'!CJ11</f>
        <v>0</v>
      </c>
      <c r="I11" s="171">
        <f>'4 - Clé SALAIRES'!CK11+'4 - Clé multilignes1'!CK11+'4 - Clé multilignes2'!CK11+'4 - Clé multilignes3'!CK11+'4 - Clé multilignes4'!CK11+'4 - Clé multilignes5'!CK11+'4 - Clé multilignes6'!CK11+'4 - Clé multilignes7'!CK11</f>
        <v>0</v>
      </c>
      <c r="J11" s="171">
        <f>'4 - Clé SALAIRES'!CL11+'4 - Clé multilignes1'!CL11+'4 - Clé multilignes2'!CL11+'4 - Clé multilignes3'!CL11+'4 - Clé multilignes4'!CL11+'4 - Clé multilignes5'!CL11+'4 - Clé multilignes6'!CL11+'4 - Clé multilignes7'!CL11</f>
        <v>0</v>
      </c>
      <c r="K11" s="171">
        <f>'4 - Clé SALAIRES'!CM11+'4 - Clé multilignes1'!CM11+'4 - Clé multilignes2'!CM11+'4 - Clé multilignes3'!CM11+'4 - Clé multilignes4'!CM11+'4 - Clé multilignes5'!CM11+'4 - Clé multilignes6'!CM11+'4 - Clé multilignes7'!CM11</f>
        <v>0</v>
      </c>
      <c r="L11" s="171">
        <f>'4 - Clé SALAIRES'!CN11+'4 - Clé multilignes1'!CN11+'4 - Clé multilignes2'!CN11+'4 - Clé multilignes3'!CN11+'4 - Clé multilignes4'!CN11+'4 - Clé multilignes5'!CN11+'4 - Clé multilignes6'!CN11+'4 - Clé multilignes7'!CN11</f>
        <v>0</v>
      </c>
      <c r="M11" s="171">
        <f>'4 - Clé SALAIRES'!CO11+'4 - Clé multilignes1'!CO11+'4 - Clé multilignes2'!CO11+'4 - Clé multilignes3'!CO11+'4 - Clé multilignes4'!CO11+'4 - Clé multilignes5'!CO11+'4 - Clé multilignes6'!CO11+'4 - Clé multilignes7'!CO11</f>
        <v>0</v>
      </c>
      <c r="N11" s="171">
        <f>'4 - Clé SALAIRES'!CP11+'4 - Clé multilignes1'!CP11+'4 - Clé multilignes2'!CP11+'4 - Clé multilignes3'!CP11+'4 - Clé multilignes4'!CP11+'4 - Clé multilignes5'!CP11+'4 - Clé multilignes6'!CP11+'4 - Clé multilignes7'!CP11</f>
        <v>0</v>
      </c>
      <c r="O11" s="171">
        <f>'4 - Clé SALAIRES'!CQ11+'4 - Clé multilignes1'!CQ11+'4 - Clé multilignes2'!CQ11+'4 - Clé multilignes3'!CQ11+'4 - Clé multilignes4'!CQ11+'4 - Clé multilignes5'!CQ11+'4 - Clé multilignes6'!CQ11+'4 - Clé multilignes7'!CQ11</f>
        <v>0</v>
      </c>
      <c r="P11" s="171">
        <f>'4 - Clé SALAIRES'!CR11+'4 - Clé multilignes1'!CR11+'4 - Clé multilignes2'!CR11+'4 - Clé multilignes3'!CR11+'4 - Clé multilignes4'!CR11+'4 - Clé multilignes5'!CR11+'4 - Clé multilignes6'!CR11+'4 - Clé multilignes7'!CR11</f>
        <v>0</v>
      </c>
      <c r="Q11" s="171">
        <f>'4 - Clé SALAIRES'!CS11+'4 - Clé multilignes1'!CS11+'4 - Clé multilignes2'!CS11+'4 - Clé multilignes3'!CS11+'4 - Clé multilignes4'!CS11+'4 - Clé multilignes5'!CS11+'4 - Clé multilignes6'!CS11+'4 - Clé multilignes7'!CS11</f>
        <v>0</v>
      </c>
      <c r="R11" s="171">
        <f>'4 - Clé SALAIRES'!CT11+'4 - Clé multilignes1'!CT11+'4 - Clé multilignes2'!CT11+'4 - Clé multilignes3'!CT11+'4 - Clé multilignes4'!CT11+'4 - Clé multilignes5'!CT11+'4 - Clé multilignes6'!CT11+'4 - Clé multilignes7'!CT11</f>
        <v>0</v>
      </c>
      <c r="S11" s="171">
        <f>'4 - Clé SALAIRES'!CU11+'4 - Clé multilignes1'!CU11+'4 - Clé multilignes2'!CU11+'4 - Clé multilignes3'!CU11+'4 - Clé multilignes4'!CU11+'4 - Clé multilignes5'!CU11+'4 - Clé multilignes6'!CU11+'4 - Clé multilignes7'!CU11</f>
        <v>0</v>
      </c>
      <c r="T11" s="171">
        <f>'4 - Clé SALAIRES'!CV11+'4 - Clé multilignes1'!CV11+'4 - Clé multilignes2'!CV11+'4 - Clé multilignes3'!CV11+'4 - Clé multilignes4'!CV11+'4 - Clé multilignes5'!CV11+'4 - Clé multilignes6'!CV11+'4 - Clé multilignes7'!CV11</f>
        <v>0</v>
      </c>
      <c r="U11" s="171">
        <f>'4 - Clé SALAIRES'!CW11+'4 - Clé multilignes1'!CW11+'4 - Clé multilignes2'!CW11+'4 - Clé multilignes3'!CW11+'4 - Clé multilignes4'!CW11+'4 - Clé multilignes5'!CW11+'4 - Clé multilignes6'!CW11+'4 - Clé multilignes7'!CW11</f>
        <v>0</v>
      </c>
      <c r="V11" s="171">
        <f>'4 - Clé SALAIRES'!CX11+'4 - Clé multilignes1'!CX11+'4 - Clé multilignes2'!CX11+'4 - Clé multilignes3'!CX11+'4 - Clé multilignes4'!CX11+'4 - Clé multilignes5'!CX11+'4 - Clé multilignes6'!CX11+'4 - Clé multilignes7'!CX11</f>
        <v>0</v>
      </c>
      <c r="W11" s="171">
        <f>'4 - Clé SALAIRES'!CY11+'4 - Clé multilignes1'!CY11+'4 - Clé multilignes2'!CY11+'4 - Clé multilignes3'!CY11+'4 - Clé multilignes4'!CY11+'4 - Clé multilignes5'!CY11+'4 - Clé multilignes6'!CY11+'4 - Clé multilignes7'!CY11</f>
        <v>0</v>
      </c>
      <c r="X11" s="171">
        <f>'4 - Clé SALAIRES'!CZ11+'4 - Clé multilignes1'!CZ11+'4 - Clé multilignes2'!CZ11+'4 - Clé multilignes3'!CZ11+'4 - Clé multilignes4'!CZ11+'4 - Clé multilignes5'!CZ11+'4 - Clé multilignes6'!CZ11+'4 - Clé multilignes7'!CZ11</f>
        <v>0</v>
      </c>
      <c r="Y11" s="171">
        <f>'4 - Clé SALAIRES'!DA11+'4 - Clé multilignes1'!DA11+'4 - Clé multilignes2'!DA11+'4 - Clé multilignes3'!DA11+'4 - Clé multilignes4'!DA11+'4 - Clé multilignes5'!DA11+'4 - Clé multilignes6'!DA11+'4 - Clé multilignes7'!DA11</f>
        <v>0</v>
      </c>
      <c r="Z11" s="171">
        <f>'4 - Clé SALAIRES'!DB11+'4 - Clé multilignes1'!DB11+'4 - Clé multilignes2'!DB11+'4 - Clé multilignes3'!DB11+'4 - Clé multilignes4'!DB11+'4 - Clé multilignes5'!DB11+'4 - Clé multilignes6'!DB11+'4 - Clé multilignes7'!DB11</f>
        <v>0</v>
      </c>
      <c r="AB11" s="172"/>
      <c r="AC11" s="172"/>
      <c r="AD11" s="172"/>
      <c r="AE11" s="172"/>
    </row>
    <row r="12" spans="1:32" s="173" customFormat="1" ht="12.75" customHeight="1" x14ac:dyDescent="0.25">
      <c r="A12" s="165" t="str">
        <f>Matrice[[#This Row],[Ligne de la matrice]]</f>
        <v>Enlèvement et traitement des déchets dangereux</v>
      </c>
      <c r="B12" s="171">
        <f>'4 - Clé SALAIRES'!CD12+'4 - Clé multilignes1'!CD12+'4 - Clé multilignes2'!CD12+'4 - Clé multilignes3'!CD12+'4 - Clé multilignes4'!CD12+'4 - Clé multilignes5'!CD12+'4 - Clé multilignes6'!CD12+'4 - Clé multilignes7'!CD12</f>
        <v>0</v>
      </c>
      <c r="C12" s="171">
        <f>'4 - Clé SALAIRES'!CE12+'4 - Clé multilignes1'!CE12+'4 - Clé multilignes2'!CE12+'4 - Clé multilignes3'!CE12+'4 - Clé multilignes4'!CE12+'4 - Clé multilignes5'!CE12+'4 - Clé multilignes6'!CE12+'4 - Clé multilignes7'!CE12</f>
        <v>0</v>
      </c>
      <c r="D12" s="171">
        <f>'4 - Clé SALAIRES'!CF12+'4 - Clé multilignes1'!CF12+'4 - Clé multilignes2'!CF12+'4 - Clé multilignes3'!CF12+'4 - Clé multilignes4'!CF12+'4 - Clé multilignes5'!CF12+'4 - Clé multilignes6'!CF12+'4 - Clé multilignes7'!CF12</f>
        <v>0</v>
      </c>
      <c r="E12" s="171">
        <f>'4 - Clé SALAIRES'!CG12+'4 - Clé multilignes1'!CG12+'4 - Clé multilignes2'!CG12+'4 - Clé multilignes3'!CG12+'4 - Clé multilignes4'!CG12+'4 - Clé multilignes5'!CG12+'4 - Clé multilignes6'!CG12+'4 - Clé multilignes7'!CG12</f>
        <v>0</v>
      </c>
      <c r="F12" s="171">
        <f>'4 - Clé SALAIRES'!CH12+'4 - Clé multilignes1'!CH12+'4 - Clé multilignes2'!CH12+'4 - Clé multilignes3'!CH12+'4 - Clé multilignes4'!CH12+'4 - Clé multilignes5'!CH12+'4 - Clé multilignes6'!CH12+'4 - Clé multilignes7'!CH12</f>
        <v>0</v>
      </c>
      <c r="G12" s="171">
        <f>'4 - Clé SALAIRES'!CI12+'4 - Clé multilignes1'!CI12+'4 - Clé multilignes2'!CI12+'4 - Clé multilignes3'!CI12+'4 - Clé multilignes4'!CI12+'4 - Clé multilignes5'!CI12+'4 - Clé multilignes6'!CI12+'4 - Clé multilignes7'!CI12</f>
        <v>0</v>
      </c>
      <c r="H12" s="171">
        <f>'4 - Clé SALAIRES'!CJ12+'4 - Clé multilignes1'!CJ12+'4 - Clé multilignes2'!CJ12+'4 - Clé multilignes3'!CJ12+'4 - Clé multilignes4'!CJ12+'4 - Clé multilignes5'!CJ12+'4 - Clé multilignes6'!CJ12+'4 - Clé multilignes7'!CJ12</f>
        <v>0</v>
      </c>
      <c r="I12" s="171">
        <f>'4 - Clé SALAIRES'!CK12+'4 - Clé multilignes1'!CK12+'4 - Clé multilignes2'!CK12+'4 - Clé multilignes3'!CK12+'4 - Clé multilignes4'!CK12+'4 - Clé multilignes5'!CK12+'4 - Clé multilignes6'!CK12+'4 - Clé multilignes7'!CK12</f>
        <v>0</v>
      </c>
      <c r="J12" s="171">
        <f>'4 - Clé SALAIRES'!CL12+'4 - Clé multilignes1'!CL12+'4 - Clé multilignes2'!CL12+'4 - Clé multilignes3'!CL12+'4 - Clé multilignes4'!CL12+'4 - Clé multilignes5'!CL12+'4 - Clé multilignes6'!CL12+'4 - Clé multilignes7'!CL12</f>
        <v>0</v>
      </c>
      <c r="K12" s="171">
        <f>'4 - Clé SALAIRES'!CM12+'4 - Clé multilignes1'!CM12+'4 - Clé multilignes2'!CM12+'4 - Clé multilignes3'!CM12+'4 - Clé multilignes4'!CM12+'4 - Clé multilignes5'!CM12+'4 - Clé multilignes6'!CM12+'4 - Clé multilignes7'!CM12</f>
        <v>0</v>
      </c>
      <c r="L12" s="171">
        <f>'4 - Clé SALAIRES'!CN12+'4 - Clé multilignes1'!CN12+'4 - Clé multilignes2'!CN12+'4 - Clé multilignes3'!CN12+'4 - Clé multilignes4'!CN12+'4 - Clé multilignes5'!CN12+'4 - Clé multilignes6'!CN12+'4 - Clé multilignes7'!CN12</f>
        <v>0</v>
      </c>
      <c r="M12" s="171">
        <f>'4 - Clé SALAIRES'!CO12+'4 - Clé multilignes1'!CO12+'4 - Clé multilignes2'!CO12+'4 - Clé multilignes3'!CO12+'4 - Clé multilignes4'!CO12+'4 - Clé multilignes5'!CO12+'4 - Clé multilignes6'!CO12+'4 - Clé multilignes7'!CO12</f>
        <v>0</v>
      </c>
      <c r="N12" s="171">
        <f>'4 - Clé SALAIRES'!CP12+'4 - Clé multilignes1'!CP12+'4 - Clé multilignes2'!CP12+'4 - Clé multilignes3'!CP12+'4 - Clé multilignes4'!CP12+'4 - Clé multilignes5'!CP12+'4 - Clé multilignes6'!CP12+'4 - Clé multilignes7'!CP12</f>
        <v>0</v>
      </c>
      <c r="O12" s="171">
        <f>'4 - Clé SALAIRES'!CQ12+'4 - Clé multilignes1'!CQ12+'4 - Clé multilignes2'!CQ12+'4 - Clé multilignes3'!CQ12+'4 - Clé multilignes4'!CQ12+'4 - Clé multilignes5'!CQ12+'4 - Clé multilignes6'!CQ12+'4 - Clé multilignes7'!CQ12</f>
        <v>0</v>
      </c>
      <c r="P12" s="171">
        <f>'4 - Clé SALAIRES'!CR12+'4 - Clé multilignes1'!CR12+'4 - Clé multilignes2'!CR12+'4 - Clé multilignes3'!CR12+'4 - Clé multilignes4'!CR12+'4 - Clé multilignes5'!CR12+'4 - Clé multilignes6'!CR12+'4 - Clé multilignes7'!CR12</f>
        <v>0</v>
      </c>
      <c r="Q12" s="171">
        <f>'4 - Clé SALAIRES'!CS12+'4 - Clé multilignes1'!CS12+'4 - Clé multilignes2'!CS12+'4 - Clé multilignes3'!CS12+'4 - Clé multilignes4'!CS12+'4 - Clé multilignes5'!CS12+'4 - Clé multilignes6'!CS12+'4 - Clé multilignes7'!CS12</f>
        <v>0</v>
      </c>
      <c r="R12" s="171">
        <f>'4 - Clé SALAIRES'!CT12+'4 - Clé multilignes1'!CT12+'4 - Clé multilignes2'!CT12+'4 - Clé multilignes3'!CT12+'4 - Clé multilignes4'!CT12+'4 - Clé multilignes5'!CT12+'4 - Clé multilignes6'!CT12+'4 - Clé multilignes7'!CT12</f>
        <v>0</v>
      </c>
      <c r="S12" s="171">
        <f>'4 - Clé SALAIRES'!CU12+'4 - Clé multilignes1'!CU12+'4 - Clé multilignes2'!CU12+'4 - Clé multilignes3'!CU12+'4 - Clé multilignes4'!CU12+'4 - Clé multilignes5'!CU12+'4 - Clé multilignes6'!CU12+'4 - Clé multilignes7'!CU12</f>
        <v>0</v>
      </c>
      <c r="T12" s="171">
        <f>'4 - Clé SALAIRES'!CV12+'4 - Clé multilignes1'!CV12+'4 - Clé multilignes2'!CV12+'4 - Clé multilignes3'!CV12+'4 - Clé multilignes4'!CV12+'4 - Clé multilignes5'!CV12+'4 - Clé multilignes6'!CV12+'4 - Clé multilignes7'!CV12</f>
        <v>0</v>
      </c>
      <c r="U12" s="171">
        <f>'4 - Clé SALAIRES'!CW12+'4 - Clé multilignes1'!CW12+'4 - Clé multilignes2'!CW12+'4 - Clé multilignes3'!CW12+'4 - Clé multilignes4'!CW12+'4 - Clé multilignes5'!CW12+'4 - Clé multilignes6'!CW12+'4 - Clé multilignes7'!CW12</f>
        <v>0</v>
      </c>
      <c r="V12" s="171">
        <f>'4 - Clé SALAIRES'!CX12+'4 - Clé multilignes1'!CX12+'4 - Clé multilignes2'!CX12+'4 - Clé multilignes3'!CX12+'4 - Clé multilignes4'!CX12+'4 - Clé multilignes5'!CX12+'4 - Clé multilignes6'!CX12+'4 - Clé multilignes7'!CX12</f>
        <v>0</v>
      </c>
      <c r="W12" s="171">
        <f>'4 - Clé SALAIRES'!CY12+'4 - Clé multilignes1'!CY12+'4 - Clé multilignes2'!CY12+'4 - Clé multilignes3'!CY12+'4 - Clé multilignes4'!CY12+'4 - Clé multilignes5'!CY12+'4 - Clé multilignes6'!CY12+'4 - Clé multilignes7'!CY12</f>
        <v>0</v>
      </c>
      <c r="X12" s="171">
        <f>'4 - Clé SALAIRES'!CZ12+'4 - Clé multilignes1'!CZ12+'4 - Clé multilignes2'!CZ12+'4 - Clé multilignes3'!CZ12+'4 - Clé multilignes4'!CZ12+'4 - Clé multilignes5'!CZ12+'4 - Clé multilignes6'!CZ12+'4 - Clé multilignes7'!CZ12</f>
        <v>0</v>
      </c>
      <c r="Y12" s="171">
        <f>'4 - Clé SALAIRES'!DA12+'4 - Clé multilignes1'!DA12+'4 - Clé multilignes2'!DA12+'4 - Clé multilignes3'!DA12+'4 - Clé multilignes4'!DA12+'4 - Clé multilignes5'!DA12+'4 - Clé multilignes6'!DA12+'4 - Clé multilignes7'!DA12</f>
        <v>0</v>
      </c>
      <c r="Z12" s="171">
        <f>'4 - Clé SALAIRES'!DB12+'4 - Clé multilignes1'!DB12+'4 - Clé multilignes2'!DB12+'4 - Clé multilignes3'!DB12+'4 - Clé multilignes4'!DB12+'4 - Clé multilignes5'!DB12+'4 - Clé multilignes6'!DB12+'4 - Clé multilignes7'!DB12</f>
        <v>0</v>
      </c>
      <c r="AB12" s="172"/>
      <c r="AC12" s="172"/>
      <c r="AD12" s="172"/>
      <c r="AE12" s="172"/>
    </row>
    <row r="13" spans="1:32" s="173" customFormat="1" ht="12.75" customHeight="1" x14ac:dyDescent="0.25">
      <c r="A13" s="165">
        <f>Matrice[[#This Row],[Ligne de la matrice]]</f>
        <v>0</v>
      </c>
      <c r="B13" s="171">
        <f>'4 - Clé SALAIRES'!CD13+'4 - Clé multilignes1'!CD13+'4 - Clé multilignes2'!CD13+'4 - Clé multilignes3'!CD13+'4 - Clé multilignes4'!CD13+'4 - Clé multilignes5'!CD13+'4 - Clé multilignes6'!CD13+'4 - Clé multilignes7'!CD13</f>
        <v>0</v>
      </c>
      <c r="C13" s="171">
        <f>'4 - Clé SALAIRES'!CE13+'4 - Clé multilignes1'!CE13+'4 - Clé multilignes2'!CE13+'4 - Clé multilignes3'!CE13+'4 - Clé multilignes4'!CE13+'4 - Clé multilignes5'!CE13+'4 - Clé multilignes6'!CE13+'4 - Clé multilignes7'!CE13</f>
        <v>0</v>
      </c>
      <c r="D13" s="171">
        <f>'4 - Clé SALAIRES'!CF13+'4 - Clé multilignes1'!CF13+'4 - Clé multilignes2'!CF13+'4 - Clé multilignes3'!CF13+'4 - Clé multilignes4'!CF13+'4 - Clé multilignes5'!CF13+'4 - Clé multilignes6'!CF13+'4 - Clé multilignes7'!CF13</f>
        <v>0</v>
      </c>
      <c r="E13" s="171">
        <f>'4 - Clé SALAIRES'!CG13+'4 - Clé multilignes1'!CG13+'4 - Clé multilignes2'!CG13+'4 - Clé multilignes3'!CG13+'4 - Clé multilignes4'!CG13+'4 - Clé multilignes5'!CG13+'4 - Clé multilignes6'!CG13+'4 - Clé multilignes7'!CG13</f>
        <v>0</v>
      </c>
      <c r="F13" s="171">
        <f>'4 - Clé SALAIRES'!CH13+'4 - Clé multilignes1'!CH13+'4 - Clé multilignes2'!CH13+'4 - Clé multilignes3'!CH13+'4 - Clé multilignes4'!CH13+'4 - Clé multilignes5'!CH13+'4 - Clé multilignes6'!CH13+'4 - Clé multilignes7'!CH13</f>
        <v>0</v>
      </c>
      <c r="G13" s="171">
        <f>'4 - Clé SALAIRES'!CI13+'4 - Clé multilignes1'!CI13+'4 - Clé multilignes2'!CI13+'4 - Clé multilignes3'!CI13+'4 - Clé multilignes4'!CI13+'4 - Clé multilignes5'!CI13+'4 - Clé multilignes6'!CI13+'4 - Clé multilignes7'!CI13</f>
        <v>0</v>
      </c>
      <c r="H13" s="171">
        <f>'4 - Clé SALAIRES'!CJ13+'4 - Clé multilignes1'!CJ13+'4 - Clé multilignes2'!CJ13+'4 - Clé multilignes3'!CJ13+'4 - Clé multilignes4'!CJ13+'4 - Clé multilignes5'!CJ13+'4 - Clé multilignes6'!CJ13+'4 - Clé multilignes7'!CJ13</f>
        <v>0</v>
      </c>
      <c r="I13" s="171">
        <f>'4 - Clé SALAIRES'!CK13+'4 - Clé multilignes1'!CK13+'4 - Clé multilignes2'!CK13+'4 - Clé multilignes3'!CK13+'4 - Clé multilignes4'!CK13+'4 - Clé multilignes5'!CK13+'4 - Clé multilignes6'!CK13+'4 - Clé multilignes7'!CK13</f>
        <v>0</v>
      </c>
      <c r="J13" s="171">
        <f>'4 - Clé SALAIRES'!CL13+'4 - Clé multilignes1'!CL13+'4 - Clé multilignes2'!CL13+'4 - Clé multilignes3'!CL13+'4 - Clé multilignes4'!CL13+'4 - Clé multilignes5'!CL13+'4 - Clé multilignes6'!CL13+'4 - Clé multilignes7'!CL13</f>
        <v>0</v>
      </c>
      <c r="K13" s="171">
        <f>'4 - Clé SALAIRES'!CM13+'4 - Clé multilignes1'!CM13+'4 - Clé multilignes2'!CM13+'4 - Clé multilignes3'!CM13+'4 - Clé multilignes4'!CM13+'4 - Clé multilignes5'!CM13+'4 - Clé multilignes6'!CM13+'4 - Clé multilignes7'!CM13</f>
        <v>0</v>
      </c>
      <c r="L13" s="171">
        <f>'4 - Clé SALAIRES'!CN13+'4 - Clé multilignes1'!CN13+'4 - Clé multilignes2'!CN13+'4 - Clé multilignes3'!CN13+'4 - Clé multilignes4'!CN13+'4 - Clé multilignes5'!CN13+'4 - Clé multilignes6'!CN13+'4 - Clé multilignes7'!CN13</f>
        <v>0</v>
      </c>
      <c r="M13" s="171">
        <f>'4 - Clé SALAIRES'!CO13+'4 - Clé multilignes1'!CO13+'4 - Clé multilignes2'!CO13+'4 - Clé multilignes3'!CO13+'4 - Clé multilignes4'!CO13+'4 - Clé multilignes5'!CO13+'4 - Clé multilignes6'!CO13+'4 - Clé multilignes7'!CO13</f>
        <v>0</v>
      </c>
      <c r="N13" s="171">
        <f>'4 - Clé SALAIRES'!CP13+'4 - Clé multilignes1'!CP13+'4 - Clé multilignes2'!CP13+'4 - Clé multilignes3'!CP13+'4 - Clé multilignes4'!CP13+'4 - Clé multilignes5'!CP13+'4 - Clé multilignes6'!CP13+'4 - Clé multilignes7'!CP13</f>
        <v>0</v>
      </c>
      <c r="O13" s="171">
        <f>'4 - Clé SALAIRES'!CQ13+'4 - Clé multilignes1'!CQ13+'4 - Clé multilignes2'!CQ13+'4 - Clé multilignes3'!CQ13+'4 - Clé multilignes4'!CQ13+'4 - Clé multilignes5'!CQ13+'4 - Clé multilignes6'!CQ13+'4 - Clé multilignes7'!CQ13</f>
        <v>0</v>
      </c>
      <c r="P13" s="171">
        <f>'4 - Clé SALAIRES'!CR13+'4 - Clé multilignes1'!CR13+'4 - Clé multilignes2'!CR13+'4 - Clé multilignes3'!CR13+'4 - Clé multilignes4'!CR13+'4 - Clé multilignes5'!CR13+'4 - Clé multilignes6'!CR13+'4 - Clé multilignes7'!CR13</f>
        <v>0</v>
      </c>
      <c r="Q13" s="171">
        <f>'4 - Clé SALAIRES'!CS13+'4 - Clé multilignes1'!CS13+'4 - Clé multilignes2'!CS13+'4 - Clé multilignes3'!CS13+'4 - Clé multilignes4'!CS13+'4 - Clé multilignes5'!CS13+'4 - Clé multilignes6'!CS13+'4 - Clé multilignes7'!CS13</f>
        <v>0</v>
      </c>
      <c r="R13" s="171">
        <f>'4 - Clé SALAIRES'!CT13+'4 - Clé multilignes1'!CT13+'4 - Clé multilignes2'!CT13+'4 - Clé multilignes3'!CT13+'4 - Clé multilignes4'!CT13+'4 - Clé multilignes5'!CT13+'4 - Clé multilignes6'!CT13+'4 - Clé multilignes7'!CT13</f>
        <v>0</v>
      </c>
      <c r="S13" s="171">
        <f>'4 - Clé SALAIRES'!CU13+'4 - Clé multilignes1'!CU13+'4 - Clé multilignes2'!CU13+'4 - Clé multilignes3'!CU13+'4 - Clé multilignes4'!CU13+'4 - Clé multilignes5'!CU13+'4 - Clé multilignes6'!CU13+'4 - Clé multilignes7'!CU13</f>
        <v>0</v>
      </c>
      <c r="T13" s="171">
        <f>'4 - Clé SALAIRES'!CV13+'4 - Clé multilignes1'!CV13+'4 - Clé multilignes2'!CV13+'4 - Clé multilignes3'!CV13+'4 - Clé multilignes4'!CV13+'4 - Clé multilignes5'!CV13+'4 - Clé multilignes6'!CV13+'4 - Clé multilignes7'!CV13</f>
        <v>0</v>
      </c>
      <c r="U13" s="171">
        <f>'4 - Clé SALAIRES'!CW13+'4 - Clé multilignes1'!CW13+'4 - Clé multilignes2'!CW13+'4 - Clé multilignes3'!CW13+'4 - Clé multilignes4'!CW13+'4 - Clé multilignes5'!CW13+'4 - Clé multilignes6'!CW13+'4 - Clé multilignes7'!CW13</f>
        <v>0</v>
      </c>
      <c r="V13" s="171">
        <f>'4 - Clé SALAIRES'!CX13+'4 - Clé multilignes1'!CX13+'4 - Clé multilignes2'!CX13+'4 - Clé multilignes3'!CX13+'4 - Clé multilignes4'!CX13+'4 - Clé multilignes5'!CX13+'4 - Clé multilignes6'!CX13+'4 - Clé multilignes7'!CX13</f>
        <v>0</v>
      </c>
      <c r="W13" s="171">
        <f>'4 - Clé SALAIRES'!CY13+'4 - Clé multilignes1'!CY13+'4 - Clé multilignes2'!CY13+'4 - Clé multilignes3'!CY13+'4 - Clé multilignes4'!CY13+'4 - Clé multilignes5'!CY13+'4 - Clé multilignes6'!CY13+'4 - Clé multilignes7'!CY13</f>
        <v>0</v>
      </c>
      <c r="X13" s="171">
        <f>'4 - Clé SALAIRES'!CZ13+'4 - Clé multilignes1'!CZ13+'4 - Clé multilignes2'!CZ13+'4 - Clé multilignes3'!CZ13+'4 - Clé multilignes4'!CZ13+'4 - Clé multilignes5'!CZ13+'4 - Clé multilignes6'!CZ13+'4 - Clé multilignes7'!CZ13</f>
        <v>0</v>
      </c>
      <c r="Y13" s="171">
        <f>'4 - Clé SALAIRES'!DA13+'4 - Clé multilignes1'!DA13+'4 - Clé multilignes2'!DA13+'4 - Clé multilignes3'!DA13+'4 - Clé multilignes4'!DA13+'4 - Clé multilignes5'!DA13+'4 - Clé multilignes6'!DA13+'4 - Clé multilignes7'!DA13</f>
        <v>0</v>
      </c>
      <c r="Z13" s="171">
        <f>'4 - Clé SALAIRES'!DB13+'4 - Clé multilignes1'!DB13+'4 - Clé multilignes2'!DB13+'4 - Clé multilignes3'!DB13+'4 - Clé multilignes4'!DB13+'4 - Clé multilignes5'!DB13+'4 - Clé multilignes6'!DB13+'4 - Clé multilignes7'!DB13</f>
        <v>0</v>
      </c>
      <c r="AB13" s="172"/>
      <c r="AC13" s="172"/>
      <c r="AD13" s="172"/>
      <c r="AE13" s="172"/>
    </row>
    <row r="14" spans="1:32" s="173" customFormat="1" ht="12.75" customHeight="1" x14ac:dyDescent="0.25">
      <c r="A14" s="165">
        <f>Matrice[[#This Row],[Ligne de la matrice]]</f>
        <v>0</v>
      </c>
      <c r="B14" s="171">
        <f>'4 - Clé SALAIRES'!CD14+'4 - Clé multilignes1'!CD14+'4 - Clé multilignes2'!CD14+'4 - Clé multilignes3'!CD14+'4 - Clé multilignes4'!CD14+'4 - Clé multilignes5'!CD14+'4 - Clé multilignes6'!CD14+'4 - Clé multilignes7'!CD14</f>
        <v>0</v>
      </c>
      <c r="C14" s="171">
        <f>'4 - Clé SALAIRES'!CE14+'4 - Clé multilignes1'!CE14+'4 - Clé multilignes2'!CE14+'4 - Clé multilignes3'!CE14+'4 - Clé multilignes4'!CE14+'4 - Clé multilignes5'!CE14+'4 - Clé multilignes6'!CE14+'4 - Clé multilignes7'!CE14</f>
        <v>0</v>
      </c>
      <c r="D14" s="171">
        <f>'4 - Clé SALAIRES'!CF14+'4 - Clé multilignes1'!CF14+'4 - Clé multilignes2'!CF14+'4 - Clé multilignes3'!CF14+'4 - Clé multilignes4'!CF14+'4 - Clé multilignes5'!CF14+'4 - Clé multilignes6'!CF14+'4 - Clé multilignes7'!CF14</f>
        <v>0</v>
      </c>
      <c r="E14" s="171">
        <f>'4 - Clé SALAIRES'!CG14+'4 - Clé multilignes1'!CG14+'4 - Clé multilignes2'!CG14+'4 - Clé multilignes3'!CG14+'4 - Clé multilignes4'!CG14+'4 - Clé multilignes5'!CG14+'4 - Clé multilignes6'!CG14+'4 - Clé multilignes7'!CG14</f>
        <v>0</v>
      </c>
      <c r="F14" s="171">
        <f>'4 - Clé SALAIRES'!CH14+'4 - Clé multilignes1'!CH14+'4 - Clé multilignes2'!CH14+'4 - Clé multilignes3'!CH14+'4 - Clé multilignes4'!CH14+'4 - Clé multilignes5'!CH14+'4 - Clé multilignes6'!CH14+'4 - Clé multilignes7'!CH14</f>
        <v>0</v>
      </c>
      <c r="G14" s="171">
        <f>'4 - Clé SALAIRES'!CI14+'4 - Clé multilignes1'!CI14+'4 - Clé multilignes2'!CI14+'4 - Clé multilignes3'!CI14+'4 - Clé multilignes4'!CI14+'4 - Clé multilignes5'!CI14+'4 - Clé multilignes6'!CI14+'4 - Clé multilignes7'!CI14</f>
        <v>0</v>
      </c>
      <c r="H14" s="171">
        <f>'4 - Clé SALAIRES'!CJ14+'4 - Clé multilignes1'!CJ14+'4 - Clé multilignes2'!CJ14+'4 - Clé multilignes3'!CJ14+'4 - Clé multilignes4'!CJ14+'4 - Clé multilignes5'!CJ14+'4 - Clé multilignes6'!CJ14+'4 - Clé multilignes7'!CJ14</f>
        <v>0</v>
      </c>
      <c r="I14" s="171">
        <f>'4 - Clé SALAIRES'!CK14+'4 - Clé multilignes1'!CK14+'4 - Clé multilignes2'!CK14+'4 - Clé multilignes3'!CK14+'4 - Clé multilignes4'!CK14+'4 - Clé multilignes5'!CK14+'4 - Clé multilignes6'!CK14+'4 - Clé multilignes7'!CK14</f>
        <v>0</v>
      </c>
      <c r="J14" s="171">
        <f>'4 - Clé SALAIRES'!CL14+'4 - Clé multilignes1'!CL14+'4 - Clé multilignes2'!CL14+'4 - Clé multilignes3'!CL14+'4 - Clé multilignes4'!CL14+'4 - Clé multilignes5'!CL14+'4 - Clé multilignes6'!CL14+'4 - Clé multilignes7'!CL14</f>
        <v>0</v>
      </c>
      <c r="K14" s="171">
        <f>'4 - Clé SALAIRES'!CM14+'4 - Clé multilignes1'!CM14+'4 - Clé multilignes2'!CM14+'4 - Clé multilignes3'!CM14+'4 - Clé multilignes4'!CM14+'4 - Clé multilignes5'!CM14+'4 - Clé multilignes6'!CM14+'4 - Clé multilignes7'!CM14</f>
        <v>0</v>
      </c>
      <c r="L14" s="171">
        <f>'4 - Clé SALAIRES'!CN14+'4 - Clé multilignes1'!CN14+'4 - Clé multilignes2'!CN14+'4 - Clé multilignes3'!CN14+'4 - Clé multilignes4'!CN14+'4 - Clé multilignes5'!CN14+'4 - Clé multilignes6'!CN14+'4 - Clé multilignes7'!CN14</f>
        <v>0</v>
      </c>
      <c r="M14" s="171">
        <f>'4 - Clé SALAIRES'!CO14+'4 - Clé multilignes1'!CO14+'4 - Clé multilignes2'!CO14+'4 - Clé multilignes3'!CO14+'4 - Clé multilignes4'!CO14+'4 - Clé multilignes5'!CO14+'4 - Clé multilignes6'!CO14+'4 - Clé multilignes7'!CO14</f>
        <v>0</v>
      </c>
      <c r="N14" s="171">
        <f>'4 - Clé SALAIRES'!CP14+'4 - Clé multilignes1'!CP14+'4 - Clé multilignes2'!CP14+'4 - Clé multilignes3'!CP14+'4 - Clé multilignes4'!CP14+'4 - Clé multilignes5'!CP14+'4 - Clé multilignes6'!CP14+'4 - Clé multilignes7'!CP14</f>
        <v>0</v>
      </c>
      <c r="O14" s="171">
        <f>'4 - Clé SALAIRES'!CQ14+'4 - Clé multilignes1'!CQ14+'4 - Clé multilignes2'!CQ14+'4 - Clé multilignes3'!CQ14+'4 - Clé multilignes4'!CQ14+'4 - Clé multilignes5'!CQ14+'4 - Clé multilignes6'!CQ14+'4 - Clé multilignes7'!CQ14</f>
        <v>0</v>
      </c>
      <c r="P14" s="171">
        <f>'4 - Clé SALAIRES'!CR14+'4 - Clé multilignes1'!CR14+'4 - Clé multilignes2'!CR14+'4 - Clé multilignes3'!CR14+'4 - Clé multilignes4'!CR14+'4 - Clé multilignes5'!CR14+'4 - Clé multilignes6'!CR14+'4 - Clé multilignes7'!CR14</f>
        <v>0</v>
      </c>
      <c r="Q14" s="171">
        <f>'4 - Clé SALAIRES'!CS14+'4 - Clé multilignes1'!CS14+'4 - Clé multilignes2'!CS14+'4 - Clé multilignes3'!CS14+'4 - Clé multilignes4'!CS14+'4 - Clé multilignes5'!CS14+'4 - Clé multilignes6'!CS14+'4 - Clé multilignes7'!CS14</f>
        <v>0</v>
      </c>
      <c r="R14" s="171">
        <f>'4 - Clé SALAIRES'!CT14+'4 - Clé multilignes1'!CT14+'4 - Clé multilignes2'!CT14+'4 - Clé multilignes3'!CT14+'4 - Clé multilignes4'!CT14+'4 - Clé multilignes5'!CT14+'4 - Clé multilignes6'!CT14+'4 - Clé multilignes7'!CT14</f>
        <v>0</v>
      </c>
      <c r="S14" s="171">
        <f>'4 - Clé SALAIRES'!CU14+'4 - Clé multilignes1'!CU14+'4 - Clé multilignes2'!CU14+'4 - Clé multilignes3'!CU14+'4 - Clé multilignes4'!CU14+'4 - Clé multilignes5'!CU14+'4 - Clé multilignes6'!CU14+'4 - Clé multilignes7'!CU14</f>
        <v>0</v>
      </c>
      <c r="T14" s="171">
        <f>'4 - Clé SALAIRES'!CV14+'4 - Clé multilignes1'!CV14+'4 - Clé multilignes2'!CV14+'4 - Clé multilignes3'!CV14+'4 - Clé multilignes4'!CV14+'4 - Clé multilignes5'!CV14+'4 - Clé multilignes6'!CV14+'4 - Clé multilignes7'!CV14</f>
        <v>0</v>
      </c>
      <c r="U14" s="171">
        <f>'4 - Clé SALAIRES'!CW14+'4 - Clé multilignes1'!CW14+'4 - Clé multilignes2'!CW14+'4 - Clé multilignes3'!CW14+'4 - Clé multilignes4'!CW14+'4 - Clé multilignes5'!CW14+'4 - Clé multilignes6'!CW14+'4 - Clé multilignes7'!CW14</f>
        <v>0</v>
      </c>
      <c r="V14" s="171">
        <f>'4 - Clé SALAIRES'!CX14+'4 - Clé multilignes1'!CX14+'4 - Clé multilignes2'!CX14+'4 - Clé multilignes3'!CX14+'4 - Clé multilignes4'!CX14+'4 - Clé multilignes5'!CX14+'4 - Clé multilignes6'!CX14+'4 - Clé multilignes7'!CX14</f>
        <v>0</v>
      </c>
      <c r="W14" s="171">
        <f>'4 - Clé SALAIRES'!CY14+'4 - Clé multilignes1'!CY14+'4 - Clé multilignes2'!CY14+'4 - Clé multilignes3'!CY14+'4 - Clé multilignes4'!CY14+'4 - Clé multilignes5'!CY14+'4 - Clé multilignes6'!CY14+'4 - Clé multilignes7'!CY14</f>
        <v>0</v>
      </c>
      <c r="X14" s="171">
        <f>'4 - Clé SALAIRES'!CZ14+'4 - Clé multilignes1'!CZ14+'4 - Clé multilignes2'!CZ14+'4 - Clé multilignes3'!CZ14+'4 - Clé multilignes4'!CZ14+'4 - Clé multilignes5'!CZ14+'4 - Clé multilignes6'!CZ14+'4 - Clé multilignes7'!CZ14</f>
        <v>0</v>
      </c>
      <c r="Y14" s="171">
        <f>'4 - Clé SALAIRES'!DA14+'4 - Clé multilignes1'!DA14+'4 - Clé multilignes2'!DA14+'4 - Clé multilignes3'!DA14+'4 - Clé multilignes4'!DA14+'4 - Clé multilignes5'!DA14+'4 - Clé multilignes6'!DA14+'4 - Clé multilignes7'!DA14</f>
        <v>0</v>
      </c>
      <c r="Z14" s="171">
        <f>'4 - Clé SALAIRES'!DB14+'4 - Clé multilignes1'!DB14+'4 - Clé multilignes2'!DB14+'4 - Clé multilignes3'!DB14+'4 - Clé multilignes4'!DB14+'4 - Clé multilignes5'!DB14+'4 - Clé multilignes6'!DB14+'4 - Clé multilignes7'!DB14</f>
        <v>0</v>
      </c>
      <c r="AB14" s="172"/>
      <c r="AC14" s="172"/>
      <c r="AD14" s="172"/>
      <c r="AE14" s="172"/>
    </row>
    <row r="15" spans="1:32" s="173" customFormat="1" ht="12.75" customHeight="1" x14ac:dyDescent="0.25">
      <c r="A15" s="165">
        <f>Matrice[[#This Row],[Ligne de la matrice]]</f>
        <v>0</v>
      </c>
      <c r="B15" s="171">
        <f>'4 - Clé SALAIRES'!CD15+'4 - Clé multilignes1'!CD15+'4 - Clé multilignes2'!CD15+'4 - Clé multilignes3'!CD15+'4 - Clé multilignes4'!CD15+'4 - Clé multilignes5'!CD15+'4 - Clé multilignes6'!CD15+'4 - Clé multilignes7'!CD15</f>
        <v>0</v>
      </c>
      <c r="C15" s="171">
        <f>'4 - Clé SALAIRES'!CE15+'4 - Clé multilignes1'!CE15+'4 - Clé multilignes2'!CE15+'4 - Clé multilignes3'!CE15+'4 - Clé multilignes4'!CE15+'4 - Clé multilignes5'!CE15+'4 - Clé multilignes6'!CE15+'4 - Clé multilignes7'!CE15</f>
        <v>0</v>
      </c>
      <c r="D15" s="171">
        <f>'4 - Clé SALAIRES'!CF15+'4 - Clé multilignes1'!CF15+'4 - Clé multilignes2'!CF15+'4 - Clé multilignes3'!CF15+'4 - Clé multilignes4'!CF15+'4 - Clé multilignes5'!CF15+'4 - Clé multilignes6'!CF15+'4 - Clé multilignes7'!CF15</f>
        <v>0</v>
      </c>
      <c r="E15" s="171">
        <f>'4 - Clé SALAIRES'!CG15+'4 - Clé multilignes1'!CG15+'4 - Clé multilignes2'!CG15+'4 - Clé multilignes3'!CG15+'4 - Clé multilignes4'!CG15+'4 - Clé multilignes5'!CG15+'4 - Clé multilignes6'!CG15+'4 - Clé multilignes7'!CG15</f>
        <v>0</v>
      </c>
      <c r="F15" s="171">
        <f>'4 - Clé SALAIRES'!CH15+'4 - Clé multilignes1'!CH15+'4 - Clé multilignes2'!CH15+'4 - Clé multilignes3'!CH15+'4 - Clé multilignes4'!CH15+'4 - Clé multilignes5'!CH15+'4 - Clé multilignes6'!CH15+'4 - Clé multilignes7'!CH15</f>
        <v>0</v>
      </c>
      <c r="G15" s="171">
        <f>'4 - Clé SALAIRES'!CI15+'4 - Clé multilignes1'!CI15+'4 - Clé multilignes2'!CI15+'4 - Clé multilignes3'!CI15+'4 - Clé multilignes4'!CI15+'4 - Clé multilignes5'!CI15+'4 - Clé multilignes6'!CI15+'4 - Clé multilignes7'!CI15</f>
        <v>0</v>
      </c>
      <c r="H15" s="171">
        <f>'4 - Clé SALAIRES'!CJ15+'4 - Clé multilignes1'!CJ15+'4 - Clé multilignes2'!CJ15+'4 - Clé multilignes3'!CJ15+'4 - Clé multilignes4'!CJ15+'4 - Clé multilignes5'!CJ15+'4 - Clé multilignes6'!CJ15+'4 - Clé multilignes7'!CJ15</f>
        <v>0</v>
      </c>
      <c r="I15" s="171">
        <f>'4 - Clé SALAIRES'!CK15+'4 - Clé multilignes1'!CK15+'4 - Clé multilignes2'!CK15+'4 - Clé multilignes3'!CK15+'4 - Clé multilignes4'!CK15+'4 - Clé multilignes5'!CK15+'4 - Clé multilignes6'!CK15+'4 - Clé multilignes7'!CK15</f>
        <v>0</v>
      </c>
      <c r="J15" s="171">
        <f>'4 - Clé SALAIRES'!CL15+'4 - Clé multilignes1'!CL15+'4 - Clé multilignes2'!CL15+'4 - Clé multilignes3'!CL15+'4 - Clé multilignes4'!CL15+'4 - Clé multilignes5'!CL15+'4 - Clé multilignes6'!CL15+'4 - Clé multilignes7'!CL15</f>
        <v>0</v>
      </c>
      <c r="K15" s="171">
        <f>'4 - Clé SALAIRES'!CM15+'4 - Clé multilignes1'!CM15+'4 - Clé multilignes2'!CM15+'4 - Clé multilignes3'!CM15+'4 - Clé multilignes4'!CM15+'4 - Clé multilignes5'!CM15+'4 - Clé multilignes6'!CM15+'4 - Clé multilignes7'!CM15</f>
        <v>0</v>
      </c>
      <c r="L15" s="171">
        <f>'4 - Clé SALAIRES'!CN15+'4 - Clé multilignes1'!CN15+'4 - Clé multilignes2'!CN15+'4 - Clé multilignes3'!CN15+'4 - Clé multilignes4'!CN15+'4 - Clé multilignes5'!CN15+'4 - Clé multilignes6'!CN15+'4 - Clé multilignes7'!CN15</f>
        <v>0</v>
      </c>
      <c r="M15" s="171">
        <f>'4 - Clé SALAIRES'!CO15+'4 - Clé multilignes1'!CO15+'4 - Clé multilignes2'!CO15+'4 - Clé multilignes3'!CO15+'4 - Clé multilignes4'!CO15+'4 - Clé multilignes5'!CO15+'4 - Clé multilignes6'!CO15+'4 - Clé multilignes7'!CO15</f>
        <v>0</v>
      </c>
      <c r="N15" s="171">
        <f>'4 - Clé SALAIRES'!CP15+'4 - Clé multilignes1'!CP15+'4 - Clé multilignes2'!CP15+'4 - Clé multilignes3'!CP15+'4 - Clé multilignes4'!CP15+'4 - Clé multilignes5'!CP15+'4 - Clé multilignes6'!CP15+'4 - Clé multilignes7'!CP15</f>
        <v>0</v>
      </c>
      <c r="O15" s="171">
        <f>'4 - Clé SALAIRES'!CQ15+'4 - Clé multilignes1'!CQ15+'4 - Clé multilignes2'!CQ15+'4 - Clé multilignes3'!CQ15+'4 - Clé multilignes4'!CQ15+'4 - Clé multilignes5'!CQ15+'4 - Clé multilignes6'!CQ15+'4 - Clé multilignes7'!CQ15</f>
        <v>0</v>
      </c>
      <c r="P15" s="171">
        <f>'4 - Clé SALAIRES'!CR15+'4 - Clé multilignes1'!CR15+'4 - Clé multilignes2'!CR15+'4 - Clé multilignes3'!CR15+'4 - Clé multilignes4'!CR15+'4 - Clé multilignes5'!CR15+'4 - Clé multilignes6'!CR15+'4 - Clé multilignes7'!CR15</f>
        <v>0</v>
      </c>
      <c r="Q15" s="171">
        <f>'4 - Clé SALAIRES'!CS15+'4 - Clé multilignes1'!CS15+'4 - Clé multilignes2'!CS15+'4 - Clé multilignes3'!CS15+'4 - Clé multilignes4'!CS15+'4 - Clé multilignes5'!CS15+'4 - Clé multilignes6'!CS15+'4 - Clé multilignes7'!CS15</f>
        <v>0</v>
      </c>
      <c r="R15" s="171">
        <f>'4 - Clé SALAIRES'!CT15+'4 - Clé multilignes1'!CT15+'4 - Clé multilignes2'!CT15+'4 - Clé multilignes3'!CT15+'4 - Clé multilignes4'!CT15+'4 - Clé multilignes5'!CT15+'4 - Clé multilignes6'!CT15+'4 - Clé multilignes7'!CT15</f>
        <v>0</v>
      </c>
      <c r="S15" s="171">
        <f>'4 - Clé SALAIRES'!CU15+'4 - Clé multilignes1'!CU15+'4 - Clé multilignes2'!CU15+'4 - Clé multilignes3'!CU15+'4 - Clé multilignes4'!CU15+'4 - Clé multilignes5'!CU15+'4 - Clé multilignes6'!CU15+'4 - Clé multilignes7'!CU15</f>
        <v>0</v>
      </c>
      <c r="T15" s="171">
        <f>'4 - Clé SALAIRES'!CV15+'4 - Clé multilignes1'!CV15+'4 - Clé multilignes2'!CV15+'4 - Clé multilignes3'!CV15+'4 - Clé multilignes4'!CV15+'4 - Clé multilignes5'!CV15+'4 - Clé multilignes6'!CV15+'4 - Clé multilignes7'!CV15</f>
        <v>0</v>
      </c>
      <c r="U15" s="171">
        <f>'4 - Clé SALAIRES'!CW15+'4 - Clé multilignes1'!CW15+'4 - Clé multilignes2'!CW15+'4 - Clé multilignes3'!CW15+'4 - Clé multilignes4'!CW15+'4 - Clé multilignes5'!CW15+'4 - Clé multilignes6'!CW15+'4 - Clé multilignes7'!CW15</f>
        <v>0</v>
      </c>
      <c r="V15" s="171">
        <f>'4 - Clé SALAIRES'!CX15+'4 - Clé multilignes1'!CX15+'4 - Clé multilignes2'!CX15+'4 - Clé multilignes3'!CX15+'4 - Clé multilignes4'!CX15+'4 - Clé multilignes5'!CX15+'4 - Clé multilignes6'!CX15+'4 - Clé multilignes7'!CX15</f>
        <v>0</v>
      </c>
      <c r="W15" s="171">
        <f>'4 - Clé SALAIRES'!CY15+'4 - Clé multilignes1'!CY15+'4 - Clé multilignes2'!CY15+'4 - Clé multilignes3'!CY15+'4 - Clé multilignes4'!CY15+'4 - Clé multilignes5'!CY15+'4 - Clé multilignes6'!CY15+'4 - Clé multilignes7'!CY15</f>
        <v>0</v>
      </c>
      <c r="X15" s="171">
        <f>'4 - Clé SALAIRES'!CZ15+'4 - Clé multilignes1'!CZ15+'4 - Clé multilignes2'!CZ15+'4 - Clé multilignes3'!CZ15+'4 - Clé multilignes4'!CZ15+'4 - Clé multilignes5'!CZ15+'4 - Clé multilignes6'!CZ15+'4 - Clé multilignes7'!CZ15</f>
        <v>0</v>
      </c>
      <c r="Y15" s="171">
        <f>'4 - Clé SALAIRES'!DA15+'4 - Clé multilignes1'!DA15+'4 - Clé multilignes2'!DA15+'4 - Clé multilignes3'!DA15+'4 - Clé multilignes4'!DA15+'4 - Clé multilignes5'!DA15+'4 - Clé multilignes6'!DA15+'4 - Clé multilignes7'!DA15</f>
        <v>0</v>
      </c>
      <c r="Z15" s="171">
        <f>'4 - Clé SALAIRES'!DB15+'4 - Clé multilignes1'!DB15+'4 - Clé multilignes2'!DB15+'4 - Clé multilignes3'!DB15+'4 - Clé multilignes4'!DB15+'4 - Clé multilignes5'!DB15+'4 - Clé multilignes6'!DB15+'4 - Clé multilignes7'!DB15</f>
        <v>0</v>
      </c>
      <c r="AB15" s="172"/>
      <c r="AC15" s="172"/>
      <c r="AD15" s="172"/>
      <c r="AE15" s="172"/>
    </row>
    <row r="16" spans="1:32" s="173" customFormat="1" ht="12.75" customHeight="1" x14ac:dyDescent="0.25">
      <c r="A16" s="165">
        <f>Matrice[[#This Row],[Ligne de la matrice]]</f>
        <v>0</v>
      </c>
      <c r="B16" s="171">
        <f>'4 - Clé SALAIRES'!CD16+'4 - Clé multilignes1'!CD16+'4 - Clé multilignes2'!CD16+'4 - Clé multilignes3'!CD16+'4 - Clé multilignes4'!CD16+'4 - Clé multilignes5'!CD16+'4 - Clé multilignes6'!CD16+'4 - Clé multilignes7'!CD16</f>
        <v>0</v>
      </c>
      <c r="C16" s="171">
        <f>'4 - Clé SALAIRES'!CE16+'4 - Clé multilignes1'!CE16+'4 - Clé multilignes2'!CE16+'4 - Clé multilignes3'!CE16+'4 - Clé multilignes4'!CE16+'4 - Clé multilignes5'!CE16+'4 - Clé multilignes6'!CE16+'4 - Clé multilignes7'!CE16</f>
        <v>0</v>
      </c>
      <c r="D16" s="171">
        <f>'4 - Clé SALAIRES'!CF16+'4 - Clé multilignes1'!CF16+'4 - Clé multilignes2'!CF16+'4 - Clé multilignes3'!CF16+'4 - Clé multilignes4'!CF16+'4 - Clé multilignes5'!CF16+'4 - Clé multilignes6'!CF16+'4 - Clé multilignes7'!CF16</f>
        <v>0</v>
      </c>
      <c r="E16" s="171">
        <f>'4 - Clé SALAIRES'!CG16+'4 - Clé multilignes1'!CG16+'4 - Clé multilignes2'!CG16+'4 - Clé multilignes3'!CG16+'4 - Clé multilignes4'!CG16+'4 - Clé multilignes5'!CG16+'4 - Clé multilignes6'!CG16+'4 - Clé multilignes7'!CG16</f>
        <v>0</v>
      </c>
      <c r="F16" s="171">
        <f>'4 - Clé SALAIRES'!CH16+'4 - Clé multilignes1'!CH16+'4 - Clé multilignes2'!CH16+'4 - Clé multilignes3'!CH16+'4 - Clé multilignes4'!CH16+'4 - Clé multilignes5'!CH16+'4 - Clé multilignes6'!CH16+'4 - Clé multilignes7'!CH16</f>
        <v>0</v>
      </c>
      <c r="G16" s="171">
        <f>'4 - Clé SALAIRES'!CI16+'4 - Clé multilignes1'!CI16+'4 - Clé multilignes2'!CI16+'4 - Clé multilignes3'!CI16+'4 - Clé multilignes4'!CI16+'4 - Clé multilignes5'!CI16+'4 - Clé multilignes6'!CI16+'4 - Clé multilignes7'!CI16</f>
        <v>0</v>
      </c>
      <c r="H16" s="171">
        <f>'4 - Clé SALAIRES'!CJ16+'4 - Clé multilignes1'!CJ16+'4 - Clé multilignes2'!CJ16+'4 - Clé multilignes3'!CJ16+'4 - Clé multilignes4'!CJ16+'4 - Clé multilignes5'!CJ16+'4 - Clé multilignes6'!CJ16+'4 - Clé multilignes7'!CJ16</f>
        <v>0</v>
      </c>
      <c r="I16" s="171">
        <f>'4 - Clé SALAIRES'!CK16+'4 - Clé multilignes1'!CK16+'4 - Clé multilignes2'!CK16+'4 - Clé multilignes3'!CK16+'4 - Clé multilignes4'!CK16+'4 - Clé multilignes5'!CK16+'4 - Clé multilignes6'!CK16+'4 - Clé multilignes7'!CK16</f>
        <v>0</v>
      </c>
      <c r="J16" s="171">
        <f>'4 - Clé SALAIRES'!CL16+'4 - Clé multilignes1'!CL16+'4 - Clé multilignes2'!CL16+'4 - Clé multilignes3'!CL16+'4 - Clé multilignes4'!CL16+'4 - Clé multilignes5'!CL16+'4 - Clé multilignes6'!CL16+'4 - Clé multilignes7'!CL16</f>
        <v>0</v>
      </c>
      <c r="K16" s="171">
        <f>'4 - Clé SALAIRES'!CM16+'4 - Clé multilignes1'!CM16+'4 - Clé multilignes2'!CM16+'4 - Clé multilignes3'!CM16+'4 - Clé multilignes4'!CM16+'4 - Clé multilignes5'!CM16+'4 - Clé multilignes6'!CM16+'4 - Clé multilignes7'!CM16</f>
        <v>0</v>
      </c>
      <c r="L16" s="171">
        <f>'4 - Clé SALAIRES'!CN16+'4 - Clé multilignes1'!CN16+'4 - Clé multilignes2'!CN16+'4 - Clé multilignes3'!CN16+'4 - Clé multilignes4'!CN16+'4 - Clé multilignes5'!CN16+'4 - Clé multilignes6'!CN16+'4 - Clé multilignes7'!CN16</f>
        <v>0</v>
      </c>
      <c r="M16" s="171">
        <f>'4 - Clé SALAIRES'!CO16+'4 - Clé multilignes1'!CO16+'4 - Clé multilignes2'!CO16+'4 - Clé multilignes3'!CO16+'4 - Clé multilignes4'!CO16+'4 - Clé multilignes5'!CO16+'4 - Clé multilignes6'!CO16+'4 - Clé multilignes7'!CO16</f>
        <v>0</v>
      </c>
      <c r="N16" s="171">
        <f>'4 - Clé SALAIRES'!CP16+'4 - Clé multilignes1'!CP16+'4 - Clé multilignes2'!CP16+'4 - Clé multilignes3'!CP16+'4 - Clé multilignes4'!CP16+'4 - Clé multilignes5'!CP16+'4 - Clé multilignes6'!CP16+'4 - Clé multilignes7'!CP16</f>
        <v>0</v>
      </c>
      <c r="O16" s="171">
        <f>'4 - Clé SALAIRES'!CQ16+'4 - Clé multilignes1'!CQ16+'4 - Clé multilignes2'!CQ16+'4 - Clé multilignes3'!CQ16+'4 - Clé multilignes4'!CQ16+'4 - Clé multilignes5'!CQ16+'4 - Clé multilignes6'!CQ16+'4 - Clé multilignes7'!CQ16</f>
        <v>0</v>
      </c>
      <c r="P16" s="171">
        <f>'4 - Clé SALAIRES'!CR16+'4 - Clé multilignes1'!CR16+'4 - Clé multilignes2'!CR16+'4 - Clé multilignes3'!CR16+'4 - Clé multilignes4'!CR16+'4 - Clé multilignes5'!CR16+'4 - Clé multilignes6'!CR16+'4 - Clé multilignes7'!CR16</f>
        <v>0</v>
      </c>
      <c r="Q16" s="171">
        <f>'4 - Clé SALAIRES'!CS16+'4 - Clé multilignes1'!CS16+'4 - Clé multilignes2'!CS16+'4 - Clé multilignes3'!CS16+'4 - Clé multilignes4'!CS16+'4 - Clé multilignes5'!CS16+'4 - Clé multilignes6'!CS16+'4 - Clé multilignes7'!CS16</f>
        <v>0</v>
      </c>
      <c r="R16" s="171">
        <f>'4 - Clé SALAIRES'!CT16+'4 - Clé multilignes1'!CT16+'4 - Clé multilignes2'!CT16+'4 - Clé multilignes3'!CT16+'4 - Clé multilignes4'!CT16+'4 - Clé multilignes5'!CT16+'4 - Clé multilignes6'!CT16+'4 - Clé multilignes7'!CT16</f>
        <v>0</v>
      </c>
      <c r="S16" s="171">
        <f>'4 - Clé SALAIRES'!CU16+'4 - Clé multilignes1'!CU16+'4 - Clé multilignes2'!CU16+'4 - Clé multilignes3'!CU16+'4 - Clé multilignes4'!CU16+'4 - Clé multilignes5'!CU16+'4 - Clé multilignes6'!CU16+'4 - Clé multilignes7'!CU16</f>
        <v>0</v>
      </c>
      <c r="T16" s="171">
        <f>'4 - Clé SALAIRES'!CV16+'4 - Clé multilignes1'!CV16+'4 - Clé multilignes2'!CV16+'4 - Clé multilignes3'!CV16+'4 - Clé multilignes4'!CV16+'4 - Clé multilignes5'!CV16+'4 - Clé multilignes6'!CV16+'4 - Clé multilignes7'!CV16</f>
        <v>0</v>
      </c>
      <c r="U16" s="171">
        <f>'4 - Clé SALAIRES'!CW16+'4 - Clé multilignes1'!CW16+'4 - Clé multilignes2'!CW16+'4 - Clé multilignes3'!CW16+'4 - Clé multilignes4'!CW16+'4 - Clé multilignes5'!CW16+'4 - Clé multilignes6'!CW16+'4 - Clé multilignes7'!CW16</f>
        <v>0</v>
      </c>
      <c r="V16" s="171">
        <f>'4 - Clé SALAIRES'!CX16+'4 - Clé multilignes1'!CX16+'4 - Clé multilignes2'!CX16+'4 - Clé multilignes3'!CX16+'4 - Clé multilignes4'!CX16+'4 - Clé multilignes5'!CX16+'4 - Clé multilignes6'!CX16+'4 - Clé multilignes7'!CX16</f>
        <v>0</v>
      </c>
      <c r="W16" s="171">
        <f>'4 - Clé SALAIRES'!CY16+'4 - Clé multilignes1'!CY16+'4 - Clé multilignes2'!CY16+'4 - Clé multilignes3'!CY16+'4 - Clé multilignes4'!CY16+'4 - Clé multilignes5'!CY16+'4 - Clé multilignes6'!CY16+'4 - Clé multilignes7'!CY16</f>
        <v>0</v>
      </c>
      <c r="X16" s="171">
        <f>'4 - Clé SALAIRES'!CZ16+'4 - Clé multilignes1'!CZ16+'4 - Clé multilignes2'!CZ16+'4 - Clé multilignes3'!CZ16+'4 - Clé multilignes4'!CZ16+'4 - Clé multilignes5'!CZ16+'4 - Clé multilignes6'!CZ16+'4 - Clé multilignes7'!CZ16</f>
        <v>0</v>
      </c>
      <c r="Y16" s="171">
        <f>'4 - Clé SALAIRES'!DA16+'4 - Clé multilignes1'!DA16+'4 - Clé multilignes2'!DA16+'4 - Clé multilignes3'!DA16+'4 - Clé multilignes4'!DA16+'4 - Clé multilignes5'!DA16+'4 - Clé multilignes6'!DA16+'4 - Clé multilignes7'!DA16</f>
        <v>0</v>
      </c>
      <c r="Z16" s="171">
        <f>'4 - Clé SALAIRES'!DB16+'4 - Clé multilignes1'!DB16+'4 - Clé multilignes2'!DB16+'4 - Clé multilignes3'!DB16+'4 - Clé multilignes4'!DB16+'4 - Clé multilignes5'!DB16+'4 - Clé multilignes6'!DB16+'4 - Clé multilignes7'!DB16</f>
        <v>0</v>
      </c>
      <c r="AB16" s="172"/>
      <c r="AC16" s="172"/>
      <c r="AD16" s="172"/>
      <c r="AE16" s="172"/>
    </row>
    <row r="17" spans="1:32" ht="12.75" customHeight="1" x14ac:dyDescent="0.25">
      <c r="A17" s="165">
        <f>Matrice[[#This Row],[Ligne de la matrice]]</f>
        <v>0</v>
      </c>
      <c r="B17" s="171">
        <f>'4 - Clé SALAIRES'!CD17+'4 - Clé multilignes1'!CD17+'4 - Clé multilignes2'!CD17+'4 - Clé multilignes3'!CD17+'4 - Clé multilignes4'!CD17+'4 - Clé multilignes5'!CD17+'4 - Clé multilignes6'!CD17+'4 - Clé multilignes7'!CD17</f>
        <v>0</v>
      </c>
      <c r="C17" s="171">
        <f>'4 - Clé SALAIRES'!CE17+'4 - Clé multilignes1'!CE17+'4 - Clé multilignes2'!CE17+'4 - Clé multilignes3'!CE17+'4 - Clé multilignes4'!CE17+'4 - Clé multilignes5'!CE17+'4 - Clé multilignes6'!CE17+'4 - Clé multilignes7'!CE17</f>
        <v>0</v>
      </c>
      <c r="D17" s="171">
        <f>'4 - Clé SALAIRES'!CF17+'4 - Clé multilignes1'!CF17+'4 - Clé multilignes2'!CF17+'4 - Clé multilignes3'!CF17+'4 - Clé multilignes4'!CF17+'4 - Clé multilignes5'!CF17+'4 - Clé multilignes6'!CF17+'4 - Clé multilignes7'!CF17</f>
        <v>0</v>
      </c>
      <c r="E17" s="171">
        <f>'4 - Clé SALAIRES'!CG17+'4 - Clé multilignes1'!CG17+'4 - Clé multilignes2'!CG17+'4 - Clé multilignes3'!CG17+'4 - Clé multilignes4'!CG17+'4 - Clé multilignes5'!CG17+'4 - Clé multilignes6'!CG17+'4 - Clé multilignes7'!CG17</f>
        <v>0</v>
      </c>
      <c r="F17" s="171">
        <f>'4 - Clé SALAIRES'!CH17+'4 - Clé multilignes1'!CH17+'4 - Clé multilignes2'!CH17+'4 - Clé multilignes3'!CH17+'4 - Clé multilignes4'!CH17+'4 - Clé multilignes5'!CH17+'4 - Clé multilignes6'!CH17+'4 - Clé multilignes7'!CH17</f>
        <v>0</v>
      </c>
      <c r="G17" s="171">
        <f>'4 - Clé SALAIRES'!CI17+'4 - Clé multilignes1'!CI17+'4 - Clé multilignes2'!CI17+'4 - Clé multilignes3'!CI17+'4 - Clé multilignes4'!CI17+'4 - Clé multilignes5'!CI17+'4 - Clé multilignes6'!CI17+'4 - Clé multilignes7'!CI17</f>
        <v>0</v>
      </c>
      <c r="H17" s="171">
        <f>'4 - Clé SALAIRES'!CJ17+'4 - Clé multilignes1'!CJ17+'4 - Clé multilignes2'!CJ17+'4 - Clé multilignes3'!CJ17+'4 - Clé multilignes4'!CJ17+'4 - Clé multilignes5'!CJ17+'4 - Clé multilignes6'!CJ17+'4 - Clé multilignes7'!CJ17</f>
        <v>0</v>
      </c>
      <c r="I17" s="171">
        <f>'4 - Clé SALAIRES'!CK17+'4 - Clé multilignes1'!CK17+'4 - Clé multilignes2'!CK17+'4 - Clé multilignes3'!CK17+'4 - Clé multilignes4'!CK17+'4 - Clé multilignes5'!CK17+'4 - Clé multilignes6'!CK17+'4 - Clé multilignes7'!CK17</f>
        <v>0</v>
      </c>
      <c r="J17" s="171">
        <f>'4 - Clé SALAIRES'!CL17+'4 - Clé multilignes1'!CL17+'4 - Clé multilignes2'!CL17+'4 - Clé multilignes3'!CL17+'4 - Clé multilignes4'!CL17+'4 - Clé multilignes5'!CL17+'4 - Clé multilignes6'!CL17+'4 - Clé multilignes7'!CL17</f>
        <v>0</v>
      </c>
      <c r="K17" s="171">
        <f>'4 - Clé SALAIRES'!CM17+'4 - Clé multilignes1'!CM17+'4 - Clé multilignes2'!CM17+'4 - Clé multilignes3'!CM17+'4 - Clé multilignes4'!CM17+'4 - Clé multilignes5'!CM17+'4 - Clé multilignes6'!CM17+'4 - Clé multilignes7'!CM17</f>
        <v>0</v>
      </c>
      <c r="L17" s="171">
        <f>'4 - Clé SALAIRES'!CN17+'4 - Clé multilignes1'!CN17+'4 - Clé multilignes2'!CN17+'4 - Clé multilignes3'!CN17+'4 - Clé multilignes4'!CN17+'4 - Clé multilignes5'!CN17+'4 - Clé multilignes6'!CN17+'4 - Clé multilignes7'!CN17</f>
        <v>0</v>
      </c>
      <c r="M17" s="171">
        <f>'4 - Clé SALAIRES'!CO17+'4 - Clé multilignes1'!CO17+'4 - Clé multilignes2'!CO17+'4 - Clé multilignes3'!CO17+'4 - Clé multilignes4'!CO17+'4 - Clé multilignes5'!CO17+'4 - Clé multilignes6'!CO17+'4 - Clé multilignes7'!CO17</f>
        <v>0</v>
      </c>
      <c r="N17" s="171">
        <f>'4 - Clé SALAIRES'!CP17+'4 - Clé multilignes1'!CP17+'4 - Clé multilignes2'!CP17+'4 - Clé multilignes3'!CP17+'4 - Clé multilignes4'!CP17+'4 - Clé multilignes5'!CP17+'4 - Clé multilignes6'!CP17+'4 - Clé multilignes7'!CP17</f>
        <v>0</v>
      </c>
      <c r="O17" s="171">
        <f>'4 - Clé SALAIRES'!CQ17+'4 - Clé multilignes1'!CQ17+'4 - Clé multilignes2'!CQ17+'4 - Clé multilignes3'!CQ17+'4 - Clé multilignes4'!CQ17+'4 - Clé multilignes5'!CQ17+'4 - Clé multilignes6'!CQ17+'4 - Clé multilignes7'!CQ17</f>
        <v>0</v>
      </c>
      <c r="P17" s="171">
        <f>'4 - Clé SALAIRES'!CR17+'4 - Clé multilignes1'!CR17+'4 - Clé multilignes2'!CR17+'4 - Clé multilignes3'!CR17+'4 - Clé multilignes4'!CR17+'4 - Clé multilignes5'!CR17+'4 - Clé multilignes6'!CR17+'4 - Clé multilignes7'!CR17</f>
        <v>0</v>
      </c>
      <c r="Q17" s="171">
        <f>'4 - Clé SALAIRES'!CS17+'4 - Clé multilignes1'!CS17+'4 - Clé multilignes2'!CS17+'4 - Clé multilignes3'!CS17+'4 - Clé multilignes4'!CS17+'4 - Clé multilignes5'!CS17+'4 - Clé multilignes6'!CS17+'4 - Clé multilignes7'!CS17</f>
        <v>0</v>
      </c>
      <c r="R17" s="171">
        <f>'4 - Clé SALAIRES'!CT17+'4 - Clé multilignes1'!CT17+'4 - Clé multilignes2'!CT17+'4 - Clé multilignes3'!CT17+'4 - Clé multilignes4'!CT17+'4 - Clé multilignes5'!CT17+'4 - Clé multilignes6'!CT17+'4 - Clé multilignes7'!CT17</f>
        <v>0</v>
      </c>
      <c r="S17" s="171">
        <f>'4 - Clé SALAIRES'!CU17+'4 - Clé multilignes1'!CU17+'4 - Clé multilignes2'!CU17+'4 - Clé multilignes3'!CU17+'4 - Clé multilignes4'!CU17+'4 - Clé multilignes5'!CU17+'4 - Clé multilignes6'!CU17+'4 - Clé multilignes7'!CU17</f>
        <v>0</v>
      </c>
      <c r="T17" s="171">
        <f>'4 - Clé SALAIRES'!CV17+'4 - Clé multilignes1'!CV17+'4 - Clé multilignes2'!CV17+'4 - Clé multilignes3'!CV17+'4 - Clé multilignes4'!CV17+'4 - Clé multilignes5'!CV17+'4 - Clé multilignes6'!CV17+'4 - Clé multilignes7'!CV17</f>
        <v>0</v>
      </c>
      <c r="U17" s="171">
        <f>'4 - Clé SALAIRES'!CW17+'4 - Clé multilignes1'!CW17+'4 - Clé multilignes2'!CW17+'4 - Clé multilignes3'!CW17+'4 - Clé multilignes4'!CW17+'4 - Clé multilignes5'!CW17+'4 - Clé multilignes6'!CW17+'4 - Clé multilignes7'!CW17</f>
        <v>0</v>
      </c>
      <c r="V17" s="171">
        <f>'4 - Clé SALAIRES'!CX17+'4 - Clé multilignes1'!CX17+'4 - Clé multilignes2'!CX17+'4 - Clé multilignes3'!CX17+'4 - Clé multilignes4'!CX17+'4 - Clé multilignes5'!CX17+'4 - Clé multilignes6'!CX17+'4 - Clé multilignes7'!CX17</f>
        <v>0</v>
      </c>
      <c r="W17" s="171">
        <f>'4 - Clé SALAIRES'!CY17+'4 - Clé multilignes1'!CY17+'4 - Clé multilignes2'!CY17+'4 - Clé multilignes3'!CY17+'4 - Clé multilignes4'!CY17+'4 - Clé multilignes5'!CY17+'4 - Clé multilignes6'!CY17+'4 - Clé multilignes7'!CY17</f>
        <v>0</v>
      </c>
      <c r="X17" s="171">
        <f>'4 - Clé SALAIRES'!CZ17+'4 - Clé multilignes1'!CZ17+'4 - Clé multilignes2'!CZ17+'4 - Clé multilignes3'!CZ17+'4 - Clé multilignes4'!CZ17+'4 - Clé multilignes5'!CZ17+'4 - Clé multilignes6'!CZ17+'4 - Clé multilignes7'!CZ17</f>
        <v>0</v>
      </c>
      <c r="Y17" s="171">
        <f>'4 - Clé SALAIRES'!DA17+'4 - Clé multilignes1'!DA17+'4 - Clé multilignes2'!DA17+'4 - Clé multilignes3'!DA17+'4 - Clé multilignes4'!DA17+'4 - Clé multilignes5'!DA17+'4 - Clé multilignes6'!DA17+'4 - Clé multilignes7'!DA17</f>
        <v>0</v>
      </c>
      <c r="Z17" s="171">
        <f>'4 - Clé SALAIRES'!DB17+'4 - Clé multilignes1'!DB17+'4 - Clé multilignes2'!DB17+'4 - Clé multilignes3'!DB17+'4 - Clé multilignes4'!DB17+'4 - Clé multilignes5'!DB17+'4 - Clé multilignes6'!DB17+'4 - Clé multilignes7'!DB17</f>
        <v>0</v>
      </c>
      <c r="AB17" s="172"/>
      <c r="AC17" s="172"/>
      <c r="AD17" s="172"/>
      <c r="AE17" s="172"/>
      <c r="AF17" s="173"/>
    </row>
    <row r="18" spans="1:32" ht="12.75" customHeight="1" x14ac:dyDescent="0.25">
      <c r="A18" s="165">
        <f>Matrice[[#This Row],[Ligne de la matrice]]</f>
        <v>0</v>
      </c>
      <c r="B18" s="171">
        <f>'4 - Clé SALAIRES'!CD18+'4 - Clé multilignes1'!CD18+'4 - Clé multilignes2'!CD18+'4 - Clé multilignes3'!CD18+'4 - Clé multilignes4'!CD18+'4 - Clé multilignes5'!CD18+'4 - Clé multilignes6'!CD18+'4 - Clé multilignes7'!CD18</f>
        <v>0</v>
      </c>
      <c r="C18" s="171">
        <f>'4 - Clé SALAIRES'!CE18+'4 - Clé multilignes1'!CE18+'4 - Clé multilignes2'!CE18+'4 - Clé multilignes3'!CE18+'4 - Clé multilignes4'!CE18+'4 - Clé multilignes5'!CE18+'4 - Clé multilignes6'!CE18+'4 - Clé multilignes7'!CE18</f>
        <v>0</v>
      </c>
      <c r="D18" s="171">
        <f>'4 - Clé SALAIRES'!CF18+'4 - Clé multilignes1'!CF18+'4 - Clé multilignes2'!CF18+'4 - Clé multilignes3'!CF18+'4 - Clé multilignes4'!CF18+'4 - Clé multilignes5'!CF18+'4 - Clé multilignes6'!CF18+'4 - Clé multilignes7'!CF18</f>
        <v>0</v>
      </c>
      <c r="E18" s="171">
        <f>'4 - Clé SALAIRES'!CG18+'4 - Clé multilignes1'!CG18+'4 - Clé multilignes2'!CG18+'4 - Clé multilignes3'!CG18+'4 - Clé multilignes4'!CG18+'4 - Clé multilignes5'!CG18+'4 - Clé multilignes6'!CG18+'4 - Clé multilignes7'!CG18</f>
        <v>0</v>
      </c>
      <c r="F18" s="171">
        <f>'4 - Clé SALAIRES'!CH18+'4 - Clé multilignes1'!CH18+'4 - Clé multilignes2'!CH18+'4 - Clé multilignes3'!CH18+'4 - Clé multilignes4'!CH18+'4 - Clé multilignes5'!CH18+'4 - Clé multilignes6'!CH18+'4 - Clé multilignes7'!CH18</f>
        <v>0</v>
      </c>
      <c r="G18" s="171">
        <f>'4 - Clé SALAIRES'!CI18+'4 - Clé multilignes1'!CI18+'4 - Clé multilignes2'!CI18+'4 - Clé multilignes3'!CI18+'4 - Clé multilignes4'!CI18+'4 - Clé multilignes5'!CI18+'4 - Clé multilignes6'!CI18+'4 - Clé multilignes7'!CI18</f>
        <v>0</v>
      </c>
      <c r="H18" s="171">
        <f>'4 - Clé SALAIRES'!CJ18+'4 - Clé multilignes1'!CJ18+'4 - Clé multilignes2'!CJ18+'4 - Clé multilignes3'!CJ18+'4 - Clé multilignes4'!CJ18+'4 - Clé multilignes5'!CJ18+'4 - Clé multilignes6'!CJ18+'4 - Clé multilignes7'!CJ18</f>
        <v>0</v>
      </c>
      <c r="I18" s="171">
        <f>'4 - Clé SALAIRES'!CK18+'4 - Clé multilignes1'!CK18+'4 - Clé multilignes2'!CK18+'4 - Clé multilignes3'!CK18+'4 - Clé multilignes4'!CK18+'4 - Clé multilignes5'!CK18+'4 - Clé multilignes6'!CK18+'4 - Clé multilignes7'!CK18</f>
        <v>0</v>
      </c>
      <c r="J18" s="171">
        <f>'4 - Clé SALAIRES'!CL18+'4 - Clé multilignes1'!CL18+'4 - Clé multilignes2'!CL18+'4 - Clé multilignes3'!CL18+'4 - Clé multilignes4'!CL18+'4 - Clé multilignes5'!CL18+'4 - Clé multilignes6'!CL18+'4 - Clé multilignes7'!CL18</f>
        <v>0</v>
      </c>
      <c r="K18" s="171">
        <f>'4 - Clé SALAIRES'!CM18+'4 - Clé multilignes1'!CM18+'4 - Clé multilignes2'!CM18+'4 - Clé multilignes3'!CM18+'4 - Clé multilignes4'!CM18+'4 - Clé multilignes5'!CM18+'4 - Clé multilignes6'!CM18+'4 - Clé multilignes7'!CM18</f>
        <v>0</v>
      </c>
      <c r="L18" s="171">
        <f>'4 - Clé SALAIRES'!CN18+'4 - Clé multilignes1'!CN18+'4 - Clé multilignes2'!CN18+'4 - Clé multilignes3'!CN18+'4 - Clé multilignes4'!CN18+'4 - Clé multilignes5'!CN18+'4 - Clé multilignes6'!CN18+'4 - Clé multilignes7'!CN18</f>
        <v>0</v>
      </c>
      <c r="M18" s="171">
        <f>'4 - Clé SALAIRES'!CO18+'4 - Clé multilignes1'!CO18+'4 - Clé multilignes2'!CO18+'4 - Clé multilignes3'!CO18+'4 - Clé multilignes4'!CO18+'4 - Clé multilignes5'!CO18+'4 - Clé multilignes6'!CO18+'4 - Clé multilignes7'!CO18</f>
        <v>0</v>
      </c>
      <c r="N18" s="171">
        <f>'4 - Clé SALAIRES'!CP18+'4 - Clé multilignes1'!CP18+'4 - Clé multilignes2'!CP18+'4 - Clé multilignes3'!CP18+'4 - Clé multilignes4'!CP18+'4 - Clé multilignes5'!CP18+'4 - Clé multilignes6'!CP18+'4 - Clé multilignes7'!CP18</f>
        <v>0</v>
      </c>
      <c r="O18" s="171">
        <f>'4 - Clé SALAIRES'!CQ18+'4 - Clé multilignes1'!CQ18+'4 - Clé multilignes2'!CQ18+'4 - Clé multilignes3'!CQ18+'4 - Clé multilignes4'!CQ18+'4 - Clé multilignes5'!CQ18+'4 - Clé multilignes6'!CQ18+'4 - Clé multilignes7'!CQ18</f>
        <v>0</v>
      </c>
      <c r="P18" s="171">
        <f>'4 - Clé SALAIRES'!CR18+'4 - Clé multilignes1'!CR18+'4 - Clé multilignes2'!CR18+'4 - Clé multilignes3'!CR18+'4 - Clé multilignes4'!CR18+'4 - Clé multilignes5'!CR18+'4 - Clé multilignes6'!CR18+'4 - Clé multilignes7'!CR18</f>
        <v>0</v>
      </c>
      <c r="Q18" s="171">
        <f>'4 - Clé SALAIRES'!CS18+'4 - Clé multilignes1'!CS18+'4 - Clé multilignes2'!CS18+'4 - Clé multilignes3'!CS18+'4 - Clé multilignes4'!CS18+'4 - Clé multilignes5'!CS18+'4 - Clé multilignes6'!CS18+'4 - Clé multilignes7'!CS18</f>
        <v>0</v>
      </c>
      <c r="R18" s="171">
        <f>'4 - Clé SALAIRES'!CT18+'4 - Clé multilignes1'!CT18+'4 - Clé multilignes2'!CT18+'4 - Clé multilignes3'!CT18+'4 - Clé multilignes4'!CT18+'4 - Clé multilignes5'!CT18+'4 - Clé multilignes6'!CT18+'4 - Clé multilignes7'!CT18</f>
        <v>0</v>
      </c>
      <c r="S18" s="171">
        <f>'4 - Clé SALAIRES'!CU18+'4 - Clé multilignes1'!CU18+'4 - Clé multilignes2'!CU18+'4 - Clé multilignes3'!CU18+'4 - Clé multilignes4'!CU18+'4 - Clé multilignes5'!CU18+'4 - Clé multilignes6'!CU18+'4 - Clé multilignes7'!CU18</f>
        <v>0</v>
      </c>
      <c r="T18" s="171">
        <f>'4 - Clé SALAIRES'!CV18+'4 - Clé multilignes1'!CV18+'4 - Clé multilignes2'!CV18+'4 - Clé multilignes3'!CV18+'4 - Clé multilignes4'!CV18+'4 - Clé multilignes5'!CV18+'4 - Clé multilignes6'!CV18+'4 - Clé multilignes7'!CV18</f>
        <v>0</v>
      </c>
      <c r="U18" s="171">
        <f>'4 - Clé SALAIRES'!CW18+'4 - Clé multilignes1'!CW18+'4 - Clé multilignes2'!CW18+'4 - Clé multilignes3'!CW18+'4 - Clé multilignes4'!CW18+'4 - Clé multilignes5'!CW18+'4 - Clé multilignes6'!CW18+'4 - Clé multilignes7'!CW18</f>
        <v>0</v>
      </c>
      <c r="V18" s="171">
        <f>'4 - Clé SALAIRES'!CX18+'4 - Clé multilignes1'!CX18+'4 - Clé multilignes2'!CX18+'4 - Clé multilignes3'!CX18+'4 - Clé multilignes4'!CX18+'4 - Clé multilignes5'!CX18+'4 - Clé multilignes6'!CX18+'4 - Clé multilignes7'!CX18</f>
        <v>0</v>
      </c>
      <c r="W18" s="171">
        <f>'4 - Clé SALAIRES'!CY18+'4 - Clé multilignes1'!CY18+'4 - Clé multilignes2'!CY18+'4 - Clé multilignes3'!CY18+'4 - Clé multilignes4'!CY18+'4 - Clé multilignes5'!CY18+'4 - Clé multilignes6'!CY18+'4 - Clé multilignes7'!CY18</f>
        <v>0</v>
      </c>
      <c r="X18" s="171">
        <f>'4 - Clé SALAIRES'!CZ18+'4 - Clé multilignes1'!CZ18+'4 - Clé multilignes2'!CZ18+'4 - Clé multilignes3'!CZ18+'4 - Clé multilignes4'!CZ18+'4 - Clé multilignes5'!CZ18+'4 - Clé multilignes6'!CZ18+'4 - Clé multilignes7'!CZ18</f>
        <v>0</v>
      </c>
      <c r="Y18" s="171">
        <f>'4 - Clé SALAIRES'!DA18+'4 - Clé multilignes1'!DA18+'4 - Clé multilignes2'!DA18+'4 - Clé multilignes3'!DA18+'4 - Clé multilignes4'!DA18+'4 - Clé multilignes5'!DA18+'4 - Clé multilignes6'!DA18+'4 - Clé multilignes7'!DA18</f>
        <v>0</v>
      </c>
      <c r="Z18" s="171">
        <f>'4 - Clé SALAIRES'!DB18+'4 - Clé multilignes1'!DB18+'4 - Clé multilignes2'!DB18+'4 - Clé multilignes3'!DB18+'4 - Clé multilignes4'!DB18+'4 - Clé multilignes5'!DB18+'4 - Clé multilignes6'!DB18+'4 - Clé multilignes7'!DB18</f>
        <v>0</v>
      </c>
      <c r="AB18" s="172"/>
      <c r="AC18" s="172"/>
      <c r="AD18" s="172"/>
      <c r="AE18" s="172"/>
      <c r="AF18" s="173"/>
    </row>
    <row r="19" spans="1:32" ht="12.75" customHeight="1" x14ac:dyDescent="0.25">
      <c r="A19" s="165">
        <f>Matrice[[#This Row],[Ligne de la matrice]]</f>
        <v>0</v>
      </c>
      <c r="B19" s="171">
        <f>'4 - Clé SALAIRES'!CD19+'4 - Clé multilignes1'!CD19+'4 - Clé multilignes2'!CD19+'4 - Clé multilignes3'!CD19+'4 - Clé multilignes4'!CD19+'4 - Clé multilignes5'!CD19+'4 - Clé multilignes6'!CD19+'4 - Clé multilignes7'!CD19</f>
        <v>0</v>
      </c>
      <c r="C19" s="171">
        <f>'4 - Clé SALAIRES'!CE19+'4 - Clé multilignes1'!CE19+'4 - Clé multilignes2'!CE19+'4 - Clé multilignes3'!CE19+'4 - Clé multilignes4'!CE19+'4 - Clé multilignes5'!CE19+'4 - Clé multilignes6'!CE19+'4 - Clé multilignes7'!CE19</f>
        <v>0</v>
      </c>
      <c r="D19" s="171">
        <f>'4 - Clé SALAIRES'!CF19+'4 - Clé multilignes1'!CF19+'4 - Clé multilignes2'!CF19+'4 - Clé multilignes3'!CF19+'4 - Clé multilignes4'!CF19+'4 - Clé multilignes5'!CF19+'4 - Clé multilignes6'!CF19+'4 - Clé multilignes7'!CF19</f>
        <v>0</v>
      </c>
      <c r="E19" s="171">
        <f>'4 - Clé SALAIRES'!CG19+'4 - Clé multilignes1'!CG19+'4 - Clé multilignes2'!CG19+'4 - Clé multilignes3'!CG19+'4 - Clé multilignes4'!CG19+'4 - Clé multilignes5'!CG19+'4 - Clé multilignes6'!CG19+'4 - Clé multilignes7'!CG19</f>
        <v>0</v>
      </c>
      <c r="F19" s="171">
        <f>'4 - Clé SALAIRES'!CH19+'4 - Clé multilignes1'!CH19+'4 - Clé multilignes2'!CH19+'4 - Clé multilignes3'!CH19+'4 - Clé multilignes4'!CH19+'4 - Clé multilignes5'!CH19+'4 - Clé multilignes6'!CH19+'4 - Clé multilignes7'!CH19</f>
        <v>0</v>
      </c>
      <c r="G19" s="171">
        <f>'4 - Clé SALAIRES'!CI19+'4 - Clé multilignes1'!CI19+'4 - Clé multilignes2'!CI19+'4 - Clé multilignes3'!CI19+'4 - Clé multilignes4'!CI19+'4 - Clé multilignes5'!CI19+'4 - Clé multilignes6'!CI19+'4 - Clé multilignes7'!CI19</f>
        <v>0</v>
      </c>
      <c r="H19" s="171">
        <f>'4 - Clé SALAIRES'!CJ19+'4 - Clé multilignes1'!CJ19+'4 - Clé multilignes2'!CJ19+'4 - Clé multilignes3'!CJ19+'4 - Clé multilignes4'!CJ19+'4 - Clé multilignes5'!CJ19+'4 - Clé multilignes6'!CJ19+'4 - Clé multilignes7'!CJ19</f>
        <v>0</v>
      </c>
      <c r="I19" s="171">
        <f>'4 - Clé SALAIRES'!CK19+'4 - Clé multilignes1'!CK19+'4 - Clé multilignes2'!CK19+'4 - Clé multilignes3'!CK19+'4 - Clé multilignes4'!CK19+'4 - Clé multilignes5'!CK19+'4 - Clé multilignes6'!CK19+'4 - Clé multilignes7'!CK19</f>
        <v>0</v>
      </c>
      <c r="J19" s="171">
        <f>'4 - Clé SALAIRES'!CL19+'4 - Clé multilignes1'!CL19+'4 - Clé multilignes2'!CL19+'4 - Clé multilignes3'!CL19+'4 - Clé multilignes4'!CL19+'4 - Clé multilignes5'!CL19+'4 - Clé multilignes6'!CL19+'4 - Clé multilignes7'!CL19</f>
        <v>0</v>
      </c>
      <c r="K19" s="171">
        <f>'4 - Clé SALAIRES'!CM19+'4 - Clé multilignes1'!CM19+'4 - Clé multilignes2'!CM19+'4 - Clé multilignes3'!CM19+'4 - Clé multilignes4'!CM19+'4 - Clé multilignes5'!CM19+'4 - Clé multilignes6'!CM19+'4 - Clé multilignes7'!CM19</f>
        <v>0</v>
      </c>
      <c r="L19" s="171">
        <f>'4 - Clé SALAIRES'!CN19+'4 - Clé multilignes1'!CN19+'4 - Clé multilignes2'!CN19+'4 - Clé multilignes3'!CN19+'4 - Clé multilignes4'!CN19+'4 - Clé multilignes5'!CN19+'4 - Clé multilignes6'!CN19+'4 - Clé multilignes7'!CN19</f>
        <v>0</v>
      </c>
      <c r="M19" s="171">
        <f>'4 - Clé SALAIRES'!CO19+'4 - Clé multilignes1'!CO19+'4 - Clé multilignes2'!CO19+'4 - Clé multilignes3'!CO19+'4 - Clé multilignes4'!CO19+'4 - Clé multilignes5'!CO19+'4 - Clé multilignes6'!CO19+'4 - Clé multilignes7'!CO19</f>
        <v>0</v>
      </c>
      <c r="N19" s="171">
        <f>'4 - Clé SALAIRES'!CP19+'4 - Clé multilignes1'!CP19+'4 - Clé multilignes2'!CP19+'4 - Clé multilignes3'!CP19+'4 - Clé multilignes4'!CP19+'4 - Clé multilignes5'!CP19+'4 - Clé multilignes6'!CP19+'4 - Clé multilignes7'!CP19</f>
        <v>0</v>
      </c>
      <c r="O19" s="171">
        <f>'4 - Clé SALAIRES'!CQ19+'4 - Clé multilignes1'!CQ19+'4 - Clé multilignes2'!CQ19+'4 - Clé multilignes3'!CQ19+'4 - Clé multilignes4'!CQ19+'4 - Clé multilignes5'!CQ19+'4 - Clé multilignes6'!CQ19+'4 - Clé multilignes7'!CQ19</f>
        <v>0</v>
      </c>
      <c r="P19" s="171">
        <f>'4 - Clé SALAIRES'!CR19+'4 - Clé multilignes1'!CR19+'4 - Clé multilignes2'!CR19+'4 - Clé multilignes3'!CR19+'4 - Clé multilignes4'!CR19+'4 - Clé multilignes5'!CR19+'4 - Clé multilignes6'!CR19+'4 - Clé multilignes7'!CR19</f>
        <v>0</v>
      </c>
      <c r="Q19" s="171">
        <f>'4 - Clé SALAIRES'!CS19+'4 - Clé multilignes1'!CS19+'4 - Clé multilignes2'!CS19+'4 - Clé multilignes3'!CS19+'4 - Clé multilignes4'!CS19+'4 - Clé multilignes5'!CS19+'4 - Clé multilignes6'!CS19+'4 - Clé multilignes7'!CS19</f>
        <v>0</v>
      </c>
      <c r="R19" s="171">
        <f>'4 - Clé SALAIRES'!CT19+'4 - Clé multilignes1'!CT19+'4 - Clé multilignes2'!CT19+'4 - Clé multilignes3'!CT19+'4 - Clé multilignes4'!CT19+'4 - Clé multilignes5'!CT19+'4 - Clé multilignes6'!CT19+'4 - Clé multilignes7'!CT19</f>
        <v>0</v>
      </c>
      <c r="S19" s="171">
        <f>'4 - Clé SALAIRES'!CU19+'4 - Clé multilignes1'!CU19+'4 - Clé multilignes2'!CU19+'4 - Clé multilignes3'!CU19+'4 - Clé multilignes4'!CU19+'4 - Clé multilignes5'!CU19+'4 - Clé multilignes6'!CU19+'4 - Clé multilignes7'!CU19</f>
        <v>0</v>
      </c>
      <c r="T19" s="171">
        <f>'4 - Clé SALAIRES'!CV19+'4 - Clé multilignes1'!CV19+'4 - Clé multilignes2'!CV19+'4 - Clé multilignes3'!CV19+'4 - Clé multilignes4'!CV19+'4 - Clé multilignes5'!CV19+'4 - Clé multilignes6'!CV19+'4 - Clé multilignes7'!CV19</f>
        <v>0</v>
      </c>
      <c r="U19" s="171">
        <f>'4 - Clé SALAIRES'!CW19+'4 - Clé multilignes1'!CW19+'4 - Clé multilignes2'!CW19+'4 - Clé multilignes3'!CW19+'4 - Clé multilignes4'!CW19+'4 - Clé multilignes5'!CW19+'4 - Clé multilignes6'!CW19+'4 - Clé multilignes7'!CW19</f>
        <v>0</v>
      </c>
      <c r="V19" s="171">
        <f>'4 - Clé SALAIRES'!CX19+'4 - Clé multilignes1'!CX19+'4 - Clé multilignes2'!CX19+'4 - Clé multilignes3'!CX19+'4 - Clé multilignes4'!CX19+'4 - Clé multilignes5'!CX19+'4 - Clé multilignes6'!CX19+'4 - Clé multilignes7'!CX19</f>
        <v>0</v>
      </c>
      <c r="W19" s="171">
        <f>'4 - Clé SALAIRES'!CY19+'4 - Clé multilignes1'!CY19+'4 - Clé multilignes2'!CY19+'4 - Clé multilignes3'!CY19+'4 - Clé multilignes4'!CY19+'4 - Clé multilignes5'!CY19+'4 - Clé multilignes6'!CY19+'4 - Clé multilignes7'!CY19</f>
        <v>0</v>
      </c>
      <c r="X19" s="171">
        <f>'4 - Clé SALAIRES'!CZ19+'4 - Clé multilignes1'!CZ19+'4 - Clé multilignes2'!CZ19+'4 - Clé multilignes3'!CZ19+'4 - Clé multilignes4'!CZ19+'4 - Clé multilignes5'!CZ19+'4 - Clé multilignes6'!CZ19+'4 - Clé multilignes7'!CZ19</f>
        <v>0</v>
      </c>
      <c r="Y19" s="171">
        <f>'4 - Clé SALAIRES'!DA19+'4 - Clé multilignes1'!DA19+'4 - Clé multilignes2'!DA19+'4 - Clé multilignes3'!DA19+'4 - Clé multilignes4'!DA19+'4 - Clé multilignes5'!DA19+'4 - Clé multilignes6'!DA19+'4 - Clé multilignes7'!DA19</f>
        <v>0</v>
      </c>
      <c r="Z19" s="171">
        <f>'4 - Clé SALAIRES'!DB19+'4 - Clé multilignes1'!DB19+'4 - Clé multilignes2'!DB19+'4 - Clé multilignes3'!DB19+'4 - Clé multilignes4'!DB19+'4 - Clé multilignes5'!DB19+'4 - Clé multilignes6'!DB19+'4 - Clé multilignes7'!DB19</f>
        <v>0</v>
      </c>
      <c r="AB19" s="172"/>
      <c r="AC19" s="172"/>
      <c r="AD19" s="172"/>
      <c r="AE19" s="172"/>
      <c r="AF19" s="173"/>
    </row>
    <row r="20" spans="1:32" ht="12.75" customHeight="1" x14ac:dyDescent="0.25">
      <c r="A20" s="165">
        <f>Matrice[[#This Row],[Ligne de la matrice]]</f>
        <v>0</v>
      </c>
      <c r="B20" s="171">
        <f>'4 - Clé SALAIRES'!CD20+'4 - Clé multilignes1'!CD20+'4 - Clé multilignes2'!CD20+'4 - Clé multilignes3'!CD20+'4 - Clé multilignes4'!CD20+'4 - Clé multilignes5'!CD20+'4 - Clé multilignes6'!CD20+'4 - Clé multilignes7'!CD20</f>
        <v>0</v>
      </c>
      <c r="C20" s="171">
        <f>'4 - Clé SALAIRES'!CE20+'4 - Clé multilignes1'!CE20+'4 - Clé multilignes2'!CE20+'4 - Clé multilignes3'!CE20+'4 - Clé multilignes4'!CE20+'4 - Clé multilignes5'!CE20+'4 - Clé multilignes6'!CE20+'4 - Clé multilignes7'!CE20</f>
        <v>0</v>
      </c>
      <c r="D20" s="171">
        <f>'4 - Clé SALAIRES'!CF20+'4 - Clé multilignes1'!CF20+'4 - Clé multilignes2'!CF20+'4 - Clé multilignes3'!CF20+'4 - Clé multilignes4'!CF20+'4 - Clé multilignes5'!CF20+'4 - Clé multilignes6'!CF20+'4 - Clé multilignes7'!CF20</f>
        <v>0</v>
      </c>
      <c r="E20" s="171">
        <f>'4 - Clé SALAIRES'!CG20+'4 - Clé multilignes1'!CG20+'4 - Clé multilignes2'!CG20+'4 - Clé multilignes3'!CG20+'4 - Clé multilignes4'!CG20+'4 - Clé multilignes5'!CG20+'4 - Clé multilignes6'!CG20+'4 - Clé multilignes7'!CG20</f>
        <v>0</v>
      </c>
      <c r="F20" s="171">
        <f>'4 - Clé SALAIRES'!CH20+'4 - Clé multilignes1'!CH20+'4 - Clé multilignes2'!CH20+'4 - Clé multilignes3'!CH20+'4 - Clé multilignes4'!CH20+'4 - Clé multilignes5'!CH20+'4 - Clé multilignes6'!CH20+'4 - Clé multilignes7'!CH20</f>
        <v>0</v>
      </c>
      <c r="G20" s="171">
        <f>'4 - Clé SALAIRES'!CI20+'4 - Clé multilignes1'!CI20+'4 - Clé multilignes2'!CI20+'4 - Clé multilignes3'!CI20+'4 - Clé multilignes4'!CI20+'4 - Clé multilignes5'!CI20+'4 - Clé multilignes6'!CI20+'4 - Clé multilignes7'!CI20</f>
        <v>0</v>
      </c>
      <c r="H20" s="171">
        <f>'4 - Clé SALAIRES'!CJ20+'4 - Clé multilignes1'!CJ20+'4 - Clé multilignes2'!CJ20+'4 - Clé multilignes3'!CJ20+'4 - Clé multilignes4'!CJ20+'4 - Clé multilignes5'!CJ20+'4 - Clé multilignes6'!CJ20+'4 - Clé multilignes7'!CJ20</f>
        <v>0</v>
      </c>
      <c r="I20" s="171">
        <f>'4 - Clé SALAIRES'!CK20+'4 - Clé multilignes1'!CK20+'4 - Clé multilignes2'!CK20+'4 - Clé multilignes3'!CK20+'4 - Clé multilignes4'!CK20+'4 - Clé multilignes5'!CK20+'4 - Clé multilignes6'!CK20+'4 - Clé multilignes7'!CK20</f>
        <v>0</v>
      </c>
      <c r="J20" s="171">
        <f>'4 - Clé SALAIRES'!CL20+'4 - Clé multilignes1'!CL20+'4 - Clé multilignes2'!CL20+'4 - Clé multilignes3'!CL20+'4 - Clé multilignes4'!CL20+'4 - Clé multilignes5'!CL20+'4 - Clé multilignes6'!CL20+'4 - Clé multilignes7'!CL20</f>
        <v>0</v>
      </c>
      <c r="K20" s="171">
        <f>'4 - Clé SALAIRES'!CM20+'4 - Clé multilignes1'!CM20+'4 - Clé multilignes2'!CM20+'4 - Clé multilignes3'!CM20+'4 - Clé multilignes4'!CM20+'4 - Clé multilignes5'!CM20+'4 - Clé multilignes6'!CM20+'4 - Clé multilignes7'!CM20</f>
        <v>0</v>
      </c>
      <c r="L20" s="171">
        <f>'4 - Clé SALAIRES'!CN20+'4 - Clé multilignes1'!CN20+'4 - Clé multilignes2'!CN20+'4 - Clé multilignes3'!CN20+'4 - Clé multilignes4'!CN20+'4 - Clé multilignes5'!CN20+'4 - Clé multilignes6'!CN20+'4 - Clé multilignes7'!CN20</f>
        <v>0</v>
      </c>
      <c r="M20" s="171">
        <f>'4 - Clé SALAIRES'!CO20+'4 - Clé multilignes1'!CO20+'4 - Clé multilignes2'!CO20+'4 - Clé multilignes3'!CO20+'4 - Clé multilignes4'!CO20+'4 - Clé multilignes5'!CO20+'4 - Clé multilignes6'!CO20+'4 - Clé multilignes7'!CO20</f>
        <v>0</v>
      </c>
      <c r="N20" s="171">
        <f>'4 - Clé SALAIRES'!CP20+'4 - Clé multilignes1'!CP20+'4 - Clé multilignes2'!CP20+'4 - Clé multilignes3'!CP20+'4 - Clé multilignes4'!CP20+'4 - Clé multilignes5'!CP20+'4 - Clé multilignes6'!CP20+'4 - Clé multilignes7'!CP20</f>
        <v>0</v>
      </c>
      <c r="O20" s="171">
        <f>'4 - Clé SALAIRES'!CQ20+'4 - Clé multilignes1'!CQ20+'4 - Clé multilignes2'!CQ20+'4 - Clé multilignes3'!CQ20+'4 - Clé multilignes4'!CQ20+'4 - Clé multilignes5'!CQ20+'4 - Clé multilignes6'!CQ20+'4 - Clé multilignes7'!CQ20</f>
        <v>0</v>
      </c>
      <c r="P20" s="171">
        <f>'4 - Clé SALAIRES'!CR20+'4 - Clé multilignes1'!CR20+'4 - Clé multilignes2'!CR20+'4 - Clé multilignes3'!CR20+'4 - Clé multilignes4'!CR20+'4 - Clé multilignes5'!CR20+'4 - Clé multilignes6'!CR20+'4 - Clé multilignes7'!CR20</f>
        <v>0</v>
      </c>
      <c r="Q20" s="171">
        <f>'4 - Clé SALAIRES'!CS20+'4 - Clé multilignes1'!CS20+'4 - Clé multilignes2'!CS20+'4 - Clé multilignes3'!CS20+'4 - Clé multilignes4'!CS20+'4 - Clé multilignes5'!CS20+'4 - Clé multilignes6'!CS20+'4 - Clé multilignes7'!CS20</f>
        <v>0</v>
      </c>
      <c r="R20" s="171">
        <f>'4 - Clé SALAIRES'!CT20+'4 - Clé multilignes1'!CT20+'4 - Clé multilignes2'!CT20+'4 - Clé multilignes3'!CT20+'4 - Clé multilignes4'!CT20+'4 - Clé multilignes5'!CT20+'4 - Clé multilignes6'!CT20+'4 - Clé multilignes7'!CT20</f>
        <v>0</v>
      </c>
      <c r="S20" s="171">
        <f>'4 - Clé SALAIRES'!CU20+'4 - Clé multilignes1'!CU20+'4 - Clé multilignes2'!CU20+'4 - Clé multilignes3'!CU20+'4 - Clé multilignes4'!CU20+'4 - Clé multilignes5'!CU20+'4 - Clé multilignes6'!CU20+'4 - Clé multilignes7'!CU20</f>
        <v>0</v>
      </c>
      <c r="T20" s="171">
        <f>'4 - Clé SALAIRES'!CV20+'4 - Clé multilignes1'!CV20+'4 - Clé multilignes2'!CV20+'4 - Clé multilignes3'!CV20+'4 - Clé multilignes4'!CV20+'4 - Clé multilignes5'!CV20+'4 - Clé multilignes6'!CV20+'4 - Clé multilignes7'!CV20</f>
        <v>0</v>
      </c>
      <c r="U20" s="171">
        <f>'4 - Clé SALAIRES'!CW20+'4 - Clé multilignes1'!CW20+'4 - Clé multilignes2'!CW20+'4 - Clé multilignes3'!CW20+'4 - Clé multilignes4'!CW20+'4 - Clé multilignes5'!CW20+'4 - Clé multilignes6'!CW20+'4 - Clé multilignes7'!CW20</f>
        <v>0</v>
      </c>
      <c r="V20" s="171">
        <f>'4 - Clé SALAIRES'!CX20+'4 - Clé multilignes1'!CX20+'4 - Clé multilignes2'!CX20+'4 - Clé multilignes3'!CX20+'4 - Clé multilignes4'!CX20+'4 - Clé multilignes5'!CX20+'4 - Clé multilignes6'!CX20+'4 - Clé multilignes7'!CX20</f>
        <v>0</v>
      </c>
      <c r="W20" s="171">
        <f>'4 - Clé SALAIRES'!CY20+'4 - Clé multilignes1'!CY20+'4 - Clé multilignes2'!CY20+'4 - Clé multilignes3'!CY20+'4 - Clé multilignes4'!CY20+'4 - Clé multilignes5'!CY20+'4 - Clé multilignes6'!CY20+'4 - Clé multilignes7'!CY20</f>
        <v>0</v>
      </c>
      <c r="X20" s="171">
        <f>'4 - Clé SALAIRES'!CZ20+'4 - Clé multilignes1'!CZ20+'4 - Clé multilignes2'!CZ20+'4 - Clé multilignes3'!CZ20+'4 - Clé multilignes4'!CZ20+'4 - Clé multilignes5'!CZ20+'4 - Clé multilignes6'!CZ20+'4 - Clé multilignes7'!CZ20</f>
        <v>0</v>
      </c>
      <c r="Y20" s="171">
        <f>'4 - Clé SALAIRES'!DA20+'4 - Clé multilignes1'!DA20+'4 - Clé multilignes2'!DA20+'4 - Clé multilignes3'!DA20+'4 - Clé multilignes4'!DA20+'4 - Clé multilignes5'!DA20+'4 - Clé multilignes6'!DA20+'4 - Clé multilignes7'!DA20</f>
        <v>0</v>
      </c>
      <c r="Z20" s="171">
        <f>'4 - Clé SALAIRES'!DB20+'4 - Clé multilignes1'!DB20+'4 - Clé multilignes2'!DB20+'4 - Clé multilignes3'!DB20+'4 - Clé multilignes4'!DB20+'4 - Clé multilignes5'!DB20+'4 - Clé multilignes6'!DB20+'4 - Clé multilignes7'!DB20</f>
        <v>0</v>
      </c>
      <c r="AB20" s="172"/>
      <c r="AC20" s="172"/>
      <c r="AD20" s="172"/>
      <c r="AE20" s="172"/>
      <c r="AF20" s="173"/>
    </row>
    <row r="21" spans="1:32" s="173" customFormat="1" ht="12.75" customHeight="1" x14ac:dyDescent="0.25">
      <c r="A21" s="165">
        <f>Matrice[[#This Row],[Ligne de la matrice]]</f>
        <v>0</v>
      </c>
      <c r="B21" s="171">
        <f>'4 - Clé SALAIRES'!CD21+'4 - Clé multilignes1'!CD21+'4 - Clé multilignes2'!CD21+'4 - Clé multilignes3'!CD21+'4 - Clé multilignes4'!CD21+'4 - Clé multilignes5'!CD21+'4 - Clé multilignes6'!CD21+'4 - Clé multilignes7'!CD21</f>
        <v>0</v>
      </c>
      <c r="C21" s="171">
        <f>'4 - Clé SALAIRES'!CE21+'4 - Clé multilignes1'!CE21+'4 - Clé multilignes2'!CE21+'4 - Clé multilignes3'!CE21+'4 - Clé multilignes4'!CE21+'4 - Clé multilignes5'!CE21+'4 - Clé multilignes6'!CE21+'4 - Clé multilignes7'!CE21</f>
        <v>0</v>
      </c>
      <c r="D21" s="171">
        <f>'4 - Clé SALAIRES'!CF21+'4 - Clé multilignes1'!CF21+'4 - Clé multilignes2'!CF21+'4 - Clé multilignes3'!CF21+'4 - Clé multilignes4'!CF21+'4 - Clé multilignes5'!CF21+'4 - Clé multilignes6'!CF21+'4 - Clé multilignes7'!CF21</f>
        <v>0</v>
      </c>
      <c r="E21" s="171">
        <f>'4 - Clé SALAIRES'!CG21+'4 - Clé multilignes1'!CG21+'4 - Clé multilignes2'!CG21+'4 - Clé multilignes3'!CG21+'4 - Clé multilignes4'!CG21+'4 - Clé multilignes5'!CG21+'4 - Clé multilignes6'!CG21+'4 - Clé multilignes7'!CG21</f>
        <v>0</v>
      </c>
      <c r="F21" s="171">
        <f>'4 - Clé SALAIRES'!CH21+'4 - Clé multilignes1'!CH21+'4 - Clé multilignes2'!CH21+'4 - Clé multilignes3'!CH21+'4 - Clé multilignes4'!CH21+'4 - Clé multilignes5'!CH21+'4 - Clé multilignes6'!CH21+'4 - Clé multilignes7'!CH21</f>
        <v>0</v>
      </c>
      <c r="G21" s="171">
        <f>'4 - Clé SALAIRES'!CI21+'4 - Clé multilignes1'!CI21+'4 - Clé multilignes2'!CI21+'4 - Clé multilignes3'!CI21+'4 - Clé multilignes4'!CI21+'4 - Clé multilignes5'!CI21+'4 - Clé multilignes6'!CI21+'4 - Clé multilignes7'!CI21</f>
        <v>0</v>
      </c>
      <c r="H21" s="171">
        <f>'4 - Clé SALAIRES'!CJ21+'4 - Clé multilignes1'!CJ21+'4 - Clé multilignes2'!CJ21+'4 - Clé multilignes3'!CJ21+'4 - Clé multilignes4'!CJ21+'4 - Clé multilignes5'!CJ21+'4 - Clé multilignes6'!CJ21+'4 - Clé multilignes7'!CJ21</f>
        <v>0</v>
      </c>
      <c r="I21" s="171">
        <f>'4 - Clé SALAIRES'!CK21+'4 - Clé multilignes1'!CK21+'4 - Clé multilignes2'!CK21+'4 - Clé multilignes3'!CK21+'4 - Clé multilignes4'!CK21+'4 - Clé multilignes5'!CK21+'4 - Clé multilignes6'!CK21+'4 - Clé multilignes7'!CK21</f>
        <v>0</v>
      </c>
      <c r="J21" s="171">
        <f>'4 - Clé SALAIRES'!CL21+'4 - Clé multilignes1'!CL21+'4 - Clé multilignes2'!CL21+'4 - Clé multilignes3'!CL21+'4 - Clé multilignes4'!CL21+'4 - Clé multilignes5'!CL21+'4 - Clé multilignes6'!CL21+'4 - Clé multilignes7'!CL21</f>
        <v>0</v>
      </c>
      <c r="K21" s="171">
        <f>'4 - Clé SALAIRES'!CM21+'4 - Clé multilignes1'!CM21+'4 - Clé multilignes2'!CM21+'4 - Clé multilignes3'!CM21+'4 - Clé multilignes4'!CM21+'4 - Clé multilignes5'!CM21+'4 - Clé multilignes6'!CM21+'4 - Clé multilignes7'!CM21</f>
        <v>0</v>
      </c>
      <c r="L21" s="171">
        <f>'4 - Clé SALAIRES'!CN21+'4 - Clé multilignes1'!CN21+'4 - Clé multilignes2'!CN21+'4 - Clé multilignes3'!CN21+'4 - Clé multilignes4'!CN21+'4 - Clé multilignes5'!CN21+'4 - Clé multilignes6'!CN21+'4 - Clé multilignes7'!CN21</f>
        <v>0</v>
      </c>
      <c r="M21" s="171">
        <f>'4 - Clé SALAIRES'!CO21+'4 - Clé multilignes1'!CO21+'4 - Clé multilignes2'!CO21+'4 - Clé multilignes3'!CO21+'4 - Clé multilignes4'!CO21+'4 - Clé multilignes5'!CO21+'4 - Clé multilignes6'!CO21+'4 - Clé multilignes7'!CO21</f>
        <v>0</v>
      </c>
      <c r="N21" s="171">
        <f>'4 - Clé SALAIRES'!CP21+'4 - Clé multilignes1'!CP21+'4 - Clé multilignes2'!CP21+'4 - Clé multilignes3'!CP21+'4 - Clé multilignes4'!CP21+'4 - Clé multilignes5'!CP21+'4 - Clé multilignes6'!CP21+'4 - Clé multilignes7'!CP21</f>
        <v>0</v>
      </c>
      <c r="O21" s="171">
        <f>'4 - Clé SALAIRES'!CQ21+'4 - Clé multilignes1'!CQ21+'4 - Clé multilignes2'!CQ21+'4 - Clé multilignes3'!CQ21+'4 - Clé multilignes4'!CQ21+'4 - Clé multilignes5'!CQ21+'4 - Clé multilignes6'!CQ21+'4 - Clé multilignes7'!CQ21</f>
        <v>0</v>
      </c>
      <c r="P21" s="171">
        <f>'4 - Clé SALAIRES'!CR21+'4 - Clé multilignes1'!CR21+'4 - Clé multilignes2'!CR21+'4 - Clé multilignes3'!CR21+'4 - Clé multilignes4'!CR21+'4 - Clé multilignes5'!CR21+'4 - Clé multilignes6'!CR21+'4 - Clé multilignes7'!CR21</f>
        <v>0</v>
      </c>
      <c r="Q21" s="171">
        <f>'4 - Clé SALAIRES'!CS21+'4 - Clé multilignes1'!CS21+'4 - Clé multilignes2'!CS21+'4 - Clé multilignes3'!CS21+'4 - Clé multilignes4'!CS21+'4 - Clé multilignes5'!CS21+'4 - Clé multilignes6'!CS21+'4 - Clé multilignes7'!CS21</f>
        <v>0</v>
      </c>
      <c r="R21" s="171">
        <f>'4 - Clé SALAIRES'!CT21+'4 - Clé multilignes1'!CT21+'4 - Clé multilignes2'!CT21+'4 - Clé multilignes3'!CT21+'4 - Clé multilignes4'!CT21+'4 - Clé multilignes5'!CT21+'4 - Clé multilignes6'!CT21+'4 - Clé multilignes7'!CT21</f>
        <v>0</v>
      </c>
      <c r="S21" s="171">
        <f>'4 - Clé SALAIRES'!CU21+'4 - Clé multilignes1'!CU21+'4 - Clé multilignes2'!CU21+'4 - Clé multilignes3'!CU21+'4 - Clé multilignes4'!CU21+'4 - Clé multilignes5'!CU21+'4 - Clé multilignes6'!CU21+'4 - Clé multilignes7'!CU21</f>
        <v>0</v>
      </c>
      <c r="T21" s="171">
        <f>'4 - Clé SALAIRES'!CV21+'4 - Clé multilignes1'!CV21+'4 - Clé multilignes2'!CV21+'4 - Clé multilignes3'!CV21+'4 - Clé multilignes4'!CV21+'4 - Clé multilignes5'!CV21+'4 - Clé multilignes6'!CV21+'4 - Clé multilignes7'!CV21</f>
        <v>0</v>
      </c>
      <c r="U21" s="171">
        <f>'4 - Clé SALAIRES'!CW21+'4 - Clé multilignes1'!CW21+'4 - Clé multilignes2'!CW21+'4 - Clé multilignes3'!CW21+'4 - Clé multilignes4'!CW21+'4 - Clé multilignes5'!CW21+'4 - Clé multilignes6'!CW21+'4 - Clé multilignes7'!CW21</f>
        <v>0</v>
      </c>
      <c r="V21" s="171">
        <f>'4 - Clé SALAIRES'!CX21+'4 - Clé multilignes1'!CX21+'4 - Clé multilignes2'!CX21+'4 - Clé multilignes3'!CX21+'4 - Clé multilignes4'!CX21+'4 - Clé multilignes5'!CX21+'4 - Clé multilignes6'!CX21+'4 - Clé multilignes7'!CX21</f>
        <v>0</v>
      </c>
      <c r="W21" s="171">
        <f>'4 - Clé SALAIRES'!CY21+'4 - Clé multilignes1'!CY21+'4 - Clé multilignes2'!CY21+'4 - Clé multilignes3'!CY21+'4 - Clé multilignes4'!CY21+'4 - Clé multilignes5'!CY21+'4 - Clé multilignes6'!CY21+'4 - Clé multilignes7'!CY21</f>
        <v>0</v>
      </c>
      <c r="X21" s="171">
        <f>'4 - Clé SALAIRES'!CZ21+'4 - Clé multilignes1'!CZ21+'4 - Clé multilignes2'!CZ21+'4 - Clé multilignes3'!CZ21+'4 - Clé multilignes4'!CZ21+'4 - Clé multilignes5'!CZ21+'4 - Clé multilignes6'!CZ21+'4 - Clé multilignes7'!CZ21</f>
        <v>0</v>
      </c>
      <c r="Y21" s="171">
        <f>'4 - Clé SALAIRES'!DA21+'4 - Clé multilignes1'!DA21+'4 - Clé multilignes2'!DA21+'4 - Clé multilignes3'!DA21+'4 - Clé multilignes4'!DA21+'4 - Clé multilignes5'!DA21+'4 - Clé multilignes6'!DA21+'4 - Clé multilignes7'!DA21</f>
        <v>0</v>
      </c>
      <c r="Z21" s="171">
        <f>'4 - Clé SALAIRES'!DB21+'4 - Clé multilignes1'!DB21+'4 - Clé multilignes2'!DB21+'4 - Clé multilignes3'!DB21+'4 - Clé multilignes4'!DB21+'4 - Clé multilignes5'!DB21+'4 - Clé multilignes6'!DB21+'4 - Clé multilignes7'!DB21</f>
        <v>0</v>
      </c>
      <c r="AB21" s="172"/>
      <c r="AC21" s="172"/>
      <c r="AD21" s="172"/>
      <c r="AE21" s="172"/>
    </row>
    <row r="22" spans="1:32" s="173" customFormat="1" ht="12.75" customHeight="1" x14ac:dyDescent="0.25">
      <c r="A22" s="165">
        <f>Matrice[[#This Row],[Ligne de la matrice]]</f>
        <v>0</v>
      </c>
      <c r="B22" s="171">
        <f>'4 - Clé SALAIRES'!CD22+'4 - Clé multilignes1'!CD22+'4 - Clé multilignes2'!CD22+'4 - Clé multilignes3'!CD22+'4 - Clé multilignes4'!CD22+'4 - Clé multilignes5'!CD22+'4 - Clé multilignes6'!CD22+'4 - Clé multilignes7'!CD22</f>
        <v>0</v>
      </c>
      <c r="C22" s="171">
        <f>'4 - Clé SALAIRES'!CE22+'4 - Clé multilignes1'!CE22+'4 - Clé multilignes2'!CE22+'4 - Clé multilignes3'!CE22+'4 - Clé multilignes4'!CE22+'4 - Clé multilignes5'!CE22+'4 - Clé multilignes6'!CE22+'4 - Clé multilignes7'!CE22</f>
        <v>0</v>
      </c>
      <c r="D22" s="171">
        <f>'4 - Clé SALAIRES'!CF22+'4 - Clé multilignes1'!CF22+'4 - Clé multilignes2'!CF22+'4 - Clé multilignes3'!CF22+'4 - Clé multilignes4'!CF22+'4 - Clé multilignes5'!CF22+'4 - Clé multilignes6'!CF22+'4 - Clé multilignes7'!CF22</f>
        <v>0</v>
      </c>
      <c r="E22" s="171">
        <f>'4 - Clé SALAIRES'!CG22+'4 - Clé multilignes1'!CG22+'4 - Clé multilignes2'!CG22+'4 - Clé multilignes3'!CG22+'4 - Clé multilignes4'!CG22+'4 - Clé multilignes5'!CG22+'4 - Clé multilignes6'!CG22+'4 - Clé multilignes7'!CG22</f>
        <v>0</v>
      </c>
      <c r="F22" s="171">
        <f>'4 - Clé SALAIRES'!CH22+'4 - Clé multilignes1'!CH22+'4 - Clé multilignes2'!CH22+'4 - Clé multilignes3'!CH22+'4 - Clé multilignes4'!CH22+'4 - Clé multilignes5'!CH22+'4 - Clé multilignes6'!CH22+'4 - Clé multilignes7'!CH22</f>
        <v>0</v>
      </c>
      <c r="G22" s="171">
        <f>'4 - Clé SALAIRES'!CI22+'4 - Clé multilignes1'!CI22+'4 - Clé multilignes2'!CI22+'4 - Clé multilignes3'!CI22+'4 - Clé multilignes4'!CI22+'4 - Clé multilignes5'!CI22+'4 - Clé multilignes6'!CI22+'4 - Clé multilignes7'!CI22</f>
        <v>0</v>
      </c>
      <c r="H22" s="171">
        <f>'4 - Clé SALAIRES'!CJ22+'4 - Clé multilignes1'!CJ22+'4 - Clé multilignes2'!CJ22+'4 - Clé multilignes3'!CJ22+'4 - Clé multilignes4'!CJ22+'4 - Clé multilignes5'!CJ22+'4 - Clé multilignes6'!CJ22+'4 - Clé multilignes7'!CJ22</f>
        <v>0</v>
      </c>
      <c r="I22" s="171">
        <f>'4 - Clé SALAIRES'!CK22+'4 - Clé multilignes1'!CK22+'4 - Clé multilignes2'!CK22+'4 - Clé multilignes3'!CK22+'4 - Clé multilignes4'!CK22+'4 - Clé multilignes5'!CK22+'4 - Clé multilignes6'!CK22+'4 - Clé multilignes7'!CK22</f>
        <v>0</v>
      </c>
      <c r="J22" s="171">
        <f>'4 - Clé SALAIRES'!CL22+'4 - Clé multilignes1'!CL22+'4 - Clé multilignes2'!CL22+'4 - Clé multilignes3'!CL22+'4 - Clé multilignes4'!CL22+'4 - Clé multilignes5'!CL22+'4 - Clé multilignes6'!CL22+'4 - Clé multilignes7'!CL22</f>
        <v>0</v>
      </c>
      <c r="K22" s="171">
        <f>'4 - Clé SALAIRES'!CM22+'4 - Clé multilignes1'!CM22+'4 - Clé multilignes2'!CM22+'4 - Clé multilignes3'!CM22+'4 - Clé multilignes4'!CM22+'4 - Clé multilignes5'!CM22+'4 - Clé multilignes6'!CM22+'4 - Clé multilignes7'!CM22</f>
        <v>0</v>
      </c>
      <c r="L22" s="171">
        <f>'4 - Clé SALAIRES'!CN22+'4 - Clé multilignes1'!CN22+'4 - Clé multilignes2'!CN22+'4 - Clé multilignes3'!CN22+'4 - Clé multilignes4'!CN22+'4 - Clé multilignes5'!CN22+'4 - Clé multilignes6'!CN22+'4 - Clé multilignes7'!CN22</f>
        <v>0</v>
      </c>
      <c r="M22" s="171">
        <f>'4 - Clé SALAIRES'!CO22+'4 - Clé multilignes1'!CO22+'4 - Clé multilignes2'!CO22+'4 - Clé multilignes3'!CO22+'4 - Clé multilignes4'!CO22+'4 - Clé multilignes5'!CO22+'4 - Clé multilignes6'!CO22+'4 - Clé multilignes7'!CO22</f>
        <v>0</v>
      </c>
      <c r="N22" s="171">
        <f>'4 - Clé SALAIRES'!CP22+'4 - Clé multilignes1'!CP22+'4 - Clé multilignes2'!CP22+'4 - Clé multilignes3'!CP22+'4 - Clé multilignes4'!CP22+'4 - Clé multilignes5'!CP22+'4 - Clé multilignes6'!CP22+'4 - Clé multilignes7'!CP22</f>
        <v>0</v>
      </c>
      <c r="O22" s="171">
        <f>'4 - Clé SALAIRES'!CQ22+'4 - Clé multilignes1'!CQ22+'4 - Clé multilignes2'!CQ22+'4 - Clé multilignes3'!CQ22+'4 - Clé multilignes4'!CQ22+'4 - Clé multilignes5'!CQ22+'4 - Clé multilignes6'!CQ22+'4 - Clé multilignes7'!CQ22</f>
        <v>0</v>
      </c>
      <c r="P22" s="171">
        <f>'4 - Clé SALAIRES'!CR22+'4 - Clé multilignes1'!CR22+'4 - Clé multilignes2'!CR22+'4 - Clé multilignes3'!CR22+'4 - Clé multilignes4'!CR22+'4 - Clé multilignes5'!CR22+'4 - Clé multilignes6'!CR22+'4 - Clé multilignes7'!CR22</f>
        <v>0</v>
      </c>
      <c r="Q22" s="171">
        <f>'4 - Clé SALAIRES'!CS22+'4 - Clé multilignes1'!CS22+'4 - Clé multilignes2'!CS22+'4 - Clé multilignes3'!CS22+'4 - Clé multilignes4'!CS22+'4 - Clé multilignes5'!CS22+'4 - Clé multilignes6'!CS22+'4 - Clé multilignes7'!CS22</f>
        <v>0</v>
      </c>
      <c r="R22" s="171">
        <f>'4 - Clé SALAIRES'!CT22+'4 - Clé multilignes1'!CT22+'4 - Clé multilignes2'!CT22+'4 - Clé multilignes3'!CT22+'4 - Clé multilignes4'!CT22+'4 - Clé multilignes5'!CT22+'4 - Clé multilignes6'!CT22+'4 - Clé multilignes7'!CT22</f>
        <v>0</v>
      </c>
      <c r="S22" s="171">
        <f>'4 - Clé SALAIRES'!CU22+'4 - Clé multilignes1'!CU22+'4 - Clé multilignes2'!CU22+'4 - Clé multilignes3'!CU22+'4 - Clé multilignes4'!CU22+'4 - Clé multilignes5'!CU22+'4 - Clé multilignes6'!CU22+'4 - Clé multilignes7'!CU22</f>
        <v>0</v>
      </c>
      <c r="T22" s="171">
        <f>'4 - Clé SALAIRES'!CV22+'4 - Clé multilignes1'!CV22+'4 - Clé multilignes2'!CV22+'4 - Clé multilignes3'!CV22+'4 - Clé multilignes4'!CV22+'4 - Clé multilignes5'!CV22+'4 - Clé multilignes6'!CV22+'4 - Clé multilignes7'!CV22</f>
        <v>0</v>
      </c>
      <c r="U22" s="171">
        <f>'4 - Clé SALAIRES'!CW22+'4 - Clé multilignes1'!CW22+'4 - Clé multilignes2'!CW22+'4 - Clé multilignes3'!CW22+'4 - Clé multilignes4'!CW22+'4 - Clé multilignes5'!CW22+'4 - Clé multilignes6'!CW22+'4 - Clé multilignes7'!CW22</f>
        <v>0</v>
      </c>
      <c r="V22" s="171">
        <f>'4 - Clé SALAIRES'!CX22+'4 - Clé multilignes1'!CX22+'4 - Clé multilignes2'!CX22+'4 - Clé multilignes3'!CX22+'4 - Clé multilignes4'!CX22+'4 - Clé multilignes5'!CX22+'4 - Clé multilignes6'!CX22+'4 - Clé multilignes7'!CX22</f>
        <v>0</v>
      </c>
      <c r="W22" s="171">
        <f>'4 - Clé SALAIRES'!CY22+'4 - Clé multilignes1'!CY22+'4 - Clé multilignes2'!CY22+'4 - Clé multilignes3'!CY22+'4 - Clé multilignes4'!CY22+'4 - Clé multilignes5'!CY22+'4 - Clé multilignes6'!CY22+'4 - Clé multilignes7'!CY22</f>
        <v>0</v>
      </c>
      <c r="X22" s="171">
        <f>'4 - Clé SALAIRES'!CZ22+'4 - Clé multilignes1'!CZ22+'4 - Clé multilignes2'!CZ22+'4 - Clé multilignes3'!CZ22+'4 - Clé multilignes4'!CZ22+'4 - Clé multilignes5'!CZ22+'4 - Clé multilignes6'!CZ22+'4 - Clé multilignes7'!CZ22</f>
        <v>0</v>
      </c>
      <c r="Y22" s="171">
        <f>'4 - Clé SALAIRES'!DA22+'4 - Clé multilignes1'!DA22+'4 - Clé multilignes2'!DA22+'4 - Clé multilignes3'!DA22+'4 - Clé multilignes4'!DA22+'4 - Clé multilignes5'!DA22+'4 - Clé multilignes6'!DA22+'4 - Clé multilignes7'!DA22</f>
        <v>0</v>
      </c>
      <c r="Z22" s="171">
        <f>'4 - Clé SALAIRES'!DB22+'4 - Clé multilignes1'!DB22+'4 - Clé multilignes2'!DB22+'4 - Clé multilignes3'!DB22+'4 - Clé multilignes4'!DB22+'4 - Clé multilignes5'!DB22+'4 - Clé multilignes6'!DB22+'4 - Clé multilignes7'!DB22</f>
        <v>0</v>
      </c>
      <c r="AB22" s="172"/>
      <c r="AC22" s="172"/>
      <c r="AD22" s="172"/>
      <c r="AE22" s="172"/>
    </row>
    <row r="23" spans="1:32" s="173" customFormat="1" ht="12.75" customHeight="1" x14ac:dyDescent="0.25">
      <c r="A23" s="174"/>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B23" s="172"/>
      <c r="AC23" s="172"/>
      <c r="AD23" s="172"/>
      <c r="AE23" s="172"/>
    </row>
    <row r="24" spans="1:32" s="173" customFormat="1" ht="12.75" customHeight="1" x14ac:dyDescent="0.25">
      <c r="A24" s="165" t="str">
        <f>Matrice[[#This Row],[Ligne de la matrice]]</f>
        <v>Ventes de produits et d'énergie</v>
      </c>
      <c r="B24" s="171">
        <f>'4 - Clé SALAIRES'!CD24+'4 - Clé multilignes1'!CD24+'4 - Clé multilignes2'!CD24+'4 - Clé multilignes3'!CD24+'4 - Clé multilignes4'!CD24+'4 - Clé multilignes5'!CD24+'4 - Clé multilignes6'!CD24+'4 - Clé multilignes7'!CD24</f>
        <v>0</v>
      </c>
      <c r="C24" s="171">
        <f>'4 - Clé SALAIRES'!CE24+'4 - Clé multilignes1'!CE24+'4 - Clé multilignes2'!CE24+'4 - Clé multilignes3'!CE24+'4 - Clé multilignes4'!CE24+'4 - Clé multilignes5'!CE24+'4 - Clé multilignes6'!CE24+'4 - Clé multilignes7'!CE24</f>
        <v>0</v>
      </c>
      <c r="D24" s="171">
        <f>'4 - Clé SALAIRES'!CF24+'4 - Clé multilignes1'!CF24+'4 - Clé multilignes2'!CF24+'4 - Clé multilignes3'!CF24+'4 - Clé multilignes4'!CF24+'4 - Clé multilignes5'!CF24+'4 - Clé multilignes6'!CF24+'4 - Clé multilignes7'!CF24</f>
        <v>0</v>
      </c>
      <c r="E24" s="171">
        <f>'4 - Clé SALAIRES'!CG24+'4 - Clé multilignes1'!CG24+'4 - Clé multilignes2'!CG24+'4 - Clé multilignes3'!CG24+'4 - Clé multilignes4'!CG24+'4 - Clé multilignes5'!CG24+'4 - Clé multilignes6'!CG24+'4 - Clé multilignes7'!CG24</f>
        <v>0</v>
      </c>
      <c r="F24" s="171">
        <f>'4 - Clé SALAIRES'!CH24+'4 - Clé multilignes1'!CH24+'4 - Clé multilignes2'!CH24+'4 - Clé multilignes3'!CH24+'4 - Clé multilignes4'!CH24+'4 - Clé multilignes5'!CH24+'4 - Clé multilignes6'!CH24+'4 - Clé multilignes7'!CH24</f>
        <v>0</v>
      </c>
      <c r="G24" s="171">
        <f>'4 - Clé SALAIRES'!CI24+'4 - Clé multilignes1'!CI24+'4 - Clé multilignes2'!CI24+'4 - Clé multilignes3'!CI24+'4 - Clé multilignes4'!CI24+'4 - Clé multilignes5'!CI24+'4 - Clé multilignes6'!CI24+'4 - Clé multilignes7'!CI24</f>
        <v>0</v>
      </c>
      <c r="H24" s="171">
        <f>'4 - Clé SALAIRES'!CJ24+'4 - Clé multilignes1'!CJ24+'4 - Clé multilignes2'!CJ24+'4 - Clé multilignes3'!CJ24+'4 - Clé multilignes4'!CJ24+'4 - Clé multilignes5'!CJ24+'4 - Clé multilignes6'!CJ24+'4 - Clé multilignes7'!CJ24</f>
        <v>0</v>
      </c>
      <c r="I24" s="171">
        <f>'4 - Clé SALAIRES'!CK24+'4 - Clé multilignes1'!CK24+'4 - Clé multilignes2'!CK24+'4 - Clé multilignes3'!CK24+'4 - Clé multilignes4'!CK24+'4 - Clé multilignes5'!CK24+'4 - Clé multilignes6'!CK24+'4 - Clé multilignes7'!CK24</f>
        <v>0</v>
      </c>
      <c r="J24" s="171">
        <f>'4 - Clé SALAIRES'!CL24+'4 - Clé multilignes1'!CL24+'4 - Clé multilignes2'!CL24+'4 - Clé multilignes3'!CL24+'4 - Clé multilignes4'!CL24+'4 - Clé multilignes5'!CL24+'4 - Clé multilignes6'!CL24+'4 - Clé multilignes7'!CL24</f>
        <v>0</v>
      </c>
      <c r="K24" s="171">
        <f>'4 - Clé SALAIRES'!CM24+'4 - Clé multilignes1'!CM24+'4 - Clé multilignes2'!CM24+'4 - Clé multilignes3'!CM24+'4 - Clé multilignes4'!CM24+'4 - Clé multilignes5'!CM24+'4 - Clé multilignes6'!CM24+'4 - Clé multilignes7'!CM24</f>
        <v>0</v>
      </c>
      <c r="L24" s="171">
        <f>'4 - Clé SALAIRES'!CN24+'4 - Clé multilignes1'!CN24+'4 - Clé multilignes2'!CN24+'4 - Clé multilignes3'!CN24+'4 - Clé multilignes4'!CN24+'4 - Clé multilignes5'!CN24+'4 - Clé multilignes6'!CN24+'4 - Clé multilignes7'!CN24</f>
        <v>0</v>
      </c>
      <c r="M24" s="171">
        <f>'4 - Clé SALAIRES'!CO24+'4 - Clé multilignes1'!CO24+'4 - Clé multilignes2'!CO24+'4 - Clé multilignes3'!CO24+'4 - Clé multilignes4'!CO24+'4 - Clé multilignes5'!CO24+'4 - Clé multilignes6'!CO24+'4 - Clé multilignes7'!CO24</f>
        <v>0</v>
      </c>
      <c r="N24" s="171">
        <f>'4 - Clé SALAIRES'!CP24+'4 - Clé multilignes1'!CP24+'4 - Clé multilignes2'!CP24+'4 - Clé multilignes3'!CP24+'4 - Clé multilignes4'!CP24+'4 - Clé multilignes5'!CP24+'4 - Clé multilignes6'!CP24+'4 - Clé multilignes7'!CP24</f>
        <v>0</v>
      </c>
      <c r="O24" s="171">
        <f>'4 - Clé SALAIRES'!CQ24+'4 - Clé multilignes1'!CQ24+'4 - Clé multilignes2'!CQ24+'4 - Clé multilignes3'!CQ24+'4 - Clé multilignes4'!CQ24+'4 - Clé multilignes5'!CQ24+'4 - Clé multilignes6'!CQ24+'4 - Clé multilignes7'!CQ24</f>
        <v>0</v>
      </c>
      <c r="P24" s="171">
        <f>'4 - Clé SALAIRES'!CR24+'4 - Clé multilignes1'!CR24+'4 - Clé multilignes2'!CR24+'4 - Clé multilignes3'!CR24+'4 - Clé multilignes4'!CR24+'4 - Clé multilignes5'!CR24+'4 - Clé multilignes6'!CR24+'4 - Clé multilignes7'!CR24</f>
        <v>0</v>
      </c>
      <c r="Q24" s="171">
        <f>'4 - Clé SALAIRES'!CS24+'4 - Clé multilignes1'!CS24+'4 - Clé multilignes2'!CS24+'4 - Clé multilignes3'!CS24+'4 - Clé multilignes4'!CS24+'4 - Clé multilignes5'!CS24+'4 - Clé multilignes6'!CS24+'4 - Clé multilignes7'!CS24</f>
        <v>0</v>
      </c>
      <c r="R24" s="171">
        <f>'4 - Clé SALAIRES'!CT24+'4 - Clé multilignes1'!CT24+'4 - Clé multilignes2'!CT24+'4 - Clé multilignes3'!CT24+'4 - Clé multilignes4'!CT24+'4 - Clé multilignes5'!CT24+'4 - Clé multilignes6'!CT24+'4 - Clé multilignes7'!CT24</f>
        <v>0</v>
      </c>
      <c r="S24" s="171">
        <f>'4 - Clé SALAIRES'!CU24+'4 - Clé multilignes1'!CU24+'4 - Clé multilignes2'!CU24+'4 - Clé multilignes3'!CU24+'4 - Clé multilignes4'!CU24+'4 - Clé multilignes5'!CU24+'4 - Clé multilignes6'!CU24+'4 - Clé multilignes7'!CU24</f>
        <v>0</v>
      </c>
      <c r="T24" s="171">
        <f>'4 - Clé SALAIRES'!CV24+'4 - Clé multilignes1'!CV24+'4 - Clé multilignes2'!CV24+'4 - Clé multilignes3'!CV24+'4 - Clé multilignes4'!CV24+'4 - Clé multilignes5'!CV24+'4 - Clé multilignes6'!CV24+'4 - Clé multilignes7'!CV24</f>
        <v>0</v>
      </c>
      <c r="U24" s="171">
        <f>'4 - Clé SALAIRES'!CW24+'4 - Clé multilignes1'!CW24+'4 - Clé multilignes2'!CW24+'4 - Clé multilignes3'!CW24+'4 - Clé multilignes4'!CW24+'4 - Clé multilignes5'!CW24+'4 - Clé multilignes6'!CW24+'4 - Clé multilignes7'!CW24</f>
        <v>0</v>
      </c>
      <c r="V24" s="171">
        <f>'4 - Clé SALAIRES'!CX24+'4 - Clé multilignes1'!CX24+'4 - Clé multilignes2'!CX24+'4 - Clé multilignes3'!CX24+'4 - Clé multilignes4'!CX24+'4 - Clé multilignes5'!CX24+'4 - Clé multilignes6'!CX24+'4 - Clé multilignes7'!CX24</f>
        <v>0</v>
      </c>
      <c r="W24" s="171">
        <f>'4 - Clé SALAIRES'!CY24+'4 - Clé multilignes1'!CY24+'4 - Clé multilignes2'!CY24+'4 - Clé multilignes3'!CY24+'4 - Clé multilignes4'!CY24+'4 - Clé multilignes5'!CY24+'4 - Clé multilignes6'!CY24+'4 - Clé multilignes7'!CY24</f>
        <v>0</v>
      </c>
      <c r="X24" s="171">
        <f>'4 - Clé SALAIRES'!CZ24+'4 - Clé multilignes1'!CZ24+'4 - Clé multilignes2'!CZ24+'4 - Clé multilignes3'!CZ24+'4 - Clé multilignes4'!CZ24+'4 - Clé multilignes5'!CZ24+'4 - Clé multilignes6'!CZ24+'4 - Clé multilignes7'!CZ24</f>
        <v>0</v>
      </c>
      <c r="Y24" s="171">
        <f>'4 - Clé SALAIRES'!DA24+'4 - Clé multilignes1'!DA24+'4 - Clé multilignes2'!DA24+'4 - Clé multilignes3'!DA24+'4 - Clé multilignes4'!DA24+'4 - Clé multilignes5'!DA24+'4 - Clé multilignes6'!DA24+'4 - Clé multilignes7'!DA24</f>
        <v>0</v>
      </c>
      <c r="Z24" s="171">
        <f>'4 - Clé SALAIRES'!DB24+'4 - Clé multilignes1'!DB24+'4 - Clé multilignes2'!DB24+'4 - Clé multilignes3'!DB24+'4 - Clé multilignes4'!DB24+'4 - Clé multilignes5'!DB24+'4 - Clé multilignes6'!DB24+'4 - Clé multilignes7'!DB24</f>
        <v>0</v>
      </c>
      <c r="AB24" s="172"/>
      <c r="AC24" s="172"/>
      <c r="AD24" s="172"/>
      <c r="AE24" s="172"/>
    </row>
    <row r="25" spans="1:32" s="173" customFormat="1" ht="12.75" customHeight="1" x14ac:dyDescent="0.25">
      <c r="A25" s="165" t="str">
        <f>Matrice[[#This Row],[Ligne de la matrice]]</f>
        <v>Matériaux</v>
      </c>
      <c r="B25" s="171">
        <f>'4 - Clé SALAIRES'!CD25+'4 - Clé multilignes1'!CD25+'4 - Clé multilignes2'!CD25+'4 - Clé multilignes3'!CD25+'4 - Clé multilignes4'!CD25+'4 - Clé multilignes5'!CD25+'4 - Clé multilignes6'!CD25+'4 - Clé multilignes7'!CD25</f>
        <v>0</v>
      </c>
      <c r="C25" s="171">
        <f>'4 - Clé SALAIRES'!CE25+'4 - Clé multilignes1'!CE25+'4 - Clé multilignes2'!CE25+'4 - Clé multilignes3'!CE25+'4 - Clé multilignes4'!CE25+'4 - Clé multilignes5'!CE25+'4 - Clé multilignes6'!CE25+'4 - Clé multilignes7'!CE25</f>
        <v>0</v>
      </c>
      <c r="D25" s="171">
        <f>'4 - Clé SALAIRES'!CF25+'4 - Clé multilignes1'!CF25+'4 - Clé multilignes2'!CF25+'4 - Clé multilignes3'!CF25+'4 - Clé multilignes4'!CF25+'4 - Clé multilignes5'!CF25+'4 - Clé multilignes6'!CF25+'4 - Clé multilignes7'!CF25</f>
        <v>0</v>
      </c>
      <c r="E25" s="171">
        <f>'4 - Clé SALAIRES'!CG25+'4 - Clé multilignes1'!CG25+'4 - Clé multilignes2'!CG25+'4 - Clé multilignes3'!CG25+'4 - Clé multilignes4'!CG25+'4 - Clé multilignes5'!CG25+'4 - Clé multilignes6'!CG25+'4 - Clé multilignes7'!CG25</f>
        <v>0</v>
      </c>
      <c r="F25" s="171">
        <f>'4 - Clé SALAIRES'!CH25+'4 - Clé multilignes1'!CH25+'4 - Clé multilignes2'!CH25+'4 - Clé multilignes3'!CH25+'4 - Clé multilignes4'!CH25+'4 - Clé multilignes5'!CH25+'4 - Clé multilignes6'!CH25+'4 - Clé multilignes7'!CH25</f>
        <v>0</v>
      </c>
      <c r="G25" s="171">
        <f>'4 - Clé SALAIRES'!CI25+'4 - Clé multilignes1'!CI25+'4 - Clé multilignes2'!CI25+'4 - Clé multilignes3'!CI25+'4 - Clé multilignes4'!CI25+'4 - Clé multilignes5'!CI25+'4 - Clé multilignes6'!CI25+'4 - Clé multilignes7'!CI25</f>
        <v>0</v>
      </c>
      <c r="H25" s="171">
        <f>'4 - Clé SALAIRES'!CJ25+'4 - Clé multilignes1'!CJ25+'4 - Clé multilignes2'!CJ25+'4 - Clé multilignes3'!CJ25+'4 - Clé multilignes4'!CJ25+'4 - Clé multilignes5'!CJ25+'4 - Clé multilignes6'!CJ25+'4 - Clé multilignes7'!CJ25</f>
        <v>0</v>
      </c>
      <c r="I25" s="171">
        <f>'4 - Clé SALAIRES'!CK25+'4 - Clé multilignes1'!CK25+'4 - Clé multilignes2'!CK25+'4 - Clé multilignes3'!CK25+'4 - Clé multilignes4'!CK25+'4 - Clé multilignes5'!CK25+'4 - Clé multilignes6'!CK25+'4 - Clé multilignes7'!CK25</f>
        <v>0</v>
      </c>
      <c r="J25" s="171">
        <f>'4 - Clé SALAIRES'!CL25+'4 - Clé multilignes1'!CL25+'4 - Clé multilignes2'!CL25+'4 - Clé multilignes3'!CL25+'4 - Clé multilignes4'!CL25+'4 - Clé multilignes5'!CL25+'4 - Clé multilignes6'!CL25+'4 - Clé multilignes7'!CL25</f>
        <v>0</v>
      </c>
      <c r="K25" s="171">
        <f>'4 - Clé SALAIRES'!CM25+'4 - Clé multilignes1'!CM25+'4 - Clé multilignes2'!CM25+'4 - Clé multilignes3'!CM25+'4 - Clé multilignes4'!CM25+'4 - Clé multilignes5'!CM25+'4 - Clé multilignes6'!CM25+'4 - Clé multilignes7'!CM25</f>
        <v>0</v>
      </c>
      <c r="L25" s="171">
        <f>'4 - Clé SALAIRES'!CN25+'4 - Clé multilignes1'!CN25+'4 - Clé multilignes2'!CN25+'4 - Clé multilignes3'!CN25+'4 - Clé multilignes4'!CN25+'4 - Clé multilignes5'!CN25+'4 - Clé multilignes6'!CN25+'4 - Clé multilignes7'!CN25</f>
        <v>0</v>
      </c>
      <c r="M25" s="171">
        <f>'4 - Clé SALAIRES'!CO25+'4 - Clé multilignes1'!CO25+'4 - Clé multilignes2'!CO25+'4 - Clé multilignes3'!CO25+'4 - Clé multilignes4'!CO25+'4 - Clé multilignes5'!CO25+'4 - Clé multilignes6'!CO25+'4 - Clé multilignes7'!CO25</f>
        <v>0</v>
      </c>
      <c r="N25" s="171">
        <f>'4 - Clé SALAIRES'!CP25+'4 - Clé multilignes1'!CP25+'4 - Clé multilignes2'!CP25+'4 - Clé multilignes3'!CP25+'4 - Clé multilignes4'!CP25+'4 - Clé multilignes5'!CP25+'4 - Clé multilignes6'!CP25+'4 - Clé multilignes7'!CP25</f>
        <v>0</v>
      </c>
      <c r="O25" s="171">
        <f>'4 - Clé SALAIRES'!CQ25+'4 - Clé multilignes1'!CQ25+'4 - Clé multilignes2'!CQ25+'4 - Clé multilignes3'!CQ25+'4 - Clé multilignes4'!CQ25+'4 - Clé multilignes5'!CQ25+'4 - Clé multilignes6'!CQ25+'4 - Clé multilignes7'!CQ25</f>
        <v>0</v>
      </c>
      <c r="P25" s="171">
        <f>'4 - Clé SALAIRES'!CR25+'4 - Clé multilignes1'!CR25+'4 - Clé multilignes2'!CR25+'4 - Clé multilignes3'!CR25+'4 - Clé multilignes4'!CR25+'4 - Clé multilignes5'!CR25+'4 - Clé multilignes6'!CR25+'4 - Clé multilignes7'!CR25</f>
        <v>0</v>
      </c>
      <c r="Q25" s="171">
        <f>'4 - Clé SALAIRES'!CS25+'4 - Clé multilignes1'!CS25+'4 - Clé multilignes2'!CS25+'4 - Clé multilignes3'!CS25+'4 - Clé multilignes4'!CS25+'4 - Clé multilignes5'!CS25+'4 - Clé multilignes6'!CS25+'4 - Clé multilignes7'!CS25</f>
        <v>0</v>
      </c>
      <c r="R25" s="171">
        <f>'4 - Clé SALAIRES'!CT25+'4 - Clé multilignes1'!CT25+'4 - Clé multilignes2'!CT25+'4 - Clé multilignes3'!CT25+'4 - Clé multilignes4'!CT25+'4 - Clé multilignes5'!CT25+'4 - Clé multilignes6'!CT25+'4 - Clé multilignes7'!CT25</f>
        <v>0</v>
      </c>
      <c r="S25" s="171">
        <f>'4 - Clé SALAIRES'!CU25+'4 - Clé multilignes1'!CU25+'4 - Clé multilignes2'!CU25+'4 - Clé multilignes3'!CU25+'4 - Clé multilignes4'!CU25+'4 - Clé multilignes5'!CU25+'4 - Clé multilignes6'!CU25+'4 - Clé multilignes7'!CU25</f>
        <v>0</v>
      </c>
      <c r="T25" s="171">
        <f>'4 - Clé SALAIRES'!CV25+'4 - Clé multilignes1'!CV25+'4 - Clé multilignes2'!CV25+'4 - Clé multilignes3'!CV25+'4 - Clé multilignes4'!CV25+'4 - Clé multilignes5'!CV25+'4 - Clé multilignes6'!CV25+'4 - Clé multilignes7'!CV25</f>
        <v>0</v>
      </c>
      <c r="U25" s="171">
        <f>'4 - Clé SALAIRES'!CW25+'4 - Clé multilignes1'!CW25+'4 - Clé multilignes2'!CW25+'4 - Clé multilignes3'!CW25+'4 - Clé multilignes4'!CW25+'4 - Clé multilignes5'!CW25+'4 - Clé multilignes6'!CW25+'4 - Clé multilignes7'!CW25</f>
        <v>0</v>
      </c>
      <c r="V25" s="171">
        <f>'4 - Clé SALAIRES'!CX25+'4 - Clé multilignes1'!CX25+'4 - Clé multilignes2'!CX25+'4 - Clé multilignes3'!CX25+'4 - Clé multilignes4'!CX25+'4 - Clé multilignes5'!CX25+'4 - Clé multilignes6'!CX25+'4 - Clé multilignes7'!CX25</f>
        <v>0</v>
      </c>
      <c r="W25" s="171">
        <f>'4 - Clé SALAIRES'!CY25+'4 - Clé multilignes1'!CY25+'4 - Clé multilignes2'!CY25+'4 - Clé multilignes3'!CY25+'4 - Clé multilignes4'!CY25+'4 - Clé multilignes5'!CY25+'4 - Clé multilignes6'!CY25+'4 - Clé multilignes7'!CY25</f>
        <v>0</v>
      </c>
      <c r="X25" s="171">
        <f>'4 - Clé SALAIRES'!CZ25+'4 - Clé multilignes1'!CZ25+'4 - Clé multilignes2'!CZ25+'4 - Clé multilignes3'!CZ25+'4 - Clé multilignes4'!CZ25+'4 - Clé multilignes5'!CZ25+'4 - Clé multilignes6'!CZ25+'4 - Clé multilignes7'!CZ25</f>
        <v>0</v>
      </c>
      <c r="Y25" s="171">
        <f>'4 - Clé SALAIRES'!DA25+'4 - Clé multilignes1'!DA25+'4 - Clé multilignes2'!DA25+'4 - Clé multilignes3'!DA25+'4 - Clé multilignes4'!DA25+'4 - Clé multilignes5'!DA25+'4 - Clé multilignes6'!DA25+'4 - Clé multilignes7'!DA25</f>
        <v>0</v>
      </c>
      <c r="Z25" s="171">
        <f>'4 - Clé SALAIRES'!DB25+'4 - Clé multilignes1'!DB25+'4 - Clé multilignes2'!DB25+'4 - Clé multilignes3'!DB25+'4 - Clé multilignes4'!DB25+'4 - Clé multilignes5'!DB25+'4 - Clé multilignes6'!DB25+'4 - Clé multilignes7'!DB25</f>
        <v>0</v>
      </c>
      <c r="AB25" s="172"/>
      <c r="AC25" s="172"/>
      <c r="AD25" s="172"/>
      <c r="AE25" s="172"/>
    </row>
    <row r="26" spans="1:32" s="173" customFormat="1" ht="12.75" customHeight="1" x14ac:dyDescent="0.25">
      <c r="A26" s="165" t="str">
        <f>Matrice[[#This Row],[Ligne de la matrice]]</f>
        <v>Compost</v>
      </c>
      <c r="B26" s="171">
        <f>'4 - Clé SALAIRES'!CD26+'4 - Clé multilignes1'!CD26+'4 - Clé multilignes2'!CD26+'4 - Clé multilignes3'!CD26+'4 - Clé multilignes4'!CD26+'4 - Clé multilignes5'!CD26+'4 - Clé multilignes6'!CD26+'4 - Clé multilignes7'!CD26</f>
        <v>0</v>
      </c>
      <c r="C26" s="171">
        <f>'4 - Clé SALAIRES'!CE26+'4 - Clé multilignes1'!CE26+'4 - Clé multilignes2'!CE26+'4 - Clé multilignes3'!CE26+'4 - Clé multilignes4'!CE26+'4 - Clé multilignes5'!CE26+'4 - Clé multilignes6'!CE26+'4 - Clé multilignes7'!CE26</f>
        <v>0</v>
      </c>
      <c r="D26" s="171">
        <f>'4 - Clé SALAIRES'!CF26+'4 - Clé multilignes1'!CF26+'4 - Clé multilignes2'!CF26+'4 - Clé multilignes3'!CF26+'4 - Clé multilignes4'!CF26+'4 - Clé multilignes5'!CF26+'4 - Clé multilignes6'!CF26+'4 - Clé multilignes7'!CF26</f>
        <v>0</v>
      </c>
      <c r="E26" s="171">
        <f>'4 - Clé SALAIRES'!CG26+'4 - Clé multilignes1'!CG26+'4 - Clé multilignes2'!CG26+'4 - Clé multilignes3'!CG26+'4 - Clé multilignes4'!CG26+'4 - Clé multilignes5'!CG26+'4 - Clé multilignes6'!CG26+'4 - Clé multilignes7'!CG26</f>
        <v>0</v>
      </c>
      <c r="F26" s="171">
        <f>'4 - Clé SALAIRES'!CH26+'4 - Clé multilignes1'!CH26+'4 - Clé multilignes2'!CH26+'4 - Clé multilignes3'!CH26+'4 - Clé multilignes4'!CH26+'4 - Clé multilignes5'!CH26+'4 - Clé multilignes6'!CH26+'4 - Clé multilignes7'!CH26</f>
        <v>0</v>
      </c>
      <c r="G26" s="171">
        <f>'4 - Clé SALAIRES'!CI26+'4 - Clé multilignes1'!CI26+'4 - Clé multilignes2'!CI26+'4 - Clé multilignes3'!CI26+'4 - Clé multilignes4'!CI26+'4 - Clé multilignes5'!CI26+'4 - Clé multilignes6'!CI26+'4 - Clé multilignes7'!CI26</f>
        <v>0</v>
      </c>
      <c r="H26" s="171">
        <f>'4 - Clé SALAIRES'!CJ26+'4 - Clé multilignes1'!CJ26+'4 - Clé multilignes2'!CJ26+'4 - Clé multilignes3'!CJ26+'4 - Clé multilignes4'!CJ26+'4 - Clé multilignes5'!CJ26+'4 - Clé multilignes6'!CJ26+'4 - Clé multilignes7'!CJ26</f>
        <v>0</v>
      </c>
      <c r="I26" s="171">
        <f>'4 - Clé SALAIRES'!CK26+'4 - Clé multilignes1'!CK26+'4 - Clé multilignes2'!CK26+'4 - Clé multilignes3'!CK26+'4 - Clé multilignes4'!CK26+'4 - Clé multilignes5'!CK26+'4 - Clé multilignes6'!CK26+'4 - Clé multilignes7'!CK26</f>
        <v>0</v>
      </c>
      <c r="J26" s="171">
        <f>'4 - Clé SALAIRES'!CL26+'4 - Clé multilignes1'!CL26+'4 - Clé multilignes2'!CL26+'4 - Clé multilignes3'!CL26+'4 - Clé multilignes4'!CL26+'4 - Clé multilignes5'!CL26+'4 - Clé multilignes6'!CL26+'4 - Clé multilignes7'!CL26</f>
        <v>0</v>
      </c>
      <c r="K26" s="171">
        <f>'4 - Clé SALAIRES'!CM26+'4 - Clé multilignes1'!CM26+'4 - Clé multilignes2'!CM26+'4 - Clé multilignes3'!CM26+'4 - Clé multilignes4'!CM26+'4 - Clé multilignes5'!CM26+'4 - Clé multilignes6'!CM26+'4 - Clé multilignes7'!CM26</f>
        <v>0</v>
      </c>
      <c r="L26" s="171">
        <f>'4 - Clé SALAIRES'!CN26+'4 - Clé multilignes1'!CN26+'4 - Clé multilignes2'!CN26+'4 - Clé multilignes3'!CN26+'4 - Clé multilignes4'!CN26+'4 - Clé multilignes5'!CN26+'4 - Clé multilignes6'!CN26+'4 - Clé multilignes7'!CN26</f>
        <v>0</v>
      </c>
      <c r="M26" s="171">
        <f>'4 - Clé SALAIRES'!CO26+'4 - Clé multilignes1'!CO26+'4 - Clé multilignes2'!CO26+'4 - Clé multilignes3'!CO26+'4 - Clé multilignes4'!CO26+'4 - Clé multilignes5'!CO26+'4 - Clé multilignes6'!CO26+'4 - Clé multilignes7'!CO26</f>
        <v>0</v>
      </c>
      <c r="N26" s="171">
        <f>'4 - Clé SALAIRES'!CP26+'4 - Clé multilignes1'!CP26+'4 - Clé multilignes2'!CP26+'4 - Clé multilignes3'!CP26+'4 - Clé multilignes4'!CP26+'4 - Clé multilignes5'!CP26+'4 - Clé multilignes6'!CP26+'4 - Clé multilignes7'!CP26</f>
        <v>0</v>
      </c>
      <c r="O26" s="171">
        <f>'4 - Clé SALAIRES'!CQ26+'4 - Clé multilignes1'!CQ26+'4 - Clé multilignes2'!CQ26+'4 - Clé multilignes3'!CQ26+'4 - Clé multilignes4'!CQ26+'4 - Clé multilignes5'!CQ26+'4 - Clé multilignes6'!CQ26+'4 - Clé multilignes7'!CQ26</f>
        <v>0</v>
      </c>
      <c r="P26" s="171">
        <f>'4 - Clé SALAIRES'!CR26+'4 - Clé multilignes1'!CR26+'4 - Clé multilignes2'!CR26+'4 - Clé multilignes3'!CR26+'4 - Clé multilignes4'!CR26+'4 - Clé multilignes5'!CR26+'4 - Clé multilignes6'!CR26+'4 - Clé multilignes7'!CR26</f>
        <v>0</v>
      </c>
      <c r="Q26" s="171">
        <f>'4 - Clé SALAIRES'!CS26+'4 - Clé multilignes1'!CS26+'4 - Clé multilignes2'!CS26+'4 - Clé multilignes3'!CS26+'4 - Clé multilignes4'!CS26+'4 - Clé multilignes5'!CS26+'4 - Clé multilignes6'!CS26+'4 - Clé multilignes7'!CS26</f>
        <v>0</v>
      </c>
      <c r="R26" s="171">
        <f>'4 - Clé SALAIRES'!CT26+'4 - Clé multilignes1'!CT26+'4 - Clé multilignes2'!CT26+'4 - Clé multilignes3'!CT26+'4 - Clé multilignes4'!CT26+'4 - Clé multilignes5'!CT26+'4 - Clé multilignes6'!CT26+'4 - Clé multilignes7'!CT26</f>
        <v>0</v>
      </c>
      <c r="S26" s="171">
        <f>'4 - Clé SALAIRES'!CU26+'4 - Clé multilignes1'!CU26+'4 - Clé multilignes2'!CU26+'4 - Clé multilignes3'!CU26+'4 - Clé multilignes4'!CU26+'4 - Clé multilignes5'!CU26+'4 - Clé multilignes6'!CU26+'4 - Clé multilignes7'!CU26</f>
        <v>0</v>
      </c>
      <c r="T26" s="171">
        <f>'4 - Clé SALAIRES'!CV26+'4 - Clé multilignes1'!CV26+'4 - Clé multilignes2'!CV26+'4 - Clé multilignes3'!CV26+'4 - Clé multilignes4'!CV26+'4 - Clé multilignes5'!CV26+'4 - Clé multilignes6'!CV26+'4 - Clé multilignes7'!CV26</f>
        <v>0</v>
      </c>
      <c r="U26" s="171">
        <f>'4 - Clé SALAIRES'!CW26+'4 - Clé multilignes1'!CW26+'4 - Clé multilignes2'!CW26+'4 - Clé multilignes3'!CW26+'4 - Clé multilignes4'!CW26+'4 - Clé multilignes5'!CW26+'4 - Clé multilignes6'!CW26+'4 - Clé multilignes7'!CW26</f>
        <v>0</v>
      </c>
      <c r="V26" s="171">
        <f>'4 - Clé SALAIRES'!CX26+'4 - Clé multilignes1'!CX26+'4 - Clé multilignes2'!CX26+'4 - Clé multilignes3'!CX26+'4 - Clé multilignes4'!CX26+'4 - Clé multilignes5'!CX26+'4 - Clé multilignes6'!CX26+'4 - Clé multilignes7'!CX26</f>
        <v>0</v>
      </c>
      <c r="W26" s="171">
        <f>'4 - Clé SALAIRES'!CY26+'4 - Clé multilignes1'!CY26+'4 - Clé multilignes2'!CY26+'4 - Clé multilignes3'!CY26+'4 - Clé multilignes4'!CY26+'4 - Clé multilignes5'!CY26+'4 - Clé multilignes6'!CY26+'4 - Clé multilignes7'!CY26</f>
        <v>0</v>
      </c>
      <c r="X26" s="171">
        <f>'4 - Clé SALAIRES'!CZ26+'4 - Clé multilignes1'!CZ26+'4 - Clé multilignes2'!CZ26+'4 - Clé multilignes3'!CZ26+'4 - Clé multilignes4'!CZ26+'4 - Clé multilignes5'!CZ26+'4 - Clé multilignes6'!CZ26+'4 - Clé multilignes7'!CZ26</f>
        <v>0</v>
      </c>
      <c r="Y26" s="171">
        <f>'4 - Clé SALAIRES'!DA26+'4 - Clé multilignes1'!DA26+'4 - Clé multilignes2'!DA26+'4 - Clé multilignes3'!DA26+'4 - Clé multilignes4'!DA26+'4 - Clé multilignes5'!DA26+'4 - Clé multilignes6'!DA26+'4 - Clé multilignes7'!DA26</f>
        <v>0</v>
      </c>
      <c r="Z26" s="171">
        <f>'4 - Clé SALAIRES'!DB26+'4 - Clé multilignes1'!DB26+'4 - Clé multilignes2'!DB26+'4 - Clé multilignes3'!DB26+'4 - Clé multilignes4'!DB26+'4 - Clé multilignes5'!DB26+'4 - Clé multilignes6'!DB26+'4 - Clé multilignes7'!DB26</f>
        <v>0</v>
      </c>
      <c r="AB26" s="172"/>
      <c r="AC26" s="172"/>
      <c r="AD26" s="172"/>
      <c r="AE26" s="172"/>
    </row>
    <row r="27" spans="1:32" s="173" customFormat="1" ht="12.75" customHeight="1" x14ac:dyDescent="0.25">
      <c r="A27" s="165" t="str">
        <f>Matrice[[#This Row],[Ligne de la matrice]]</f>
        <v>Énergie</v>
      </c>
      <c r="B27" s="171">
        <f>'4 - Clé SALAIRES'!CD27+'4 - Clé multilignes1'!CD27+'4 - Clé multilignes2'!CD27+'4 - Clé multilignes3'!CD27+'4 - Clé multilignes4'!CD27+'4 - Clé multilignes5'!CD27+'4 - Clé multilignes6'!CD27+'4 - Clé multilignes7'!CD27</f>
        <v>0</v>
      </c>
      <c r="C27" s="171">
        <f>'4 - Clé SALAIRES'!CE27+'4 - Clé multilignes1'!CE27+'4 - Clé multilignes2'!CE27+'4 - Clé multilignes3'!CE27+'4 - Clé multilignes4'!CE27+'4 - Clé multilignes5'!CE27+'4 - Clé multilignes6'!CE27+'4 - Clé multilignes7'!CE27</f>
        <v>0</v>
      </c>
      <c r="D27" s="171">
        <f>'4 - Clé SALAIRES'!CF27+'4 - Clé multilignes1'!CF27+'4 - Clé multilignes2'!CF27+'4 - Clé multilignes3'!CF27+'4 - Clé multilignes4'!CF27+'4 - Clé multilignes5'!CF27+'4 - Clé multilignes6'!CF27+'4 - Clé multilignes7'!CF27</f>
        <v>0</v>
      </c>
      <c r="E27" s="171">
        <f>'4 - Clé SALAIRES'!CG27+'4 - Clé multilignes1'!CG27+'4 - Clé multilignes2'!CG27+'4 - Clé multilignes3'!CG27+'4 - Clé multilignes4'!CG27+'4 - Clé multilignes5'!CG27+'4 - Clé multilignes6'!CG27+'4 - Clé multilignes7'!CG27</f>
        <v>0</v>
      </c>
      <c r="F27" s="171">
        <f>'4 - Clé SALAIRES'!CH27+'4 - Clé multilignes1'!CH27+'4 - Clé multilignes2'!CH27+'4 - Clé multilignes3'!CH27+'4 - Clé multilignes4'!CH27+'4 - Clé multilignes5'!CH27+'4 - Clé multilignes6'!CH27+'4 - Clé multilignes7'!CH27</f>
        <v>0</v>
      </c>
      <c r="G27" s="171">
        <f>'4 - Clé SALAIRES'!CI27+'4 - Clé multilignes1'!CI27+'4 - Clé multilignes2'!CI27+'4 - Clé multilignes3'!CI27+'4 - Clé multilignes4'!CI27+'4 - Clé multilignes5'!CI27+'4 - Clé multilignes6'!CI27+'4 - Clé multilignes7'!CI27</f>
        <v>0</v>
      </c>
      <c r="H27" s="171">
        <f>'4 - Clé SALAIRES'!CJ27+'4 - Clé multilignes1'!CJ27+'4 - Clé multilignes2'!CJ27+'4 - Clé multilignes3'!CJ27+'4 - Clé multilignes4'!CJ27+'4 - Clé multilignes5'!CJ27+'4 - Clé multilignes6'!CJ27+'4 - Clé multilignes7'!CJ27</f>
        <v>0</v>
      </c>
      <c r="I27" s="171">
        <f>'4 - Clé SALAIRES'!CK27+'4 - Clé multilignes1'!CK27+'4 - Clé multilignes2'!CK27+'4 - Clé multilignes3'!CK27+'4 - Clé multilignes4'!CK27+'4 - Clé multilignes5'!CK27+'4 - Clé multilignes6'!CK27+'4 - Clé multilignes7'!CK27</f>
        <v>0</v>
      </c>
      <c r="J27" s="171">
        <f>'4 - Clé SALAIRES'!CL27+'4 - Clé multilignes1'!CL27+'4 - Clé multilignes2'!CL27+'4 - Clé multilignes3'!CL27+'4 - Clé multilignes4'!CL27+'4 - Clé multilignes5'!CL27+'4 - Clé multilignes6'!CL27+'4 - Clé multilignes7'!CL27</f>
        <v>0</v>
      </c>
      <c r="K27" s="171">
        <f>'4 - Clé SALAIRES'!CM27+'4 - Clé multilignes1'!CM27+'4 - Clé multilignes2'!CM27+'4 - Clé multilignes3'!CM27+'4 - Clé multilignes4'!CM27+'4 - Clé multilignes5'!CM27+'4 - Clé multilignes6'!CM27+'4 - Clé multilignes7'!CM27</f>
        <v>0</v>
      </c>
      <c r="L27" s="171">
        <f>'4 - Clé SALAIRES'!CN27+'4 - Clé multilignes1'!CN27+'4 - Clé multilignes2'!CN27+'4 - Clé multilignes3'!CN27+'4 - Clé multilignes4'!CN27+'4 - Clé multilignes5'!CN27+'4 - Clé multilignes6'!CN27+'4 - Clé multilignes7'!CN27</f>
        <v>0</v>
      </c>
      <c r="M27" s="171">
        <f>'4 - Clé SALAIRES'!CO27+'4 - Clé multilignes1'!CO27+'4 - Clé multilignes2'!CO27+'4 - Clé multilignes3'!CO27+'4 - Clé multilignes4'!CO27+'4 - Clé multilignes5'!CO27+'4 - Clé multilignes6'!CO27+'4 - Clé multilignes7'!CO27</f>
        <v>0</v>
      </c>
      <c r="N27" s="171">
        <f>'4 - Clé SALAIRES'!CP27+'4 - Clé multilignes1'!CP27+'4 - Clé multilignes2'!CP27+'4 - Clé multilignes3'!CP27+'4 - Clé multilignes4'!CP27+'4 - Clé multilignes5'!CP27+'4 - Clé multilignes6'!CP27+'4 - Clé multilignes7'!CP27</f>
        <v>0</v>
      </c>
      <c r="O27" s="171">
        <f>'4 - Clé SALAIRES'!CQ27+'4 - Clé multilignes1'!CQ27+'4 - Clé multilignes2'!CQ27+'4 - Clé multilignes3'!CQ27+'4 - Clé multilignes4'!CQ27+'4 - Clé multilignes5'!CQ27+'4 - Clé multilignes6'!CQ27+'4 - Clé multilignes7'!CQ27</f>
        <v>0</v>
      </c>
      <c r="P27" s="171">
        <f>'4 - Clé SALAIRES'!CR27+'4 - Clé multilignes1'!CR27+'4 - Clé multilignes2'!CR27+'4 - Clé multilignes3'!CR27+'4 - Clé multilignes4'!CR27+'4 - Clé multilignes5'!CR27+'4 - Clé multilignes6'!CR27+'4 - Clé multilignes7'!CR27</f>
        <v>0</v>
      </c>
      <c r="Q27" s="171">
        <f>'4 - Clé SALAIRES'!CS27+'4 - Clé multilignes1'!CS27+'4 - Clé multilignes2'!CS27+'4 - Clé multilignes3'!CS27+'4 - Clé multilignes4'!CS27+'4 - Clé multilignes5'!CS27+'4 - Clé multilignes6'!CS27+'4 - Clé multilignes7'!CS27</f>
        <v>0</v>
      </c>
      <c r="R27" s="171">
        <f>'4 - Clé SALAIRES'!CT27+'4 - Clé multilignes1'!CT27+'4 - Clé multilignes2'!CT27+'4 - Clé multilignes3'!CT27+'4 - Clé multilignes4'!CT27+'4 - Clé multilignes5'!CT27+'4 - Clé multilignes6'!CT27+'4 - Clé multilignes7'!CT27</f>
        <v>0</v>
      </c>
      <c r="S27" s="171">
        <f>'4 - Clé SALAIRES'!CU27+'4 - Clé multilignes1'!CU27+'4 - Clé multilignes2'!CU27+'4 - Clé multilignes3'!CU27+'4 - Clé multilignes4'!CU27+'4 - Clé multilignes5'!CU27+'4 - Clé multilignes6'!CU27+'4 - Clé multilignes7'!CU27</f>
        <v>0</v>
      </c>
      <c r="T27" s="171">
        <f>'4 - Clé SALAIRES'!CV27+'4 - Clé multilignes1'!CV27+'4 - Clé multilignes2'!CV27+'4 - Clé multilignes3'!CV27+'4 - Clé multilignes4'!CV27+'4 - Clé multilignes5'!CV27+'4 - Clé multilignes6'!CV27+'4 - Clé multilignes7'!CV27</f>
        <v>0</v>
      </c>
      <c r="U27" s="171">
        <f>'4 - Clé SALAIRES'!CW27+'4 - Clé multilignes1'!CW27+'4 - Clé multilignes2'!CW27+'4 - Clé multilignes3'!CW27+'4 - Clé multilignes4'!CW27+'4 - Clé multilignes5'!CW27+'4 - Clé multilignes6'!CW27+'4 - Clé multilignes7'!CW27</f>
        <v>0</v>
      </c>
      <c r="V27" s="171">
        <f>'4 - Clé SALAIRES'!CX27+'4 - Clé multilignes1'!CX27+'4 - Clé multilignes2'!CX27+'4 - Clé multilignes3'!CX27+'4 - Clé multilignes4'!CX27+'4 - Clé multilignes5'!CX27+'4 - Clé multilignes6'!CX27+'4 - Clé multilignes7'!CX27</f>
        <v>0</v>
      </c>
      <c r="W27" s="171">
        <f>'4 - Clé SALAIRES'!CY27+'4 - Clé multilignes1'!CY27+'4 - Clé multilignes2'!CY27+'4 - Clé multilignes3'!CY27+'4 - Clé multilignes4'!CY27+'4 - Clé multilignes5'!CY27+'4 - Clé multilignes6'!CY27+'4 - Clé multilignes7'!CY27</f>
        <v>0</v>
      </c>
      <c r="X27" s="171">
        <f>'4 - Clé SALAIRES'!CZ27+'4 - Clé multilignes1'!CZ27+'4 - Clé multilignes2'!CZ27+'4 - Clé multilignes3'!CZ27+'4 - Clé multilignes4'!CZ27+'4 - Clé multilignes5'!CZ27+'4 - Clé multilignes6'!CZ27+'4 - Clé multilignes7'!CZ27</f>
        <v>0</v>
      </c>
      <c r="Y27" s="171">
        <f>'4 - Clé SALAIRES'!DA27+'4 - Clé multilignes1'!DA27+'4 - Clé multilignes2'!DA27+'4 - Clé multilignes3'!DA27+'4 - Clé multilignes4'!DA27+'4 - Clé multilignes5'!DA27+'4 - Clé multilignes6'!DA27+'4 - Clé multilignes7'!DA27</f>
        <v>0</v>
      </c>
      <c r="Z27" s="171">
        <f>'4 - Clé SALAIRES'!DB27+'4 - Clé multilignes1'!DB27+'4 - Clé multilignes2'!DB27+'4 - Clé multilignes3'!DB27+'4 - Clé multilignes4'!DB27+'4 - Clé multilignes5'!DB27+'4 - Clé multilignes6'!DB27+'4 - Clé multilignes7'!DB27</f>
        <v>0</v>
      </c>
      <c r="AB27" s="172"/>
      <c r="AC27" s="172"/>
      <c r="AD27" s="172"/>
      <c r="AE27" s="172"/>
    </row>
    <row r="28" spans="1:32" s="173" customFormat="1" ht="12.75" customHeight="1" x14ac:dyDescent="0.25">
      <c r="A28" s="165" t="str">
        <f>Matrice[[#This Row],[Ligne de la matrice]]</f>
        <v>Prestation à des tiers</v>
      </c>
      <c r="B28" s="171">
        <f>'4 - Clé SALAIRES'!CD28+'4 - Clé multilignes1'!CD28+'4 - Clé multilignes2'!CD28+'4 - Clé multilignes3'!CD28+'4 - Clé multilignes4'!CD28+'4 - Clé multilignes5'!CD28+'4 - Clé multilignes6'!CD28+'4 - Clé multilignes7'!CD28</f>
        <v>0</v>
      </c>
      <c r="C28" s="171">
        <f>'4 - Clé SALAIRES'!CE28+'4 - Clé multilignes1'!CE28+'4 - Clé multilignes2'!CE28+'4 - Clé multilignes3'!CE28+'4 - Clé multilignes4'!CE28+'4 - Clé multilignes5'!CE28+'4 - Clé multilignes6'!CE28+'4 - Clé multilignes7'!CE28</f>
        <v>0</v>
      </c>
      <c r="D28" s="171">
        <f>'4 - Clé SALAIRES'!CF28+'4 - Clé multilignes1'!CF28+'4 - Clé multilignes2'!CF28+'4 - Clé multilignes3'!CF28+'4 - Clé multilignes4'!CF28+'4 - Clé multilignes5'!CF28+'4 - Clé multilignes6'!CF28+'4 - Clé multilignes7'!CF28</f>
        <v>0</v>
      </c>
      <c r="E28" s="171">
        <f>'4 - Clé SALAIRES'!CG28+'4 - Clé multilignes1'!CG28+'4 - Clé multilignes2'!CG28+'4 - Clé multilignes3'!CG28+'4 - Clé multilignes4'!CG28+'4 - Clé multilignes5'!CG28+'4 - Clé multilignes6'!CG28+'4 - Clé multilignes7'!CG28</f>
        <v>0</v>
      </c>
      <c r="F28" s="171">
        <f>'4 - Clé SALAIRES'!CH28+'4 - Clé multilignes1'!CH28+'4 - Clé multilignes2'!CH28+'4 - Clé multilignes3'!CH28+'4 - Clé multilignes4'!CH28+'4 - Clé multilignes5'!CH28+'4 - Clé multilignes6'!CH28+'4 - Clé multilignes7'!CH28</f>
        <v>0</v>
      </c>
      <c r="G28" s="171">
        <f>'4 - Clé SALAIRES'!CI28+'4 - Clé multilignes1'!CI28+'4 - Clé multilignes2'!CI28+'4 - Clé multilignes3'!CI28+'4 - Clé multilignes4'!CI28+'4 - Clé multilignes5'!CI28+'4 - Clé multilignes6'!CI28+'4 - Clé multilignes7'!CI28</f>
        <v>0</v>
      </c>
      <c r="H28" s="171">
        <f>'4 - Clé SALAIRES'!CJ28+'4 - Clé multilignes1'!CJ28+'4 - Clé multilignes2'!CJ28+'4 - Clé multilignes3'!CJ28+'4 - Clé multilignes4'!CJ28+'4 - Clé multilignes5'!CJ28+'4 - Clé multilignes6'!CJ28+'4 - Clé multilignes7'!CJ28</f>
        <v>0</v>
      </c>
      <c r="I28" s="171">
        <f>'4 - Clé SALAIRES'!CK28+'4 - Clé multilignes1'!CK28+'4 - Clé multilignes2'!CK28+'4 - Clé multilignes3'!CK28+'4 - Clé multilignes4'!CK28+'4 - Clé multilignes5'!CK28+'4 - Clé multilignes6'!CK28+'4 - Clé multilignes7'!CK28</f>
        <v>0</v>
      </c>
      <c r="J28" s="171">
        <f>'4 - Clé SALAIRES'!CL28+'4 - Clé multilignes1'!CL28+'4 - Clé multilignes2'!CL28+'4 - Clé multilignes3'!CL28+'4 - Clé multilignes4'!CL28+'4 - Clé multilignes5'!CL28+'4 - Clé multilignes6'!CL28+'4 - Clé multilignes7'!CL28</f>
        <v>0</v>
      </c>
      <c r="K28" s="171">
        <f>'4 - Clé SALAIRES'!CM28+'4 - Clé multilignes1'!CM28+'4 - Clé multilignes2'!CM28+'4 - Clé multilignes3'!CM28+'4 - Clé multilignes4'!CM28+'4 - Clé multilignes5'!CM28+'4 - Clé multilignes6'!CM28+'4 - Clé multilignes7'!CM28</f>
        <v>0</v>
      </c>
      <c r="L28" s="171">
        <f>'4 - Clé SALAIRES'!CN28+'4 - Clé multilignes1'!CN28+'4 - Clé multilignes2'!CN28+'4 - Clé multilignes3'!CN28+'4 - Clé multilignes4'!CN28+'4 - Clé multilignes5'!CN28+'4 - Clé multilignes6'!CN28+'4 - Clé multilignes7'!CN28</f>
        <v>0</v>
      </c>
      <c r="M28" s="171">
        <f>'4 - Clé SALAIRES'!CO28+'4 - Clé multilignes1'!CO28+'4 - Clé multilignes2'!CO28+'4 - Clé multilignes3'!CO28+'4 - Clé multilignes4'!CO28+'4 - Clé multilignes5'!CO28+'4 - Clé multilignes6'!CO28+'4 - Clé multilignes7'!CO28</f>
        <v>0</v>
      </c>
      <c r="N28" s="171">
        <f>'4 - Clé SALAIRES'!CP28+'4 - Clé multilignes1'!CP28+'4 - Clé multilignes2'!CP28+'4 - Clé multilignes3'!CP28+'4 - Clé multilignes4'!CP28+'4 - Clé multilignes5'!CP28+'4 - Clé multilignes6'!CP28+'4 - Clé multilignes7'!CP28</f>
        <v>0</v>
      </c>
      <c r="O28" s="171">
        <f>'4 - Clé SALAIRES'!CQ28+'4 - Clé multilignes1'!CQ28+'4 - Clé multilignes2'!CQ28+'4 - Clé multilignes3'!CQ28+'4 - Clé multilignes4'!CQ28+'4 - Clé multilignes5'!CQ28+'4 - Clé multilignes6'!CQ28+'4 - Clé multilignes7'!CQ28</f>
        <v>0</v>
      </c>
      <c r="P28" s="171">
        <f>'4 - Clé SALAIRES'!CR28+'4 - Clé multilignes1'!CR28+'4 - Clé multilignes2'!CR28+'4 - Clé multilignes3'!CR28+'4 - Clé multilignes4'!CR28+'4 - Clé multilignes5'!CR28+'4 - Clé multilignes6'!CR28+'4 - Clé multilignes7'!CR28</f>
        <v>0</v>
      </c>
      <c r="Q28" s="171">
        <f>'4 - Clé SALAIRES'!CS28+'4 - Clé multilignes1'!CS28+'4 - Clé multilignes2'!CS28+'4 - Clé multilignes3'!CS28+'4 - Clé multilignes4'!CS28+'4 - Clé multilignes5'!CS28+'4 - Clé multilignes6'!CS28+'4 - Clé multilignes7'!CS28</f>
        <v>0</v>
      </c>
      <c r="R28" s="171">
        <f>'4 - Clé SALAIRES'!CT28+'4 - Clé multilignes1'!CT28+'4 - Clé multilignes2'!CT28+'4 - Clé multilignes3'!CT28+'4 - Clé multilignes4'!CT28+'4 - Clé multilignes5'!CT28+'4 - Clé multilignes6'!CT28+'4 - Clé multilignes7'!CT28</f>
        <v>0</v>
      </c>
      <c r="S28" s="171">
        <f>'4 - Clé SALAIRES'!CU28+'4 - Clé multilignes1'!CU28+'4 - Clé multilignes2'!CU28+'4 - Clé multilignes3'!CU28+'4 - Clé multilignes4'!CU28+'4 - Clé multilignes5'!CU28+'4 - Clé multilignes6'!CU28+'4 - Clé multilignes7'!CU28</f>
        <v>0</v>
      </c>
      <c r="T28" s="171">
        <f>'4 - Clé SALAIRES'!CV28+'4 - Clé multilignes1'!CV28+'4 - Clé multilignes2'!CV28+'4 - Clé multilignes3'!CV28+'4 - Clé multilignes4'!CV28+'4 - Clé multilignes5'!CV28+'4 - Clé multilignes6'!CV28+'4 - Clé multilignes7'!CV28</f>
        <v>0</v>
      </c>
      <c r="U28" s="171">
        <f>'4 - Clé SALAIRES'!CW28+'4 - Clé multilignes1'!CW28+'4 - Clé multilignes2'!CW28+'4 - Clé multilignes3'!CW28+'4 - Clé multilignes4'!CW28+'4 - Clé multilignes5'!CW28+'4 - Clé multilignes6'!CW28+'4 - Clé multilignes7'!CW28</f>
        <v>0</v>
      </c>
      <c r="V28" s="171">
        <f>'4 - Clé SALAIRES'!CX28+'4 - Clé multilignes1'!CX28+'4 - Clé multilignes2'!CX28+'4 - Clé multilignes3'!CX28+'4 - Clé multilignes4'!CX28+'4 - Clé multilignes5'!CX28+'4 - Clé multilignes6'!CX28+'4 - Clé multilignes7'!CX28</f>
        <v>0</v>
      </c>
      <c r="W28" s="171">
        <f>'4 - Clé SALAIRES'!CY28+'4 - Clé multilignes1'!CY28+'4 - Clé multilignes2'!CY28+'4 - Clé multilignes3'!CY28+'4 - Clé multilignes4'!CY28+'4 - Clé multilignes5'!CY28+'4 - Clé multilignes6'!CY28+'4 - Clé multilignes7'!CY28</f>
        <v>0</v>
      </c>
      <c r="X28" s="171">
        <f>'4 - Clé SALAIRES'!CZ28+'4 - Clé multilignes1'!CZ28+'4 - Clé multilignes2'!CZ28+'4 - Clé multilignes3'!CZ28+'4 - Clé multilignes4'!CZ28+'4 - Clé multilignes5'!CZ28+'4 - Clé multilignes6'!CZ28+'4 - Clé multilignes7'!CZ28</f>
        <v>0</v>
      </c>
      <c r="Y28" s="171">
        <f>'4 - Clé SALAIRES'!DA28+'4 - Clé multilignes1'!DA28+'4 - Clé multilignes2'!DA28+'4 - Clé multilignes3'!DA28+'4 - Clé multilignes4'!DA28+'4 - Clé multilignes5'!DA28+'4 - Clé multilignes6'!DA28+'4 - Clé multilignes7'!DA28</f>
        <v>0</v>
      </c>
      <c r="Z28" s="171">
        <f>'4 - Clé SALAIRES'!DB28+'4 - Clé multilignes1'!DB28+'4 - Clé multilignes2'!DB28+'4 - Clé multilignes3'!DB28+'4 - Clé multilignes4'!DB28+'4 - Clé multilignes5'!DB28+'4 - Clé multilignes6'!DB28+'4 - Clé multilignes7'!DB28</f>
        <v>0</v>
      </c>
      <c r="AB28" s="172"/>
      <c r="AC28" s="172"/>
      <c r="AD28" s="172"/>
      <c r="AE28" s="172"/>
    </row>
    <row r="29" spans="1:32" s="173" customFormat="1" ht="12.75" customHeight="1" x14ac:dyDescent="0.25">
      <c r="A29" s="165" t="str">
        <f>Matrice[[#This Row],[Ligne de la matrice]]</f>
        <v>Autres produits</v>
      </c>
      <c r="B29" s="171">
        <f>'4 - Clé SALAIRES'!CD29+'4 - Clé multilignes1'!CD29+'4 - Clé multilignes2'!CD29+'4 - Clé multilignes3'!CD29+'4 - Clé multilignes4'!CD29+'4 - Clé multilignes5'!CD29+'4 - Clé multilignes6'!CD29+'4 - Clé multilignes7'!CD29</f>
        <v>0</v>
      </c>
      <c r="C29" s="171">
        <f>'4 - Clé SALAIRES'!CE29+'4 - Clé multilignes1'!CE29+'4 - Clé multilignes2'!CE29+'4 - Clé multilignes3'!CE29+'4 - Clé multilignes4'!CE29+'4 - Clé multilignes5'!CE29+'4 - Clé multilignes6'!CE29+'4 - Clé multilignes7'!CE29</f>
        <v>0</v>
      </c>
      <c r="D29" s="171">
        <f>'4 - Clé SALAIRES'!CF29+'4 - Clé multilignes1'!CF29+'4 - Clé multilignes2'!CF29+'4 - Clé multilignes3'!CF29+'4 - Clé multilignes4'!CF29+'4 - Clé multilignes5'!CF29+'4 - Clé multilignes6'!CF29+'4 - Clé multilignes7'!CF29</f>
        <v>0</v>
      </c>
      <c r="E29" s="171">
        <f>'4 - Clé SALAIRES'!CG29+'4 - Clé multilignes1'!CG29+'4 - Clé multilignes2'!CG29+'4 - Clé multilignes3'!CG29+'4 - Clé multilignes4'!CG29+'4 - Clé multilignes5'!CG29+'4 - Clé multilignes6'!CG29+'4 - Clé multilignes7'!CG29</f>
        <v>0</v>
      </c>
      <c r="F29" s="171">
        <f>'4 - Clé SALAIRES'!CH29+'4 - Clé multilignes1'!CH29+'4 - Clé multilignes2'!CH29+'4 - Clé multilignes3'!CH29+'4 - Clé multilignes4'!CH29+'4 - Clé multilignes5'!CH29+'4 - Clé multilignes6'!CH29+'4 - Clé multilignes7'!CH29</f>
        <v>0</v>
      </c>
      <c r="G29" s="171">
        <f>'4 - Clé SALAIRES'!CI29+'4 - Clé multilignes1'!CI29+'4 - Clé multilignes2'!CI29+'4 - Clé multilignes3'!CI29+'4 - Clé multilignes4'!CI29+'4 - Clé multilignes5'!CI29+'4 - Clé multilignes6'!CI29+'4 - Clé multilignes7'!CI29</f>
        <v>0</v>
      </c>
      <c r="H29" s="171">
        <f>'4 - Clé SALAIRES'!CJ29+'4 - Clé multilignes1'!CJ29+'4 - Clé multilignes2'!CJ29+'4 - Clé multilignes3'!CJ29+'4 - Clé multilignes4'!CJ29+'4 - Clé multilignes5'!CJ29+'4 - Clé multilignes6'!CJ29+'4 - Clé multilignes7'!CJ29</f>
        <v>0</v>
      </c>
      <c r="I29" s="171">
        <f>'4 - Clé SALAIRES'!CK29+'4 - Clé multilignes1'!CK29+'4 - Clé multilignes2'!CK29+'4 - Clé multilignes3'!CK29+'4 - Clé multilignes4'!CK29+'4 - Clé multilignes5'!CK29+'4 - Clé multilignes6'!CK29+'4 - Clé multilignes7'!CK29</f>
        <v>0</v>
      </c>
      <c r="J29" s="171">
        <f>'4 - Clé SALAIRES'!CL29+'4 - Clé multilignes1'!CL29+'4 - Clé multilignes2'!CL29+'4 - Clé multilignes3'!CL29+'4 - Clé multilignes4'!CL29+'4 - Clé multilignes5'!CL29+'4 - Clé multilignes6'!CL29+'4 - Clé multilignes7'!CL29</f>
        <v>0</v>
      </c>
      <c r="K29" s="171">
        <f>'4 - Clé SALAIRES'!CM29+'4 - Clé multilignes1'!CM29+'4 - Clé multilignes2'!CM29+'4 - Clé multilignes3'!CM29+'4 - Clé multilignes4'!CM29+'4 - Clé multilignes5'!CM29+'4 - Clé multilignes6'!CM29+'4 - Clé multilignes7'!CM29</f>
        <v>0</v>
      </c>
      <c r="L29" s="171">
        <f>'4 - Clé SALAIRES'!CN29+'4 - Clé multilignes1'!CN29+'4 - Clé multilignes2'!CN29+'4 - Clé multilignes3'!CN29+'4 - Clé multilignes4'!CN29+'4 - Clé multilignes5'!CN29+'4 - Clé multilignes6'!CN29+'4 - Clé multilignes7'!CN29</f>
        <v>0</v>
      </c>
      <c r="M29" s="171">
        <f>'4 - Clé SALAIRES'!CO29+'4 - Clé multilignes1'!CO29+'4 - Clé multilignes2'!CO29+'4 - Clé multilignes3'!CO29+'4 - Clé multilignes4'!CO29+'4 - Clé multilignes5'!CO29+'4 - Clé multilignes6'!CO29+'4 - Clé multilignes7'!CO29</f>
        <v>0</v>
      </c>
      <c r="N29" s="171">
        <f>'4 - Clé SALAIRES'!CP29+'4 - Clé multilignes1'!CP29+'4 - Clé multilignes2'!CP29+'4 - Clé multilignes3'!CP29+'4 - Clé multilignes4'!CP29+'4 - Clé multilignes5'!CP29+'4 - Clé multilignes6'!CP29+'4 - Clé multilignes7'!CP29</f>
        <v>0</v>
      </c>
      <c r="O29" s="171">
        <f>'4 - Clé SALAIRES'!CQ29+'4 - Clé multilignes1'!CQ29+'4 - Clé multilignes2'!CQ29+'4 - Clé multilignes3'!CQ29+'4 - Clé multilignes4'!CQ29+'4 - Clé multilignes5'!CQ29+'4 - Clé multilignes6'!CQ29+'4 - Clé multilignes7'!CQ29</f>
        <v>0</v>
      </c>
      <c r="P29" s="171">
        <f>'4 - Clé SALAIRES'!CR29+'4 - Clé multilignes1'!CR29+'4 - Clé multilignes2'!CR29+'4 - Clé multilignes3'!CR29+'4 - Clé multilignes4'!CR29+'4 - Clé multilignes5'!CR29+'4 - Clé multilignes6'!CR29+'4 - Clé multilignes7'!CR29</f>
        <v>0</v>
      </c>
      <c r="Q29" s="171">
        <f>'4 - Clé SALAIRES'!CS29+'4 - Clé multilignes1'!CS29+'4 - Clé multilignes2'!CS29+'4 - Clé multilignes3'!CS29+'4 - Clé multilignes4'!CS29+'4 - Clé multilignes5'!CS29+'4 - Clé multilignes6'!CS29+'4 - Clé multilignes7'!CS29</f>
        <v>0</v>
      </c>
      <c r="R29" s="171">
        <f>'4 - Clé SALAIRES'!CT29+'4 - Clé multilignes1'!CT29+'4 - Clé multilignes2'!CT29+'4 - Clé multilignes3'!CT29+'4 - Clé multilignes4'!CT29+'4 - Clé multilignes5'!CT29+'4 - Clé multilignes6'!CT29+'4 - Clé multilignes7'!CT29</f>
        <v>0</v>
      </c>
      <c r="S29" s="171">
        <f>'4 - Clé SALAIRES'!CU29+'4 - Clé multilignes1'!CU29+'4 - Clé multilignes2'!CU29+'4 - Clé multilignes3'!CU29+'4 - Clé multilignes4'!CU29+'4 - Clé multilignes5'!CU29+'4 - Clé multilignes6'!CU29+'4 - Clé multilignes7'!CU29</f>
        <v>0</v>
      </c>
      <c r="T29" s="171">
        <f>'4 - Clé SALAIRES'!CV29+'4 - Clé multilignes1'!CV29+'4 - Clé multilignes2'!CV29+'4 - Clé multilignes3'!CV29+'4 - Clé multilignes4'!CV29+'4 - Clé multilignes5'!CV29+'4 - Clé multilignes6'!CV29+'4 - Clé multilignes7'!CV29</f>
        <v>0</v>
      </c>
      <c r="U29" s="171">
        <f>'4 - Clé SALAIRES'!CW29+'4 - Clé multilignes1'!CW29+'4 - Clé multilignes2'!CW29+'4 - Clé multilignes3'!CW29+'4 - Clé multilignes4'!CW29+'4 - Clé multilignes5'!CW29+'4 - Clé multilignes6'!CW29+'4 - Clé multilignes7'!CW29</f>
        <v>0</v>
      </c>
      <c r="V29" s="171">
        <f>'4 - Clé SALAIRES'!CX29+'4 - Clé multilignes1'!CX29+'4 - Clé multilignes2'!CX29+'4 - Clé multilignes3'!CX29+'4 - Clé multilignes4'!CX29+'4 - Clé multilignes5'!CX29+'4 - Clé multilignes6'!CX29+'4 - Clé multilignes7'!CX29</f>
        <v>0</v>
      </c>
      <c r="W29" s="171">
        <f>'4 - Clé SALAIRES'!CY29+'4 - Clé multilignes1'!CY29+'4 - Clé multilignes2'!CY29+'4 - Clé multilignes3'!CY29+'4 - Clé multilignes4'!CY29+'4 - Clé multilignes5'!CY29+'4 - Clé multilignes6'!CY29+'4 - Clé multilignes7'!CY29</f>
        <v>0</v>
      </c>
      <c r="X29" s="171">
        <f>'4 - Clé SALAIRES'!CZ29+'4 - Clé multilignes1'!CZ29+'4 - Clé multilignes2'!CZ29+'4 - Clé multilignes3'!CZ29+'4 - Clé multilignes4'!CZ29+'4 - Clé multilignes5'!CZ29+'4 - Clé multilignes6'!CZ29+'4 - Clé multilignes7'!CZ29</f>
        <v>0</v>
      </c>
      <c r="Y29" s="171">
        <f>'4 - Clé SALAIRES'!DA29+'4 - Clé multilignes1'!DA29+'4 - Clé multilignes2'!DA29+'4 - Clé multilignes3'!DA29+'4 - Clé multilignes4'!DA29+'4 - Clé multilignes5'!DA29+'4 - Clé multilignes6'!DA29+'4 - Clé multilignes7'!DA29</f>
        <v>0</v>
      </c>
      <c r="Z29" s="171">
        <f>'4 - Clé SALAIRES'!DB29+'4 - Clé multilignes1'!DB29+'4 - Clé multilignes2'!DB29+'4 - Clé multilignes3'!DB29+'4 - Clé multilignes4'!DB29+'4 - Clé multilignes5'!DB29+'4 - Clé multilignes6'!DB29+'4 - Clé multilignes7'!DB29</f>
        <v>0</v>
      </c>
      <c r="AB29" s="172"/>
      <c r="AC29" s="172"/>
      <c r="AD29" s="172"/>
      <c r="AE29" s="172"/>
    </row>
    <row r="30" spans="1:32" s="173" customFormat="1" ht="12.75" customHeight="1" x14ac:dyDescent="0.25">
      <c r="A30" s="165" t="str">
        <f>Matrice[[#This Row],[Ligne de la matrice]]</f>
        <v>Tous soutiens des sociétés agréées</v>
      </c>
      <c r="B30" s="171">
        <f>'4 - Clé SALAIRES'!CD30+'4 - Clé multilignes1'!CD30+'4 - Clé multilignes2'!CD30+'4 - Clé multilignes3'!CD30+'4 - Clé multilignes4'!CD30+'4 - Clé multilignes5'!CD30+'4 - Clé multilignes6'!CD30+'4 - Clé multilignes7'!CD30</f>
        <v>0</v>
      </c>
      <c r="C30" s="171">
        <f>'4 - Clé SALAIRES'!CE30+'4 - Clé multilignes1'!CE30+'4 - Clé multilignes2'!CE30+'4 - Clé multilignes3'!CE30+'4 - Clé multilignes4'!CE30+'4 - Clé multilignes5'!CE30+'4 - Clé multilignes6'!CE30+'4 - Clé multilignes7'!CE30</f>
        <v>0</v>
      </c>
      <c r="D30" s="171">
        <f>'4 - Clé SALAIRES'!CF30+'4 - Clé multilignes1'!CF30+'4 - Clé multilignes2'!CF30+'4 - Clé multilignes3'!CF30+'4 - Clé multilignes4'!CF30+'4 - Clé multilignes5'!CF30+'4 - Clé multilignes6'!CF30+'4 - Clé multilignes7'!CF30</f>
        <v>0</v>
      </c>
      <c r="E30" s="171">
        <f>'4 - Clé SALAIRES'!CG30+'4 - Clé multilignes1'!CG30+'4 - Clé multilignes2'!CG30+'4 - Clé multilignes3'!CG30+'4 - Clé multilignes4'!CG30+'4 - Clé multilignes5'!CG30+'4 - Clé multilignes6'!CG30+'4 - Clé multilignes7'!CG30</f>
        <v>0</v>
      </c>
      <c r="F30" s="171">
        <f>'4 - Clé SALAIRES'!CH30+'4 - Clé multilignes1'!CH30+'4 - Clé multilignes2'!CH30+'4 - Clé multilignes3'!CH30+'4 - Clé multilignes4'!CH30+'4 - Clé multilignes5'!CH30+'4 - Clé multilignes6'!CH30+'4 - Clé multilignes7'!CH30</f>
        <v>0</v>
      </c>
      <c r="G30" s="171">
        <f>'4 - Clé SALAIRES'!CI30+'4 - Clé multilignes1'!CI30+'4 - Clé multilignes2'!CI30+'4 - Clé multilignes3'!CI30+'4 - Clé multilignes4'!CI30+'4 - Clé multilignes5'!CI30+'4 - Clé multilignes6'!CI30+'4 - Clé multilignes7'!CI30</f>
        <v>0</v>
      </c>
      <c r="H30" s="171">
        <f>'4 - Clé SALAIRES'!CJ30+'4 - Clé multilignes1'!CJ30+'4 - Clé multilignes2'!CJ30+'4 - Clé multilignes3'!CJ30+'4 - Clé multilignes4'!CJ30+'4 - Clé multilignes5'!CJ30+'4 - Clé multilignes6'!CJ30+'4 - Clé multilignes7'!CJ30</f>
        <v>0</v>
      </c>
      <c r="I30" s="171">
        <f>'4 - Clé SALAIRES'!CK30+'4 - Clé multilignes1'!CK30+'4 - Clé multilignes2'!CK30+'4 - Clé multilignes3'!CK30+'4 - Clé multilignes4'!CK30+'4 - Clé multilignes5'!CK30+'4 - Clé multilignes6'!CK30+'4 - Clé multilignes7'!CK30</f>
        <v>0</v>
      </c>
      <c r="J30" s="171">
        <f>'4 - Clé SALAIRES'!CL30+'4 - Clé multilignes1'!CL30+'4 - Clé multilignes2'!CL30+'4 - Clé multilignes3'!CL30+'4 - Clé multilignes4'!CL30+'4 - Clé multilignes5'!CL30+'4 - Clé multilignes6'!CL30+'4 - Clé multilignes7'!CL30</f>
        <v>0</v>
      </c>
      <c r="K30" s="171">
        <f>'4 - Clé SALAIRES'!CM30+'4 - Clé multilignes1'!CM30+'4 - Clé multilignes2'!CM30+'4 - Clé multilignes3'!CM30+'4 - Clé multilignes4'!CM30+'4 - Clé multilignes5'!CM30+'4 - Clé multilignes6'!CM30+'4 - Clé multilignes7'!CM30</f>
        <v>0</v>
      </c>
      <c r="L30" s="171">
        <f>'4 - Clé SALAIRES'!CN30+'4 - Clé multilignes1'!CN30+'4 - Clé multilignes2'!CN30+'4 - Clé multilignes3'!CN30+'4 - Clé multilignes4'!CN30+'4 - Clé multilignes5'!CN30+'4 - Clé multilignes6'!CN30+'4 - Clé multilignes7'!CN30</f>
        <v>0</v>
      </c>
      <c r="M30" s="171">
        <f>'4 - Clé SALAIRES'!CO30+'4 - Clé multilignes1'!CO30+'4 - Clé multilignes2'!CO30+'4 - Clé multilignes3'!CO30+'4 - Clé multilignes4'!CO30+'4 - Clé multilignes5'!CO30+'4 - Clé multilignes6'!CO30+'4 - Clé multilignes7'!CO30</f>
        <v>0</v>
      </c>
      <c r="N30" s="171">
        <f>'4 - Clé SALAIRES'!CP30+'4 - Clé multilignes1'!CP30+'4 - Clé multilignes2'!CP30+'4 - Clé multilignes3'!CP30+'4 - Clé multilignes4'!CP30+'4 - Clé multilignes5'!CP30+'4 - Clé multilignes6'!CP30+'4 - Clé multilignes7'!CP30</f>
        <v>0</v>
      </c>
      <c r="O30" s="171">
        <f>'4 - Clé SALAIRES'!CQ30+'4 - Clé multilignes1'!CQ30+'4 - Clé multilignes2'!CQ30+'4 - Clé multilignes3'!CQ30+'4 - Clé multilignes4'!CQ30+'4 - Clé multilignes5'!CQ30+'4 - Clé multilignes6'!CQ30+'4 - Clé multilignes7'!CQ30</f>
        <v>0</v>
      </c>
      <c r="P30" s="171">
        <f>'4 - Clé SALAIRES'!CR30+'4 - Clé multilignes1'!CR30+'4 - Clé multilignes2'!CR30+'4 - Clé multilignes3'!CR30+'4 - Clé multilignes4'!CR30+'4 - Clé multilignes5'!CR30+'4 - Clé multilignes6'!CR30+'4 - Clé multilignes7'!CR30</f>
        <v>0</v>
      </c>
      <c r="Q30" s="171">
        <f>'4 - Clé SALAIRES'!CS30+'4 - Clé multilignes1'!CS30+'4 - Clé multilignes2'!CS30+'4 - Clé multilignes3'!CS30+'4 - Clé multilignes4'!CS30+'4 - Clé multilignes5'!CS30+'4 - Clé multilignes6'!CS30+'4 - Clé multilignes7'!CS30</f>
        <v>0</v>
      </c>
      <c r="R30" s="171">
        <f>'4 - Clé SALAIRES'!CT30+'4 - Clé multilignes1'!CT30+'4 - Clé multilignes2'!CT30+'4 - Clé multilignes3'!CT30+'4 - Clé multilignes4'!CT30+'4 - Clé multilignes5'!CT30+'4 - Clé multilignes6'!CT30+'4 - Clé multilignes7'!CT30</f>
        <v>0</v>
      </c>
      <c r="S30" s="171">
        <f>'4 - Clé SALAIRES'!CU30+'4 - Clé multilignes1'!CU30+'4 - Clé multilignes2'!CU30+'4 - Clé multilignes3'!CU30+'4 - Clé multilignes4'!CU30+'4 - Clé multilignes5'!CU30+'4 - Clé multilignes6'!CU30+'4 - Clé multilignes7'!CU30</f>
        <v>0</v>
      </c>
      <c r="T30" s="171">
        <f>'4 - Clé SALAIRES'!CV30+'4 - Clé multilignes1'!CV30+'4 - Clé multilignes2'!CV30+'4 - Clé multilignes3'!CV30+'4 - Clé multilignes4'!CV30+'4 - Clé multilignes5'!CV30+'4 - Clé multilignes6'!CV30+'4 - Clé multilignes7'!CV30</f>
        <v>0</v>
      </c>
      <c r="U30" s="171">
        <f>'4 - Clé SALAIRES'!CW30+'4 - Clé multilignes1'!CW30+'4 - Clé multilignes2'!CW30+'4 - Clé multilignes3'!CW30+'4 - Clé multilignes4'!CW30+'4 - Clé multilignes5'!CW30+'4 - Clé multilignes6'!CW30+'4 - Clé multilignes7'!CW30</f>
        <v>0</v>
      </c>
      <c r="V30" s="171">
        <f>'4 - Clé SALAIRES'!CX30+'4 - Clé multilignes1'!CX30+'4 - Clé multilignes2'!CX30+'4 - Clé multilignes3'!CX30+'4 - Clé multilignes4'!CX30+'4 - Clé multilignes5'!CX30+'4 - Clé multilignes6'!CX30+'4 - Clé multilignes7'!CX30</f>
        <v>0</v>
      </c>
      <c r="W30" s="171">
        <f>'4 - Clé SALAIRES'!CY30+'4 - Clé multilignes1'!CY30+'4 - Clé multilignes2'!CY30+'4 - Clé multilignes3'!CY30+'4 - Clé multilignes4'!CY30+'4 - Clé multilignes5'!CY30+'4 - Clé multilignes6'!CY30+'4 - Clé multilignes7'!CY30</f>
        <v>0</v>
      </c>
      <c r="X30" s="171">
        <f>'4 - Clé SALAIRES'!CZ30+'4 - Clé multilignes1'!CZ30+'4 - Clé multilignes2'!CZ30+'4 - Clé multilignes3'!CZ30+'4 - Clé multilignes4'!CZ30+'4 - Clé multilignes5'!CZ30+'4 - Clé multilignes6'!CZ30+'4 - Clé multilignes7'!CZ30</f>
        <v>0</v>
      </c>
      <c r="Y30" s="171">
        <f>'4 - Clé SALAIRES'!DA30+'4 - Clé multilignes1'!DA30+'4 - Clé multilignes2'!DA30+'4 - Clé multilignes3'!DA30+'4 - Clé multilignes4'!DA30+'4 - Clé multilignes5'!DA30+'4 - Clé multilignes6'!DA30+'4 - Clé multilignes7'!DA30</f>
        <v>0</v>
      </c>
      <c r="Z30" s="171">
        <f>'4 - Clé SALAIRES'!DB30+'4 - Clé multilignes1'!DB30+'4 - Clé multilignes2'!DB30+'4 - Clé multilignes3'!DB30+'4 - Clé multilignes4'!DB30+'4 - Clé multilignes5'!DB30+'4 - Clé multilignes6'!DB30+'4 - Clé multilignes7'!DB30</f>
        <v>0</v>
      </c>
      <c r="AB30" s="172"/>
      <c r="AC30" s="172"/>
      <c r="AD30" s="172"/>
      <c r="AE30" s="172"/>
    </row>
    <row r="31" spans="1:32" s="173" customFormat="1" ht="12.75" customHeight="1" x14ac:dyDescent="0.25">
      <c r="A31" s="165" t="str">
        <f>Matrice[[#This Row],[Ligne de la matrice]]</f>
        <v>Reprises des subventions d'investissement</v>
      </c>
      <c r="B31" s="171">
        <f>'4 - Clé SALAIRES'!CD31+'4 - Clé multilignes1'!CD31+'4 - Clé multilignes2'!CD31+'4 - Clé multilignes3'!CD31+'4 - Clé multilignes4'!CD31+'4 - Clé multilignes5'!CD31+'4 - Clé multilignes6'!CD31+'4 - Clé multilignes7'!CD31</f>
        <v>0</v>
      </c>
      <c r="C31" s="171">
        <f>'4 - Clé SALAIRES'!CE31+'4 - Clé multilignes1'!CE31+'4 - Clé multilignes2'!CE31+'4 - Clé multilignes3'!CE31+'4 - Clé multilignes4'!CE31+'4 - Clé multilignes5'!CE31+'4 - Clé multilignes6'!CE31+'4 - Clé multilignes7'!CE31</f>
        <v>0</v>
      </c>
      <c r="D31" s="171">
        <f>'4 - Clé SALAIRES'!CF31+'4 - Clé multilignes1'!CF31+'4 - Clé multilignes2'!CF31+'4 - Clé multilignes3'!CF31+'4 - Clé multilignes4'!CF31+'4 - Clé multilignes5'!CF31+'4 - Clé multilignes6'!CF31+'4 - Clé multilignes7'!CF31</f>
        <v>0</v>
      </c>
      <c r="E31" s="171">
        <f>'4 - Clé SALAIRES'!CG31+'4 - Clé multilignes1'!CG31+'4 - Clé multilignes2'!CG31+'4 - Clé multilignes3'!CG31+'4 - Clé multilignes4'!CG31+'4 - Clé multilignes5'!CG31+'4 - Clé multilignes6'!CG31+'4 - Clé multilignes7'!CG31</f>
        <v>0</v>
      </c>
      <c r="F31" s="171">
        <f>'4 - Clé SALAIRES'!CH31+'4 - Clé multilignes1'!CH31+'4 - Clé multilignes2'!CH31+'4 - Clé multilignes3'!CH31+'4 - Clé multilignes4'!CH31+'4 - Clé multilignes5'!CH31+'4 - Clé multilignes6'!CH31+'4 - Clé multilignes7'!CH31</f>
        <v>0</v>
      </c>
      <c r="G31" s="171">
        <f>'4 - Clé SALAIRES'!CI31+'4 - Clé multilignes1'!CI31+'4 - Clé multilignes2'!CI31+'4 - Clé multilignes3'!CI31+'4 - Clé multilignes4'!CI31+'4 - Clé multilignes5'!CI31+'4 - Clé multilignes6'!CI31+'4 - Clé multilignes7'!CI31</f>
        <v>0</v>
      </c>
      <c r="H31" s="171">
        <f>'4 - Clé SALAIRES'!CJ31+'4 - Clé multilignes1'!CJ31+'4 - Clé multilignes2'!CJ31+'4 - Clé multilignes3'!CJ31+'4 - Clé multilignes4'!CJ31+'4 - Clé multilignes5'!CJ31+'4 - Clé multilignes6'!CJ31+'4 - Clé multilignes7'!CJ31</f>
        <v>0</v>
      </c>
      <c r="I31" s="171">
        <f>'4 - Clé SALAIRES'!CK31+'4 - Clé multilignes1'!CK31+'4 - Clé multilignes2'!CK31+'4 - Clé multilignes3'!CK31+'4 - Clé multilignes4'!CK31+'4 - Clé multilignes5'!CK31+'4 - Clé multilignes6'!CK31+'4 - Clé multilignes7'!CK31</f>
        <v>0</v>
      </c>
      <c r="J31" s="171">
        <f>'4 - Clé SALAIRES'!CL31+'4 - Clé multilignes1'!CL31+'4 - Clé multilignes2'!CL31+'4 - Clé multilignes3'!CL31+'4 - Clé multilignes4'!CL31+'4 - Clé multilignes5'!CL31+'4 - Clé multilignes6'!CL31+'4 - Clé multilignes7'!CL31</f>
        <v>0</v>
      </c>
      <c r="K31" s="171">
        <f>'4 - Clé SALAIRES'!CM31+'4 - Clé multilignes1'!CM31+'4 - Clé multilignes2'!CM31+'4 - Clé multilignes3'!CM31+'4 - Clé multilignes4'!CM31+'4 - Clé multilignes5'!CM31+'4 - Clé multilignes6'!CM31+'4 - Clé multilignes7'!CM31</f>
        <v>0</v>
      </c>
      <c r="L31" s="171">
        <f>'4 - Clé SALAIRES'!CN31+'4 - Clé multilignes1'!CN31+'4 - Clé multilignes2'!CN31+'4 - Clé multilignes3'!CN31+'4 - Clé multilignes4'!CN31+'4 - Clé multilignes5'!CN31+'4 - Clé multilignes6'!CN31+'4 - Clé multilignes7'!CN31</f>
        <v>0</v>
      </c>
      <c r="M31" s="171">
        <f>'4 - Clé SALAIRES'!CO31+'4 - Clé multilignes1'!CO31+'4 - Clé multilignes2'!CO31+'4 - Clé multilignes3'!CO31+'4 - Clé multilignes4'!CO31+'4 - Clé multilignes5'!CO31+'4 - Clé multilignes6'!CO31+'4 - Clé multilignes7'!CO31</f>
        <v>0</v>
      </c>
      <c r="N31" s="171">
        <f>'4 - Clé SALAIRES'!CP31+'4 - Clé multilignes1'!CP31+'4 - Clé multilignes2'!CP31+'4 - Clé multilignes3'!CP31+'4 - Clé multilignes4'!CP31+'4 - Clé multilignes5'!CP31+'4 - Clé multilignes6'!CP31+'4 - Clé multilignes7'!CP31</f>
        <v>0</v>
      </c>
      <c r="O31" s="171">
        <f>'4 - Clé SALAIRES'!CQ31+'4 - Clé multilignes1'!CQ31+'4 - Clé multilignes2'!CQ31+'4 - Clé multilignes3'!CQ31+'4 - Clé multilignes4'!CQ31+'4 - Clé multilignes5'!CQ31+'4 - Clé multilignes6'!CQ31+'4 - Clé multilignes7'!CQ31</f>
        <v>0</v>
      </c>
      <c r="P31" s="171">
        <f>'4 - Clé SALAIRES'!CR31+'4 - Clé multilignes1'!CR31+'4 - Clé multilignes2'!CR31+'4 - Clé multilignes3'!CR31+'4 - Clé multilignes4'!CR31+'4 - Clé multilignes5'!CR31+'4 - Clé multilignes6'!CR31+'4 - Clé multilignes7'!CR31</f>
        <v>0</v>
      </c>
      <c r="Q31" s="171">
        <f>'4 - Clé SALAIRES'!CS31+'4 - Clé multilignes1'!CS31+'4 - Clé multilignes2'!CS31+'4 - Clé multilignes3'!CS31+'4 - Clé multilignes4'!CS31+'4 - Clé multilignes5'!CS31+'4 - Clé multilignes6'!CS31+'4 - Clé multilignes7'!CS31</f>
        <v>0</v>
      </c>
      <c r="R31" s="171">
        <f>'4 - Clé SALAIRES'!CT31+'4 - Clé multilignes1'!CT31+'4 - Clé multilignes2'!CT31+'4 - Clé multilignes3'!CT31+'4 - Clé multilignes4'!CT31+'4 - Clé multilignes5'!CT31+'4 - Clé multilignes6'!CT31+'4 - Clé multilignes7'!CT31</f>
        <v>0</v>
      </c>
      <c r="S31" s="171">
        <f>'4 - Clé SALAIRES'!CU31+'4 - Clé multilignes1'!CU31+'4 - Clé multilignes2'!CU31+'4 - Clé multilignes3'!CU31+'4 - Clé multilignes4'!CU31+'4 - Clé multilignes5'!CU31+'4 - Clé multilignes6'!CU31+'4 - Clé multilignes7'!CU31</f>
        <v>0</v>
      </c>
      <c r="T31" s="171">
        <f>'4 - Clé SALAIRES'!CV31+'4 - Clé multilignes1'!CV31+'4 - Clé multilignes2'!CV31+'4 - Clé multilignes3'!CV31+'4 - Clé multilignes4'!CV31+'4 - Clé multilignes5'!CV31+'4 - Clé multilignes6'!CV31+'4 - Clé multilignes7'!CV31</f>
        <v>0</v>
      </c>
      <c r="U31" s="171">
        <f>'4 - Clé SALAIRES'!CW31+'4 - Clé multilignes1'!CW31+'4 - Clé multilignes2'!CW31+'4 - Clé multilignes3'!CW31+'4 - Clé multilignes4'!CW31+'4 - Clé multilignes5'!CW31+'4 - Clé multilignes6'!CW31+'4 - Clé multilignes7'!CW31</f>
        <v>0</v>
      </c>
      <c r="V31" s="171">
        <f>'4 - Clé SALAIRES'!CX31+'4 - Clé multilignes1'!CX31+'4 - Clé multilignes2'!CX31+'4 - Clé multilignes3'!CX31+'4 - Clé multilignes4'!CX31+'4 - Clé multilignes5'!CX31+'4 - Clé multilignes6'!CX31+'4 - Clé multilignes7'!CX31</f>
        <v>0</v>
      </c>
      <c r="W31" s="171">
        <f>'4 - Clé SALAIRES'!CY31+'4 - Clé multilignes1'!CY31+'4 - Clé multilignes2'!CY31+'4 - Clé multilignes3'!CY31+'4 - Clé multilignes4'!CY31+'4 - Clé multilignes5'!CY31+'4 - Clé multilignes6'!CY31+'4 - Clé multilignes7'!CY31</f>
        <v>0</v>
      </c>
      <c r="X31" s="171">
        <f>'4 - Clé SALAIRES'!CZ31+'4 - Clé multilignes1'!CZ31+'4 - Clé multilignes2'!CZ31+'4 - Clé multilignes3'!CZ31+'4 - Clé multilignes4'!CZ31+'4 - Clé multilignes5'!CZ31+'4 - Clé multilignes6'!CZ31+'4 - Clé multilignes7'!CZ31</f>
        <v>0</v>
      </c>
      <c r="Y31" s="171">
        <f>'4 - Clé SALAIRES'!DA31+'4 - Clé multilignes1'!DA31+'4 - Clé multilignes2'!DA31+'4 - Clé multilignes3'!DA31+'4 - Clé multilignes4'!DA31+'4 - Clé multilignes5'!DA31+'4 - Clé multilignes6'!DA31+'4 - Clé multilignes7'!DA31</f>
        <v>0</v>
      </c>
      <c r="Z31" s="171">
        <f>'4 - Clé SALAIRES'!DB31+'4 - Clé multilignes1'!DB31+'4 - Clé multilignes2'!DB31+'4 - Clé multilignes3'!DB31+'4 - Clé multilignes4'!DB31+'4 - Clé multilignes5'!DB31+'4 - Clé multilignes6'!DB31+'4 - Clé multilignes7'!DB31</f>
        <v>0</v>
      </c>
      <c r="AB31" s="172"/>
      <c r="AC31" s="172"/>
      <c r="AD31" s="172"/>
      <c r="AE31" s="172"/>
    </row>
    <row r="32" spans="1:32" s="173" customFormat="1" ht="12.75" customHeight="1" x14ac:dyDescent="0.25">
      <c r="A32" s="165" t="str">
        <f>Matrice[[#This Row],[Ligne de la matrice]]</f>
        <v>Subventions de fonctionnement</v>
      </c>
      <c r="B32" s="171">
        <f>'4 - Clé SALAIRES'!CD32+'4 - Clé multilignes1'!CD32+'4 - Clé multilignes2'!CD32+'4 - Clé multilignes3'!CD32+'4 - Clé multilignes4'!CD32+'4 - Clé multilignes5'!CD32+'4 - Clé multilignes6'!CD32+'4 - Clé multilignes7'!CD32</f>
        <v>0</v>
      </c>
      <c r="C32" s="171">
        <f>'4 - Clé SALAIRES'!CE32+'4 - Clé multilignes1'!CE32+'4 - Clé multilignes2'!CE32+'4 - Clé multilignes3'!CE32+'4 - Clé multilignes4'!CE32+'4 - Clé multilignes5'!CE32+'4 - Clé multilignes6'!CE32+'4 - Clé multilignes7'!CE32</f>
        <v>0</v>
      </c>
      <c r="D32" s="171">
        <f>'4 - Clé SALAIRES'!CF32+'4 - Clé multilignes1'!CF32+'4 - Clé multilignes2'!CF32+'4 - Clé multilignes3'!CF32+'4 - Clé multilignes4'!CF32+'4 - Clé multilignes5'!CF32+'4 - Clé multilignes6'!CF32+'4 - Clé multilignes7'!CF32</f>
        <v>0</v>
      </c>
      <c r="E32" s="171">
        <f>'4 - Clé SALAIRES'!CG32+'4 - Clé multilignes1'!CG32+'4 - Clé multilignes2'!CG32+'4 - Clé multilignes3'!CG32+'4 - Clé multilignes4'!CG32+'4 - Clé multilignes5'!CG32+'4 - Clé multilignes6'!CG32+'4 - Clé multilignes7'!CG32</f>
        <v>0</v>
      </c>
      <c r="F32" s="171">
        <f>'4 - Clé SALAIRES'!CH32+'4 - Clé multilignes1'!CH32+'4 - Clé multilignes2'!CH32+'4 - Clé multilignes3'!CH32+'4 - Clé multilignes4'!CH32+'4 - Clé multilignes5'!CH32+'4 - Clé multilignes6'!CH32+'4 - Clé multilignes7'!CH32</f>
        <v>0</v>
      </c>
      <c r="G32" s="171">
        <f>'4 - Clé SALAIRES'!CI32+'4 - Clé multilignes1'!CI32+'4 - Clé multilignes2'!CI32+'4 - Clé multilignes3'!CI32+'4 - Clé multilignes4'!CI32+'4 - Clé multilignes5'!CI32+'4 - Clé multilignes6'!CI32+'4 - Clé multilignes7'!CI32</f>
        <v>0</v>
      </c>
      <c r="H32" s="171">
        <f>'4 - Clé SALAIRES'!CJ32+'4 - Clé multilignes1'!CJ32+'4 - Clé multilignes2'!CJ32+'4 - Clé multilignes3'!CJ32+'4 - Clé multilignes4'!CJ32+'4 - Clé multilignes5'!CJ32+'4 - Clé multilignes6'!CJ32+'4 - Clé multilignes7'!CJ32</f>
        <v>0</v>
      </c>
      <c r="I32" s="171">
        <f>'4 - Clé SALAIRES'!CK32+'4 - Clé multilignes1'!CK32+'4 - Clé multilignes2'!CK32+'4 - Clé multilignes3'!CK32+'4 - Clé multilignes4'!CK32+'4 - Clé multilignes5'!CK32+'4 - Clé multilignes6'!CK32+'4 - Clé multilignes7'!CK32</f>
        <v>0</v>
      </c>
      <c r="J32" s="171">
        <f>'4 - Clé SALAIRES'!CL32+'4 - Clé multilignes1'!CL32+'4 - Clé multilignes2'!CL32+'4 - Clé multilignes3'!CL32+'4 - Clé multilignes4'!CL32+'4 - Clé multilignes5'!CL32+'4 - Clé multilignes6'!CL32+'4 - Clé multilignes7'!CL32</f>
        <v>0</v>
      </c>
      <c r="K32" s="171">
        <f>'4 - Clé SALAIRES'!CM32+'4 - Clé multilignes1'!CM32+'4 - Clé multilignes2'!CM32+'4 - Clé multilignes3'!CM32+'4 - Clé multilignes4'!CM32+'4 - Clé multilignes5'!CM32+'4 - Clé multilignes6'!CM32+'4 - Clé multilignes7'!CM32</f>
        <v>0</v>
      </c>
      <c r="L32" s="171">
        <f>'4 - Clé SALAIRES'!CN32+'4 - Clé multilignes1'!CN32+'4 - Clé multilignes2'!CN32+'4 - Clé multilignes3'!CN32+'4 - Clé multilignes4'!CN32+'4 - Clé multilignes5'!CN32+'4 - Clé multilignes6'!CN32+'4 - Clé multilignes7'!CN32</f>
        <v>0</v>
      </c>
      <c r="M32" s="171">
        <f>'4 - Clé SALAIRES'!CO32+'4 - Clé multilignes1'!CO32+'4 - Clé multilignes2'!CO32+'4 - Clé multilignes3'!CO32+'4 - Clé multilignes4'!CO32+'4 - Clé multilignes5'!CO32+'4 - Clé multilignes6'!CO32+'4 - Clé multilignes7'!CO32</f>
        <v>0</v>
      </c>
      <c r="N32" s="171">
        <f>'4 - Clé SALAIRES'!CP32+'4 - Clé multilignes1'!CP32+'4 - Clé multilignes2'!CP32+'4 - Clé multilignes3'!CP32+'4 - Clé multilignes4'!CP32+'4 - Clé multilignes5'!CP32+'4 - Clé multilignes6'!CP32+'4 - Clé multilignes7'!CP32</f>
        <v>0</v>
      </c>
      <c r="O32" s="171">
        <f>'4 - Clé SALAIRES'!CQ32+'4 - Clé multilignes1'!CQ32+'4 - Clé multilignes2'!CQ32+'4 - Clé multilignes3'!CQ32+'4 - Clé multilignes4'!CQ32+'4 - Clé multilignes5'!CQ32+'4 - Clé multilignes6'!CQ32+'4 - Clé multilignes7'!CQ32</f>
        <v>0</v>
      </c>
      <c r="P32" s="171">
        <f>'4 - Clé SALAIRES'!CR32+'4 - Clé multilignes1'!CR32+'4 - Clé multilignes2'!CR32+'4 - Clé multilignes3'!CR32+'4 - Clé multilignes4'!CR32+'4 - Clé multilignes5'!CR32+'4 - Clé multilignes6'!CR32+'4 - Clé multilignes7'!CR32</f>
        <v>0</v>
      </c>
      <c r="Q32" s="171">
        <f>'4 - Clé SALAIRES'!CS32+'4 - Clé multilignes1'!CS32+'4 - Clé multilignes2'!CS32+'4 - Clé multilignes3'!CS32+'4 - Clé multilignes4'!CS32+'4 - Clé multilignes5'!CS32+'4 - Clé multilignes6'!CS32+'4 - Clé multilignes7'!CS32</f>
        <v>0</v>
      </c>
      <c r="R32" s="171">
        <f>'4 - Clé SALAIRES'!CT32+'4 - Clé multilignes1'!CT32+'4 - Clé multilignes2'!CT32+'4 - Clé multilignes3'!CT32+'4 - Clé multilignes4'!CT32+'4 - Clé multilignes5'!CT32+'4 - Clé multilignes6'!CT32+'4 - Clé multilignes7'!CT32</f>
        <v>0</v>
      </c>
      <c r="S32" s="171">
        <f>'4 - Clé SALAIRES'!CU32+'4 - Clé multilignes1'!CU32+'4 - Clé multilignes2'!CU32+'4 - Clé multilignes3'!CU32+'4 - Clé multilignes4'!CU32+'4 - Clé multilignes5'!CU32+'4 - Clé multilignes6'!CU32+'4 - Clé multilignes7'!CU32</f>
        <v>0</v>
      </c>
      <c r="T32" s="171">
        <f>'4 - Clé SALAIRES'!CV32+'4 - Clé multilignes1'!CV32+'4 - Clé multilignes2'!CV32+'4 - Clé multilignes3'!CV32+'4 - Clé multilignes4'!CV32+'4 - Clé multilignes5'!CV32+'4 - Clé multilignes6'!CV32+'4 - Clé multilignes7'!CV32</f>
        <v>0</v>
      </c>
      <c r="U32" s="171">
        <f>'4 - Clé SALAIRES'!CW32+'4 - Clé multilignes1'!CW32+'4 - Clé multilignes2'!CW32+'4 - Clé multilignes3'!CW32+'4 - Clé multilignes4'!CW32+'4 - Clé multilignes5'!CW32+'4 - Clé multilignes6'!CW32+'4 - Clé multilignes7'!CW32</f>
        <v>0</v>
      </c>
      <c r="V32" s="171">
        <f>'4 - Clé SALAIRES'!CX32+'4 - Clé multilignes1'!CX32+'4 - Clé multilignes2'!CX32+'4 - Clé multilignes3'!CX32+'4 - Clé multilignes4'!CX32+'4 - Clé multilignes5'!CX32+'4 - Clé multilignes6'!CX32+'4 - Clé multilignes7'!CX32</f>
        <v>0</v>
      </c>
      <c r="W32" s="171">
        <f>'4 - Clé SALAIRES'!CY32+'4 - Clé multilignes1'!CY32+'4 - Clé multilignes2'!CY32+'4 - Clé multilignes3'!CY32+'4 - Clé multilignes4'!CY32+'4 - Clé multilignes5'!CY32+'4 - Clé multilignes6'!CY32+'4 - Clé multilignes7'!CY32</f>
        <v>0</v>
      </c>
      <c r="X32" s="171">
        <f>'4 - Clé SALAIRES'!CZ32+'4 - Clé multilignes1'!CZ32+'4 - Clé multilignes2'!CZ32+'4 - Clé multilignes3'!CZ32+'4 - Clé multilignes4'!CZ32+'4 - Clé multilignes5'!CZ32+'4 - Clé multilignes6'!CZ32+'4 - Clé multilignes7'!CZ32</f>
        <v>0</v>
      </c>
      <c r="Y32" s="171">
        <f>'4 - Clé SALAIRES'!DA32+'4 - Clé multilignes1'!DA32+'4 - Clé multilignes2'!DA32+'4 - Clé multilignes3'!DA32+'4 - Clé multilignes4'!DA32+'4 - Clé multilignes5'!DA32+'4 - Clé multilignes6'!DA32+'4 - Clé multilignes7'!DA32</f>
        <v>0</v>
      </c>
      <c r="Z32" s="171">
        <f>'4 - Clé SALAIRES'!DB32+'4 - Clé multilignes1'!DB32+'4 - Clé multilignes2'!DB32+'4 - Clé multilignes3'!DB32+'4 - Clé multilignes4'!DB32+'4 - Clé multilignes5'!DB32+'4 - Clé multilignes6'!DB32+'4 - Clé multilignes7'!DB32</f>
        <v>0</v>
      </c>
      <c r="AB32" s="172"/>
      <c r="AC32" s="172"/>
      <c r="AD32" s="172"/>
      <c r="AE32" s="172"/>
    </row>
    <row r="33" spans="1:31" s="173" customFormat="1" ht="12.75" customHeight="1" x14ac:dyDescent="0.25">
      <c r="A33" s="165" t="str">
        <f>Matrice[[#This Row],[Ligne de la matrice]]</f>
        <v>Aides à l'emploi</v>
      </c>
      <c r="B33" s="171">
        <f>'4 - Clé SALAIRES'!CD33+'4 - Clé multilignes1'!CD33+'4 - Clé multilignes2'!CD33+'4 - Clé multilignes3'!CD33+'4 - Clé multilignes4'!CD33+'4 - Clé multilignes5'!CD33+'4 - Clé multilignes6'!CD33+'4 - Clé multilignes7'!CD33</f>
        <v>0</v>
      </c>
      <c r="C33" s="171">
        <f>'4 - Clé SALAIRES'!CE33+'4 - Clé multilignes1'!CE33+'4 - Clé multilignes2'!CE33+'4 - Clé multilignes3'!CE33+'4 - Clé multilignes4'!CE33+'4 - Clé multilignes5'!CE33+'4 - Clé multilignes6'!CE33+'4 - Clé multilignes7'!CE33</f>
        <v>0</v>
      </c>
      <c r="D33" s="171">
        <f>'4 - Clé SALAIRES'!CF33+'4 - Clé multilignes1'!CF33+'4 - Clé multilignes2'!CF33+'4 - Clé multilignes3'!CF33+'4 - Clé multilignes4'!CF33+'4 - Clé multilignes5'!CF33+'4 - Clé multilignes6'!CF33+'4 - Clé multilignes7'!CF33</f>
        <v>0</v>
      </c>
      <c r="E33" s="171">
        <f>'4 - Clé SALAIRES'!CG33+'4 - Clé multilignes1'!CG33+'4 - Clé multilignes2'!CG33+'4 - Clé multilignes3'!CG33+'4 - Clé multilignes4'!CG33+'4 - Clé multilignes5'!CG33+'4 - Clé multilignes6'!CG33+'4 - Clé multilignes7'!CG33</f>
        <v>0</v>
      </c>
      <c r="F33" s="171">
        <f>'4 - Clé SALAIRES'!CH33+'4 - Clé multilignes1'!CH33+'4 - Clé multilignes2'!CH33+'4 - Clé multilignes3'!CH33+'4 - Clé multilignes4'!CH33+'4 - Clé multilignes5'!CH33+'4 - Clé multilignes6'!CH33+'4 - Clé multilignes7'!CH33</f>
        <v>0</v>
      </c>
      <c r="G33" s="171">
        <f>'4 - Clé SALAIRES'!CI33+'4 - Clé multilignes1'!CI33+'4 - Clé multilignes2'!CI33+'4 - Clé multilignes3'!CI33+'4 - Clé multilignes4'!CI33+'4 - Clé multilignes5'!CI33+'4 - Clé multilignes6'!CI33+'4 - Clé multilignes7'!CI33</f>
        <v>0</v>
      </c>
      <c r="H33" s="171">
        <f>'4 - Clé SALAIRES'!CJ33+'4 - Clé multilignes1'!CJ33+'4 - Clé multilignes2'!CJ33+'4 - Clé multilignes3'!CJ33+'4 - Clé multilignes4'!CJ33+'4 - Clé multilignes5'!CJ33+'4 - Clé multilignes6'!CJ33+'4 - Clé multilignes7'!CJ33</f>
        <v>0</v>
      </c>
      <c r="I33" s="171">
        <f>'4 - Clé SALAIRES'!CK33+'4 - Clé multilignes1'!CK33+'4 - Clé multilignes2'!CK33+'4 - Clé multilignes3'!CK33+'4 - Clé multilignes4'!CK33+'4 - Clé multilignes5'!CK33+'4 - Clé multilignes6'!CK33+'4 - Clé multilignes7'!CK33</f>
        <v>0</v>
      </c>
      <c r="J33" s="171">
        <f>'4 - Clé SALAIRES'!CL33+'4 - Clé multilignes1'!CL33+'4 - Clé multilignes2'!CL33+'4 - Clé multilignes3'!CL33+'4 - Clé multilignes4'!CL33+'4 - Clé multilignes5'!CL33+'4 - Clé multilignes6'!CL33+'4 - Clé multilignes7'!CL33</f>
        <v>0</v>
      </c>
      <c r="K33" s="171">
        <f>'4 - Clé SALAIRES'!CM33+'4 - Clé multilignes1'!CM33+'4 - Clé multilignes2'!CM33+'4 - Clé multilignes3'!CM33+'4 - Clé multilignes4'!CM33+'4 - Clé multilignes5'!CM33+'4 - Clé multilignes6'!CM33+'4 - Clé multilignes7'!CM33</f>
        <v>0</v>
      </c>
      <c r="L33" s="171">
        <f>'4 - Clé SALAIRES'!CN33+'4 - Clé multilignes1'!CN33+'4 - Clé multilignes2'!CN33+'4 - Clé multilignes3'!CN33+'4 - Clé multilignes4'!CN33+'4 - Clé multilignes5'!CN33+'4 - Clé multilignes6'!CN33+'4 - Clé multilignes7'!CN33</f>
        <v>0</v>
      </c>
      <c r="M33" s="171">
        <f>'4 - Clé SALAIRES'!CO33+'4 - Clé multilignes1'!CO33+'4 - Clé multilignes2'!CO33+'4 - Clé multilignes3'!CO33+'4 - Clé multilignes4'!CO33+'4 - Clé multilignes5'!CO33+'4 - Clé multilignes6'!CO33+'4 - Clé multilignes7'!CO33</f>
        <v>0</v>
      </c>
      <c r="N33" s="171">
        <f>'4 - Clé SALAIRES'!CP33+'4 - Clé multilignes1'!CP33+'4 - Clé multilignes2'!CP33+'4 - Clé multilignes3'!CP33+'4 - Clé multilignes4'!CP33+'4 - Clé multilignes5'!CP33+'4 - Clé multilignes6'!CP33+'4 - Clé multilignes7'!CP33</f>
        <v>0</v>
      </c>
      <c r="O33" s="171">
        <f>'4 - Clé SALAIRES'!CQ33+'4 - Clé multilignes1'!CQ33+'4 - Clé multilignes2'!CQ33+'4 - Clé multilignes3'!CQ33+'4 - Clé multilignes4'!CQ33+'4 - Clé multilignes5'!CQ33+'4 - Clé multilignes6'!CQ33+'4 - Clé multilignes7'!CQ33</f>
        <v>0</v>
      </c>
      <c r="P33" s="171">
        <f>'4 - Clé SALAIRES'!CR33+'4 - Clé multilignes1'!CR33+'4 - Clé multilignes2'!CR33+'4 - Clé multilignes3'!CR33+'4 - Clé multilignes4'!CR33+'4 - Clé multilignes5'!CR33+'4 - Clé multilignes6'!CR33+'4 - Clé multilignes7'!CR33</f>
        <v>0</v>
      </c>
      <c r="Q33" s="171">
        <f>'4 - Clé SALAIRES'!CS33+'4 - Clé multilignes1'!CS33+'4 - Clé multilignes2'!CS33+'4 - Clé multilignes3'!CS33+'4 - Clé multilignes4'!CS33+'4 - Clé multilignes5'!CS33+'4 - Clé multilignes6'!CS33+'4 - Clé multilignes7'!CS33</f>
        <v>0</v>
      </c>
      <c r="R33" s="171">
        <f>'4 - Clé SALAIRES'!CT33+'4 - Clé multilignes1'!CT33+'4 - Clé multilignes2'!CT33+'4 - Clé multilignes3'!CT33+'4 - Clé multilignes4'!CT33+'4 - Clé multilignes5'!CT33+'4 - Clé multilignes6'!CT33+'4 - Clé multilignes7'!CT33</f>
        <v>0</v>
      </c>
      <c r="S33" s="171">
        <f>'4 - Clé SALAIRES'!CU33+'4 - Clé multilignes1'!CU33+'4 - Clé multilignes2'!CU33+'4 - Clé multilignes3'!CU33+'4 - Clé multilignes4'!CU33+'4 - Clé multilignes5'!CU33+'4 - Clé multilignes6'!CU33+'4 - Clé multilignes7'!CU33</f>
        <v>0</v>
      </c>
      <c r="T33" s="171">
        <f>'4 - Clé SALAIRES'!CV33+'4 - Clé multilignes1'!CV33+'4 - Clé multilignes2'!CV33+'4 - Clé multilignes3'!CV33+'4 - Clé multilignes4'!CV33+'4 - Clé multilignes5'!CV33+'4 - Clé multilignes6'!CV33+'4 - Clé multilignes7'!CV33</f>
        <v>0</v>
      </c>
      <c r="U33" s="171">
        <f>'4 - Clé SALAIRES'!CW33+'4 - Clé multilignes1'!CW33+'4 - Clé multilignes2'!CW33+'4 - Clé multilignes3'!CW33+'4 - Clé multilignes4'!CW33+'4 - Clé multilignes5'!CW33+'4 - Clé multilignes6'!CW33+'4 - Clé multilignes7'!CW33</f>
        <v>0</v>
      </c>
      <c r="V33" s="171">
        <f>'4 - Clé SALAIRES'!CX33+'4 - Clé multilignes1'!CX33+'4 - Clé multilignes2'!CX33+'4 - Clé multilignes3'!CX33+'4 - Clé multilignes4'!CX33+'4 - Clé multilignes5'!CX33+'4 - Clé multilignes6'!CX33+'4 - Clé multilignes7'!CX33</f>
        <v>0</v>
      </c>
      <c r="W33" s="171">
        <f>'4 - Clé SALAIRES'!CY33+'4 - Clé multilignes1'!CY33+'4 - Clé multilignes2'!CY33+'4 - Clé multilignes3'!CY33+'4 - Clé multilignes4'!CY33+'4 - Clé multilignes5'!CY33+'4 - Clé multilignes6'!CY33+'4 - Clé multilignes7'!CY33</f>
        <v>0</v>
      </c>
      <c r="X33" s="171">
        <f>'4 - Clé SALAIRES'!CZ33+'4 - Clé multilignes1'!CZ33+'4 - Clé multilignes2'!CZ33+'4 - Clé multilignes3'!CZ33+'4 - Clé multilignes4'!CZ33+'4 - Clé multilignes5'!CZ33+'4 - Clé multilignes6'!CZ33+'4 - Clé multilignes7'!CZ33</f>
        <v>0</v>
      </c>
      <c r="Y33" s="171">
        <f>'4 - Clé SALAIRES'!DA33+'4 - Clé multilignes1'!DA33+'4 - Clé multilignes2'!DA33+'4 - Clé multilignes3'!DA33+'4 - Clé multilignes4'!DA33+'4 - Clé multilignes5'!DA33+'4 - Clé multilignes6'!DA33+'4 - Clé multilignes7'!DA33</f>
        <v>0</v>
      </c>
      <c r="Z33" s="171">
        <f>'4 - Clé SALAIRES'!DB33+'4 - Clé multilignes1'!DB33+'4 - Clé multilignes2'!DB33+'4 - Clé multilignes3'!DB33+'4 - Clé multilignes4'!DB33+'4 - Clé multilignes5'!DB33+'4 - Clé multilignes6'!DB33+'4 - Clé multilignes7'!DB33</f>
        <v>0</v>
      </c>
      <c r="AB33" s="172"/>
      <c r="AC33" s="172"/>
      <c r="AD33" s="172"/>
      <c r="AE33" s="172"/>
    </row>
    <row r="34" spans="1:31" s="173" customFormat="1" ht="12.75" customHeight="1" x14ac:dyDescent="0.25">
      <c r="A34" s="174"/>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B34" s="172"/>
      <c r="AC34" s="172"/>
      <c r="AD34" s="172"/>
      <c r="AE34" s="172"/>
    </row>
    <row r="35" spans="1:31" s="173" customFormat="1" ht="12.75" customHeight="1" x14ac:dyDescent="0.25">
      <c r="A35" s="165" t="str">
        <f>Matrice[[#This Row],[Ligne de la matrice]]</f>
        <v>TVA acquittée</v>
      </c>
      <c r="B35" s="171">
        <f>'4 - Clé SALAIRES'!CD35+'4 - Clé multilignes1'!CD35+'4 - Clé multilignes2'!CD35+'4 - Clé multilignes3'!CD35+'4 - Clé multilignes4'!CD35+'4 - Clé multilignes5'!CD35+'4 - Clé multilignes6'!CD35+'4 - Clé multilignes7'!CD35</f>
        <v>0</v>
      </c>
      <c r="C35" s="171">
        <f>'4 - Clé SALAIRES'!CE35+'4 - Clé multilignes1'!CE35+'4 - Clé multilignes2'!CE35+'4 - Clé multilignes3'!CE35+'4 - Clé multilignes4'!CE35+'4 - Clé multilignes5'!CE35+'4 - Clé multilignes6'!CE35+'4 - Clé multilignes7'!CE35</f>
        <v>0</v>
      </c>
      <c r="D35" s="171">
        <f>'4 - Clé SALAIRES'!CF35+'4 - Clé multilignes1'!CF35+'4 - Clé multilignes2'!CF35+'4 - Clé multilignes3'!CF35+'4 - Clé multilignes4'!CF35+'4 - Clé multilignes5'!CF35+'4 - Clé multilignes6'!CF35+'4 - Clé multilignes7'!CF35</f>
        <v>0</v>
      </c>
      <c r="E35" s="171">
        <f>'4 - Clé SALAIRES'!CG35+'4 - Clé multilignes1'!CG35+'4 - Clé multilignes2'!CG35+'4 - Clé multilignes3'!CG35+'4 - Clé multilignes4'!CG35+'4 - Clé multilignes5'!CG35+'4 - Clé multilignes6'!CG35+'4 - Clé multilignes7'!CG35</f>
        <v>0</v>
      </c>
      <c r="F35" s="171">
        <f>'4 - Clé SALAIRES'!CH35+'4 - Clé multilignes1'!CH35+'4 - Clé multilignes2'!CH35+'4 - Clé multilignes3'!CH35+'4 - Clé multilignes4'!CH35+'4 - Clé multilignes5'!CH35+'4 - Clé multilignes6'!CH35+'4 - Clé multilignes7'!CH35</f>
        <v>0</v>
      </c>
      <c r="G35" s="171">
        <f>'4 - Clé SALAIRES'!CI35+'4 - Clé multilignes1'!CI35+'4 - Clé multilignes2'!CI35+'4 - Clé multilignes3'!CI35+'4 - Clé multilignes4'!CI35+'4 - Clé multilignes5'!CI35+'4 - Clé multilignes6'!CI35+'4 - Clé multilignes7'!CI35</f>
        <v>0</v>
      </c>
      <c r="H35" s="171">
        <f>'4 - Clé SALAIRES'!CJ35+'4 - Clé multilignes1'!CJ35+'4 - Clé multilignes2'!CJ35+'4 - Clé multilignes3'!CJ35+'4 - Clé multilignes4'!CJ35+'4 - Clé multilignes5'!CJ35+'4 - Clé multilignes6'!CJ35+'4 - Clé multilignes7'!CJ35</f>
        <v>0</v>
      </c>
      <c r="I35" s="171">
        <f>'4 - Clé SALAIRES'!CK35+'4 - Clé multilignes1'!CK35+'4 - Clé multilignes2'!CK35+'4 - Clé multilignes3'!CK35+'4 - Clé multilignes4'!CK35+'4 - Clé multilignes5'!CK35+'4 - Clé multilignes6'!CK35+'4 - Clé multilignes7'!CK35</f>
        <v>0</v>
      </c>
      <c r="J35" s="171">
        <f>'4 - Clé SALAIRES'!CL35+'4 - Clé multilignes1'!CL35+'4 - Clé multilignes2'!CL35+'4 - Clé multilignes3'!CL35+'4 - Clé multilignes4'!CL35+'4 - Clé multilignes5'!CL35+'4 - Clé multilignes6'!CL35+'4 - Clé multilignes7'!CL35</f>
        <v>0</v>
      </c>
      <c r="K35" s="171">
        <f>'4 - Clé SALAIRES'!CM35+'4 - Clé multilignes1'!CM35+'4 - Clé multilignes2'!CM35+'4 - Clé multilignes3'!CM35+'4 - Clé multilignes4'!CM35+'4 - Clé multilignes5'!CM35+'4 - Clé multilignes6'!CM35+'4 - Clé multilignes7'!CM35</f>
        <v>0</v>
      </c>
      <c r="L35" s="171">
        <f>'4 - Clé SALAIRES'!CN35+'4 - Clé multilignes1'!CN35+'4 - Clé multilignes2'!CN35+'4 - Clé multilignes3'!CN35+'4 - Clé multilignes4'!CN35+'4 - Clé multilignes5'!CN35+'4 - Clé multilignes6'!CN35+'4 - Clé multilignes7'!CN35</f>
        <v>0</v>
      </c>
      <c r="M35" s="171">
        <f>'4 - Clé SALAIRES'!CO35+'4 - Clé multilignes1'!CO35+'4 - Clé multilignes2'!CO35+'4 - Clé multilignes3'!CO35+'4 - Clé multilignes4'!CO35+'4 - Clé multilignes5'!CO35+'4 - Clé multilignes6'!CO35+'4 - Clé multilignes7'!CO35</f>
        <v>0</v>
      </c>
      <c r="N35" s="171">
        <f>'4 - Clé SALAIRES'!CP35+'4 - Clé multilignes1'!CP35+'4 - Clé multilignes2'!CP35+'4 - Clé multilignes3'!CP35+'4 - Clé multilignes4'!CP35+'4 - Clé multilignes5'!CP35+'4 - Clé multilignes6'!CP35+'4 - Clé multilignes7'!CP35</f>
        <v>0</v>
      </c>
      <c r="O35" s="171">
        <f>'4 - Clé SALAIRES'!CQ35+'4 - Clé multilignes1'!CQ35+'4 - Clé multilignes2'!CQ35+'4 - Clé multilignes3'!CQ35+'4 - Clé multilignes4'!CQ35+'4 - Clé multilignes5'!CQ35+'4 - Clé multilignes6'!CQ35+'4 - Clé multilignes7'!CQ35</f>
        <v>0</v>
      </c>
      <c r="P35" s="171">
        <f>'4 - Clé SALAIRES'!CR35+'4 - Clé multilignes1'!CR35+'4 - Clé multilignes2'!CR35+'4 - Clé multilignes3'!CR35+'4 - Clé multilignes4'!CR35+'4 - Clé multilignes5'!CR35+'4 - Clé multilignes6'!CR35+'4 - Clé multilignes7'!CR35</f>
        <v>0</v>
      </c>
      <c r="Q35" s="171">
        <f>'4 - Clé SALAIRES'!CS35+'4 - Clé multilignes1'!CS35+'4 - Clé multilignes2'!CS35+'4 - Clé multilignes3'!CS35+'4 - Clé multilignes4'!CS35+'4 - Clé multilignes5'!CS35+'4 - Clé multilignes6'!CS35+'4 - Clé multilignes7'!CS35</f>
        <v>0</v>
      </c>
      <c r="R35" s="171">
        <f>'4 - Clé SALAIRES'!CT35+'4 - Clé multilignes1'!CT35+'4 - Clé multilignes2'!CT35+'4 - Clé multilignes3'!CT35+'4 - Clé multilignes4'!CT35+'4 - Clé multilignes5'!CT35+'4 - Clé multilignes6'!CT35+'4 - Clé multilignes7'!CT35</f>
        <v>0</v>
      </c>
      <c r="S35" s="171">
        <f>'4 - Clé SALAIRES'!CU35+'4 - Clé multilignes1'!CU35+'4 - Clé multilignes2'!CU35+'4 - Clé multilignes3'!CU35+'4 - Clé multilignes4'!CU35+'4 - Clé multilignes5'!CU35+'4 - Clé multilignes6'!CU35+'4 - Clé multilignes7'!CU35</f>
        <v>0</v>
      </c>
      <c r="T35" s="171">
        <f>'4 - Clé SALAIRES'!CV35+'4 - Clé multilignes1'!CV35+'4 - Clé multilignes2'!CV35+'4 - Clé multilignes3'!CV35+'4 - Clé multilignes4'!CV35+'4 - Clé multilignes5'!CV35+'4 - Clé multilignes6'!CV35+'4 - Clé multilignes7'!CV35</f>
        <v>0</v>
      </c>
      <c r="U35" s="171">
        <f>'4 - Clé SALAIRES'!CW35+'4 - Clé multilignes1'!CW35+'4 - Clé multilignes2'!CW35+'4 - Clé multilignes3'!CW35+'4 - Clé multilignes4'!CW35+'4 - Clé multilignes5'!CW35+'4 - Clé multilignes6'!CW35+'4 - Clé multilignes7'!CW35</f>
        <v>0</v>
      </c>
      <c r="V35" s="171">
        <f>'4 - Clé SALAIRES'!CX35+'4 - Clé multilignes1'!CX35+'4 - Clé multilignes2'!CX35+'4 - Clé multilignes3'!CX35+'4 - Clé multilignes4'!CX35+'4 - Clé multilignes5'!CX35+'4 - Clé multilignes6'!CX35+'4 - Clé multilignes7'!CX35</f>
        <v>0</v>
      </c>
      <c r="W35" s="171">
        <f>'4 - Clé SALAIRES'!CY35+'4 - Clé multilignes1'!CY35+'4 - Clé multilignes2'!CY35+'4 - Clé multilignes3'!CY35+'4 - Clé multilignes4'!CY35+'4 - Clé multilignes5'!CY35+'4 - Clé multilignes6'!CY35+'4 - Clé multilignes7'!CY35</f>
        <v>0</v>
      </c>
      <c r="X35" s="171">
        <f>'4 - Clé SALAIRES'!CZ35+'4 - Clé multilignes1'!CZ35+'4 - Clé multilignes2'!CZ35+'4 - Clé multilignes3'!CZ35+'4 - Clé multilignes4'!CZ35+'4 - Clé multilignes5'!CZ35+'4 - Clé multilignes6'!CZ35+'4 - Clé multilignes7'!CZ35</f>
        <v>0</v>
      </c>
      <c r="Y35" s="171">
        <f>'4 - Clé SALAIRES'!DA35+'4 - Clé multilignes1'!DA35+'4 - Clé multilignes2'!DA35+'4 - Clé multilignes3'!DA35+'4 - Clé multilignes4'!DA35+'4 - Clé multilignes5'!DA35+'4 - Clé multilignes6'!DA35+'4 - Clé multilignes7'!DA35</f>
        <v>0</v>
      </c>
      <c r="Z35" s="171">
        <f>'4 - Clé SALAIRES'!DB35+'4 - Clé multilignes1'!DB35+'4 - Clé multilignes2'!DB35+'4 - Clé multilignes3'!DB35+'4 - Clé multilignes4'!DB35+'4 - Clé multilignes5'!DB35+'4 - Clé multilignes6'!DB35+'4 - Clé multilignes7'!DB35</f>
        <v>0</v>
      </c>
      <c r="AB35" s="172"/>
      <c r="AC35" s="172"/>
      <c r="AD35" s="172"/>
      <c r="AE35" s="172"/>
    </row>
    <row r="36" spans="1:31" s="173" customFormat="1" ht="12.75" customHeight="1" x14ac:dyDescent="0.25">
      <c r="A36" s="165" t="str">
        <f>Matrice[[#This Row],[Ligne de la matrice]]</f>
        <v>TEOM</v>
      </c>
      <c r="B36" s="171">
        <f>'4 - Clé SALAIRES'!CD36+'4 - Clé multilignes1'!CD36+'4 - Clé multilignes2'!CD36+'4 - Clé multilignes3'!CD36+'4 - Clé multilignes4'!CD36+'4 - Clé multilignes5'!CD36+'4 - Clé multilignes6'!CD36+'4 - Clé multilignes7'!CD36</f>
        <v>0</v>
      </c>
      <c r="C36" s="171">
        <f>'4 - Clé SALAIRES'!CE36+'4 - Clé multilignes1'!CE36+'4 - Clé multilignes2'!CE36+'4 - Clé multilignes3'!CE36+'4 - Clé multilignes4'!CE36+'4 - Clé multilignes5'!CE36+'4 - Clé multilignes6'!CE36+'4 - Clé multilignes7'!CE36</f>
        <v>0</v>
      </c>
      <c r="D36" s="171">
        <f>'4 - Clé SALAIRES'!CF36+'4 - Clé multilignes1'!CF36+'4 - Clé multilignes2'!CF36+'4 - Clé multilignes3'!CF36+'4 - Clé multilignes4'!CF36+'4 - Clé multilignes5'!CF36+'4 - Clé multilignes6'!CF36+'4 - Clé multilignes7'!CF36</f>
        <v>0</v>
      </c>
      <c r="E36" s="171">
        <f>'4 - Clé SALAIRES'!CG36+'4 - Clé multilignes1'!CG36+'4 - Clé multilignes2'!CG36+'4 - Clé multilignes3'!CG36+'4 - Clé multilignes4'!CG36+'4 - Clé multilignes5'!CG36+'4 - Clé multilignes6'!CG36+'4 - Clé multilignes7'!CG36</f>
        <v>0</v>
      </c>
      <c r="F36" s="171">
        <f>'4 - Clé SALAIRES'!CH36+'4 - Clé multilignes1'!CH36+'4 - Clé multilignes2'!CH36+'4 - Clé multilignes3'!CH36+'4 - Clé multilignes4'!CH36+'4 - Clé multilignes5'!CH36+'4 - Clé multilignes6'!CH36+'4 - Clé multilignes7'!CH36</f>
        <v>0</v>
      </c>
      <c r="G36" s="171">
        <f>'4 - Clé SALAIRES'!CI36+'4 - Clé multilignes1'!CI36+'4 - Clé multilignes2'!CI36+'4 - Clé multilignes3'!CI36+'4 - Clé multilignes4'!CI36+'4 - Clé multilignes5'!CI36+'4 - Clé multilignes6'!CI36+'4 - Clé multilignes7'!CI36</f>
        <v>0</v>
      </c>
      <c r="H36" s="171">
        <f>'4 - Clé SALAIRES'!CJ36+'4 - Clé multilignes1'!CJ36+'4 - Clé multilignes2'!CJ36+'4 - Clé multilignes3'!CJ36+'4 - Clé multilignes4'!CJ36+'4 - Clé multilignes5'!CJ36+'4 - Clé multilignes6'!CJ36+'4 - Clé multilignes7'!CJ36</f>
        <v>0</v>
      </c>
      <c r="I36" s="171">
        <f>'4 - Clé SALAIRES'!CK36+'4 - Clé multilignes1'!CK36+'4 - Clé multilignes2'!CK36+'4 - Clé multilignes3'!CK36+'4 - Clé multilignes4'!CK36+'4 - Clé multilignes5'!CK36+'4 - Clé multilignes6'!CK36+'4 - Clé multilignes7'!CK36</f>
        <v>0</v>
      </c>
      <c r="J36" s="171">
        <f>'4 - Clé SALAIRES'!CL36+'4 - Clé multilignes1'!CL36+'4 - Clé multilignes2'!CL36+'4 - Clé multilignes3'!CL36+'4 - Clé multilignes4'!CL36+'4 - Clé multilignes5'!CL36+'4 - Clé multilignes6'!CL36+'4 - Clé multilignes7'!CL36</f>
        <v>0</v>
      </c>
      <c r="K36" s="171">
        <f>'4 - Clé SALAIRES'!CM36+'4 - Clé multilignes1'!CM36+'4 - Clé multilignes2'!CM36+'4 - Clé multilignes3'!CM36+'4 - Clé multilignes4'!CM36+'4 - Clé multilignes5'!CM36+'4 - Clé multilignes6'!CM36+'4 - Clé multilignes7'!CM36</f>
        <v>0</v>
      </c>
      <c r="L36" s="171">
        <f>'4 - Clé SALAIRES'!CN36+'4 - Clé multilignes1'!CN36+'4 - Clé multilignes2'!CN36+'4 - Clé multilignes3'!CN36+'4 - Clé multilignes4'!CN36+'4 - Clé multilignes5'!CN36+'4 - Clé multilignes6'!CN36+'4 - Clé multilignes7'!CN36</f>
        <v>0</v>
      </c>
      <c r="M36" s="171">
        <f>'4 - Clé SALAIRES'!CO36+'4 - Clé multilignes1'!CO36+'4 - Clé multilignes2'!CO36+'4 - Clé multilignes3'!CO36+'4 - Clé multilignes4'!CO36+'4 - Clé multilignes5'!CO36+'4 - Clé multilignes6'!CO36+'4 - Clé multilignes7'!CO36</f>
        <v>0</v>
      </c>
      <c r="N36" s="171">
        <f>'4 - Clé SALAIRES'!CP36+'4 - Clé multilignes1'!CP36+'4 - Clé multilignes2'!CP36+'4 - Clé multilignes3'!CP36+'4 - Clé multilignes4'!CP36+'4 - Clé multilignes5'!CP36+'4 - Clé multilignes6'!CP36+'4 - Clé multilignes7'!CP36</f>
        <v>0</v>
      </c>
      <c r="O36" s="171">
        <f>'4 - Clé SALAIRES'!CQ36+'4 - Clé multilignes1'!CQ36+'4 - Clé multilignes2'!CQ36+'4 - Clé multilignes3'!CQ36+'4 - Clé multilignes4'!CQ36+'4 - Clé multilignes5'!CQ36+'4 - Clé multilignes6'!CQ36+'4 - Clé multilignes7'!CQ36</f>
        <v>0</v>
      </c>
      <c r="P36" s="171">
        <f>'4 - Clé SALAIRES'!CR36+'4 - Clé multilignes1'!CR36+'4 - Clé multilignes2'!CR36+'4 - Clé multilignes3'!CR36+'4 - Clé multilignes4'!CR36+'4 - Clé multilignes5'!CR36+'4 - Clé multilignes6'!CR36+'4 - Clé multilignes7'!CR36</f>
        <v>0</v>
      </c>
      <c r="Q36" s="171">
        <f>'4 - Clé SALAIRES'!CS36+'4 - Clé multilignes1'!CS36+'4 - Clé multilignes2'!CS36+'4 - Clé multilignes3'!CS36+'4 - Clé multilignes4'!CS36+'4 - Clé multilignes5'!CS36+'4 - Clé multilignes6'!CS36+'4 - Clé multilignes7'!CS36</f>
        <v>0</v>
      </c>
      <c r="R36" s="171">
        <f>'4 - Clé SALAIRES'!CT36+'4 - Clé multilignes1'!CT36+'4 - Clé multilignes2'!CT36+'4 - Clé multilignes3'!CT36+'4 - Clé multilignes4'!CT36+'4 - Clé multilignes5'!CT36+'4 - Clé multilignes6'!CT36+'4 - Clé multilignes7'!CT36</f>
        <v>0</v>
      </c>
      <c r="S36" s="171">
        <f>'4 - Clé SALAIRES'!CU36+'4 - Clé multilignes1'!CU36+'4 - Clé multilignes2'!CU36+'4 - Clé multilignes3'!CU36+'4 - Clé multilignes4'!CU36+'4 - Clé multilignes5'!CU36+'4 - Clé multilignes6'!CU36+'4 - Clé multilignes7'!CU36</f>
        <v>0</v>
      </c>
      <c r="T36" s="171">
        <f>'4 - Clé SALAIRES'!CV36+'4 - Clé multilignes1'!CV36+'4 - Clé multilignes2'!CV36+'4 - Clé multilignes3'!CV36+'4 - Clé multilignes4'!CV36+'4 - Clé multilignes5'!CV36+'4 - Clé multilignes6'!CV36+'4 - Clé multilignes7'!CV36</f>
        <v>0</v>
      </c>
      <c r="U36" s="171">
        <f>'4 - Clé SALAIRES'!CW36+'4 - Clé multilignes1'!CW36+'4 - Clé multilignes2'!CW36+'4 - Clé multilignes3'!CW36+'4 - Clé multilignes4'!CW36+'4 - Clé multilignes5'!CW36+'4 - Clé multilignes6'!CW36+'4 - Clé multilignes7'!CW36</f>
        <v>0</v>
      </c>
      <c r="V36" s="171">
        <f>'4 - Clé SALAIRES'!CX36+'4 - Clé multilignes1'!CX36+'4 - Clé multilignes2'!CX36+'4 - Clé multilignes3'!CX36+'4 - Clé multilignes4'!CX36+'4 - Clé multilignes5'!CX36+'4 - Clé multilignes6'!CX36+'4 - Clé multilignes7'!CX36</f>
        <v>0</v>
      </c>
      <c r="W36" s="171">
        <f>'4 - Clé SALAIRES'!CY36+'4 - Clé multilignes1'!CY36+'4 - Clé multilignes2'!CY36+'4 - Clé multilignes3'!CY36+'4 - Clé multilignes4'!CY36+'4 - Clé multilignes5'!CY36+'4 - Clé multilignes6'!CY36+'4 - Clé multilignes7'!CY36</f>
        <v>0</v>
      </c>
      <c r="X36" s="171">
        <f>'4 - Clé SALAIRES'!CZ36+'4 - Clé multilignes1'!CZ36+'4 - Clé multilignes2'!CZ36+'4 - Clé multilignes3'!CZ36+'4 - Clé multilignes4'!CZ36+'4 - Clé multilignes5'!CZ36+'4 - Clé multilignes6'!CZ36+'4 - Clé multilignes7'!CZ36</f>
        <v>0</v>
      </c>
      <c r="Y36" s="171">
        <f>'4 - Clé SALAIRES'!DA36+'4 - Clé multilignes1'!DA36+'4 - Clé multilignes2'!DA36+'4 - Clé multilignes3'!DA36+'4 - Clé multilignes4'!DA36+'4 - Clé multilignes5'!DA36+'4 - Clé multilignes6'!DA36+'4 - Clé multilignes7'!DA36</f>
        <v>0</v>
      </c>
      <c r="Z36" s="171">
        <f>'4 - Clé SALAIRES'!DB36+'4 - Clé multilignes1'!DB36+'4 - Clé multilignes2'!DB36+'4 - Clé multilignes3'!DB36+'4 - Clé multilignes4'!DB36+'4 - Clé multilignes5'!DB36+'4 - Clé multilignes6'!DB36+'4 - Clé multilignes7'!DB36</f>
        <v>0</v>
      </c>
      <c r="AB36" s="172"/>
      <c r="AC36" s="172"/>
      <c r="AD36" s="172"/>
      <c r="AE36" s="172"/>
    </row>
    <row r="37" spans="1:31" s="173" customFormat="1" ht="12.75" customHeight="1" x14ac:dyDescent="0.25">
      <c r="A37" s="165" t="str">
        <f>Matrice[[#This Row],[Ligne de la matrice]]</f>
        <v>REOM</v>
      </c>
      <c r="B37" s="171">
        <f>'4 - Clé SALAIRES'!CD37+'4 - Clé multilignes1'!CD37+'4 - Clé multilignes2'!CD37+'4 - Clé multilignes3'!CD37+'4 - Clé multilignes4'!CD37+'4 - Clé multilignes5'!CD37+'4 - Clé multilignes6'!CD37+'4 - Clé multilignes7'!CD37</f>
        <v>0</v>
      </c>
      <c r="C37" s="171">
        <f>'4 - Clé SALAIRES'!CE37+'4 - Clé multilignes1'!CE37+'4 - Clé multilignes2'!CE37+'4 - Clé multilignes3'!CE37+'4 - Clé multilignes4'!CE37+'4 - Clé multilignes5'!CE37+'4 - Clé multilignes6'!CE37+'4 - Clé multilignes7'!CE37</f>
        <v>0</v>
      </c>
      <c r="D37" s="171">
        <f>'4 - Clé SALAIRES'!CF37+'4 - Clé multilignes1'!CF37+'4 - Clé multilignes2'!CF37+'4 - Clé multilignes3'!CF37+'4 - Clé multilignes4'!CF37+'4 - Clé multilignes5'!CF37+'4 - Clé multilignes6'!CF37+'4 - Clé multilignes7'!CF37</f>
        <v>0</v>
      </c>
      <c r="E37" s="171">
        <f>'4 - Clé SALAIRES'!CG37+'4 - Clé multilignes1'!CG37+'4 - Clé multilignes2'!CG37+'4 - Clé multilignes3'!CG37+'4 - Clé multilignes4'!CG37+'4 - Clé multilignes5'!CG37+'4 - Clé multilignes6'!CG37+'4 - Clé multilignes7'!CG37</f>
        <v>0</v>
      </c>
      <c r="F37" s="171">
        <f>'4 - Clé SALAIRES'!CH37+'4 - Clé multilignes1'!CH37+'4 - Clé multilignes2'!CH37+'4 - Clé multilignes3'!CH37+'4 - Clé multilignes4'!CH37+'4 - Clé multilignes5'!CH37+'4 - Clé multilignes6'!CH37+'4 - Clé multilignes7'!CH37</f>
        <v>0</v>
      </c>
      <c r="G37" s="171">
        <f>'4 - Clé SALAIRES'!CI37+'4 - Clé multilignes1'!CI37+'4 - Clé multilignes2'!CI37+'4 - Clé multilignes3'!CI37+'4 - Clé multilignes4'!CI37+'4 - Clé multilignes5'!CI37+'4 - Clé multilignes6'!CI37+'4 - Clé multilignes7'!CI37</f>
        <v>0</v>
      </c>
      <c r="H37" s="171">
        <f>'4 - Clé SALAIRES'!CJ37+'4 - Clé multilignes1'!CJ37+'4 - Clé multilignes2'!CJ37+'4 - Clé multilignes3'!CJ37+'4 - Clé multilignes4'!CJ37+'4 - Clé multilignes5'!CJ37+'4 - Clé multilignes6'!CJ37+'4 - Clé multilignes7'!CJ37</f>
        <v>0</v>
      </c>
      <c r="I37" s="171">
        <f>'4 - Clé SALAIRES'!CK37+'4 - Clé multilignes1'!CK37+'4 - Clé multilignes2'!CK37+'4 - Clé multilignes3'!CK37+'4 - Clé multilignes4'!CK37+'4 - Clé multilignes5'!CK37+'4 - Clé multilignes6'!CK37+'4 - Clé multilignes7'!CK37</f>
        <v>0</v>
      </c>
      <c r="J37" s="171">
        <f>'4 - Clé SALAIRES'!CL37+'4 - Clé multilignes1'!CL37+'4 - Clé multilignes2'!CL37+'4 - Clé multilignes3'!CL37+'4 - Clé multilignes4'!CL37+'4 - Clé multilignes5'!CL37+'4 - Clé multilignes6'!CL37+'4 - Clé multilignes7'!CL37</f>
        <v>0</v>
      </c>
      <c r="K37" s="171">
        <f>'4 - Clé SALAIRES'!CM37+'4 - Clé multilignes1'!CM37+'4 - Clé multilignes2'!CM37+'4 - Clé multilignes3'!CM37+'4 - Clé multilignes4'!CM37+'4 - Clé multilignes5'!CM37+'4 - Clé multilignes6'!CM37+'4 - Clé multilignes7'!CM37</f>
        <v>0</v>
      </c>
      <c r="L37" s="171">
        <f>'4 - Clé SALAIRES'!CN37+'4 - Clé multilignes1'!CN37+'4 - Clé multilignes2'!CN37+'4 - Clé multilignes3'!CN37+'4 - Clé multilignes4'!CN37+'4 - Clé multilignes5'!CN37+'4 - Clé multilignes6'!CN37+'4 - Clé multilignes7'!CN37</f>
        <v>0</v>
      </c>
      <c r="M37" s="171">
        <f>'4 - Clé SALAIRES'!CO37+'4 - Clé multilignes1'!CO37+'4 - Clé multilignes2'!CO37+'4 - Clé multilignes3'!CO37+'4 - Clé multilignes4'!CO37+'4 - Clé multilignes5'!CO37+'4 - Clé multilignes6'!CO37+'4 - Clé multilignes7'!CO37</f>
        <v>0</v>
      </c>
      <c r="N37" s="171">
        <f>'4 - Clé SALAIRES'!CP37+'4 - Clé multilignes1'!CP37+'4 - Clé multilignes2'!CP37+'4 - Clé multilignes3'!CP37+'4 - Clé multilignes4'!CP37+'4 - Clé multilignes5'!CP37+'4 - Clé multilignes6'!CP37+'4 - Clé multilignes7'!CP37</f>
        <v>0</v>
      </c>
      <c r="O37" s="171">
        <f>'4 - Clé SALAIRES'!CQ37+'4 - Clé multilignes1'!CQ37+'4 - Clé multilignes2'!CQ37+'4 - Clé multilignes3'!CQ37+'4 - Clé multilignes4'!CQ37+'4 - Clé multilignes5'!CQ37+'4 - Clé multilignes6'!CQ37+'4 - Clé multilignes7'!CQ37</f>
        <v>0</v>
      </c>
      <c r="P37" s="171">
        <f>'4 - Clé SALAIRES'!CR37+'4 - Clé multilignes1'!CR37+'4 - Clé multilignes2'!CR37+'4 - Clé multilignes3'!CR37+'4 - Clé multilignes4'!CR37+'4 - Clé multilignes5'!CR37+'4 - Clé multilignes6'!CR37+'4 - Clé multilignes7'!CR37</f>
        <v>0</v>
      </c>
      <c r="Q37" s="171">
        <f>'4 - Clé SALAIRES'!CS37+'4 - Clé multilignes1'!CS37+'4 - Clé multilignes2'!CS37+'4 - Clé multilignes3'!CS37+'4 - Clé multilignes4'!CS37+'4 - Clé multilignes5'!CS37+'4 - Clé multilignes6'!CS37+'4 - Clé multilignes7'!CS37</f>
        <v>0</v>
      </c>
      <c r="R37" s="171">
        <f>'4 - Clé SALAIRES'!CT37+'4 - Clé multilignes1'!CT37+'4 - Clé multilignes2'!CT37+'4 - Clé multilignes3'!CT37+'4 - Clé multilignes4'!CT37+'4 - Clé multilignes5'!CT37+'4 - Clé multilignes6'!CT37+'4 - Clé multilignes7'!CT37</f>
        <v>0</v>
      </c>
      <c r="S37" s="171">
        <f>'4 - Clé SALAIRES'!CU37+'4 - Clé multilignes1'!CU37+'4 - Clé multilignes2'!CU37+'4 - Clé multilignes3'!CU37+'4 - Clé multilignes4'!CU37+'4 - Clé multilignes5'!CU37+'4 - Clé multilignes6'!CU37+'4 - Clé multilignes7'!CU37</f>
        <v>0</v>
      </c>
      <c r="T37" s="171">
        <f>'4 - Clé SALAIRES'!CV37+'4 - Clé multilignes1'!CV37+'4 - Clé multilignes2'!CV37+'4 - Clé multilignes3'!CV37+'4 - Clé multilignes4'!CV37+'4 - Clé multilignes5'!CV37+'4 - Clé multilignes6'!CV37+'4 - Clé multilignes7'!CV37</f>
        <v>0</v>
      </c>
      <c r="U37" s="171">
        <f>'4 - Clé SALAIRES'!CW37+'4 - Clé multilignes1'!CW37+'4 - Clé multilignes2'!CW37+'4 - Clé multilignes3'!CW37+'4 - Clé multilignes4'!CW37+'4 - Clé multilignes5'!CW37+'4 - Clé multilignes6'!CW37+'4 - Clé multilignes7'!CW37</f>
        <v>0</v>
      </c>
      <c r="V37" s="171">
        <f>'4 - Clé SALAIRES'!CX37+'4 - Clé multilignes1'!CX37+'4 - Clé multilignes2'!CX37+'4 - Clé multilignes3'!CX37+'4 - Clé multilignes4'!CX37+'4 - Clé multilignes5'!CX37+'4 - Clé multilignes6'!CX37+'4 - Clé multilignes7'!CX37</f>
        <v>0</v>
      </c>
      <c r="W37" s="171">
        <f>'4 - Clé SALAIRES'!CY37+'4 - Clé multilignes1'!CY37+'4 - Clé multilignes2'!CY37+'4 - Clé multilignes3'!CY37+'4 - Clé multilignes4'!CY37+'4 - Clé multilignes5'!CY37+'4 - Clé multilignes6'!CY37+'4 - Clé multilignes7'!CY37</f>
        <v>0</v>
      </c>
      <c r="X37" s="171">
        <f>'4 - Clé SALAIRES'!CZ37+'4 - Clé multilignes1'!CZ37+'4 - Clé multilignes2'!CZ37+'4 - Clé multilignes3'!CZ37+'4 - Clé multilignes4'!CZ37+'4 - Clé multilignes5'!CZ37+'4 - Clé multilignes6'!CZ37+'4 - Clé multilignes7'!CZ37</f>
        <v>0</v>
      </c>
      <c r="Y37" s="171">
        <f>'4 - Clé SALAIRES'!DA37+'4 - Clé multilignes1'!DA37+'4 - Clé multilignes2'!DA37+'4 - Clé multilignes3'!DA37+'4 - Clé multilignes4'!DA37+'4 - Clé multilignes5'!DA37+'4 - Clé multilignes6'!DA37+'4 - Clé multilignes7'!DA37</f>
        <v>0</v>
      </c>
      <c r="Z37" s="171">
        <f>'4 - Clé SALAIRES'!DB37+'4 - Clé multilignes1'!DB37+'4 - Clé multilignes2'!DB37+'4 - Clé multilignes3'!DB37+'4 - Clé multilignes4'!DB37+'4 - Clé multilignes5'!DB37+'4 - Clé multilignes6'!DB37+'4 - Clé multilignes7'!DB37</f>
        <v>0</v>
      </c>
      <c r="AB37" s="172"/>
      <c r="AC37" s="172"/>
      <c r="AD37" s="172"/>
      <c r="AE37" s="172"/>
    </row>
    <row r="38" spans="1:31" s="173" customFormat="1" ht="12.75" customHeight="1" x14ac:dyDescent="0.25">
      <c r="A38" s="165" t="str">
        <f>Matrice[[#This Row],[Ligne de la matrice]]</f>
        <v>Redevance spéciale et facturation à l'usager</v>
      </c>
      <c r="B38" s="171">
        <f>'4 - Clé SALAIRES'!CD38+'4 - Clé multilignes1'!CD38+'4 - Clé multilignes2'!CD38+'4 - Clé multilignes3'!CD38+'4 - Clé multilignes4'!CD38+'4 - Clé multilignes5'!CD38+'4 - Clé multilignes6'!CD38+'4 - Clé multilignes7'!CD38</f>
        <v>0</v>
      </c>
      <c r="C38" s="171">
        <f>'4 - Clé SALAIRES'!CE38+'4 - Clé multilignes1'!CE38+'4 - Clé multilignes2'!CE38+'4 - Clé multilignes3'!CE38+'4 - Clé multilignes4'!CE38+'4 - Clé multilignes5'!CE38+'4 - Clé multilignes6'!CE38+'4 - Clé multilignes7'!CE38</f>
        <v>0</v>
      </c>
      <c r="D38" s="171">
        <f>'4 - Clé SALAIRES'!CF38+'4 - Clé multilignes1'!CF38+'4 - Clé multilignes2'!CF38+'4 - Clé multilignes3'!CF38+'4 - Clé multilignes4'!CF38+'4 - Clé multilignes5'!CF38+'4 - Clé multilignes6'!CF38+'4 - Clé multilignes7'!CF38</f>
        <v>0</v>
      </c>
      <c r="E38" s="171">
        <f>'4 - Clé SALAIRES'!CG38+'4 - Clé multilignes1'!CG38+'4 - Clé multilignes2'!CG38+'4 - Clé multilignes3'!CG38+'4 - Clé multilignes4'!CG38+'4 - Clé multilignes5'!CG38+'4 - Clé multilignes6'!CG38+'4 - Clé multilignes7'!CG38</f>
        <v>0</v>
      </c>
      <c r="F38" s="171">
        <f>'4 - Clé SALAIRES'!CH38+'4 - Clé multilignes1'!CH38+'4 - Clé multilignes2'!CH38+'4 - Clé multilignes3'!CH38+'4 - Clé multilignes4'!CH38+'4 - Clé multilignes5'!CH38+'4 - Clé multilignes6'!CH38+'4 - Clé multilignes7'!CH38</f>
        <v>0</v>
      </c>
      <c r="G38" s="171">
        <f>'4 - Clé SALAIRES'!CI38+'4 - Clé multilignes1'!CI38+'4 - Clé multilignes2'!CI38+'4 - Clé multilignes3'!CI38+'4 - Clé multilignes4'!CI38+'4 - Clé multilignes5'!CI38+'4 - Clé multilignes6'!CI38+'4 - Clé multilignes7'!CI38</f>
        <v>0</v>
      </c>
      <c r="H38" s="171">
        <f>'4 - Clé SALAIRES'!CJ38+'4 - Clé multilignes1'!CJ38+'4 - Clé multilignes2'!CJ38+'4 - Clé multilignes3'!CJ38+'4 - Clé multilignes4'!CJ38+'4 - Clé multilignes5'!CJ38+'4 - Clé multilignes6'!CJ38+'4 - Clé multilignes7'!CJ38</f>
        <v>0</v>
      </c>
      <c r="I38" s="171">
        <f>'4 - Clé SALAIRES'!CK38+'4 - Clé multilignes1'!CK38+'4 - Clé multilignes2'!CK38+'4 - Clé multilignes3'!CK38+'4 - Clé multilignes4'!CK38+'4 - Clé multilignes5'!CK38+'4 - Clé multilignes6'!CK38+'4 - Clé multilignes7'!CK38</f>
        <v>0</v>
      </c>
      <c r="J38" s="171">
        <f>'4 - Clé SALAIRES'!CL38+'4 - Clé multilignes1'!CL38+'4 - Clé multilignes2'!CL38+'4 - Clé multilignes3'!CL38+'4 - Clé multilignes4'!CL38+'4 - Clé multilignes5'!CL38+'4 - Clé multilignes6'!CL38+'4 - Clé multilignes7'!CL38</f>
        <v>0</v>
      </c>
      <c r="K38" s="171">
        <f>'4 - Clé SALAIRES'!CM38+'4 - Clé multilignes1'!CM38+'4 - Clé multilignes2'!CM38+'4 - Clé multilignes3'!CM38+'4 - Clé multilignes4'!CM38+'4 - Clé multilignes5'!CM38+'4 - Clé multilignes6'!CM38+'4 - Clé multilignes7'!CM38</f>
        <v>0</v>
      </c>
      <c r="L38" s="171">
        <f>'4 - Clé SALAIRES'!CN38+'4 - Clé multilignes1'!CN38+'4 - Clé multilignes2'!CN38+'4 - Clé multilignes3'!CN38+'4 - Clé multilignes4'!CN38+'4 - Clé multilignes5'!CN38+'4 - Clé multilignes6'!CN38+'4 - Clé multilignes7'!CN38</f>
        <v>0</v>
      </c>
      <c r="M38" s="171">
        <f>'4 - Clé SALAIRES'!CO38+'4 - Clé multilignes1'!CO38+'4 - Clé multilignes2'!CO38+'4 - Clé multilignes3'!CO38+'4 - Clé multilignes4'!CO38+'4 - Clé multilignes5'!CO38+'4 - Clé multilignes6'!CO38+'4 - Clé multilignes7'!CO38</f>
        <v>0</v>
      </c>
      <c r="N38" s="171">
        <f>'4 - Clé SALAIRES'!CP38+'4 - Clé multilignes1'!CP38+'4 - Clé multilignes2'!CP38+'4 - Clé multilignes3'!CP38+'4 - Clé multilignes4'!CP38+'4 - Clé multilignes5'!CP38+'4 - Clé multilignes6'!CP38+'4 - Clé multilignes7'!CP38</f>
        <v>0</v>
      </c>
      <c r="O38" s="171">
        <f>'4 - Clé SALAIRES'!CQ38+'4 - Clé multilignes1'!CQ38+'4 - Clé multilignes2'!CQ38+'4 - Clé multilignes3'!CQ38+'4 - Clé multilignes4'!CQ38+'4 - Clé multilignes5'!CQ38+'4 - Clé multilignes6'!CQ38+'4 - Clé multilignes7'!CQ38</f>
        <v>0</v>
      </c>
      <c r="P38" s="171">
        <f>'4 - Clé SALAIRES'!CR38+'4 - Clé multilignes1'!CR38+'4 - Clé multilignes2'!CR38+'4 - Clé multilignes3'!CR38+'4 - Clé multilignes4'!CR38+'4 - Clé multilignes5'!CR38+'4 - Clé multilignes6'!CR38+'4 - Clé multilignes7'!CR38</f>
        <v>0</v>
      </c>
      <c r="Q38" s="171">
        <f>'4 - Clé SALAIRES'!CS38+'4 - Clé multilignes1'!CS38+'4 - Clé multilignes2'!CS38+'4 - Clé multilignes3'!CS38+'4 - Clé multilignes4'!CS38+'4 - Clé multilignes5'!CS38+'4 - Clé multilignes6'!CS38+'4 - Clé multilignes7'!CS38</f>
        <v>0</v>
      </c>
      <c r="R38" s="171">
        <f>'4 - Clé SALAIRES'!CT38+'4 - Clé multilignes1'!CT38+'4 - Clé multilignes2'!CT38+'4 - Clé multilignes3'!CT38+'4 - Clé multilignes4'!CT38+'4 - Clé multilignes5'!CT38+'4 - Clé multilignes6'!CT38+'4 - Clé multilignes7'!CT38</f>
        <v>0</v>
      </c>
      <c r="S38" s="171">
        <f>'4 - Clé SALAIRES'!CU38+'4 - Clé multilignes1'!CU38+'4 - Clé multilignes2'!CU38+'4 - Clé multilignes3'!CU38+'4 - Clé multilignes4'!CU38+'4 - Clé multilignes5'!CU38+'4 - Clé multilignes6'!CU38+'4 - Clé multilignes7'!CU38</f>
        <v>0</v>
      </c>
      <c r="T38" s="171">
        <f>'4 - Clé SALAIRES'!CV38+'4 - Clé multilignes1'!CV38+'4 - Clé multilignes2'!CV38+'4 - Clé multilignes3'!CV38+'4 - Clé multilignes4'!CV38+'4 - Clé multilignes5'!CV38+'4 - Clé multilignes6'!CV38+'4 - Clé multilignes7'!CV38</f>
        <v>0</v>
      </c>
      <c r="U38" s="171">
        <f>'4 - Clé SALAIRES'!CW38+'4 - Clé multilignes1'!CW38+'4 - Clé multilignes2'!CW38+'4 - Clé multilignes3'!CW38+'4 - Clé multilignes4'!CW38+'4 - Clé multilignes5'!CW38+'4 - Clé multilignes6'!CW38+'4 - Clé multilignes7'!CW38</f>
        <v>0</v>
      </c>
      <c r="V38" s="171">
        <f>'4 - Clé SALAIRES'!CX38+'4 - Clé multilignes1'!CX38+'4 - Clé multilignes2'!CX38+'4 - Clé multilignes3'!CX38+'4 - Clé multilignes4'!CX38+'4 - Clé multilignes5'!CX38+'4 - Clé multilignes6'!CX38+'4 - Clé multilignes7'!CX38</f>
        <v>0</v>
      </c>
      <c r="W38" s="171">
        <f>'4 - Clé SALAIRES'!CY38+'4 - Clé multilignes1'!CY38+'4 - Clé multilignes2'!CY38+'4 - Clé multilignes3'!CY38+'4 - Clé multilignes4'!CY38+'4 - Clé multilignes5'!CY38+'4 - Clé multilignes6'!CY38+'4 - Clé multilignes7'!CY38</f>
        <v>0</v>
      </c>
      <c r="X38" s="171">
        <f>'4 - Clé SALAIRES'!CZ38+'4 - Clé multilignes1'!CZ38+'4 - Clé multilignes2'!CZ38+'4 - Clé multilignes3'!CZ38+'4 - Clé multilignes4'!CZ38+'4 - Clé multilignes5'!CZ38+'4 - Clé multilignes6'!CZ38+'4 - Clé multilignes7'!CZ38</f>
        <v>0</v>
      </c>
      <c r="Y38" s="171">
        <f>'4 - Clé SALAIRES'!DA38+'4 - Clé multilignes1'!DA38+'4 - Clé multilignes2'!DA38+'4 - Clé multilignes3'!DA38+'4 - Clé multilignes4'!DA38+'4 - Clé multilignes5'!DA38+'4 - Clé multilignes6'!DA38+'4 - Clé multilignes7'!DA38</f>
        <v>0</v>
      </c>
      <c r="Z38" s="171">
        <f>'4 - Clé SALAIRES'!DB38+'4 - Clé multilignes1'!DB38+'4 - Clé multilignes2'!DB38+'4 - Clé multilignes3'!DB38+'4 - Clé multilignes4'!DB38+'4 - Clé multilignes5'!DB38+'4 - Clé multilignes6'!DB38+'4 - Clé multilignes7'!DB38</f>
        <v>0</v>
      </c>
      <c r="AB38" s="172"/>
      <c r="AC38" s="172"/>
      <c r="AD38" s="172"/>
      <c r="AE38" s="172"/>
    </row>
    <row r="39" spans="1:31" s="173" customFormat="1" ht="12.75" customHeight="1" x14ac:dyDescent="0.25">
      <c r="A39" s="165" t="str">
        <f>Matrice[[#This Row],[Ligne de la matrice]]</f>
        <v>Redevance spéciale</v>
      </c>
      <c r="B39" s="171">
        <f>'4 - Clé SALAIRES'!CD39+'4 - Clé multilignes1'!CD39+'4 - Clé multilignes2'!CD39+'4 - Clé multilignes3'!CD39+'4 - Clé multilignes4'!CD39+'4 - Clé multilignes5'!CD39+'4 - Clé multilignes6'!CD39+'4 - Clé multilignes7'!CD39</f>
        <v>0</v>
      </c>
      <c r="C39" s="171">
        <f>'4 - Clé SALAIRES'!CE39+'4 - Clé multilignes1'!CE39+'4 - Clé multilignes2'!CE39+'4 - Clé multilignes3'!CE39+'4 - Clé multilignes4'!CE39+'4 - Clé multilignes5'!CE39+'4 - Clé multilignes6'!CE39+'4 - Clé multilignes7'!CE39</f>
        <v>0</v>
      </c>
      <c r="D39" s="171">
        <f>'4 - Clé SALAIRES'!CF39+'4 - Clé multilignes1'!CF39+'4 - Clé multilignes2'!CF39+'4 - Clé multilignes3'!CF39+'4 - Clé multilignes4'!CF39+'4 - Clé multilignes5'!CF39+'4 - Clé multilignes6'!CF39+'4 - Clé multilignes7'!CF39</f>
        <v>0</v>
      </c>
      <c r="E39" s="171">
        <f>'4 - Clé SALAIRES'!CG39+'4 - Clé multilignes1'!CG39+'4 - Clé multilignes2'!CG39+'4 - Clé multilignes3'!CG39+'4 - Clé multilignes4'!CG39+'4 - Clé multilignes5'!CG39+'4 - Clé multilignes6'!CG39+'4 - Clé multilignes7'!CG39</f>
        <v>0</v>
      </c>
      <c r="F39" s="171">
        <f>'4 - Clé SALAIRES'!CH39+'4 - Clé multilignes1'!CH39+'4 - Clé multilignes2'!CH39+'4 - Clé multilignes3'!CH39+'4 - Clé multilignes4'!CH39+'4 - Clé multilignes5'!CH39+'4 - Clé multilignes6'!CH39+'4 - Clé multilignes7'!CH39</f>
        <v>0</v>
      </c>
      <c r="G39" s="171">
        <f>'4 - Clé SALAIRES'!CI39+'4 - Clé multilignes1'!CI39+'4 - Clé multilignes2'!CI39+'4 - Clé multilignes3'!CI39+'4 - Clé multilignes4'!CI39+'4 - Clé multilignes5'!CI39+'4 - Clé multilignes6'!CI39+'4 - Clé multilignes7'!CI39</f>
        <v>0</v>
      </c>
      <c r="H39" s="171">
        <f>'4 - Clé SALAIRES'!CJ39+'4 - Clé multilignes1'!CJ39+'4 - Clé multilignes2'!CJ39+'4 - Clé multilignes3'!CJ39+'4 - Clé multilignes4'!CJ39+'4 - Clé multilignes5'!CJ39+'4 - Clé multilignes6'!CJ39+'4 - Clé multilignes7'!CJ39</f>
        <v>0</v>
      </c>
      <c r="I39" s="171">
        <f>'4 - Clé SALAIRES'!CK39+'4 - Clé multilignes1'!CK39+'4 - Clé multilignes2'!CK39+'4 - Clé multilignes3'!CK39+'4 - Clé multilignes4'!CK39+'4 - Clé multilignes5'!CK39+'4 - Clé multilignes6'!CK39+'4 - Clé multilignes7'!CK39</f>
        <v>0</v>
      </c>
      <c r="J39" s="171">
        <f>'4 - Clé SALAIRES'!CL39+'4 - Clé multilignes1'!CL39+'4 - Clé multilignes2'!CL39+'4 - Clé multilignes3'!CL39+'4 - Clé multilignes4'!CL39+'4 - Clé multilignes5'!CL39+'4 - Clé multilignes6'!CL39+'4 - Clé multilignes7'!CL39</f>
        <v>0</v>
      </c>
      <c r="K39" s="171">
        <f>'4 - Clé SALAIRES'!CM39+'4 - Clé multilignes1'!CM39+'4 - Clé multilignes2'!CM39+'4 - Clé multilignes3'!CM39+'4 - Clé multilignes4'!CM39+'4 - Clé multilignes5'!CM39+'4 - Clé multilignes6'!CM39+'4 - Clé multilignes7'!CM39</f>
        <v>0</v>
      </c>
      <c r="L39" s="171">
        <f>'4 - Clé SALAIRES'!CN39+'4 - Clé multilignes1'!CN39+'4 - Clé multilignes2'!CN39+'4 - Clé multilignes3'!CN39+'4 - Clé multilignes4'!CN39+'4 - Clé multilignes5'!CN39+'4 - Clé multilignes6'!CN39+'4 - Clé multilignes7'!CN39</f>
        <v>0</v>
      </c>
      <c r="M39" s="171">
        <f>'4 - Clé SALAIRES'!CO39+'4 - Clé multilignes1'!CO39+'4 - Clé multilignes2'!CO39+'4 - Clé multilignes3'!CO39+'4 - Clé multilignes4'!CO39+'4 - Clé multilignes5'!CO39+'4 - Clé multilignes6'!CO39+'4 - Clé multilignes7'!CO39</f>
        <v>0</v>
      </c>
      <c r="N39" s="171">
        <f>'4 - Clé SALAIRES'!CP39+'4 - Clé multilignes1'!CP39+'4 - Clé multilignes2'!CP39+'4 - Clé multilignes3'!CP39+'4 - Clé multilignes4'!CP39+'4 - Clé multilignes5'!CP39+'4 - Clé multilignes6'!CP39+'4 - Clé multilignes7'!CP39</f>
        <v>0</v>
      </c>
      <c r="O39" s="171">
        <f>'4 - Clé SALAIRES'!CQ39+'4 - Clé multilignes1'!CQ39+'4 - Clé multilignes2'!CQ39+'4 - Clé multilignes3'!CQ39+'4 - Clé multilignes4'!CQ39+'4 - Clé multilignes5'!CQ39+'4 - Clé multilignes6'!CQ39+'4 - Clé multilignes7'!CQ39</f>
        <v>0</v>
      </c>
      <c r="P39" s="171">
        <f>'4 - Clé SALAIRES'!CR39+'4 - Clé multilignes1'!CR39+'4 - Clé multilignes2'!CR39+'4 - Clé multilignes3'!CR39+'4 - Clé multilignes4'!CR39+'4 - Clé multilignes5'!CR39+'4 - Clé multilignes6'!CR39+'4 - Clé multilignes7'!CR39</f>
        <v>0</v>
      </c>
      <c r="Q39" s="171">
        <f>'4 - Clé SALAIRES'!CS39+'4 - Clé multilignes1'!CS39+'4 - Clé multilignes2'!CS39+'4 - Clé multilignes3'!CS39+'4 - Clé multilignes4'!CS39+'4 - Clé multilignes5'!CS39+'4 - Clé multilignes6'!CS39+'4 - Clé multilignes7'!CS39</f>
        <v>0</v>
      </c>
      <c r="R39" s="171">
        <f>'4 - Clé SALAIRES'!CT39+'4 - Clé multilignes1'!CT39+'4 - Clé multilignes2'!CT39+'4 - Clé multilignes3'!CT39+'4 - Clé multilignes4'!CT39+'4 - Clé multilignes5'!CT39+'4 - Clé multilignes6'!CT39+'4 - Clé multilignes7'!CT39</f>
        <v>0</v>
      </c>
      <c r="S39" s="171">
        <f>'4 - Clé SALAIRES'!CU39+'4 - Clé multilignes1'!CU39+'4 - Clé multilignes2'!CU39+'4 - Clé multilignes3'!CU39+'4 - Clé multilignes4'!CU39+'4 - Clé multilignes5'!CU39+'4 - Clé multilignes6'!CU39+'4 - Clé multilignes7'!CU39</f>
        <v>0</v>
      </c>
      <c r="T39" s="171">
        <f>'4 - Clé SALAIRES'!CV39+'4 - Clé multilignes1'!CV39+'4 - Clé multilignes2'!CV39+'4 - Clé multilignes3'!CV39+'4 - Clé multilignes4'!CV39+'4 - Clé multilignes5'!CV39+'4 - Clé multilignes6'!CV39+'4 - Clé multilignes7'!CV39</f>
        <v>0</v>
      </c>
      <c r="U39" s="171">
        <f>'4 - Clé SALAIRES'!CW39+'4 - Clé multilignes1'!CW39+'4 - Clé multilignes2'!CW39+'4 - Clé multilignes3'!CW39+'4 - Clé multilignes4'!CW39+'4 - Clé multilignes5'!CW39+'4 - Clé multilignes6'!CW39+'4 - Clé multilignes7'!CW39</f>
        <v>0</v>
      </c>
      <c r="V39" s="171">
        <f>'4 - Clé SALAIRES'!CX39+'4 - Clé multilignes1'!CX39+'4 - Clé multilignes2'!CX39+'4 - Clé multilignes3'!CX39+'4 - Clé multilignes4'!CX39+'4 - Clé multilignes5'!CX39+'4 - Clé multilignes6'!CX39+'4 - Clé multilignes7'!CX39</f>
        <v>0</v>
      </c>
      <c r="W39" s="171">
        <f>'4 - Clé SALAIRES'!CY39+'4 - Clé multilignes1'!CY39+'4 - Clé multilignes2'!CY39+'4 - Clé multilignes3'!CY39+'4 - Clé multilignes4'!CY39+'4 - Clé multilignes5'!CY39+'4 - Clé multilignes6'!CY39+'4 - Clé multilignes7'!CY39</f>
        <v>0</v>
      </c>
      <c r="X39" s="171">
        <f>'4 - Clé SALAIRES'!CZ39+'4 - Clé multilignes1'!CZ39+'4 - Clé multilignes2'!CZ39+'4 - Clé multilignes3'!CZ39+'4 - Clé multilignes4'!CZ39+'4 - Clé multilignes5'!CZ39+'4 - Clé multilignes6'!CZ39+'4 - Clé multilignes7'!CZ39</f>
        <v>0</v>
      </c>
      <c r="Y39" s="171">
        <f>'4 - Clé SALAIRES'!DA39+'4 - Clé multilignes1'!DA39+'4 - Clé multilignes2'!DA39+'4 - Clé multilignes3'!DA39+'4 - Clé multilignes4'!DA39+'4 - Clé multilignes5'!DA39+'4 - Clé multilignes6'!DA39+'4 - Clé multilignes7'!DA39</f>
        <v>0</v>
      </c>
      <c r="Z39" s="171">
        <f>'4 - Clé SALAIRES'!DB39+'4 - Clé multilignes1'!DB39+'4 - Clé multilignes2'!DB39+'4 - Clé multilignes3'!DB39+'4 - Clé multilignes4'!DB39+'4 - Clé multilignes5'!DB39+'4 - Clé multilignes6'!DB39+'4 - Clé multilignes7'!DB39</f>
        <v>0</v>
      </c>
      <c r="AB39" s="172"/>
      <c r="AC39" s="172"/>
      <c r="AD39" s="172"/>
      <c r="AE39" s="172"/>
    </row>
    <row r="40" spans="1:31" s="173" customFormat="1" ht="12.75" customHeight="1" x14ac:dyDescent="0.25">
      <c r="A40" s="165" t="str">
        <f>Matrice[[#This Row],[Ligne de la matrice]]</f>
        <v>Facturation à l'usager</v>
      </c>
      <c r="B40" s="171">
        <f>'4 - Clé SALAIRES'!CD40+'4 - Clé multilignes1'!CD40+'4 - Clé multilignes2'!CD40+'4 - Clé multilignes3'!CD40+'4 - Clé multilignes4'!CD40+'4 - Clé multilignes5'!CD40+'4 - Clé multilignes6'!CD40+'4 - Clé multilignes7'!CD40</f>
        <v>0</v>
      </c>
      <c r="C40" s="171">
        <f>'4 - Clé SALAIRES'!CE40+'4 - Clé multilignes1'!CE40+'4 - Clé multilignes2'!CE40+'4 - Clé multilignes3'!CE40+'4 - Clé multilignes4'!CE40+'4 - Clé multilignes5'!CE40+'4 - Clé multilignes6'!CE40+'4 - Clé multilignes7'!CE40</f>
        <v>0</v>
      </c>
      <c r="D40" s="171">
        <f>'4 - Clé SALAIRES'!CF40+'4 - Clé multilignes1'!CF40+'4 - Clé multilignes2'!CF40+'4 - Clé multilignes3'!CF40+'4 - Clé multilignes4'!CF40+'4 - Clé multilignes5'!CF40+'4 - Clé multilignes6'!CF40+'4 - Clé multilignes7'!CF40</f>
        <v>0</v>
      </c>
      <c r="E40" s="171">
        <f>'4 - Clé SALAIRES'!CG40+'4 - Clé multilignes1'!CG40+'4 - Clé multilignes2'!CG40+'4 - Clé multilignes3'!CG40+'4 - Clé multilignes4'!CG40+'4 - Clé multilignes5'!CG40+'4 - Clé multilignes6'!CG40+'4 - Clé multilignes7'!CG40</f>
        <v>0</v>
      </c>
      <c r="F40" s="171">
        <f>'4 - Clé SALAIRES'!CH40+'4 - Clé multilignes1'!CH40+'4 - Clé multilignes2'!CH40+'4 - Clé multilignes3'!CH40+'4 - Clé multilignes4'!CH40+'4 - Clé multilignes5'!CH40+'4 - Clé multilignes6'!CH40+'4 - Clé multilignes7'!CH40</f>
        <v>0</v>
      </c>
      <c r="G40" s="171">
        <f>'4 - Clé SALAIRES'!CI40+'4 - Clé multilignes1'!CI40+'4 - Clé multilignes2'!CI40+'4 - Clé multilignes3'!CI40+'4 - Clé multilignes4'!CI40+'4 - Clé multilignes5'!CI40+'4 - Clé multilignes6'!CI40+'4 - Clé multilignes7'!CI40</f>
        <v>0</v>
      </c>
      <c r="H40" s="171">
        <f>'4 - Clé SALAIRES'!CJ40+'4 - Clé multilignes1'!CJ40+'4 - Clé multilignes2'!CJ40+'4 - Clé multilignes3'!CJ40+'4 - Clé multilignes4'!CJ40+'4 - Clé multilignes5'!CJ40+'4 - Clé multilignes6'!CJ40+'4 - Clé multilignes7'!CJ40</f>
        <v>0</v>
      </c>
      <c r="I40" s="171">
        <f>'4 - Clé SALAIRES'!CK40+'4 - Clé multilignes1'!CK40+'4 - Clé multilignes2'!CK40+'4 - Clé multilignes3'!CK40+'4 - Clé multilignes4'!CK40+'4 - Clé multilignes5'!CK40+'4 - Clé multilignes6'!CK40+'4 - Clé multilignes7'!CK40</f>
        <v>0</v>
      </c>
      <c r="J40" s="171">
        <f>'4 - Clé SALAIRES'!CL40+'4 - Clé multilignes1'!CL40+'4 - Clé multilignes2'!CL40+'4 - Clé multilignes3'!CL40+'4 - Clé multilignes4'!CL40+'4 - Clé multilignes5'!CL40+'4 - Clé multilignes6'!CL40+'4 - Clé multilignes7'!CL40</f>
        <v>0</v>
      </c>
      <c r="K40" s="171">
        <f>'4 - Clé SALAIRES'!CM40+'4 - Clé multilignes1'!CM40+'4 - Clé multilignes2'!CM40+'4 - Clé multilignes3'!CM40+'4 - Clé multilignes4'!CM40+'4 - Clé multilignes5'!CM40+'4 - Clé multilignes6'!CM40+'4 - Clé multilignes7'!CM40</f>
        <v>0</v>
      </c>
      <c r="L40" s="171">
        <f>'4 - Clé SALAIRES'!CN40+'4 - Clé multilignes1'!CN40+'4 - Clé multilignes2'!CN40+'4 - Clé multilignes3'!CN40+'4 - Clé multilignes4'!CN40+'4 - Clé multilignes5'!CN40+'4 - Clé multilignes6'!CN40+'4 - Clé multilignes7'!CN40</f>
        <v>0</v>
      </c>
      <c r="M40" s="171">
        <f>'4 - Clé SALAIRES'!CO40+'4 - Clé multilignes1'!CO40+'4 - Clé multilignes2'!CO40+'4 - Clé multilignes3'!CO40+'4 - Clé multilignes4'!CO40+'4 - Clé multilignes5'!CO40+'4 - Clé multilignes6'!CO40+'4 - Clé multilignes7'!CO40</f>
        <v>0</v>
      </c>
      <c r="N40" s="171">
        <f>'4 - Clé SALAIRES'!CP40+'4 - Clé multilignes1'!CP40+'4 - Clé multilignes2'!CP40+'4 - Clé multilignes3'!CP40+'4 - Clé multilignes4'!CP40+'4 - Clé multilignes5'!CP40+'4 - Clé multilignes6'!CP40+'4 - Clé multilignes7'!CP40</f>
        <v>0</v>
      </c>
      <c r="O40" s="171">
        <f>'4 - Clé SALAIRES'!CQ40+'4 - Clé multilignes1'!CQ40+'4 - Clé multilignes2'!CQ40+'4 - Clé multilignes3'!CQ40+'4 - Clé multilignes4'!CQ40+'4 - Clé multilignes5'!CQ40+'4 - Clé multilignes6'!CQ40+'4 - Clé multilignes7'!CQ40</f>
        <v>0</v>
      </c>
      <c r="P40" s="171">
        <f>'4 - Clé SALAIRES'!CR40+'4 - Clé multilignes1'!CR40+'4 - Clé multilignes2'!CR40+'4 - Clé multilignes3'!CR40+'4 - Clé multilignes4'!CR40+'4 - Clé multilignes5'!CR40+'4 - Clé multilignes6'!CR40+'4 - Clé multilignes7'!CR40</f>
        <v>0</v>
      </c>
      <c r="Q40" s="171">
        <f>'4 - Clé SALAIRES'!CS40+'4 - Clé multilignes1'!CS40+'4 - Clé multilignes2'!CS40+'4 - Clé multilignes3'!CS40+'4 - Clé multilignes4'!CS40+'4 - Clé multilignes5'!CS40+'4 - Clé multilignes6'!CS40+'4 - Clé multilignes7'!CS40</f>
        <v>0</v>
      </c>
      <c r="R40" s="171">
        <f>'4 - Clé SALAIRES'!CT40+'4 - Clé multilignes1'!CT40+'4 - Clé multilignes2'!CT40+'4 - Clé multilignes3'!CT40+'4 - Clé multilignes4'!CT40+'4 - Clé multilignes5'!CT40+'4 - Clé multilignes6'!CT40+'4 - Clé multilignes7'!CT40</f>
        <v>0</v>
      </c>
      <c r="S40" s="171">
        <f>'4 - Clé SALAIRES'!CU40+'4 - Clé multilignes1'!CU40+'4 - Clé multilignes2'!CU40+'4 - Clé multilignes3'!CU40+'4 - Clé multilignes4'!CU40+'4 - Clé multilignes5'!CU40+'4 - Clé multilignes6'!CU40+'4 - Clé multilignes7'!CU40</f>
        <v>0</v>
      </c>
      <c r="T40" s="171">
        <f>'4 - Clé SALAIRES'!CV40+'4 - Clé multilignes1'!CV40+'4 - Clé multilignes2'!CV40+'4 - Clé multilignes3'!CV40+'4 - Clé multilignes4'!CV40+'4 - Clé multilignes5'!CV40+'4 - Clé multilignes6'!CV40+'4 - Clé multilignes7'!CV40</f>
        <v>0</v>
      </c>
      <c r="U40" s="171">
        <f>'4 - Clé SALAIRES'!CW40+'4 - Clé multilignes1'!CW40+'4 - Clé multilignes2'!CW40+'4 - Clé multilignes3'!CW40+'4 - Clé multilignes4'!CW40+'4 - Clé multilignes5'!CW40+'4 - Clé multilignes6'!CW40+'4 - Clé multilignes7'!CW40</f>
        <v>0</v>
      </c>
      <c r="V40" s="171">
        <f>'4 - Clé SALAIRES'!CX40+'4 - Clé multilignes1'!CX40+'4 - Clé multilignes2'!CX40+'4 - Clé multilignes3'!CX40+'4 - Clé multilignes4'!CX40+'4 - Clé multilignes5'!CX40+'4 - Clé multilignes6'!CX40+'4 - Clé multilignes7'!CX40</f>
        <v>0</v>
      </c>
      <c r="W40" s="171">
        <f>'4 - Clé SALAIRES'!CY40+'4 - Clé multilignes1'!CY40+'4 - Clé multilignes2'!CY40+'4 - Clé multilignes3'!CY40+'4 - Clé multilignes4'!CY40+'4 - Clé multilignes5'!CY40+'4 - Clé multilignes6'!CY40+'4 - Clé multilignes7'!CY40</f>
        <v>0</v>
      </c>
      <c r="X40" s="171">
        <f>'4 - Clé SALAIRES'!CZ40+'4 - Clé multilignes1'!CZ40+'4 - Clé multilignes2'!CZ40+'4 - Clé multilignes3'!CZ40+'4 - Clé multilignes4'!CZ40+'4 - Clé multilignes5'!CZ40+'4 - Clé multilignes6'!CZ40+'4 - Clé multilignes7'!CZ40</f>
        <v>0</v>
      </c>
      <c r="Y40" s="171">
        <f>'4 - Clé SALAIRES'!DA40+'4 - Clé multilignes1'!DA40+'4 - Clé multilignes2'!DA40+'4 - Clé multilignes3'!DA40+'4 - Clé multilignes4'!DA40+'4 - Clé multilignes5'!DA40+'4 - Clé multilignes6'!DA40+'4 - Clé multilignes7'!DA40</f>
        <v>0</v>
      </c>
      <c r="Z40" s="171">
        <f>'4 - Clé SALAIRES'!DB40+'4 - Clé multilignes1'!DB40+'4 - Clé multilignes2'!DB40+'4 - Clé multilignes3'!DB40+'4 - Clé multilignes4'!DB40+'4 - Clé multilignes5'!DB40+'4 - Clé multilignes6'!DB40+'4 - Clé multilignes7'!DB40</f>
        <v>0</v>
      </c>
      <c r="AB40" s="172"/>
      <c r="AC40" s="172"/>
      <c r="AD40" s="172"/>
      <c r="AE40" s="172"/>
    </row>
    <row r="41" spans="1:31" s="173" customFormat="1" ht="12.75" customHeight="1" x14ac:dyDescent="0.25">
      <c r="A41" s="165" t="str">
        <f>Matrice[[#This Row],[Ligne de la matrice]]</f>
        <v>Contribution des collectivités</v>
      </c>
      <c r="B41" s="171">
        <f>'4 - Clé SALAIRES'!CD41+'4 - Clé multilignes1'!CD41+'4 - Clé multilignes2'!CD41+'4 - Clé multilignes3'!CD41+'4 - Clé multilignes4'!CD41+'4 - Clé multilignes5'!CD41+'4 - Clé multilignes6'!CD41+'4 - Clé multilignes7'!CD41</f>
        <v>0</v>
      </c>
      <c r="C41" s="171">
        <f>'4 - Clé SALAIRES'!CE41+'4 - Clé multilignes1'!CE41+'4 - Clé multilignes2'!CE41+'4 - Clé multilignes3'!CE41+'4 - Clé multilignes4'!CE41+'4 - Clé multilignes5'!CE41+'4 - Clé multilignes6'!CE41+'4 - Clé multilignes7'!CE41</f>
        <v>0</v>
      </c>
      <c r="D41" s="171">
        <f>'4 - Clé SALAIRES'!CF41+'4 - Clé multilignes1'!CF41+'4 - Clé multilignes2'!CF41+'4 - Clé multilignes3'!CF41+'4 - Clé multilignes4'!CF41+'4 - Clé multilignes5'!CF41+'4 - Clé multilignes6'!CF41+'4 - Clé multilignes7'!CF41</f>
        <v>0</v>
      </c>
      <c r="E41" s="171">
        <f>'4 - Clé SALAIRES'!CG41+'4 - Clé multilignes1'!CG41+'4 - Clé multilignes2'!CG41+'4 - Clé multilignes3'!CG41+'4 - Clé multilignes4'!CG41+'4 - Clé multilignes5'!CG41+'4 - Clé multilignes6'!CG41+'4 - Clé multilignes7'!CG41</f>
        <v>0</v>
      </c>
      <c r="F41" s="171">
        <f>'4 - Clé SALAIRES'!CH41+'4 - Clé multilignes1'!CH41+'4 - Clé multilignes2'!CH41+'4 - Clé multilignes3'!CH41+'4 - Clé multilignes4'!CH41+'4 - Clé multilignes5'!CH41+'4 - Clé multilignes6'!CH41+'4 - Clé multilignes7'!CH41</f>
        <v>0</v>
      </c>
      <c r="G41" s="171">
        <f>'4 - Clé SALAIRES'!CI41+'4 - Clé multilignes1'!CI41+'4 - Clé multilignes2'!CI41+'4 - Clé multilignes3'!CI41+'4 - Clé multilignes4'!CI41+'4 - Clé multilignes5'!CI41+'4 - Clé multilignes6'!CI41+'4 - Clé multilignes7'!CI41</f>
        <v>0</v>
      </c>
      <c r="H41" s="171">
        <f>'4 - Clé SALAIRES'!CJ41+'4 - Clé multilignes1'!CJ41+'4 - Clé multilignes2'!CJ41+'4 - Clé multilignes3'!CJ41+'4 - Clé multilignes4'!CJ41+'4 - Clé multilignes5'!CJ41+'4 - Clé multilignes6'!CJ41+'4 - Clé multilignes7'!CJ41</f>
        <v>0</v>
      </c>
      <c r="I41" s="171">
        <f>'4 - Clé SALAIRES'!CK41+'4 - Clé multilignes1'!CK41+'4 - Clé multilignes2'!CK41+'4 - Clé multilignes3'!CK41+'4 - Clé multilignes4'!CK41+'4 - Clé multilignes5'!CK41+'4 - Clé multilignes6'!CK41+'4 - Clé multilignes7'!CK41</f>
        <v>0</v>
      </c>
      <c r="J41" s="171">
        <f>'4 - Clé SALAIRES'!CL41+'4 - Clé multilignes1'!CL41+'4 - Clé multilignes2'!CL41+'4 - Clé multilignes3'!CL41+'4 - Clé multilignes4'!CL41+'4 - Clé multilignes5'!CL41+'4 - Clé multilignes6'!CL41+'4 - Clé multilignes7'!CL41</f>
        <v>0</v>
      </c>
      <c r="K41" s="171">
        <f>'4 - Clé SALAIRES'!CM41+'4 - Clé multilignes1'!CM41+'4 - Clé multilignes2'!CM41+'4 - Clé multilignes3'!CM41+'4 - Clé multilignes4'!CM41+'4 - Clé multilignes5'!CM41+'4 - Clé multilignes6'!CM41+'4 - Clé multilignes7'!CM41</f>
        <v>0</v>
      </c>
      <c r="L41" s="171">
        <f>'4 - Clé SALAIRES'!CN41+'4 - Clé multilignes1'!CN41+'4 - Clé multilignes2'!CN41+'4 - Clé multilignes3'!CN41+'4 - Clé multilignes4'!CN41+'4 - Clé multilignes5'!CN41+'4 - Clé multilignes6'!CN41+'4 - Clé multilignes7'!CN41</f>
        <v>0</v>
      </c>
      <c r="M41" s="171">
        <f>'4 - Clé SALAIRES'!CO41+'4 - Clé multilignes1'!CO41+'4 - Clé multilignes2'!CO41+'4 - Clé multilignes3'!CO41+'4 - Clé multilignes4'!CO41+'4 - Clé multilignes5'!CO41+'4 - Clé multilignes6'!CO41+'4 - Clé multilignes7'!CO41</f>
        <v>0</v>
      </c>
      <c r="N41" s="171">
        <f>'4 - Clé SALAIRES'!CP41+'4 - Clé multilignes1'!CP41+'4 - Clé multilignes2'!CP41+'4 - Clé multilignes3'!CP41+'4 - Clé multilignes4'!CP41+'4 - Clé multilignes5'!CP41+'4 - Clé multilignes6'!CP41+'4 - Clé multilignes7'!CP41</f>
        <v>0</v>
      </c>
      <c r="O41" s="171">
        <f>'4 - Clé SALAIRES'!CQ41+'4 - Clé multilignes1'!CQ41+'4 - Clé multilignes2'!CQ41+'4 - Clé multilignes3'!CQ41+'4 - Clé multilignes4'!CQ41+'4 - Clé multilignes5'!CQ41+'4 - Clé multilignes6'!CQ41+'4 - Clé multilignes7'!CQ41</f>
        <v>0</v>
      </c>
      <c r="P41" s="171">
        <f>'4 - Clé SALAIRES'!CR41+'4 - Clé multilignes1'!CR41+'4 - Clé multilignes2'!CR41+'4 - Clé multilignes3'!CR41+'4 - Clé multilignes4'!CR41+'4 - Clé multilignes5'!CR41+'4 - Clé multilignes6'!CR41+'4 - Clé multilignes7'!CR41</f>
        <v>0</v>
      </c>
      <c r="Q41" s="171">
        <f>'4 - Clé SALAIRES'!CS41+'4 - Clé multilignes1'!CS41+'4 - Clé multilignes2'!CS41+'4 - Clé multilignes3'!CS41+'4 - Clé multilignes4'!CS41+'4 - Clé multilignes5'!CS41+'4 - Clé multilignes6'!CS41+'4 - Clé multilignes7'!CS41</f>
        <v>0</v>
      </c>
      <c r="R41" s="171">
        <f>'4 - Clé SALAIRES'!CT41+'4 - Clé multilignes1'!CT41+'4 - Clé multilignes2'!CT41+'4 - Clé multilignes3'!CT41+'4 - Clé multilignes4'!CT41+'4 - Clé multilignes5'!CT41+'4 - Clé multilignes6'!CT41+'4 - Clé multilignes7'!CT41</f>
        <v>0</v>
      </c>
      <c r="S41" s="171">
        <f>'4 - Clé SALAIRES'!CU41+'4 - Clé multilignes1'!CU41+'4 - Clé multilignes2'!CU41+'4 - Clé multilignes3'!CU41+'4 - Clé multilignes4'!CU41+'4 - Clé multilignes5'!CU41+'4 - Clé multilignes6'!CU41+'4 - Clé multilignes7'!CU41</f>
        <v>0</v>
      </c>
      <c r="T41" s="171">
        <f>'4 - Clé SALAIRES'!CV41+'4 - Clé multilignes1'!CV41+'4 - Clé multilignes2'!CV41+'4 - Clé multilignes3'!CV41+'4 - Clé multilignes4'!CV41+'4 - Clé multilignes5'!CV41+'4 - Clé multilignes6'!CV41+'4 - Clé multilignes7'!CV41</f>
        <v>0</v>
      </c>
      <c r="U41" s="171">
        <f>'4 - Clé SALAIRES'!CW41+'4 - Clé multilignes1'!CW41+'4 - Clé multilignes2'!CW41+'4 - Clé multilignes3'!CW41+'4 - Clé multilignes4'!CW41+'4 - Clé multilignes5'!CW41+'4 - Clé multilignes6'!CW41+'4 - Clé multilignes7'!CW41</f>
        <v>0</v>
      </c>
      <c r="V41" s="171">
        <f>'4 - Clé SALAIRES'!CX41+'4 - Clé multilignes1'!CX41+'4 - Clé multilignes2'!CX41+'4 - Clé multilignes3'!CX41+'4 - Clé multilignes4'!CX41+'4 - Clé multilignes5'!CX41+'4 - Clé multilignes6'!CX41+'4 - Clé multilignes7'!CX41</f>
        <v>0</v>
      </c>
      <c r="W41" s="171">
        <f>'4 - Clé SALAIRES'!CY41+'4 - Clé multilignes1'!CY41+'4 - Clé multilignes2'!CY41+'4 - Clé multilignes3'!CY41+'4 - Clé multilignes4'!CY41+'4 - Clé multilignes5'!CY41+'4 - Clé multilignes6'!CY41+'4 - Clé multilignes7'!CY41</f>
        <v>0</v>
      </c>
      <c r="X41" s="171">
        <f>'4 - Clé SALAIRES'!CZ41+'4 - Clé multilignes1'!CZ41+'4 - Clé multilignes2'!CZ41+'4 - Clé multilignes3'!CZ41+'4 - Clé multilignes4'!CZ41+'4 - Clé multilignes5'!CZ41+'4 - Clé multilignes6'!CZ41+'4 - Clé multilignes7'!CZ41</f>
        <v>0</v>
      </c>
      <c r="Y41" s="171">
        <f>'4 - Clé SALAIRES'!DA41+'4 - Clé multilignes1'!DA41+'4 - Clé multilignes2'!DA41+'4 - Clé multilignes3'!DA41+'4 - Clé multilignes4'!DA41+'4 - Clé multilignes5'!DA41+'4 - Clé multilignes6'!DA41+'4 - Clé multilignes7'!DA41</f>
        <v>0</v>
      </c>
      <c r="Z41" s="171">
        <f>'4 - Clé SALAIRES'!DB41+'4 - Clé multilignes1'!DB41+'4 - Clé multilignes2'!DB41+'4 - Clé multilignes3'!DB41+'4 - Clé multilignes4'!DB41+'4 - Clé multilignes5'!DB41+'4 - Clé multilignes6'!DB41+'4 - Clé multilignes7'!DB41</f>
        <v>0</v>
      </c>
      <c r="AB41" s="172"/>
      <c r="AC41" s="172"/>
      <c r="AD41" s="172"/>
      <c r="AE41" s="172"/>
    </row>
    <row r="42" spans="1:31" s="173" customFormat="1" ht="12.75" customHeight="1" x14ac:dyDescent="0.25">
      <c r="A42" s="174"/>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B42" s="172"/>
      <c r="AC42" s="172"/>
      <c r="AD42" s="172"/>
      <c r="AE42" s="172"/>
    </row>
    <row r="43" spans="1:31" s="172" customFormat="1" ht="12.75" customHeight="1" x14ac:dyDescent="0.25">
      <c r="A43" s="176"/>
    </row>
    <row r="44" spans="1:31" x14ac:dyDescent="0.25">
      <c r="A44" s="165" t="str">
        <f>Matrice[[#This Row],[Ligne de la matrice]]</f>
        <v>Exemple : REG incinération / énergie</v>
      </c>
      <c r="B44" s="171">
        <f>'4 - Clé SALAIRES'!CD44+'4 - Clé multilignes1'!CD44+'4 - Clé multilignes2'!CD44+'4 - Clé multilignes3'!CD44+'4 - Clé multilignes4'!CD44+'4 - Clé multilignes5'!CD44+'4 - Clé multilignes6'!CD44+'4 - Clé multilignes7'!CD44</f>
        <v>0</v>
      </c>
      <c r="C44" s="171">
        <f>'4 - Clé SALAIRES'!CE44+'4 - Clé multilignes1'!CE44+'4 - Clé multilignes2'!CE44+'4 - Clé multilignes3'!CE44+'4 - Clé multilignes4'!CE44+'4 - Clé multilignes5'!CE44+'4 - Clé multilignes6'!CE44+'4 - Clé multilignes7'!CE44</f>
        <v>0</v>
      </c>
      <c r="D44" s="171">
        <f>'4 - Clé SALAIRES'!CF44+'4 - Clé multilignes1'!CF44+'4 - Clé multilignes2'!CF44+'4 - Clé multilignes3'!CF44+'4 - Clé multilignes4'!CF44+'4 - Clé multilignes5'!CF44+'4 - Clé multilignes6'!CF44+'4 - Clé multilignes7'!CF44</f>
        <v>0</v>
      </c>
      <c r="E44" s="171">
        <f>'4 - Clé SALAIRES'!CG44+'4 - Clé multilignes1'!CG44+'4 - Clé multilignes2'!CG44+'4 - Clé multilignes3'!CG44+'4 - Clé multilignes4'!CG44+'4 - Clé multilignes5'!CG44+'4 - Clé multilignes6'!CG44+'4 - Clé multilignes7'!CG44</f>
        <v>0</v>
      </c>
      <c r="F44" s="171">
        <f>'4 - Clé SALAIRES'!CH44+'4 - Clé multilignes1'!CH44+'4 - Clé multilignes2'!CH44+'4 - Clé multilignes3'!CH44+'4 - Clé multilignes4'!CH44+'4 - Clé multilignes5'!CH44+'4 - Clé multilignes6'!CH44+'4 - Clé multilignes7'!CH44</f>
        <v>0</v>
      </c>
      <c r="G44" s="171">
        <f>'4 - Clé SALAIRES'!CI44+'4 - Clé multilignes1'!CI44+'4 - Clé multilignes2'!CI44+'4 - Clé multilignes3'!CI44+'4 - Clé multilignes4'!CI44+'4 - Clé multilignes5'!CI44+'4 - Clé multilignes6'!CI44+'4 - Clé multilignes7'!CI44</f>
        <v>0</v>
      </c>
      <c r="H44" s="171">
        <f>'4 - Clé SALAIRES'!CJ44+'4 - Clé multilignes1'!CJ44+'4 - Clé multilignes2'!CJ44+'4 - Clé multilignes3'!CJ44+'4 - Clé multilignes4'!CJ44+'4 - Clé multilignes5'!CJ44+'4 - Clé multilignes6'!CJ44+'4 - Clé multilignes7'!CJ44</f>
        <v>0</v>
      </c>
      <c r="I44" s="171">
        <f>'4 - Clé SALAIRES'!CK44+'4 - Clé multilignes1'!CK44+'4 - Clé multilignes2'!CK44+'4 - Clé multilignes3'!CK44+'4 - Clé multilignes4'!CK44+'4 - Clé multilignes5'!CK44+'4 - Clé multilignes6'!CK44+'4 - Clé multilignes7'!CK44</f>
        <v>0</v>
      </c>
      <c r="J44" s="171">
        <f>'4 - Clé SALAIRES'!CL44+'4 - Clé multilignes1'!CL44+'4 - Clé multilignes2'!CL44+'4 - Clé multilignes3'!CL44+'4 - Clé multilignes4'!CL44+'4 - Clé multilignes5'!CL44+'4 - Clé multilignes6'!CL44+'4 - Clé multilignes7'!CL44</f>
        <v>0</v>
      </c>
      <c r="K44" s="171">
        <f>'4 - Clé SALAIRES'!CM44+'4 - Clé multilignes1'!CM44+'4 - Clé multilignes2'!CM44+'4 - Clé multilignes3'!CM44+'4 - Clé multilignes4'!CM44+'4 - Clé multilignes5'!CM44+'4 - Clé multilignes6'!CM44+'4 - Clé multilignes7'!CM44</f>
        <v>0</v>
      </c>
      <c r="L44" s="171">
        <f>'4 - Clé SALAIRES'!CN44+'4 - Clé multilignes1'!CN44+'4 - Clé multilignes2'!CN44+'4 - Clé multilignes3'!CN44+'4 - Clé multilignes4'!CN44+'4 - Clé multilignes5'!CN44+'4 - Clé multilignes6'!CN44+'4 - Clé multilignes7'!CN44</f>
        <v>0</v>
      </c>
      <c r="M44" s="171">
        <f>'4 - Clé SALAIRES'!CO44+'4 - Clé multilignes1'!CO44+'4 - Clé multilignes2'!CO44+'4 - Clé multilignes3'!CO44+'4 - Clé multilignes4'!CO44+'4 - Clé multilignes5'!CO44+'4 - Clé multilignes6'!CO44+'4 - Clé multilignes7'!CO44</f>
        <v>0</v>
      </c>
      <c r="N44" s="171">
        <f>'4 - Clé SALAIRES'!CP44+'4 - Clé multilignes1'!CP44+'4 - Clé multilignes2'!CP44+'4 - Clé multilignes3'!CP44+'4 - Clé multilignes4'!CP44+'4 - Clé multilignes5'!CP44+'4 - Clé multilignes6'!CP44+'4 - Clé multilignes7'!CP44</f>
        <v>0</v>
      </c>
      <c r="O44" s="171">
        <f>'4 - Clé SALAIRES'!CQ44+'4 - Clé multilignes1'!CQ44+'4 - Clé multilignes2'!CQ44+'4 - Clé multilignes3'!CQ44+'4 - Clé multilignes4'!CQ44+'4 - Clé multilignes5'!CQ44+'4 - Clé multilignes6'!CQ44+'4 - Clé multilignes7'!CQ44</f>
        <v>0</v>
      </c>
      <c r="P44" s="171">
        <f>'4 - Clé SALAIRES'!CR44+'4 - Clé multilignes1'!CR44+'4 - Clé multilignes2'!CR44+'4 - Clé multilignes3'!CR44+'4 - Clé multilignes4'!CR44+'4 - Clé multilignes5'!CR44+'4 - Clé multilignes6'!CR44+'4 - Clé multilignes7'!CR44</f>
        <v>0</v>
      </c>
      <c r="Q44" s="171">
        <f>'4 - Clé SALAIRES'!CS44+'4 - Clé multilignes1'!CS44+'4 - Clé multilignes2'!CS44+'4 - Clé multilignes3'!CS44+'4 - Clé multilignes4'!CS44+'4 - Clé multilignes5'!CS44+'4 - Clé multilignes6'!CS44+'4 - Clé multilignes7'!CS44</f>
        <v>0</v>
      </c>
      <c r="R44" s="171">
        <f>'4 - Clé SALAIRES'!CT44+'4 - Clé multilignes1'!CT44+'4 - Clé multilignes2'!CT44+'4 - Clé multilignes3'!CT44+'4 - Clé multilignes4'!CT44+'4 - Clé multilignes5'!CT44+'4 - Clé multilignes6'!CT44+'4 - Clé multilignes7'!CT44</f>
        <v>0</v>
      </c>
      <c r="S44" s="171">
        <f>'4 - Clé SALAIRES'!CU44+'4 - Clé multilignes1'!CU44+'4 - Clé multilignes2'!CU44+'4 - Clé multilignes3'!CU44+'4 - Clé multilignes4'!CU44+'4 - Clé multilignes5'!CU44+'4 - Clé multilignes6'!CU44+'4 - Clé multilignes7'!CU44</f>
        <v>0</v>
      </c>
      <c r="T44" s="171">
        <f>'4 - Clé SALAIRES'!CV44+'4 - Clé multilignes1'!CV44+'4 - Clé multilignes2'!CV44+'4 - Clé multilignes3'!CV44+'4 - Clé multilignes4'!CV44+'4 - Clé multilignes5'!CV44+'4 - Clé multilignes6'!CV44+'4 - Clé multilignes7'!CV44</f>
        <v>0</v>
      </c>
      <c r="U44" s="171">
        <f>'4 - Clé SALAIRES'!CW44+'4 - Clé multilignes1'!CW44+'4 - Clé multilignes2'!CW44+'4 - Clé multilignes3'!CW44+'4 - Clé multilignes4'!CW44+'4 - Clé multilignes5'!CW44+'4 - Clé multilignes6'!CW44+'4 - Clé multilignes7'!CW44</f>
        <v>0</v>
      </c>
      <c r="V44" s="171">
        <f>'4 - Clé SALAIRES'!CX44+'4 - Clé multilignes1'!CX44+'4 - Clé multilignes2'!CX44+'4 - Clé multilignes3'!CX44+'4 - Clé multilignes4'!CX44+'4 - Clé multilignes5'!CX44+'4 - Clé multilignes6'!CX44+'4 - Clé multilignes7'!CX44</f>
        <v>0</v>
      </c>
      <c r="W44" s="171">
        <f>'4 - Clé SALAIRES'!CY44+'4 - Clé multilignes1'!CY44+'4 - Clé multilignes2'!CY44+'4 - Clé multilignes3'!CY44+'4 - Clé multilignes4'!CY44+'4 - Clé multilignes5'!CY44+'4 - Clé multilignes6'!CY44+'4 - Clé multilignes7'!CY44</f>
        <v>0</v>
      </c>
      <c r="X44" s="171">
        <f>'4 - Clé SALAIRES'!CZ44+'4 - Clé multilignes1'!CZ44+'4 - Clé multilignes2'!CZ44+'4 - Clé multilignes3'!CZ44+'4 - Clé multilignes4'!CZ44+'4 - Clé multilignes5'!CZ44+'4 - Clé multilignes6'!CZ44+'4 - Clé multilignes7'!CZ44</f>
        <v>0</v>
      </c>
      <c r="Y44" s="171">
        <f>'4 - Clé SALAIRES'!DA44+'4 - Clé multilignes1'!DA44+'4 - Clé multilignes2'!DA44+'4 - Clé multilignes3'!DA44+'4 - Clé multilignes4'!DA44+'4 - Clé multilignes5'!DA44+'4 - Clé multilignes6'!DA44+'4 - Clé multilignes7'!DA44</f>
        <v>0</v>
      </c>
      <c r="Z44" s="171">
        <f>'4 - Clé SALAIRES'!DB44+'4 - Clé multilignes1'!DB44+'4 - Clé multilignes2'!DB44+'4 - Clé multilignes3'!DB44+'4 - Clé multilignes4'!DB44+'4 - Clé multilignes5'!DB44+'4 - Clé multilignes6'!DB44+'4 - Clé multilignes7'!DB44</f>
        <v>0</v>
      </c>
    </row>
    <row r="45" spans="1:31" x14ac:dyDescent="0.25">
      <c r="A45" s="165">
        <f>Matrice[[#This Row],[Ligne de la matrice]]</f>
        <v>0</v>
      </c>
      <c r="B45" s="171">
        <f>'4 - Clé SALAIRES'!CD45+'4 - Clé multilignes1'!CD45+'4 - Clé multilignes2'!CD45+'4 - Clé multilignes3'!CD45+'4 - Clé multilignes4'!CD45+'4 - Clé multilignes5'!CD45+'4 - Clé multilignes6'!CD45+'4 - Clé multilignes7'!CD45</f>
        <v>0</v>
      </c>
      <c r="C45" s="171">
        <f>'4 - Clé SALAIRES'!CE45+'4 - Clé multilignes1'!CE45+'4 - Clé multilignes2'!CE45+'4 - Clé multilignes3'!CE45+'4 - Clé multilignes4'!CE45+'4 - Clé multilignes5'!CE45+'4 - Clé multilignes6'!CE45+'4 - Clé multilignes7'!CE45</f>
        <v>0</v>
      </c>
      <c r="D45" s="171">
        <f>'4 - Clé SALAIRES'!CF45+'4 - Clé multilignes1'!CF45+'4 - Clé multilignes2'!CF45+'4 - Clé multilignes3'!CF45+'4 - Clé multilignes4'!CF45+'4 - Clé multilignes5'!CF45+'4 - Clé multilignes6'!CF45+'4 - Clé multilignes7'!CF45</f>
        <v>0</v>
      </c>
      <c r="E45" s="171">
        <f>'4 - Clé SALAIRES'!CG45+'4 - Clé multilignes1'!CG45+'4 - Clé multilignes2'!CG45+'4 - Clé multilignes3'!CG45+'4 - Clé multilignes4'!CG45+'4 - Clé multilignes5'!CG45+'4 - Clé multilignes6'!CG45+'4 - Clé multilignes7'!CG45</f>
        <v>0</v>
      </c>
      <c r="F45" s="171">
        <f>'4 - Clé SALAIRES'!CH45+'4 - Clé multilignes1'!CH45+'4 - Clé multilignes2'!CH45+'4 - Clé multilignes3'!CH45+'4 - Clé multilignes4'!CH45+'4 - Clé multilignes5'!CH45+'4 - Clé multilignes6'!CH45+'4 - Clé multilignes7'!CH45</f>
        <v>0</v>
      </c>
      <c r="G45" s="171">
        <f>'4 - Clé SALAIRES'!CI45+'4 - Clé multilignes1'!CI45+'4 - Clé multilignes2'!CI45+'4 - Clé multilignes3'!CI45+'4 - Clé multilignes4'!CI45+'4 - Clé multilignes5'!CI45+'4 - Clé multilignes6'!CI45+'4 - Clé multilignes7'!CI45</f>
        <v>0</v>
      </c>
      <c r="H45" s="171">
        <f>'4 - Clé SALAIRES'!CJ45+'4 - Clé multilignes1'!CJ45+'4 - Clé multilignes2'!CJ45+'4 - Clé multilignes3'!CJ45+'4 - Clé multilignes4'!CJ45+'4 - Clé multilignes5'!CJ45+'4 - Clé multilignes6'!CJ45+'4 - Clé multilignes7'!CJ45</f>
        <v>0</v>
      </c>
      <c r="I45" s="171">
        <f>'4 - Clé SALAIRES'!CK45+'4 - Clé multilignes1'!CK45+'4 - Clé multilignes2'!CK45+'4 - Clé multilignes3'!CK45+'4 - Clé multilignes4'!CK45+'4 - Clé multilignes5'!CK45+'4 - Clé multilignes6'!CK45+'4 - Clé multilignes7'!CK45</f>
        <v>0</v>
      </c>
      <c r="J45" s="171">
        <f>'4 - Clé SALAIRES'!CL45+'4 - Clé multilignes1'!CL45+'4 - Clé multilignes2'!CL45+'4 - Clé multilignes3'!CL45+'4 - Clé multilignes4'!CL45+'4 - Clé multilignes5'!CL45+'4 - Clé multilignes6'!CL45+'4 - Clé multilignes7'!CL45</f>
        <v>0</v>
      </c>
      <c r="K45" s="171">
        <f>'4 - Clé SALAIRES'!CM45+'4 - Clé multilignes1'!CM45+'4 - Clé multilignes2'!CM45+'4 - Clé multilignes3'!CM45+'4 - Clé multilignes4'!CM45+'4 - Clé multilignes5'!CM45+'4 - Clé multilignes6'!CM45+'4 - Clé multilignes7'!CM45</f>
        <v>0</v>
      </c>
      <c r="L45" s="171">
        <f>'4 - Clé SALAIRES'!CN45+'4 - Clé multilignes1'!CN45+'4 - Clé multilignes2'!CN45+'4 - Clé multilignes3'!CN45+'4 - Clé multilignes4'!CN45+'4 - Clé multilignes5'!CN45+'4 - Clé multilignes6'!CN45+'4 - Clé multilignes7'!CN45</f>
        <v>0</v>
      </c>
      <c r="M45" s="171">
        <f>'4 - Clé SALAIRES'!CO45+'4 - Clé multilignes1'!CO45+'4 - Clé multilignes2'!CO45+'4 - Clé multilignes3'!CO45+'4 - Clé multilignes4'!CO45+'4 - Clé multilignes5'!CO45+'4 - Clé multilignes6'!CO45+'4 - Clé multilignes7'!CO45</f>
        <v>0</v>
      </c>
      <c r="N45" s="171">
        <f>'4 - Clé SALAIRES'!CP45+'4 - Clé multilignes1'!CP45+'4 - Clé multilignes2'!CP45+'4 - Clé multilignes3'!CP45+'4 - Clé multilignes4'!CP45+'4 - Clé multilignes5'!CP45+'4 - Clé multilignes6'!CP45+'4 - Clé multilignes7'!CP45</f>
        <v>0</v>
      </c>
      <c r="O45" s="171">
        <f>'4 - Clé SALAIRES'!CQ45+'4 - Clé multilignes1'!CQ45+'4 - Clé multilignes2'!CQ45+'4 - Clé multilignes3'!CQ45+'4 - Clé multilignes4'!CQ45+'4 - Clé multilignes5'!CQ45+'4 - Clé multilignes6'!CQ45+'4 - Clé multilignes7'!CQ45</f>
        <v>0</v>
      </c>
      <c r="P45" s="171">
        <f>'4 - Clé SALAIRES'!CR45+'4 - Clé multilignes1'!CR45+'4 - Clé multilignes2'!CR45+'4 - Clé multilignes3'!CR45+'4 - Clé multilignes4'!CR45+'4 - Clé multilignes5'!CR45+'4 - Clé multilignes6'!CR45+'4 - Clé multilignes7'!CR45</f>
        <v>0</v>
      </c>
      <c r="Q45" s="171">
        <f>'4 - Clé SALAIRES'!CS45+'4 - Clé multilignes1'!CS45+'4 - Clé multilignes2'!CS45+'4 - Clé multilignes3'!CS45+'4 - Clé multilignes4'!CS45+'4 - Clé multilignes5'!CS45+'4 - Clé multilignes6'!CS45+'4 - Clé multilignes7'!CS45</f>
        <v>0</v>
      </c>
      <c r="R45" s="171">
        <f>'4 - Clé SALAIRES'!CT45+'4 - Clé multilignes1'!CT45+'4 - Clé multilignes2'!CT45+'4 - Clé multilignes3'!CT45+'4 - Clé multilignes4'!CT45+'4 - Clé multilignes5'!CT45+'4 - Clé multilignes6'!CT45+'4 - Clé multilignes7'!CT45</f>
        <v>0</v>
      </c>
      <c r="S45" s="171">
        <f>'4 - Clé SALAIRES'!CU45+'4 - Clé multilignes1'!CU45+'4 - Clé multilignes2'!CU45+'4 - Clé multilignes3'!CU45+'4 - Clé multilignes4'!CU45+'4 - Clé multilignes5'!CU45+'4 - Clé multilignes6'!CU45+'4 - Clé multilignes7'!CU45</f>
        <v>0</v>
      </c>
      <c r="T45" s="171">
        <f>'4 - Clé SALAIRES'!CV45+'4 - Clé multilignes1'!CV45+'4 - Clé multilignes2'!CV45+'4 - Clé multilignes3'!CV45+'4 - Clé multilignes4'!CV45+'4 - Clé multilignes5'!CV45+'4 - Clé multilignes6'!CV45+'4 - Clé multilignes7'!CV45</f>
        <v>0</v>
      </c>
      <c r="U45" s="171">
        <f>'4 - Clé SALAIRES'!CW45+'4 - Clé multilignes1'!CW45+'4 - Clé multilignes2'!CW45+'4 - Clé multilignes3'!CW45+'4 - Clé multilignes4'!CW45+'4 - Clé multilignes5'!CW45+'4 - Clé multilignes6'!CW45+'4 - Clé multilignes7'!CW45</f>
        <v>0</v>
      </c>
      <c r="V45" s="171">
        <f>'4 - Clé SALAIRES'!CX45+'4 - Clé multilignes1'!CX45+'4 - Clé multilignes2'!CX45+'4 - Clé multilignes3'!CX45+'4 - Clé multilignes4'!CX45+'4 - Clé multilignes5'!CX45+'4 - Clé multilignes6'!CX45+'4 - Clé multilignes7'!CX45</f>
        <v>0</v>
      </c>
      <c r="W45" s="171">
        <f>'4 - Clé SALAIRES'!CY45+'4 - Clé multilignes1'!CY45+'4 - Clé multilignes2'!CY45+'4 - Clé multilignes3'!CY45+'4 - Clé multilignes4'!CY45+'4 - Clé multilignes5'!CY45+'4 - Clé multilignes6'!CY45+'4 - Clé multilignes7'!CY45</f>
        <v>0</v>
      </c>
      <c r="X45" s="171">
        <f>'4 - Clé SALAIRES'!CZ45+'4 - Clé multilignes1'!CZ45+'4 - Clé multilignes2'!CZ45+'4 - Clé multilignes3'!CZ45+'4 - Clé multilignes4'!CZ45+'4 - Clé multilignes5'!CZ45+'4 - Clé multilignes6'!CZ45+'4 - Clé multilignes7'!CZ45</f>
        <v>0</v>
      </c>
      <c r="Y45" s="171">
        <f>'4 - Clé SALAIRES'!DA45+'4 - Clé multilignes1'!DA45+'4 - Clé multilignes2'!DA45+'4 - Clé multilignes3'!DA45+'4 - Clé multilignes4'!DA45+'4 - Clé multilignes5'!DA45+'4 - Clé multilignes6'!DA45+'4 - Clé multilignes7'!DA45</f>
        <v>0</v>
      </c>
      <c r="Z45" s="171">
        <f>'4 - Clé SALAIRES'!DB45+'4 - Clé multilignes1'!DB45+'4 - Clé multilignes2'!DB45+'4 - Clé multilignes3'!DB45+'4 - Clé multilignes4'!DB45+'4 - Clé multilignes5'!DB45+'4 - Clé multilignes6'!DB45+'4 - Clé multilignes7'!DB45</f>
        <v>0</v>
      </c>
    </row>
    <row r="46" spans="1:31" x14ac:dyDescent="0.25">
      <c r="A46" s="165">
        <f>Matrice[[#This Row],[Ligne de la matrice]]</f>
        <v>0</v>
      </c>
      <c r="B46" s="171">
        <f>'4 - Clé SALAIRES'!CD46+'4 - Clé multilignes1'!CD46+'4 - Clé multilignes2'!CD46+'4 - Clé multilignes3'!CD46+'4 - Clé multilignes4'!CD46+'4 - Clé multilignes5'!CD46+'4 - Clé multilignes6'!CD46+'4 - Clé multilignes7'!CD46</f>
        <v>0</v>
      </c>
      <c r="C46" s="171">
        <f>'4 - Clé SALAIRES'!CE46+'4 - Clé multilignes1'!CE46+'4 - Clé multilignes2'!CE46+'4 - Clé multilignes3'!CE46+'4 - Clé multilignes4'!CE46+'4 - Clé multilignes5'!CE46+'4 - Clé multilignes6'!CE46+'4 - Clé multilignes7'!CE46</f>
        <v>0</v>
      </c>
      <c r="D46" s="171">
        <f>'4 - Clé SALAIRES'!CF46+'4 - Clé multilignes1'!CF46+'4 - Clé multilignes2'!CF46+'4 - Clé multilignes3'!CF46+'4 - Clé multilignes4'!CF46+'4 - Clé multilignes5'!CF46+'4 - Clé multilignes6'!CF46+'4 - Clé multilignes7'!CF46</f>
        <v>0</v>
      </c>
      <c r="E46" s="171">
        <f>'4 - Clé SALAIRES'!CG46+'4 - Clé multilignes1'!CG46+'4 - Clé multilignes2'!CG46+'4 - Clé multilignes3'!CG46+'4 - Clé multilignes4'!CG46+'4 - Clé multilignes5'!CG46+'4 - Clé multilignes6'!CG46+'4 - Clé multilignes7'!CG46</f>
        <v>0</v>
      </c>
      <c r="F46" s="171">
        <f>'4 - Clé SALAIRES'!CH46+'4 - Clé multilignes1'!CH46+'4 - Clé multilignes2'!CH46+'4 - Clé multilignes3'!CH46+'4 - Clé multilignes4'!CH46+'4 - Clé multilignes5'!CH46+'4 - Clé multilignes6'!CH46+'4 - Clé multilignes7'!CH46</f>
        <v>0</v>
      </c>
      <c r="G46" s="171">
        <f>'4 - Clé SALAIRES'!CI46+'4 - Clé multilignes1'!CI46+'4 - Clé multilignes2'!CI46+'4 - Clé multilignes3'!CI46+'4 - Clé multilignes4'!CI46+'4 - Clé multilignes5'!CI46+'4 - Clé multilignes6'!CI46+'4 - Clé multilignes7'!CI46</f>
        <v>0</v>
      </c>
      <c r="H46" s="171">
        <f>'4 - Clé SALAIRES'!CJ46+'4 - Clé multilignes1'!CJ46+'4 - Clé multilignes2'!CJ46+'4 - Clé multilignes3'!CJ46+'4 - Clé multilignes4'!CJ46+'4 - Clé multilignes5'!CJ46+'4 - Clé multilignes6'!CJ46+'4 - Clé multilignes7'!CJ46</f>
        <v>0</v>
      </c>
      <c r="I46" s="171">
        <f>'4 - Clé SALAIRES'!CK46+'4 - Clé multilignes1'!CK46+'4 - Clé multilignes2'!CK46+'4 - Clé multilignes3'!CK46+'4 - Clé multilignes4'!CK46+'4 - Clé multilignes5'!CK46+'4 - Clé multilignes6'!CK46+'4 - Clé multilignes7'!CK46</f>
        <v>0</v>
      </c>
      <c r="J46" s="171">
        <f>'4 - Clé SALAIRES'!CL46+'4 - Clé multilignes1'!CL46+'4 - Clé multilignes2'!CL46+'4 - Clé multilignes3'!CL46+'4 - Clé multilignes4'!CL46+'4 - Clé multilignes5'!CL46+'4 - Clé multilignes6'!CL46+'4 - Clé multilignes7'!CL46</f>
        <v>0</v>
      </c>
      <c r="K46" s="171">
        <f>'4 - Clé SALAIRES'!CM46+'4 - Clé multilignes1'!CM46+'4 - Clé multilignes2'!CM46+'4 - Clé multilignes3'!CM46+'4 - Clé multilignes4'!CM46+'4 - Clé multilignes5'!CM46+'4 - Clé multilignes6'!CM46+'4 - Clé multilignes7'!CM46</f>
        <v>0</v>
      </c>
      <c r="L46" s="171">
        <f>'4 - Clé SALAIRES'!CN46+'4 - Clé multilignes1'!CN46+'4 - Clé multilignes2'!CN46+'4 - Clé multilignes3'!CN46+'4 - Clé multilignes4'!CN46+'4 - Clé multilignes5'!CN46+'4 - Clé multilignes6'!CN46+'4 - Clé multilignes7'!CN46</f>
        <v>0</v>
      </c>
      <c r="M46" s="171">
        <f>'4 - Clé SALAIRES'!CO46+'4 - Clé multilignes1'!CO46+'4 - Clé multilignes2'!CO46+'4 - Clé multilignes3'!CO46+'4 - Clé multilignes4'!CO46+'4 - Clé multilignes5'!CO46+'4 - Clé multilignes6'!CO46+'4 - Clé multilignes7'!CO46</f>
        <v>0</v>
      </c>
      <c r="N46" s="171">
        <f>'4 - Clé SALAIRES'!CP46+'4 - Clé multilignes1'!CP46+'4 - Clé multilignes2'!CP46+'4 - Clé multilignes3'!CP46+'4 - Clé multilignes4'!CP46+'4 - Clé multilignes5'!CP46+'4 - Clé multilignes6'!CP46+'4 - Clé multilignes7'!CP46</f>
        <v>0</v>
      </c>
      <c r="O46" s="171">
        <f>'4 - Clé SALAIRES'!CQ46+'4 - Clé multilignes1'!CQ46+'4 - Clé multilignes2'!CQ46+'4 - Clé multilignes3'!CQ46+'4 - Clé multilignes4'!CQ46+'4 - Clé multilignes5'!CQ46+'4 - Clé multilignes6'!CQ46+'4 - Clé multilignes7'!CQ46</f>
        <v>0</v>
      </c>
      <c r="P46" s="171">
        <f>'4 - Clé SALAIRES'!CR46+'4 - Clé multilignes1'!CR46+'4 - Clé multilignes2'!CR46+'4 - Clé multilignes3'!CR46+'4 - Clé multilignes4'!CR46+'4 - Clé multilignes5'!CR46+'4 - Clé multilignes6'!CR46+'4 - Clé multilignes7'!CR46</f>
        <v>0</v>
      </c>
      <c r="Q46" s="171">
        <f>'4 - Clé SALAIRES'!CS46+'4 - Clé multilignes1'!CS46+'4 - Clé multilignes2'!CS46+'4 - Clé multilignes3'!CS46+'4 - Clé multilignes4'!CS46+'4 - Clé multilignes5'!CS46+'4 - Clé multilignes6'!CS46+'4 - Clé multilignes7'!CS46</f>
        <v>0</v>
      </c>
      <c r="R46" s="171">
        <f>'4 - Clé SALAIRES'!CT46+'4 - Clé multilignes1'!CT46+'4 - Clé multilignes2'!CT46+'4 - Clé multilignes3'!CT46+'4 - Clé multilignes4'!CT46+'4 - Clé multilignes5'!CT46+'4 - Clé multilignes6'!CT46+'4 - Clé multilignes7'!CT46</f>
        <v>0</v>
      </c>
      <c r="S46" s="171">
        <f>'4 - Clé SALAIRES'!CU46+'4 - Clé multilignes1'!CU46+'4 - Clé multilignes2'!CU46+'4 - Clé multilignes3'!CU46+'4 - Clé multilignes4'!CU46+'4 - Clé multilignes5'!CU46+'4 - Clé multilignes6'!CU46+'4 - Clé multilignes7'!CU46</f>
        <v>0</v>
      </c>
      <c r="T46" s="171">
        <f>'4 - Clé SALAIRES'!CV46+'4 - Clé multilignes1'!CV46+'4 - Clé multilignes2'!CV46+'4 - Clé multilignes3'!CV46+'4 - Clé multilignes4'!CV46+'4 - Clé multilignes5'!CV46+'4 - Clé multilignes6'!CV46+'4 - Clé multilignes7'!CV46</f>
        <v>0</v>
      </c>
      <c r="U46" s="171">
        <f>'4 - Clé SALAIRES'!CW46+'4 - Clé multilignes1'!CW46+'4 - Clé multilignes2'!CW46+'4 - Clé multilignes3'!CW46+'4 - Clé multilignes4'!CW46+'4 - Clé multilignes5'!CW46+'4 - Clé multilignes6'!CW46+'4 - Clé multilignes7'!CW46</f>
        <v>0</v>
      </c>
      <c r="V46" s="171">
        <f>'4 - Clé SALAIRES'!CX46+'4 - Clé multilignes1'!CX46+'4 - Clé multilignes2'!CX46+'4 - Clé multilignes3'!CX46+'4 - Clé multilignes4'!CX46+'4 - Clé multilignes5'!CX46+'4 - Clé multilignes6'!CX46+'4 - Clé multilignes7'!CX46</f>
        <v>0</v>
      </c>
      <c r="W46" s="171">
        <f>'4 - Clé SALAIRES'!CY46+'4 - Clé multilignes1'!CY46+'4 - Clé multilignes2'!CY46+'4 - Clé multilignes3'!CY46+'4 - Clé multilignes4'!CY46+'4 - Clé multilignes5'!CY46+'4 - Clé multilignes6'!CY46+'4 - Clé multilignes7'!CY46</f>
        <v>0</v>
      </c>
      <c r="X46" s="171">
        <f>'4 - Clé SALAIRES'!CZ46+'4 - Clé multilignes1'!CZ46+'4 - Clé multilignes2'!CZ46+'4 - Clé multilignes3'!CZ46+'4 - Clé multilignes4'!CZ46+'4 - Clé multilignes5'!CZ46+'4 - Clé multilignes6'!CZ46+'4 - Clé multilignes7'!CZ46</f>
        <v>0</v>
      </c>
      <c r="Y46" s="171">
        <f>'4 - Clé SALAIRES'!DA46+'4 - Clé multilignes1'!DA46+'4 - Clé multilignes2'!DA46+'4 - Clé multilignes3'!DA46+'4 - Clé multilignes4'!DA46+'4 - Clé multilignes5'!DA46+'4 - Clé multilignes6'!DA46+'4 - Clé multilignes7'!DA46</f>
        <v>0</v>
      </c>
      <c r="Z46" s="171">
        <f>'4 - Clé SALAIRES'!DB46+'4 - Clé multilignes1'!DB46+'4 - Clé multilignes2'!DB46+'4 - Clé multilignes3'!DB46+'4 - Clé multilignes4'!DB46+'4 - Clé multilignes5'!DB46+'4 - Clé multilignes6'!DB46+'4 - Clé multilignes7'!DB46</f>
        <v>0</v>
      </c>
    </row>
    <row r="47" spans="1:31" x14ac:dyDescent="0.25">
      <c r="A47" s="165">
        <f>Matrice[[#This Row],[Ligne de la matrice]]</f>
        <v>0</v>
      </c>
      <c r="B47" s="171">
        <f>'4 - Clé SALAIRES'!CD47+'4 - Clé multilignes1'!CD47+'4 - Clé multilignes2'!CD47+'4 - Clé multilignes3'!CD47+'4 - Clé multilignes4'!CD47+'4 - Clé multilignes5'!CD47+'4 - Clé multilignes6'!CD47+'4 - Clé multilignes7'!CD47</f>
        <v>0</v>
      </c>
      <c r="C47" s="171">
        <f>'4 - Clé SALAIRES'!CE47+'4 - Clé multilignes1'!CE47+'4 - Clé multilignes2'!CE47+'4 - Clé multilignes3'!CE47+'4 - Clé multilignes4'!CE47+'4 - Clé multilignes5'!CE47+'4 - Clé multilignes6'!CE47+'4 - Clé multilignes7'!CE47</f>
        <v>0</v>
      </c>
      <c r="D47" s="171">
        <f>'4 - Clé SALAIRES'!CF47+'4 - Clé multilignes1'!CF47+'4 - Clé multilignes2'!CF47+'4 - Clé multilignes3'!CF47+'4 - Clé multilignes4'!CF47+'4 - Clé multilignes5'!CF47+'4 - Clé multilignes6'!CF47+'4 - Clé multilignes7'!CF47</f>
        <v>0</v>
      </c>
      <c r="E47" s="171">
        <f>'4 - Clé SALAIRES'!CG47+'4 - Clé multilignes1'!CG47+'4 - Clé multilignes2'!CG47+'4 - Clé multilignes3'!CG47+'4 - Clé multilignes4'!CG47+'4 - Clé multilignes5'!CG47+'4 - Clé multilignes6'!CG47+'4 - Clé multilignes7'!CG47</f>
        <v>0</v>
      </c>
      <c r="F47" s="171">
        <f>'4 - Clé SALAIRES'!CH47+'4 - Clé multilignes1'!CH47+'4 - Clé multilignes2'!CH47+'4 - Clé multilignes3'!CH47+'4 - Clé multilignes4'!CH47+'4 - Clé multilignes5'!CH47+'4 - Clé multilignes6'!CH47+'4 - Clé multilignes7'!CH47</f>
        <v>0</v>
      </c>
      <c r="G47" s="171">
        <f>'4 - Clé SALAIRES'!CI47+'4 - Clé multilignes1'!CI47+'4 - Clé multilignes2'!CI47+'4 - Clé multilignes3'!CI47+'4 - Clé multilignes4'!CI47+'4 - Clé multilignes5'!CI47+'4 - Clé multilignes6'!CI47+'4 - Clé multilignes7'!CI47</f>
        <v>0</v>
      </c>
      <c r="H47" s="171">
        <f>'4 - Clé SALAIRES'!CJ47+'4 - Clé multilignes1'!CJ47+'4 - Clé multilignes2'!CJ47+'4 - Clé multilignes3'!CJ47+'4 - Clé multilignes4'!CJ47+'4 - Clé multilignes5'!CJ47+'4 - Clé multilignes6'!CJ47+'4 - Clé multilignes7'!CJ47</f>
        <v>0</v>
      </c>
      <c r="I47" s="171">
        <f>'4 - Clé SALAIRES'!CK47+'4 - Clé multilignes1'!CK47+'4 - Clé multilignes2'!CK47+'4 - Clé multilignes3'!CK47+'4 - Clé multilignes4'!CK47+'4 - Clé multilignes5'!CK47+'4 - Clé multilignes6'!CK47+'4 - Clé multilignes7'!CK47</f>
        <v>0</v>
      </c>
      <c r="J47" s="171">
        <f>'4 - Clé SALAIRES'!CL47+'4 - Clé multilignes1'!CL47+'4 - Clé multilignes2'!CL47+'4 - Clé multilignes3'!CL47+'4 - Clé multilignes4'!CL47+'4 - Clé multilignes5'!CL47+'4 - Clé multilignes6'!CL47+'4 - Clé multilignes7'!CL47</f>
        <v>0</v>
      </c>
      <c r="K47" s="171">
        <f>'4 - Clé SALAIRES'!CM47+'4 - Clé multilignes1'!CM47+'4 - Clé multilignes2'!CM47+'4 - Clé multilignes3'!CM47+'4 - Clé multilignes4'!CM47+'4 - Clé multilignes5'!CM47+'4 - Clé multilignes6'!CM47+'4 - Clé multilignes7'!CM47</f>
        <v>0</v>
      </c>
      <c r="L47" s="171">
        <f>'4 - Clé SALAIRES'!CN47+'4 - Clé multilignes1'!CN47+'4 - Clé multilignes2'!CN47+'4 - Clé multilignes3'!CN47+'4 - Clé multilignes4'!CN47+'4 - Clé multilignes5'!CN47+'4 - Clé multilignes6'!CN47+'4 - Clé multilignes7'!CN47</f>
        <v>0</v>
      </c>
      <c r="M47" s="171">
        <f>'4 - Clé SALAIRES'!CO47+'4 - Clé multilignes1'!CO47+'4 - Clé multilignes2'!CO47+'4 - Clé multilignes3'!CO47+'4 - Clé multilignes4'!CO47+'4 - Clé multilignes5'!CO47+'4 - Clé multilignes6'!CO47+'4 - Clé multilignes7'!CO47</f>
        <v>0</v>
      </c>
      <c r="N47" s="171">
        <f>'4 - Clé SALAIRES'!CP47+'4 - Clé multilignes1'!CP47+'4 - Clé multilignes2'!CP47+'4 - Clé multilignes3'!CP47+'4 - Clé multilignes4'!CP47+'4 - Clé multilignes5'!CP47+'4 - Clé multilignes6'!CP47+'4 - Clé multilignes7'!CP47</f>
        <v>0</v>
      </c>
      <c r="O47" s="171">
        <f>'4 - Clé SALAIRES'!CQ47+'4 - Clé multilignes1'!CQ47+'4 - Clé multilignes2'!CQ47+'4 - Clé multilignes3'!CQ47+'4 - Clé multilignes4'!CQ47+'4 - Clé multilignes5'!CQ47+'4 - Clé multilignes6'!CQ47+'4 - Clé multilignes7'!CQ47</f>
        <v>0</v>
      </c>
      <c r="P47" s="171">
        <f>'4 - Clé SALAIRES'!CR47+'4 - Clé multilignes1'!CR47+'4 - Clé multilignes2'!CR47+'4 - Clé multilignes3'!CR47+'4 - Clé multilignes4'!CR47+'4 - Clé multilignes5'!CR47+'4 - Clé multilignes6'!CR47+'4 - Clé multilignes7'!CR47</f>
        <v>0</v>
      </c>
      <c r="Q47" s="171">
        <f>'4 - Clé SALAIRES'!CS47+'4 - Clé multilignes1'!CS47+'4 - Clé multilignes2'!CS47+'4 - Clé multilignes3'!CS47+'4 - Clé multilignes4'!CS47+'4 - Clé multilignes5'!CS47+'4 - Clé multilignes6'!CS47+'4 - Clé multilignes7'!CS47</f>
        <v>0</v>
      </c>
      <c r="R47" s="171">
        <f>'4 - Clé SALAIRES'!CT47+'4 - Clé multilignes1'!CT47+'4 - Clé multilignes2'!CT47+'4 - Clé multilignes3'!CT47+'4 - Clé multilignes4'!CT47+'4 - Clé multilignes5'!CT47+'4 - Clé multilignes6'!CT47+'4 - Clé multilignes7'!CT47</f>
        <v>0</v>
      </c>
      <c r="S47" s="171">
        <f>'4 - Clé SALAIRES'!CU47+'4 - Clé multilignes1'!CU47+'4 - Clé multilignes2'!CU47+'4 - Clé multilignes3'!CU47+'4 - Clé multilignes4'!CU47+'4 - Clé multilignes5'!CU47+'4 - Clé multilignes6'!CU47+'4 - Clé multilignes7'!CU47</f>
        <v>0</v>
      </c>
      <c r="T47" s="171">
        <f>'4 - Clé SALAIRES'!CV47+'4 - Clé multilignes1'!CV47+'4 - Clé multilignes2'!CV47+'4 - Clé multilignes3'!CV47+'4 - Clé multilignes4'!CV47+'4 - Clé multilignes5'!CV47+'4 - Clé multilignes6'!CV47+'4 - Clé multilignes7'!CV47</f>
        <v>0</v>
      </c>
      <c r="U47" s="171">
        <f>'4 - Clé SALAIRES'!CW47+'4 - Clé multilignes1'!CW47+'4 - Clé multilignes2'!CW47+'4 - Clé multilignes3'!CW47+'4 - Clé multilignes4'!CW47+'4 - Clé multilignes5'!CW47+'4 - Clé multilignes6'!CW47+'4 - Clé multilignes7'!CW47</f>
        <v>0</v>
      </c>
      <c r="V47" s="171">
        <f>'4 - Clé SALAIRES'!CX47+'4 - Clé multilignes1'!CX47+'4 - Clé multilignes2'!CX47+'4 - Clé multilignes3'!CX47+'4 - Clé multilignes4'!CX47+'4 - Clé multilignes5'!CX47+'4 - Clé multilignes6'!CX47+'4 - Clé multilignes7'!CX47</f>
        <v>0</v>
      </c>
      <c r="W47" s="171">
        <f>'4 - Clé SALAIRES'!CY47+'4 - Clé multilignes1'!CY47+'4 - Clé multilignes2'!CY47+'4 - Clé multilignes3'!CY47+'4 - Clé multilignes4'!CY47+'4 - Clé multilignes5'!CY47+'4 - Clé multilignes6'!CY47+'4 - Clé multilignes7'!CY47</f>
        <v>0</v>
      </c>
      <c r="X47" s="171">
        <f>'4 - Clé SALAIRES'!CZ47+'4 - Clé multilignes1'!CZ47+'4 - Clé multilignes2'!CZ47+'4 - Clé multilignes3'!CZ47+'4 - Clé multilignes4'!CZ47+'4 - Clé multilignes5'!CZ47+'4 - Clé multilignes6'!CZ47+'4 - Clé multilignes7'!CZ47</f>
        <v>0</v>
      </c>
      <c r="Y47" s="171">
        <f>'4 - Clé SALAIRES'!DA47+'4 - Clé multilignes1'!DA47+'4 - Clé multilignes2'!DA47+'4 - Clé multilignes3'!DA47+'4 - Clé multilignes4'!DA47+'4 - Clé multilignes5'!DA47+'4 - Clé multilignes6'!DA47+'4 - Clé multilignes7'!DA47</f>
        <v>0</v>
      </c>
      <c r="Z47" s="171">
        <f>'4 - Clé SALAIRES'!DB47+'4 - Clé multilignes1'!DB47+'4 - Clé multilignes2'!DB47+'4 - Clé multilignes3'!DB47+'4 - Clé multilignes4'!DB47+'4 - Clé multilignes5'!DB47+'4 - Clé multilignes6'!DB47+'4 - Clé multilignes7'!DB47</f>
        <v>0</v>
      </c>
    </row>
    <row r="48" spans="1:31" x14ac:dyDescent="0.25">
      <c r="A48" s="165">
        <f>Matrice[[#This Row],[Ligne de la matrice]]</f>
        <v>0</v>
      </c>
      <c r="B48" s="171">
        <f>'4 - Clé SALAIRES'!CD48+'4 - Clé multilignes1'!CD48+'4 - Clé multilignes2'!CD48+'4 - Clé multilignes3'!CD48+'4 - Clé multilignes4'!CD48+'4 - Clé multilignes5'!CD48+'4 - Clé multilignes6'!CD48+'4 - Clé multilignes7'!CD48</f>
        <v>0</v>
      </c>
      <c r="C48" s="171">
        <f>'4 - Clé SALAIRES'!CE48+'4 - Clé multilignes1'!CE48+'4 - Clé multilignes2'!CE48+'4 - Clé multilignes3'!CE48+'4 - Clé multilignes4'!CE48+'4 - Clé multilignes5'!CE48+'4 - Clé multilignes6'!CE48+'4 - Clé multilignes7'!CE48</f>
        <v>0</v>
      </c>
      <c r="D48" s="171">
        <f>'4 - Clé SALAIRES'!CF48+'4 - Clé multilignes1'!CF48+'4 - Clé multilignes2'!CF48+'4 - Clé multilignes3'!CF48+'4 - Clé multilignes4'!CF48+'4 - Clé multilignes5'!CF48+'4 - Clé multilignes6'!CF48+'4 - Clé multilignes7'!CF48</f>
        <v>0</v>
      </c>
      <c r="E48" s="171">
        <f>'4 - Clé SALAIRES'!CG48+'4 - Clé multilignes1'!CG48+'4 - Clé multilignes2'!CG48+'4 - Clé multilignes3'!CG48+'4 - Clé multilignes4'!CG48+'4 - Clé multilignes5'!CG48+'4 - Clé multilignes6'!CG48+'4 - Clé multilignes7'!CG48</f>
        <v>0</v>
      </c>
      <c r="F48" s="171">
        <f>'4 - Clé SALAIRES'!CH48+'4 - Clé multilignes1'!CH48+'4 - Clé multilignes2'!CH48+'4 - Clé multilignes3'!CH48+'4 - Clé multilignes4'!CH48+'4 - Clé multilignes5'!CH48+'4 - Clé multilignes6'!CH48+'4 - Clé multilignes7'!CH48</f>
        <v>0</v>
      </c>
      <c r="G48" s="171">
        <f>'4 - Clé SALAIRES'!CI48+'4 - Clé multilignes1'!CI48+'4 - Clé multilignes2'!CI48+'4 - Clé multilignes3'!CI48+'4 - Clé multilignes4'!CI48+'4 - Clé multilignes5'!CI48+'4 - Clé multilignes6'!CI48+'4 - Clé multilignes7'!CI48</f>
        <v>0</v>
      </c>
      <c r="H48" s="171">
        <f>'4 - Clé SALAIRES'!CJ48+'4 - Clé multilignes1'!CJ48+'4 - Clé multilignes2'!CJ48+'4 - Clé multilignes3'!CJ48+'4 - Clé multilignes4'!CJ48+'4 - Clé multilignes5'!CJ48+'4 - Clé multilignes6'!CJ48+'4 - Clé multilignes7'!CJ48</f>
        <v>0</v>
      </c>
      <c r="I48" s="171">
        <f>'4 - Clé SALAIRES'!CK48+'4 - Clé multilignes1'!CK48+'4 - Clé multilignes2'!CK48+'4 - Clé multilignes3'!CK48+'4 - Clé multilignes4'!CK48+'4 - Clé multilignes5'!CK48+'4 - Clé multilignes6'!CK48+'4 - Clé multilignes7'!CK48</f>
        <v>0</v>
      </c>
      <c r="J48" s="171">
        <f>'4 - Clé SALAIRES'!CL48+'4 - Clé multilignes1'!CL48+'4 - Clé multilignes2'!CL48+'4 - Clé multilignes3'!CL48+'4 - Clé multilignes4'!CL48+'4 - Clé multilignes5'!CL48+'4 - Clé multilignes6'!CL48+'4 - Clé multilignes7'!CL48</f>
        <v>0</v>
      </c>
      <c r="K48" s="171">
        <f>'4 - Clé SALAIRES'!CM48+'4 - Clé multilignes1'!CM48+'4 - Clé multilignes2'!CM48+'4 - Clé multilignes3'!CM48+'4 - Clé multilignes4'!CM48+'4 - Clé multilignes5'!CM48+'4 - Clé multilignes6'!CM48+'4 - Clé multilignes7'!CM48</f>
        <v>0</v>
      </c>
      <c r="L48" s="171">
        <f>'4 - Clé SALAIRES'!CN48+'4 - Clé multilignes1'!CN48+'4 - Clé multilignes2'!CN48+'4 - Clé multilignes3'!CN48+'4 - Clé multilignes4'!CN48+'4 - Clé multilignes5'!CN48+'4 - Clé multilignes6'!CN48+'4 - Clé multilignes7'!CN48</f>
        <v>0</v>
      </c>
      <c r="M48" s="171">
        <f>'4 - Clé SALAIRES'!CO48+'4 - Clé multilignes1'!CO48+'4 - Clé multilignes2'!CO48+'4 - Clé multilignes3'!CO48+'4 - Clé multilignes4'!CO48+'4 - Clé multilignes5'!CO48+'4 - Clé multilignes6'!CO48+'4 - Clé multilignes7'!CO48</f>
        <v>0</v>
      </c>
      <c r="N48" s="171">
        <f>'4 - Clé SALAIRES'!CP48+'4 - Clé multilignes1'!CP48+'4 - Clé multilignes2'!CP48+'4 - Clé multilignes3'!CP48+'4 - Clé multilignes4'!CP48+'4 - Clé multilignes5'!CP48+'4 - Clé multilignes6'!CP48+'4 - Clé multilignes7'!CP48</f>
        <v>0</v>
      </c>
      <c r="O48" s="171">
        <f>'4 - Clé SALAIRES'!CQ48+'4 - Clé multilignes1'!CQ48+'4 - Clé multilignes2'!CQ48+'4 - Clé multilignes3'!CQ48+'4 - Clé multilignes4'!CQ48+'4 - Clé multilignes5'!CQ48+'4 - Clé multilignes6'!CQ48+'4 - Clé multilignes7'!CQ48</f>
        <v>0</v>
      </c>
      <c r="P48" s="171">
        <f>'4 - Clé SALAIRES'!CR48+'4 - Clé multilignes1'!CR48+'4 - Clé multilignes2'!CR48+'4 - Clé multilignes3'!CR48+'4 - Clé multilignes4'!CR48+'4 - Clé multilignes5'!CR48+'4 - Clé multilignes6'!CR48+'4 - Clé multilignes7'!CR48</f>
        <v>0</v>
      </c>
      <c r="Q48" s="171">
        <f>'4 - Clé SALAIRES'!CS48+'4 - Clé multilignes1'!CS48+'4 - Clé multilignes2'!CS48+'4 - Clé multilignes3'!CS48+'4 - Clé multilignes4'!CS48+'4 - Clé multilignes5'!CS48+'4 - Clé multilignes6'!CS48+'4 - Clé multilignes7'!CS48</f>
        <v>0</v>
      </c>
      <c r="R48" s="171">
        <f>'4 - Clé SALAIRES'!CT48+'4 - Clé multilignes1'!CT48+'4 - Clé multilignes2'!CT48+'4 - Clé multilignes3'!CT48+'4 - Clé multilignes4'!CT48+'4 - Clé multilignes5'!CT48+'4 - Clé multilignes6'!CT48+'4 - Clé multilignes7'!CT48</f>
        <v>0</v>
      </c>
      <c r="S48" s="171">
        <f>'4 - Clé SALAIRES'!CU48+'4 - Clé multilignes1'!CU48+'4 - Clé multilignes2'!CU48+'4 - Clé multilignes3'!CU48+'4 - Clé multilignes4'!CU48+'4 - Clé multilignes5'!CU48+'4 - Clé multilignes6'!CU48+'4 - Clé multilignes7'!CU48</f>
        <v>0</v>
      </c>
      <c r="T48" s="171">
        <f>'4 - Clé SALAIRES'!CV48+'4 - Clé multilignes1'!CV48+'4 - Clé multilignes2'!CV48+'4 - Clé multilignes3'!CV48+'4 - Clé multilignes4'!CV48+'4 - Clé multilignes5'!CV48+'4 - Clé multilignes6'!CV48+'4 - Clé multilignes7'!CV48</f>
        <v>0</v>
      </c>
      <c r="U48" s="171">
        <f>'4 - Clé SALAIRES'!CW48+'4 - Clé multilignes1'!CW48+'4 - Clé multilignes2'!CW48+'4 - Clé multilignes3'!CW48+'4 - Clé multilignes4'!CW48+'4 - Clé multilignes5'!CW48+'4 - Clé multilignes6'!CW48+'4 - Clé multilignes7'!CW48</f>
        <v>0</v>
      </c>
      <c r="V48" s="171">
        <f>'4 - Clé SALAIRES'!CX48+'4 - Clé multilignes1'!CX48+'4 - Clé multilignes2'!CX48+'4 - Clé multilignes3'!CX48+'4 - Clé multilignes4'!CX48+'4 - Clé multilignes5'!CX48+'4 - Clé multilignes6'!CX48+'4 - Clé multilignes7'!CX48</f>
        <v>0</v>
      </c>
      <c r="W48" s="171">
        <f>'4 - Clé SALAIRES'!CY48+'4 - Clé multilignes1'!CY48+'4 - Clé multilignes2'!CY48+'4 - Clé multilignes3'!CY48+'4 - Clé multilignes4'!CY48+'4 - Clé multilignes5'!CY48+'4 - Clé multilignes6'!CY48+'4 - Clé multilignes7'!CY48</f>
        <v>0</v>
      </c>
      <c r="X48" s="171">
        <f>'4 - Clé SALAIRES'!CZ48+'4 - Clé multilignes1'!CZ48+'4 - Clé multilignes2'!CZ48+'4 - Clé multilignes3'!CZ48+'4 - Clé multilignes4'!CZ48+'4 - Clé multilignes5'!CZ48+'4 - Clé multilignes6'!CZ48+'4 - Clé multilignes7'!CZ48</f>
        <v>0</v>
      </c>
      <c r="Y48" s="171">
        <f>'4 - Clé SALAIRES'!DA48+'4 - Clé multilignes1'!DA48+'4 - Clé multilignes2'!DA48+'4 - Clé multilignes3'!DA48+'4 - Clé multilignes4'!DA48+'4 - Clé multilignes5'!DA48+'4 - Clé multilignes6'!DA48+'4 - Clé multilignes7'!DA48</f>
        <v>0</v>
      </c>
      <c r="Z48" s="171">
        <f>'4 - Clé SALAIRES'!DB48+'4 - Clé multilignes1'!DB48+'4 - Clé multilignes2'!DB48+'4 - Clé multilignes3'!DB48+'4 - Clé multilignes4'!DB48+'4 - Clé multilignes5'!DB48+'4 - Clé multilignes6'!DB48+'4 - Clé multilignes7'!DB48</f>
        <v>0</v>
      </c>
    </row>
    <row r="49" spans="1:26" x14ac:dyDescent="0.25">
      <c r="A49" s="165">
        <f>Matrice[[#This Row],[Ligne de la matrice]]</f>
        <v>0</v>
      </c>
      <c r="B49" s="171">
        <f>'4 - Clé SALAIRES'!CD49+'4 - Clé multilignes1'!CD49+'4 - Clé multilignes2'!CD49+'4 - Clé multilignes3'!CD49+'4 - Clé multilignes4'!CD49+'4 - Clé multilignes5'!CD49+'4 - Clé multilignes6'!CD49+'4 - Clé multilignes7'!CD49</f>
        <v>0</v>
      </c>
      <c r="C49" s="171">
        <f>'4 - Clé SALAIRES'!CE49+'4 - Clé multilignes1'!CE49+'4 - Clé multilignes2'!CE49+'4 - Clé multilignes3'!CE49+'4 - Clé multilignes4'!CE49+'4 - Clé multilignes5'!CE49+'4 - Clé multilignes6'!CE49+'4 - Clé multilignes7'!CE49</f>
        <v>0</v>
      </c>
      <c r="D49" s="171">
        <f>'4 - Clé SALAIRES'!CF49+'4 - Clé multilignes1'!CF49+'4 - Clé multilignes2'!CF49+'4 - Clé multilignes3'!CF49+'4 - Clé multilignes4'!CF49+'4 - Clé multilignes5'!CF49+'4 - Clé multilignes6'!CF49+'4 - Clé multilignes7'!CF49</f>
        <v>0</v>
      </c>
      <c r="E49" s="171">
        <f>'4 - Clé SALAIRES'!CG49+'4 - Clé multilignes1'!CG49+'4 - Clé multilignes2'!CG49+'4 - Clé multilignes3'!CG49+'4 - Clé multilignes4'!CG49+'4 - Clé multilignes5'!CG49+'4 - Clé multilignes6'!CG49+'4 - Clé multilignes7'!CG49</f>
        <v>0</v>
      </c>
      <c r="F49" s="171">
        <f>'4 - Clé SALAIRES'!CH49+'4 - Clé multilignes1'!CH49+'4 - Clé multilignes2'!CH49+'4 - Clé multilignes3'!CH49+'4 - Clé multilignes4'!CH49+'4 - Clé multilignes5'!CH49+'4 - Clé multilignes6'!CH49+'4 - Clé multilignes7'!CH49</f>
        <v>0</v>
      </c>
      <c r="G49" s="171">
        <f>'4 - Clé SALAIRES'!CI49+'4 - Clé multilignes1'!CI49+'4 - Clé multilignes2'!CI49+'4 - Clé multilignes3'!CI49+'4 - Clé multilignes4'!CI49+'4 - Clé multilignes5'!CI49+'4 - Clé multilignes6'!CI49+'4 - Clé multilignes7'!CI49</f>
        <v>0</v>
      </c>
      <c r="H49" s="171">
        <f>'4 - Clé SALAIRES'!CJ49+'4 - Clé multilignes1'!CJ49+'4 - Clé multilignes2'!CJ49+'4 - Clé multilignes3'!CJ49+'4 - Clé multilignes4'!CJ49+'4 - Clé multilignes5'!CJ49+'4 - Clé multilignes6'!CJ49+'4 - Clé multilignes7'!CJ49</f>
        <v>0</v>
      </c>
      <c r="I49" s="171">
        <f>'4 - Clé SALAIRES'!CK49+'4 - Clé multilignes1'!CK49+'4 - Clé multilignes2'!CK49+'4 - Clé multilignes3'!CK49+'4 - Clé multilignes4'!CK49+'4 - Clé multilignes5'!CK49+'4 - Clé multilignes6'!CK49+'4 - Clé multilignes7'!CK49</f>
        <v>0</v>
      </c>
      <c r="J49" s="171">
        <f>'4 - Clé SALAIRES'!CL49+'4 - Clé multilignes1'!CL49+'4 - Clé multilignes2'!CL49+'4 - Clé multilignes3'!CL49+'4 - Clé multilignes4'!CL49+'4 - Clé multilignes5'!CL49+'4 - Clé multilignes6'!CL49+'4 - Clé multilignes7'!CL49</f>
        <v>0</v>
      </c>
      <c r="K49" s="171">
        <f>'4 - Clé SALAIRES'!CM49+'4 - Clé multilignes1'!CM49+'4 - Clé multilignes2'!CM49+'4 - Clé multilignes3'!CM49+'4 - Clé multilignes4'!CM49+'4 - Clé multilignes5'!CM49+'4 - Clé multilignes6'!CM49+'4 - Clé multilignes7'!CM49</f>
        <v>0</v>
      </c>
      <c r="L49" s="171">
        <f>'4 - Clé SALAIRES'!CN49+'4 - Clé multilignes1'!CN49+'4 - Clé multilignes2'!CN49+'4 - Clé multilignes3'!CN49+'4 - Clé multilignes4'!CN49+'4 - Clé multilignes5'!CN49+'4 - Clé multilignes6'!CN49+'4 - Clé multilignes7'!CN49</f>
        <v>0</v>
      </c>
      <c r="M49" s="171">
        <f>'4 - Clé SALAIRES'!CO49+'4 - Clé multilignes1'!CO49+'4 - Clé multilignes2'!CO49+'4 - Clé multilignes3'!CO49+'4 - Clé multilignes4'!CO49+'4 - Clé multilignes5'!CO49+'4 - Clé multilignes6'!CO49+'4 - Clé multilignes7'!CO49</f>
        <v>0</v>
      </c>
      <c r="N49" s="171">
        <f>'4 - Clé SALAIRES'!CP49+'4 - Clé multilignes1'!CP49+'4 - Clé multilignes2'!CP49+'4 - Clé multilignes3'!CP49+'4 - Clé multilignes4'!CP49+'4 - Clé multilignes5'!CP49+'4 - Clé multilignes6'!CP49+'4 - Clé multilignes7'!CP49</f>
        <v>0</v>
      </c>
      <c r="O49" s="171">
        <f>'4 - Clé SALAIRES'!CQ49+'4 - Clé multilignes1'!CQ49+'4 - Clé multilignes2'!CQ49+'4 - Clé multilignes3'!CQ49+'4 - Clé multilignes4'!CQ49+'4 - Clé multilignes5'!CQ49+'4 - Clé multilignes6'!CQ49+'4 - Clé multilignes7'!CQ49</f>
        <v>0</v>
      </c>
      <c r="P49" s="171">
        <f>'4 - Clé SALAIRES'!CR49+'4 - Clé multilignes1'!CR49+'4 - Clé multilignes2'!CR49+'4 - Clé multilignes3'!CR49+'4 - Clé multilignes4'!CR49+'4 - Clé multilignes5'!CR49+'4 - Clé multilignes6'!CR49+'4 - Clé multilignes7'!CR49</f>
        <v>0</v>
      </c>
      <c r="Q49" s="171">
        <f>'4 - Clé SALAIRES'!CS49+'4 - Clé multilignes1'!CS49+'4 - Clé multilignes2'!CS49+'4 - Clé multilignes3'!CS49+'4 - Clé multilignes4'!CS49+'4 - Clé multilignes5'!CS49+'4 - Clé multilignes6'!CS49+'4 - Clé multilignes7'!CS49</f>
        <v>0</v>
      </c>
      <c r="R49" s="171">
        <f>'4 - Clé SALAIRES'!CT49+'4 - Clé multilignes1'!CT49+'4 - Clé multilignes2'!CT49+'4 - Clé multilignes3'!CT49+'4 - Clé multilignes4'!CT49+'4 - Clé multilignes5'!CT49+'4 - Clé multilignes6'!CT49+'4 - Clé multilignes7'!CT49</f>
        <v>0</v>
      </c>
      <c r="S49" s="171">
        <f>'4 - Clé SALAIRES'!CU49+'4 - Clé multilignes1'!CU49+'4 - Clé multilignes2'!CU49+'4 - Clé multilignes3'!CU49+'4 - Clé multilignes4'!CU49+'4 - Clé multilignes5'!CU49+'4 - Clé multilignes6'!CU49+'4 - Clé multilignes7'!CU49</f>
        <v>0</v>
      </c>
      <c r="T49" s="171">
        <f>'4 - Clé SALAIRES'!CV49+'4 - Clé multilignes1'!CV49+'4 - Clé multilignes2'!CV49+'4 - Clé multilignes3'!CV49+'4 - Clé multilignes4'!CV49+'4 - Clé multilignes5'!CV49+'4 - Clé multilignes6'!CV49+'4 - Clé multilignes7'!CV49</f>
        <v>0</v>
      </c>
      <c r="U49" s="171">
        <f>'4 - Clé SALAIRES'!CW49+'4 - Clé multilignes1'!CW49+'4 - Clé multilignes2'!CW49+'4 - Clé multilignes3'!CW49+'4 - Clé multilignes4'!CW49+'4 - Clé multilignes5'!CW49+'4 - Clé multilignes6'!CW49+'4 - Clé multilignes7'!CW49</f>
        <v>0</v>
      </c>
      <c r="V49" s="171">
        <f>'4 - Clé SALAIRES'!CX49+'4 - Clé multilignes1'!CX49+'4 - Clé multilignes2'!CX49+'4 - Clé multilignes3'!CX49+'4 - Clé multilignes4'!CX49+'4 - Clé multilignes5'!CX49+'4 - Clé multilignes6'!CX49+'4 - Clé multilignes7'!CX49</f>
        <v>0</v>
      </c>
      <c r="W49" s="171">
        <f>'4 - Clé SALAIRES'!CY49+'4 - Clé multilignes1'!CY49+'4 - Clé multilignes2'!CY49+'4 - Clé multilignes3'!CY49+'4 - Clé multilignes4'!CY49+'4 - Clé multilignes5'!CY49+'4 - Clé multilignes6'!CY49+'4 - Clé multilignes7'!CY49</f>
        <v>0</v>
      </c>
      <c r="X49" s="171">
        <f>'4 - Clé SALAIRES'!CZ49+'4 - Clé multilignes1'!CZ49+'4 - Clé multilignes2'!CZ49+'4 - Clé multilignes3'!CZ49+'4 - Clé multilignes4'!CZ49+'4 - Clé multilignes5'!CZ49+'4 - Clé multilignes6'!CZ49+'4 - Clé multilignes7'!CZ49</f>
        <v>0</v>
      </c>
      <c r="Y49" s="171">
        <f>'4 - Clé SALAIRES'!DA49+'4 - Clé multilignes1'!DA49+'4 - Clé multilignes2'!DA49+'4 - Clé multilignes3'!DA49+'4 - Clé multilignes4'!DA49+'4 - Clé multilignes5'!DA49+'4 - Clé multilignes6'!DA49+'4 - Clé multilignes7'!DA49</f>
        <v>0</v>
      </c>
      <c r="Z49" s="171">
        <f>'4 - Clé SALAIRES'!DB49+'4 - Clé multilignes1'!DB49+'4 - Clé multilignes2'!DB49+'4 - Clé multilignes3'!DB49+'4 - Clé multilignes4'!DB49+'4 - Clé multilignes5'!DB49+'4 - Clé multilignes6'!DB49+'4 - Clé multilignes7'!DB49</f>
        <v>0</v>
      </c>
    </row>
    <row r="50" spans="1:26" x14ac:dyDescent="0.25">
      <c r="A50" s="165">
        <f>Matrice[[#This Row],[Ligne de la matrice]]</f>
        <v>0</v>
      </c>
      <c r="B50" s="171">
        <f>'4 - Clé SALAIRES'!CD50+'4 - Clé multilignes1'!CD50+'4 - Clé multilignes2'!CD50+'4 - Clé multilignes3'!CD50+'4 - Clé multilignes4'!CD50+'4 - Clé multilignes5'!CD50+'4 - Clé multilignes6'!CD50+'4 - Clé multilignes7'!CD50</f>
        <v>0</v>
      </c>
      <c r="C50" s="171">
        <f>'4 - Clé SALAIRES'!CE50+'4 - Clé multilignes1'!CE50+'4 - Clé multilignes2'!CE50+'4 - Clé multilignes3'!CE50+'4 - Clé multilignes4'!CE50+'4 - Clé multilignes5'!CE50+'4 - Clé multilignes6'!CE50+'4 - Clé multilignes7'!CE50</f>
        <v>0</v>
      </c>
      <c r="D50" s="171">
        <f>'4 - Clé SALAIRES'!CF50+'4 - Clé multilignes1'!CF50+'4 - Clé multilignes2'!CF50+'4 - Clé multilignes3'!CF50+'4 - Clé multilignes4'!CF50+'4 - Clé multilignes5'!CF50+'4 - Clé multilignes6'!CF50+'4 - Clé multilignes7'!CF50</f>
        <v>0</v>
      </c>
      <c r="E50" s="171">
        <f>'4 - Clé SALAIRES'!CG50+'4 - Clé multilignes1'!CG50+'4 - Clé multilignes2'!CG50+'4 - Clé multilignes3'!CG50+'4 - Clé multilignes4'!CG50+'4 - Clé multilignes5'!CG50+'4 - Clé multilignes6'!CG50+'4 - Clé multilignes7'!CG50</f>
        <v>0</v>
      </c>
      <c r="F50" s="171">
        <f>'4 - Clé SALAIRES'!CH50+'4 - Clé multilignes1'!CH50+'4 - Clé multilignes2'!CH50+'4 - Clé multilignes3'!CH50+'4 - Clé multilignes4'!CH50+'4 - Clé multilignes5'!CH50+'4 - Clé multilignes6'!CH50+'4 - Clé multilignes7'!CH50</f>
        <v>0</v>
      </c>
      <c r="G50" s="171">
        <f>'4 - Clé SALAIRES'!CI50+'4 - Clé multilignes1'!CI50+'4 - Clé multilignes2'!CI50+'4 - Clé multilignes3'!CI50+'4 - Clé multilignes4'!CI50+'4 - Clé multilignes5'!CI50+'4 - Clé multilignes6'!CI50+'4 - Clé multilignes7'!CI50</f>
        <v>0</v>
      </c>
      <c r="H50" s="171">
        <f>'4 - Clé SALAIRES'!CJ50+'4 - Clé multilignes1'!CJ50+'4 - Clé multilignes2'!CJ50+'4 - Clé multilignes3'!CJ50+'4 - Clé multilignes4'!CJ50+'4 - Clé multilignes5'!CJ50+'4 - Clé multilignes6'!CJ50+'4 - Clé multilignes7'!CJ50</f>
        <v>0</v>
      </c>
      <c r="I50" s="171">
        <f>'4 - Clé SALAIRES'!CK50+'4 - Clé multilignes1'!CK50+'4 - Clé multilignes2'!CK50+'4 - Clé multilignes3'!CK50+'4 - Clé multilignes4'!CK50+'4 - Clé multilignes5'!CK50+'4 - Clé multilignes6'!CK50+'4 - Clé multilignes7'!CK50</f>
        <v>0</v>
      </c>
      <c r="J50" s="171">
        <f>'4 - Clé SALAIRES'!CL50+'4 - Clé multilignes1'!CL50+'4 - Clé multilignes2'!CL50+'4 - Clé multilignes3'!CL50+'4 - Clé multilignes4'!CL50+'4 - Clé multilignes5'!CL50+'4 - Clé multilignes6'!CL50+'4 - Clé multilignes7'!CL50</f>
        <v>0</v>
      </c>
      <c r="K50" s="171">
        <f>'4 - Clé SALAIRES'!CM50+'4 - Clé multilignes1'!CM50+'4 - Clé multilignes2'!CM50+'4 - Clé multilignes3'!CM50+'4 - Clé multilignes4'!CM50+'4 - Clé multilignes5'!CM50+'4 - Clé multilignes6'!CM50+'4 - Clé multilignes7'!CM50</f>
        <v>0</v>
      </c>
      <c r="L50" s="171">
        <f>'4 - Clé SALAIRES'!CN50+'4 - Clé multilignes1'!CN50+'4 - Clé multilignes2'!CN50+'4 - Clé multilignes3'!CN50+'4 - Clé multilignes4'!CN50+'4 - Clé multilignes5'!CN50+'4 - Clé multilignes6'!CN50+'4 - Clé multilignes7'!CN50</f>
        <v>0</v>
      </c>
      <c r="M50" s="171">
        <f>'4 - Clé SALAIRES'!CO50+'4 - Clé multilignes1'!CO50+'4 - Clé multilignes2'!CO50+'4 - Clé multilignes3'!CO50+'4 - Clé multilignes4'!CO50+'4 - Clé multilignes5'!CO50+'4 - Clé multilignes6'!CO50+'4 - Clé multilignes7'!CO50</f>
        <v>0</v>
      </c>
      <c r="N50" s="171">
        <f>'4 - Clé SALAIRES'!CP50+'4 - Clé multilignes1'!CP50+'4 - Clé multilignes2'!CP50+'4 - Clé multilignes3'!CP50+'4 - Clé multilignes4'!CP50+'4 - Clé multilignes5'!CP50+'4 - Clé multilignes6'!CP50+'4 - Clé multilignes7'!CP50</f>
        <v>0</v>
      </c>
      <c r="O50" s="171">
        <f>'4 - Clé SALAIRES'!CQ50+'4 - Clé multilignes1'!CQ50+'4 - Clé multilignes2'!CQ50+'4 - Clé multilignes3'!CQ50+'4 - Clé multilignes4'!CQ50+'4 - Clé multilignes5'!CQ50+'4 - Clé multilignes6'!CQ50+'4 - Clé multilignes7'!CQ50</f>
        <v>0</v>
      </c>
      <c r="P50" s="171">
        <f>'4 - Clé SALAIRES'!CR50+'4 - Clé multilignes1'!CR50+'4 - Clé multilignes2'!CR50+'4 - Clé multilignes3'!CR50+'4 - Clé multilignes4'!CR50+'4 - Clé multilignes5'!CR50+'4 - Clé multilignes6'!CR50+'4 - Clé multilignes7'!CR50</f>
        <v>0</v>
      </c>
      <c r="Q50" s="171">
        <f>'4 - Clé SALAIRES'!CS50+'4 - Clé multilignes1'!CS50+'4 - Clé multilignes2'!CS50+'4 - Clé multilignes3'!CS50+'4 - Clé multilignes4'!CS50+'4 - Clé multilignes5'!CS50+'4 - Clé multilignes6'!CS50+'4 - Clé multilignes7'!CS50</f>
        <v>0</v>
      </c>
      <c r="R50" s="171">
        <f>'4 - Clé SALAIRES'!CT50+'4 - Clé multilignes1'!CT50+'4 - Clé multilignes2'!CT50+'4 - Clé multilignes3'!CT50+'4 - Clé multilignes4'!CT50+'4 - Clé multilignes5'!CT50+'4 - Clé multilignes6'!CT50+'4 - Clé multilignes7'!CT50</f>
        <v>0</v>
      </c>
      <c r="S50" s="171">
        <f>'4 - Clé SALAIRES'!CU50+'4 - Clé multilignes1'!CU50+'4 - Clé multilignes2'!CU50+'4 - Clé multilignes3'!CU50+'4 - Clé multilignes4'!CU50+'4 - Clé multilignes5'!CU50+'4 - Clé multilignes6'!CU50+'4 - Clé multilignes7'!CU50</f>
        <v>0</v>
      </c>
      <c r="T50" s="171">
        <f>'4 - Clé SALAIRES'!CV50+'4 - Clé multilignes1'!CV50+'4 - Clé multilignes2'!CV50+'4 - Clé multilignes3'!CV50+'4 - Clé multilignes4'!CV50+'4 - Clé multilignes5'!CV50+'4 - Clé multilignes6'!CV50+'4 - Clé multilignes7'!CV50</f>
        <v>0</v>
      </c>
      <c r="U50" s="171">
        <f>'4 - Clé SALAIRES'!CW50+'4 - Clé multilignes1'!CW50+'4 - Clé multilignes2'!CW50+'4 - Clé multilignes3'!CW50+'4 - Clé multilignes4'!CW50+'4 - Clé multilignes5'!CW50+'4 - Clé multilignes6'!CW50+'4 - Clé multilignes7'!CW50</f>
        <v>0</v>
      </c>
      <c r="V50" s="171">
        <f>'4 - Clé SALAIRES'!CX50+'4 - Clé multilignes1'!CX50+'4 - Clé multilignes2'!CX50+'4 - Clé multilignes3'!CX50+'4 - Clé multilignes4'!CX50+'4 - Clé multilignes5'!CX50+'4 - Clé multilignes6'!CX50+'4 - Clé multilignes7'!CX50</f>
        <v>0</v>
      </c>
      <c r="W50" s="171">
        <f>'4 - Clé SALAIRES'!CY50+'4 - Clé multilignes1'!CY50+'4 - Clé multilignes2'!CY50+'4 - Clé multilignes3'!CY50+'4 - Clé multilignes4'!CY50+'4 - Clé multilignes5'!CY50+'4 - Clé multilignes6'!CY50+'4 - Clé multilignes7'!CY50</f>
        <v>0</v>
      </c>
      <c r="X50" s="171">
        <f>'4 - Clé SALAIRES'!CZ50+'4 - Clé multilignes1'!CZ50+'4 - Clé multilignes2'!CZ50+'4 - Clé multilignes3'!CZ50+'4 - Clé multilignes4'!CZ50+'4 - Clé multilignes5'!CZ50+'4 - Clé multilignes6'!CZ50+'4 - Clé multilignes7'!CZ50</f>
        <v>0</v>
      </c>
      <c r="Y50" s="171">
        <f>'4 - Clé SALAIRES'!DA50+'4 - Clé multilignes1'!DA50+'4 - Clé multilignes2'!DA50+'4 - Clé multilignes3'!DA50+'4 - Clé multilignes4'!DA50+'4 - Clé multilignes5'!DA50+'4 - Clé multilignes6'!DA50+'4 - Clé multilignes7'!DA50</f>
        <v>0</v>
      </c>
      <c r="Z50" s="171">
        <f>'4 - Clé SALAIRES'!DB50+'4 - Clé multilignes1'!DB50+'4 - Clé multilignes2'!DB50+'4 - Clé multilignes3'!DB50+'4 - Clé multilignes4'!DB50+'4 - Clé multilignes5'!DB50+'4 - Clé multilignes6'!DB50+'4 - Clé multilignes7'!DB50</f>
        <v>0</v>
      </c>
    </row>
    <row r="51" spans="1:26" ht="12.75" customHeight="1" x14ac:dyDescent="0.25">
      <c r="A51" s="165">
        <f>Matrice[[#This Row],[Ligne de la matrice]]</f>
        <v>0</v>
      </c>
      <c r="B51" s="171">
        <f>'4 - Clé SALAIRES'!CD51+'4 - Clé multilignes1'!CD51+'4 - Clé multilignes2'!CD51+'4 - Clé multilignes3'!CD51+'4 - Clé multilignes4'!CD51+'4 - Clé multilignes5'!CD51+'4 - Clé multilignes6'!CD51+'4 - Clé multilignes7'!CD51</f>
        <v>0</v>
      </c>
      <c r="C51" s="171">
        <f>'4 - Clé SALAIRES'!CE51+'4 - Clé multilignes1'!CE51+'4 - Clé multilignes2'!CE51+'4 - Clé multilignes3'!CE51+'4 - Clé multilignes4'!CE51+'4 - Clé multilignes5'!CE51+'4 - Clé multilignes6'!CE51+'4 - Clé multilignes7'!CE51</f>
        <v>0</v>
      </c>
      <c r="D51" s="171">
        <f>'4 - Clé SALAIRES'!CF51+'4 - Clé multilignes1'!CF51+'4 - Clé multilignes2'!CF51+'4 - Clé multilignes3'!CF51+'4 - Clé multilignes4'!CF51+'4 - Clé multilignes5'!CF51+'4 - Clé multilignes6'!CF51+'4 - Clé multilignes7'!CF51</f>
        <v>0</v>
      </c>
      <c r="E51" s="171">
        <f>'4 - Clé SALAIRES'!CG51+'4 - Clé multilignes1'!CG51+'4 - Clé multilignes2'!CG51+'4 - Clé multilignes3'!CG51+'4 - Clé multilignes4'!CG51+'4 - Clé multilignes5'!CG51+'4 - Clé multilignes6'!CG51+'4 - Clé multilignes7'!CG51</f>
        <v>0</v>
      </c>
      <c r="F51" s="171">
        <f>'4 - Clé SALAIRES'!CH51+'4 - Clé multilignes1'!CH51+'4 - Clé multilignes2'!CH51+'4 - Clé multilignes3'!CH51+'4 - Clé multilignes4'!CH51+'4 - Clé multilignes5'!CH51+'4 - Clé multilignes6'!CH51+'4 - Clé multilignes7'!CH51</f>
        <v>0</v>
      </c>
      <c r="G51" s="171">
        <f>'4 - Clé SALAIRES'!CI51+'4 - Clé multilignes1'!CI51+'4 - Clé multilignes2'!CI51+'4 - Clé multilignes3'!CI51+'4 - Clé multilignes4'!CI51+'4 - Clé multilignes5'!CI51+'4 - Clé multilignes6'!CI51+'4 - Clé multilignes7'!CI51</f>
        <v>0</v>
      </c>
      <c r="H51" s="171">
        <f>'4 - Clé SALAIRES'!CJ51+'4 - Clé multilignes1'!CJ51+'4 - Clé multilignes2'!CJ51+'4 - Clé multilignes3'!CJ51+'4 - Clé multilignes4'!CJ51+'4 - Clé multilignes5'!CJ51+'4 - Clé multilignes6'!CJ51+'4 - Clé multilignes7'!CJ51</f>
        <v>0</v>
      </c>
      <c r="I51" s="171">
        <f>'4 - Clé SALAIRES'!CK51+'4 - Clé multilignes1'!CK51+'4 - Clé multilignes2'!CK51+'4 - Clé multilignes3'!CK51+'4 - Clé multilignes4'!CK51+'4 - Clé multilignes5'!CK51+'4 - Clé multilignes6'!CK51+'4 - Clé multilignes7'!CK51</f>
        <v>0</v>
      </c>
      <c r="J51" s="171">
        <f>'4 - Clé SALAIRES'!CL51+'4 - Clé multilignes1'!CL51+'4 - Clé multilignes2'!CL51+'4 - Clé multilignes3'!CL51+'4 - Clé multilignes4'!CL51+'4 - Clé multilignes5'!CL51+'4 - Clé multilignes6'!CL51+'4 - Clé multilignes7'!CL51</f>
        <v>0</v>
      </c>
      <c r="K51" s="171">
        <f>'4 - Clé SALAIRES'!CM51+'4 - Clé multilignes1'!CM51+'4 - Clé multilignes2'!CM51+'4 - Clé multilignes3'!CM51+'4 - Clé multilignes4'!CM51+'4 - Clé multilignes5'!CM51+'4 - Clé multilignes6'!CM51+'4 - Clé multilignes7'!CM51</f>
        <v>0</v>
      </c>
      <c r="L51" s="171">
        <f>'4 - Clé SALAIRES'!CN51+'4 - Clé multilignes1'!CN51+'4 - Clé multilignes2'!CN51+'4 - Clé multilignes3'!CN51+'4 - Clé multilignes4'!CN51+'4 - Clé multilignes5'!CN51+'4 - Clé multilignes6'!CN51+'4 - Clé multilignes7'!CN51</f>
        <v>0</v>
      </c>
      <c r="M51" s="171">
        <f>'4 - Clé SALAIRES'!CO51+'4 - Clé multilignes1'!CO51+'4 - Clé multilignes2'!CO51+'4 - Clé multilignes3'!CO51+'4 - Clé multilignes4'!CO51+'4 - Clé multilignes5'!CO51+'4 - Clé multilignes6'!CO51+'4 - Clé multilignes7'!CO51</f>
        <v>0</v>
      </c>
      <c r="N51" s="171">
        <f>'4 - Clé SALAIRES'!CP51+'4 - Clé multilignes1'!CP51+'4 - Clé multilignes2'!CP51+'4 - Clé multilignes3'!CP51+'4 - Clé multilignes4'!CP51+'4 - Clé multilignes5'!CP51+'4 - Clé multilignes6'!CP51+'4 - Clé multilignes7'!CP51</f>
        <v>0</v>
      </c>
      <c r="O51" s="171">
        <f>'4 - Clé SALAIRES'!CQ51+'4 - Clé multilignes1'!CQ51+'4 - Clé multilignes2'!CQ51+'4 - Clé multilignes3'!CQ51+'4 - Clé multilignes4'!CQ51+'4 - Clé multilignes5'!CQ51+'4 - Clé multilignes6'!CQ51+'4 - Clé multilignes7'!CQ51</f>
        <v>0</v>
      </c>
      <c r="P51" s="171">
        <f>'4 - Clé SALAIRES'!CR51+'4 - Clé multilignes1'!CR51+'4 - Clé multilignes2'!CR51+'4 - Clé multilignes3'!CR51+'4 - Clé multilignes4'!CR51+'4 - Clé multilignes5'!CR51+'4 - Clé multilignes6'!CR51+'4 - Clé multilignes7'!CR51</f>
        <v>0</v>
      </c>
      <c r="Q51" s="171">
        <f>'4 - Clé SALAIRES'!CS51+'4 - Clé multilignes1'!CS51+'4 - Clé multilignes2'!CS51+'4 - Clé multilignes3'!CS51+'4 - Clé multilignes4'!CS51+'4 - Clé multilignes5'!CS51+'4 - Clé multilignes6'!CS51+'4 - Clé multilignes7'!CS51</f>
        <v>0</v>
      </c>
      <c r="R51" s="171">
        <f>'4 - Clé SALAIRES'!CT51+'4 - Clé multilignes1'!CT51+'4 - Clé multilignes2'!CT51+'4 - Clé multilignes3'!CT51+'4 - Clé multilignes4'!CT51+'4 - Clé multilignes5'!CT51+'4 - Clé multilignes6'!CT51+'4 - Clé multilignes7'!CT51</f>
        <v>0</v>
      </c>
      <c r="S51" s="171">
        <f>'4 - Clé SALAIRES'!CU51+'4 - Clé multilignes1'!CU51+'4 - Clé multilignes2'!CU51+'4 - Clé multilignes3'!CU51+'4 - Clé multilignes4'!CU51+'4 - Clé multilignes5'!CU51+'4 - Clé multilignes6'!CU51+'4 - Clé multilignes7'!CU51</f>
        <v>0</v>
      </c>
      <c r="T51" s="171">
        <f>'4 - Clé SALAIRES'!CV51+'4 - Clé multilignes1'!CV51+'4 - Clé multilignes2'!CV51+'4 - Clé multilignes3'!CV51+'4 - Clé multilignes4'!CV51+'4 - Clé multilignes5'!CV51+'4 - Clé multilignes6'!CV51+'4 - Clé multilignes7'!CV51</f>
        <v>0</v>
      </c>
      <c r="U51" s="171">
        <f>'4 - Clé SALAIRES'!CW51+'4 - Clé multilignes1'!CW51+'4 - Clé multilignes2'!CW51+'4 - Clé multilignes3'!CW51+'4 - Clé multilignes4'!CW51+'4 - Clé multilignes5'!CW51+'4 - Clé multilignes6'!CW51+'4 - Clé multilignes7'!CW51</f>
        <v>0</v>
      </c>
      <c r="V51" s="171">
        <f>'4 - Clé SALAIRES'!CX51+'4 - Clé multilignes1'!CX51+'4 - Clé multilignes2'!CX51+'4 - Clé multilignes3'!CX51+'4 - Clé multilignes4'!CX51+'4 - Clé multilignes5'!CX51+'4 - Clé multilignes6'!CX51+'4 - Clé multilignes7'!CX51</f>
        <v>0</v>
      </c>
      <c r="W51" s="171">
        <f>'4 - Clé SALAIRES'!CY51+'4 - Clé multilignes1'!CY51+'4 - Clé multilignes2'!CY51+'4 - Clé multilignes3'!CY51+'4 - Clé multilignes4'!CY51+'4 - Clé multilignes5'!CY51+'4 - Clé multilignes6'!CY51+'4 - Clé multilignes7'!CY51</f>
        <v>0</v>
      </c>
      <c r="X51" s="171">
        <f>'4 - Clé SALAIRES'!CZ51+'4 - Clé multilignes1'!CZ51+'4 - Clé multilignes2'!CZ51+'4 - Clé multilignes3'!CZ51+'4 - Clé multilignes4'!CZ51+'4 - Clé multilignes5'!CZ51+'4 - Clé multilignes6'!CZ51+'4 - Clé multilignes7'!CZ51</f>
        <v>0</v>
      </c>
      <c r="Y51" s="171">
        <f>'4 - Clé SALAIRES'!DA51+'4 - Clé multilignes1'!DA51+'4 - Clé multilignes2'!DA51+'4 - Clé multilignes3'!DA51+'4 - Clé multilignes4'!DA51+'4 - Clé multilignes5'!DA51+'4 - Clé multilignes6'!DA51+'4 - Clé multilignes7'!DA51</f>
        <v>0</v>
      </c>
      <c r="Z51" s="171">
        <f>'4 - Clé SALAIRES'!DB51+'4 - Clé multilignes1'!DB51+'4 - Clé multilignes2'!DB51+'4 - Clé multilignes3'!DB51+'4 - Clé multilignes4'!DB51+'4 - Clé multilignes5'!DB51+'4 - Clé multilignes6'!DB51+'4 - Clé multilignes7'!DB51</f>
        <v>0</v>
      </c>
    </row>
    <row r="52" spans="1:26" x14ac:dyDescent="0.25">
      <c r="A52" s="165">
        <f>Matrice[[#This Row],[Ligne de la matrice]]</f>
        <v>0</v>
      </c>
      <c r="B52" s="171">
        <f>'4 - Clé SALAIRES'!CD52+'4 - Clé multilignes1'!CD52+'4 - Clé multilignes2'!CD52+'4 - Clé multilignes3'!CD52+'4 - Clé multilignes4'!CD52+'4 - Clé multilignes5'!CD52+'4 - Clé multilignes6'!CD52+'4 - Clé multilignes7'!CD52</f>
        <v>0</v>
      </c>
      <c r="C52" s="171">
        <f>'4 - Clé SALAIRES'!CE52+'4 - Clé multilignes1'!CE52+'4 - Clé multilignes2'!CE52+'4 - Clé multilignes3'!CE52+'4 - Clé multilignes4'!CE52+'4 - Clé multilignes5'!CE52+'4 - Clé multilignes6'!CE52+'4 - Clé multilignes7'!CE52</f>
        <v>0</v>
      </c>
      <c r="D52" s="171">
        <f>'4 - Clé SALAIRES'!CF52+'4 - Clé multilignes1'!CF52+'4 - Clé multilignes2'!CF52+'4 - Clé multilignes3'!CF52+'4 - Clé multilignes4'!CF52+'4 - Clé multilignes5'!CF52+'4 - Clé multilignes6'!CF52+'4 - Clé multilignes7'!CF52</f>
        <v>0</v>
      </c>
      <c r="E52" s="171">
        <f>'4 - Clé SALAIRES'!CG52+'4 - Clé multilignes1'!CG52+'4 - Clé multilignes2'!CG52+'4 - Clé multilignes3'!CG52+'4 - Clé multilignes4'!CG52+'4 - Clé multilignes5'!CG52+'4 - Clé multilignes6'!CG52+'4 - Clé multilignes7'!CG52</f>
        <v>0</v>
      </c>
      <c r="F52" s="171">
        <f>'4 - Clé SALAIRES'!CH52+'4 - Clé multilignes1'!CH52+'4 - Clé multilignes2'!CH52+'4 - Clé multilignes3'!CH52+'4 - Clé multilignes4'!CH52+'4 - Clé multilignes5'!CH52+'4 - Clé multilignes6'!CH52+'4 - Clé multilignes7'!CH52</f>
        <v>0</v>
      </c>
      <c r="G52" s="171">
        <f>'4 - Clé SALAIRES'!CI52+'4 - Clé multilignes1'!CI52+'4 - Clé multilignes2'!CI52+'4 - Clé multilignes3'!CI52+'4 - Clé multilignes4'!CI52+'4 - Clé multilignes5'!CI52+'4 - Clé multilignes6'!CI52+'4 - Clé multilignes7'!CI52</f>
        <v>0</v>
      </c>
      <c r="H52" s="171">
        <f>'4 - Clé SALAIRES'!CJ52+'4 - Clé multilignes1'!CJ52+'4 - Clé multilignes2'!CJ52+'4 - Clé multilignes3'!CJ52+'4 - Clé multilignes4'!CJ52+'4 - Clé multilignes5'!CJ52+'4 - Clé multilignes6'!CJ52+'4 - Clé multilignes7'!CJ52</f>
        <v>0</v>
      </c>
      <c r="I52" s="171">
        <f>'4 - Clé SALAIRES'!CK52+'4 - Clé multilignes1'!CK52+'4 - Clé multilignes2'!CK52+'4 - Clé multilignes3'!CK52+'4 - Clé multilignes4'!CK52+'4 - Clé multilignes5'!CK52+'4 - Clé multilignes6'!CK52+'4 - Clé multilignes7'!CK52</f>
        <v>0</v>
      </c>
      <c r="J52" s="171">
        <f>'4 - Clé SALAIRES'!CL52+'4 - Clé multilignes1'!CL52+'4 - Clé multilignes2'!CL52+'4 - Clé multilignes3'!CL52+'4 - Clé multilignes4'!CL52+'4 - Clé multilignes5'!CL52+'4 - Clé multilignes6'!CL52+'4 - Clé multilignes7'!CL52</f>
        <v>0</v>
      </c>
      <c r="K52" s="171">
        <f>'4 - Clé SALAIRES'!CM52+'4 - Clé multilignes1'!CM52+'4 - Clé multilignes2'!CM52+'4 - Clé multilignes3'!CM52+'4 - Clé multilignes4'!CM52+'4 - Clé multilignes5'!CM52+'4 - Clé multilignes6'!CM52+'4 - Clé multilignes7'!CM52</f>
        <v>0</v>
      </c>
      <c r="L52" s="171">
        <f>'4 - Clé SALAIRES'!CN52+'4 - Clé multilignes1'!CN52+'4 - Clé multilignes2'!CN52+'4 - Clé multilignes3'!CN52+'4 - Clé multilignes4'!CN52+'4 - Clé multilignes5'!CN52+'4 - Clé multilignes6'!CN52+'4 - Clé multilignes7'!CN52</f>
        <v>0</v>
      </c>
      <c r="M52" s="171">
        <f>'4 - Clé SALAIRES'!CO52+'4 - Clé multilignes1'!CO52+'4 - Clé multilignes2'!CO52+'4 - Clé multilignes3'!CO52+'4 - Clé multilignes4'!CO52+'4 - Clé multilignes5'!CO52+'4 - Clé multilignes6'!CO52+'4 - Clé multilignes7'!CO52</f>
        <v>0</v>
      </c>
      <c r="N52" s="171">
        <f>'4 - Clé SALAIRES'!CP52+'4 - Clé multilignes1'!CP52+'4 - Clé multilignes2'!CP52+'4 - Clé multilignes3'!CP52+'4 - Clé multilignes4'!CP52+'4 - Clé multilignes5'!CP52+'4 - Clé multilignes6'!CP52+'4 - Clé multilignes7'!CP52</f>
        <v>0</v>
      </c>
      <c r="O52" s="171">
        <f>'4 - Clé SALAIRES'!CQ52+'4 - Clé multilignes1'!CQ52+'4 - Clé multilignes2'!CQ52+'4 - Clé multilignes3'!CQ52+'4 - Clé multilignes4'!CQ52+'4 - Clé multilignes5'!CQ52+'4 - Clé multilignes6'!CQ52+'4 - Clé multilignes7'!CQ52</f>
        <v>0</v>
      </c>
      <c r="P52" s="171">
        <f>'4 - Clé SALAIRES'!CR52+'4 - Clé multilignes1'!CR52+'4 - Clé multilignes2'!CR52+'4 - Clé multilignes3'!CR52+'4 - Clé multilignes4'!CR52+'4 - Clé multilignes5'!CR52+'4 - Clé multilignes6'!CR52+'4 - Clé multilignes7'!CR52</f>
        <v>0</v>
      </c>
      <c r="Q52" s="171">
        <f>'4 - Clé SALAIRES'!CS52+'4 - Clé multilignes1'!CS52+'4 - Clé multilignes2'!CS52+'4 - Clé multilignes3'!CS52+'4 - Clé multilignes4'!CS52+'4 - Clé multilignes5'!CS52+'4 - Clé multilignes6'!CS52+'4 - Clé multilignes7'!CS52</f>
        <v>0</v>
      </c>
      <c r="R52" s="171">
        <f>'4 - Clé SALAIRES'!CT52+'4 - Clé multilignes1'!CT52+'4 - Clé multilignes2'!CT52+'4 - Clé multilignes3'!CT52+'4 - Clé multilignes4'!CT52+'4 - Clé multilignes5'!CT52+'4 - Clé multilignes6'!CT52+'4 - Clé multilignes7'!CT52</f>
        <v>0</v>
      </c>
      <c r="S52" s="171">
        <f>'4 - Clé SALAIRES'!CU52+'4 - Clé multilignes1'!CU52+'4 - Clé multilignes2'!CU52+'4 - Clé multilignes3'!CU52+'4 - Clé multilignes4'!CU52+'4 - Clé multilignes5'!CU52+'4 - Clé multilignes6'!CU52+'4 - Clé multilignes7'!CU52</f>
        <v>0</v>
      </c>
      <c r="T52" s="171">
        <f>'4 - Clé SALAIRES'!CV52+'4 - Clé multilignes1'!CV52+'4 - Clé multilignes2'!CV52+'4 - Clé multilignes3'!CV52+'4 - Clé multilignes4'!CV52+'4 - Clé multilignes5'!CV52+'4 - Clé multilignes6'!CV52+'4 - Clé multilignes7'!CV52</f>
        <v>0</v>
      </c>
      <c r="U52" s="171">
        <f>'4 - Clé SALAIRES'!CW52+'4 - Clé multilignes1'!CW52+'4 - Clé multilignes2'!CW52+'4 - Clé multilignes3'!CW52+'4 - Clé multilignes4'!CW52+'4 - Clé multilignes5'!CW52+'4 - Clé multilignes6'!CW52+'4 - Clé multilignes7'!CW52</f>
        <v>0</v>
      </c>
      <c r="V52" s="171">
        <f>'4 - Clé SALAIRES'!CX52+'4 - Clé multilignes1'!CX52+'4 - Clé multilignes2'!CX52+'4 - Clé multilignes3'!CX52+'4 - Clé multilignes4'!CX52+'4 - Clé multilignes5'!CX52+'4 - Clé multilignes6'!CX52+'4 - Clé multilignes7'!CX52</f>
        <v>0</v>
      </c>
      <c r="W52" s="171">
        <f>'4 - Clé SALAIRES'!CY52+'4 - Clé multilignes1'!CY52+'4 - Clé multilignes2'!CY52+'4 - Clé multilignes3'!CY52+'4 - Clé multilignes4'!CY52+'4 - Clé multilignes5'!CY52+'4 - Clé multilignes6'!CY52+'4 - Clé multilignes7'!CY52</f>
        <v>0</v>
      </c>
      <c r="X52" s="171">
        <f>'4 - Clé SALAIRES'!CZ52+'4 - Clé multilignes1'!CZ52+'4 - Clé multilignes2'!CZ52+'4 - Clé multilignes3'!CZ52+'4 - Clé multilignes4'!CZ52+'4 - Clé multilignes5'!CZ52+'4 - Clé multilignes6'!CZ52+'4 - Clé multilignes7'!CZ52</f>
        <v>0</v>
      </c>
      <c r="Y52" s="171">
        <f>'4 - Clé SALAIRES'!DA52+'4 - Clé multilignes1'!DA52+'4 - Clé multilignes2'!DA52+'4 - Clé multilignes3'!DA52+'4 - Clé multilignes4'!DA52+'4 - Clé multilignes5'!DA52+'4 - Clé multilignes6'!DA52+'4 - Clé multilignes7'!DA52</f>
        <v>0</v>
      </c>
      <c r="Z52" s="171">
        <f>'4 - Clé SALAIRES'!DB52+'4 - Clé multilignes1'!DB52+'4 - Clé multilignes2'!DB52+'4 - Clé multilignes3'!DB52+'4 - Clé multilignes4'!DB52+'4 - Clé multilignes5'!DB52+'4 - Clé multilignes6'!DB52+'4 - Clé multilignes7'!DB52</f>
        <v>0</v>
      </c>
    </row>
  </sheetData>
  <sheetProtection sheet="1" objects="1" scenarios="1" selectLockedCells="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tabColor rgb="FFFFFF00"/>
  </sheetPr>
  <dimension ref="A1:DC68"/>
  <sheetViews>
    <sheetView showGridLines="0" zoomScaleNormal="100" workbookViewId="0">
      <selection activeCell="AH69" sqref="AH69"/>
    </sheetView>
  </sheetViews>
  <sheetFormatPr baseColWidth="10" defaultColWidth="11.44140625" defaultRowHeight="13.2" x14ac:dyDescent="0.25"/>
  <cols>
    <col min="1" max="1" width="36" style="20" customWidth="1"/>
    <col min="2" max="2" width="10.33203125" style="20" hidden="1" customWidth="1"/>
    <col min="3" max="26" width="8.5546875" style="20" hidden="1" customWidth="1"/>
    <col min="27" max="27" width="3.6640625" style="7" hidden="1" customWidth="1"/>
    <col min="28" max="35" width="13.44140625" style="7" customWidth="1"/>
    <col min="36" max="52" width="2.44140625" style="7" customWidth="1"/>
    <col min="53" max="53" width="12.88671875" style="7" customWidth="1"/>
    <col min="54" max="54" width="2.44140625" style="7" customWidth="1"/>
    <col min="55" max="59" width="13.44140625" style="7" customWidth="1"/>
    <col min="60" max="62" width="13.44140625" style="7" hidden="1" customWidth="1"/>
    <col min="63" max="79" width="2.44140625" style="7" hidden="1" customWidth="1"/>
    <col min="80" max="80" width="12.88671875" style="7" customWidth="1"/>
    <col min="81" max="81" width="2.44140625" style="7" customWidth="1"/>
    <col min="82" max="106" width="11.44140625" style="7" hidden="1" customWidth="1"/>
    <col min="107" max="16384" width="11.44140625" style="7"/>
  </cols>
  <sheetData>
    <row r="1" spans="1:106" ht="21" x14ac:dyDescent="0.4">
      <c r="A1" s="19" t="s">
        <v>1097</v>
      </c>
    </row>
    <row r="2" spans="1:106" ht="16.2" thickBot="1" x14ac:dyDescent="0.35">
      <c r="A2" s="7"/>
      <c r="AA2" s="196"/>
      <c r="AC2" s="740" t="s">
        <v>245</v>
      </c>
      <c r="AD2" s="741"/>
      <c r="AE2" s="741"/>
      <c r="BA2" s="53" t="str">
        <f ca="1">IF(AND(CELL("format",BA53)="%0",BA53&lt;&gt;1,BA53&gt;0),"Le total ne fait pas 100%","")</f>
        <v/>
      </c>
      <c r="BC2" s="196"/>
      <c r="BD2" s="196"/>
      <c r="BE2" s="196"/>
      <c r="BF2" s="196"/>
      <c r="BG2" s="196"/>
      <c r="BH2" s="196"/>
      <c r="BI2" s="196"/>
      <c r="BJ2" s="196"/>
      <c r="BK2" s="196"/>
      <c r="BL2" s="196"/>
      <c r="BM2" s="196"/>
      <c r="BN2" s="196"/>
      <c r="BO2" s="196"/>
      <c r="BP2" s="196"/>
      <c r="BQ2" s="196"/>
      <c r="BR2" s="196"/>
      <c r="BS2" s="196"/>
      <c r="BT2" s="196"/>
      <c r="BU2" s="196"/>
      <c r="BV2" s="196"/>
      <c r="BW2" s="196"/>
      <c r="BX2" s="196"/>
      <c r="BY2" s="196"/>
      <c r="BZ2" s="196"/>
      <c r="CA2" s="196"/>
      <c r="CB2" s="196"/>
    </row>
    <row r="3" spans="1:106" ht="39" customHeight="1" thickBot="1" x14ac:dyDescent="0.3">
      <c r="A3" s="184"/>
      <c r="B3" s="742" t="s">
        <v>1098</v>
      </c>
      <c r="C3" s="743"/>
      <c r="D3" s="743"/>
      <c r="E3" s="743"/>
      <c r="F3" s="743"/>
      <c r="G3" s="743"/>
      <c r="H3" s="743"/>
      <c r="I3" s="743"/>
      <c r="J3" s="743"/>
      <c r="K3" s="743"/>
      <c r="L3" s="743"/>
      <c r="M3" s="743"/>
      <c r="N3" s="743"/>
      <c r="O3" s="743"/>
      <c r="P3" s="743"/>
      <c r="Q3" s="743"/>
      <c r="R3" s="743"/>
      <c r="S3" s="743"/>
      <c r="T3" s="743"/>
      <c r="U3" s="743"/>
      <c r="V3" s="743"/>
      <c r="W3" s="743"/>
      <c r="X3" s="743"/>
      <c r="Y3" s="743"/>
      <c r="Z3" s="744"/>
      <c r="AB3" s="190"/>
      <c r="AC3" s="745"/>
      <c r="AD3" s="746"/>
      <c r="AE3" s="746"/>
      <c r="AF3" s="746"/>
      <c r="AG3" s="746"/>
      <c r="AH3" s="746"/>
      <c r="AI3" s="746"/>
      <c r="AJ3" s="746"/>
      <c r="AK3" s="746"/>
      <c r="AL3" s="746"/>
      <c r="AM3" s="746"/>
      <c r="AN3" s="746"/>
      <c r="AO3" s="746"/>
      <c r="AP3" s="746"/>
      <c r="AQ3" s="746"/>
      <c r="AR3" s="746"/>
      <c r="AS3" s="746"/>
      <c r="AT3" s="746"/>
      <c r="AU3" s="746"/>
      <c r="AV3" s="746"/>
      <c r="AW3" s="746"/>
      <c r="AX3" s="746"/>
      <c r="AY3" s="746"/>
      <c r="AZ3" s="747"/>
      <c r="BA3" s="748" t="s">
        <v>172</v>
      </c>
      <c r="BC3" s="674" t="s">
        <v>1099</v>
      </c>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t="s">
        <v>172</v>
      </c>
      <c r="CD3" s="737" t="s">
        <v>1100</v>
      </c>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9"/>
    </row>
    <row r="4" spans="1:106" ht="42" customHeight="1" x14ac:dyDescent="0.25">
      <c r="A4" s="44" t="s">
        <v>173</v>
      </c>
      <c r="B4" s="640" t="str">
        <f>Matrice[[#Headers],[OMR]]</f>
        <v>OMR</v>
      </c>
      <c r="C4" s="640" t="str">
        <f>Matrice[[#Headers],[Verre]]</f>
        <v>Verre</v>
      </c>
      <c r="D4" s="640" t="str">
        <f>Matrice[[#Headers],[RSOM hors verre]]</f>
        <v>RSOM hors verre</v>
      </c>
      <c r="E4" s="640" t="str">
        <f>Matrice[[#Headers],[Déchets des déchèteries]]</f>
        <v>Déchets des déchèteries</v>
      </c>
      <c r="F4" s="640" t="str">
        <f>Matrice[[#Headers],[Flux 5]]</f>
        <v>Flux 5</v>
      </c>
      <c r="G4" s="640" t="str">
        <f>Matrice[[#Headers],[Flux 6]]</f>
        <v>Flux 6</v>
      </c>
      <c r="H4" s="640" t="str">
        <f>Matrice[[#Headers],[Flux 7]]</f>
        <v>Flux 7</v>
      </c>
      <c r="I4" s="640" t="str">
        <f>Matrice[[#Headers],[Flux 8]]</f>
        <v>Flux 8</v>
      </c>
      <c r="J4" s="640" t="str">
        <f>Matrice[[#Headers],[Flux 9]]</f>
        <v>Flux 9</v>
      </c>
      <c r="K4" s="640" t="str">
        <f>Matrice[[#Headers],[Flux 10]]</f>
        <v>Flux 10</v>
      </c>
      <c r="L4" s="640" t="str">
        <f>Matrice[[#Headers],[Flux 11]]</f>
        <v>Flux 11</v>
      </c>
      <c r="M4" s="640" t="str">
        <f>Matrice[[#Headers],[Flux 12]]</f>
        <v>Flux 12</v>
      </c>
      <c r="N4" s="640" t="str">
        <f>Matrice[[#Headers],[Flux 13]]</f>
        <v>Flux 13</v>
      </c>
      <c r="O4" s="640" t="str">
        <f>Matrice[[#Headers],[Flux 14]]</f>
        <v>Flux 14</v>
      </c>
      <c r="P4" s="640" t="str">
        <f>Matrice[[#Headers],[Flux 15]]</f>
        <v>Flux 15</v>
      </c>
      <c r="Q4" s="640" t="str">
        <f>Matrice[[#Headers],[Flux 16]]</f>
        <v>Flux 16</v>
      </c>
      <c r="R4" s="640" t="str">
        <f>Matrice[[#Headers],[Flux 17]]</f>
        <v>Flux 17</v>
      </c>
      <c r="S4" s="640" t="str">
        <f>Matrice[[#Headers],[Flux 18]]</f>
        <v>Flux 18</v>
      </c>
      <c r="T4" s="640" t="str">
        <f>Matrice[[#Headers],[Flux 19]]</f>
        <v>Flux 19</v>
      </c>
      <c r="U4" s="640" t="str">
        <f>Matrice[[#Headers],[Flux 20]]</f>
        <v>Flux 20</v>
      </c>
      <c r="V4" s="640" t="str">
        <f>Matrice[[#Headers],[Flux 21]]</f>
        <v>Flux 21</v>
      </c>
      <c r="W4" s="640" t="str">
        <f>Matrice[[#Headers],[Flux 22]]</f>
        <v>Flux 22</v>
      </c>
      <c r="X4" s="640" t="str">
        <f>Matrice[[#Headers],[Flux 23]]</f>
        <v>Flux 23</v>
      </c>
      <c r="Y4" s="640" t="str">
        <f>Matrice[[#Headers],[Flux 24]]</f>
        <v>Flux 24</v>
      </c>
      <c r="Z4" s="640" t="str">
        <f>Matrice[[#Headers],[Flux 25]]</f>
        <v>Flux 25</v>
      </c>
      <c r="AA4" s="197"/>
      <c r="AB4" s="640" t="str">
        <f t="shared" ref="AB4:AZ4" si="0">B4</f>
        <v>OMR</v>
      </c>
      <c r="AC4" s="187" t="str">
        <f t="shared" si="0"/>
        <v>Verre</v>
      </c>
      <c r="AD4" s="187" t="str">
        <f t="shared" si="0"/>
        <v>RSOM hors verre</v>
      </c>
      <c r="AE4" s="187" t="str">
        <f t="shared" si="0"/>
        <v>Déchets des déchèteries</v>
      </c>
      <c r="AF4" s="187" t="str">
        <f t="shared" si="0"/>
        <v>Flux 5</v>
      </c>
      <c r="AG4" s="187" t="str">
        <f t="shared" si="0"/>
        <v>Flux 6</v>
      </c>
      <c r="AH4" s="187" t="str">
        <f t="shared" si="0"/>
        <v>Flux 7</v>
      </c>
      <c r="AI4" s="187" t="str">
        <f t="shared" si="0"/>
        <v>Flux 8</v>
      </c>
      <c r="AJ4" s="187" t="str">
        <f t="shared" si="0"/>
        <v>Flux 9</v>
      </c>
      <c r="AK4" s="187" t="str">
        <f t="shared" si="0"/>
        <v>Flux 10</v>
      </c>
      <c r="AL4" s="187" t="str">
        <f t="shared" si="0"/>
        <v>Flux 11</v>
      </c>
      <c r="AM4" s="187" t="str">
        <f t="shared" si="0"/>
        <v>Flux 12</v>
      </c>
      <c r="AN4" s="187" t="str">
        <f t="shared" si="0"/>
        <v>Flux 13</v>
      </c>
      <c r="AO4" s="187" t="str">
        <f t="shared" si="0"/>
        <v>Flux 14</v>
      </c>
      <c r="AP4" s="187" t="str">
        <f t="shared" si="0"/>
        <v>Flux 15</v>
      </c>
      <c r="AQ4" s="187" t="str">
        <f t="shared" si="0"/>
        <v>Flux 16</v>
      </c>
      <c r="AR4" s="187" t="str">
        <f t="shared" si="0"/>
        <v>Flux 17</v>
      </c>
      <c r="AS4" s="187" t="str">
        <f t="shared" si="0"/>
        <v>Flux 18</v>
      </c>
      <c r="AT4" s="187" t="str">
        <f t="shared" si="0"/>
        <v>Flux 19</v>
      </c>
      <c r="AU4" s="187" t="str">
        <f t="shared" si="0"/>
        <v>Flux 20</v>
      </c>
      <c r="AV4" s="187" t="str">
        <f t="shared" si="0"/>
        <v>Flux 21</v>
      </c>
      <c r="AW4" s="187" t="str">
        <f t="shared" si="0"/>
        <v>Flux 22</v>
      </c>
      <c r="AX4" s="187" t="str">
        <f t="shared" si="0"/>
        <v>Flux 23</v>
      </c>
      <c r="AY4" s="187" t="str">
        <f t="shared" si="0"/>
        <v>Flux 24</v>
      </c>
      <c r="AZ4" s="187" t="str">
        <f t="shared" si="0"/>
        <v>Flux 25</v>
      </c>
      <c r="BA4" s="675"/>
      <c r="BC4" s="640" t="str">
        <f>AB4</f>
        <v>OMR</v>
      </c>
      <c r="BD4" s="640" t="str">
        <f t="shared" ref="BD4:CA4" si="1">AC4</f>
        <v>Verre</v>
      </c>
      <c r="BE4" s="640" t="str">
        <f t="shared" si="1"/>
        <v>RSOM hors verre</v>
      </c>
      <c r="BF4" s="640" t="str">
        <f t="shared" si="1"/>
        <v>Déchets des déchèteries</v>
      </c>
      <c r="BG4" s="640" t="str">
        <f t="shared" si="1"/>
        <v>Flux 5</v>
      </c>
      <c r="BH4" s="640" t="str">
        <f t="shared" si="1"/>
        <v>Flux 6</v>
      </c>
      <c r="BI4" s="640" t="str">
        <f t="shared" si="1"/>
        <v>Flux 7</v>
      </c>
      <c r="BJ4" s="640" t="str">
        <f t="shared" si="1"/>
        <v>Flux 8</v>
      </c>
      <c r="BK4" s="640" t="str">
        <f t="shared" si="1"/>
        <v>Flux 9</v>
      </c>
      <c r="BL4" s="640" t="str">
        <f t="shared" si="1"/>
        <v>Flux 10</v>
      </c>
      <c r="BM4" s="640" t="str">
        <f t="shared" si="1"/>
        <v>Flux 11</v>
      </c>
      <c r="BN4" s="640" t="str">
        <f t="shared" si="1"/>
        <v>Flux 12</v>
      </c>
      <c r="BO4" s="640" t="str">
        <f t="shared" si="1"/>
        <v>Flux 13</v>
      </c>
      <c r="BP4" s="640" t="str">
        <f t="shared" si="1"/>
        <v>Flux 14</v>
      </c>
      <c r="BQ4" s="640" t="str">
        <f t="shared" si="1"/>
        <v>Flux 15</v>
      </c>
      <c r="BR4" s="640" t="str">
        <f t="shared" si="1"/>
        <v>Flux 16</v>
      </c>
      <c r="BS4" s="640" t="str">
        <f t="shared" si="1"/>
        <v>Flux 17</v>
      </c>
      <c r="BT4" s="640" t="str">
        <f t="shared" si="1"/>
        <v>Flux 18</v>
      </c>
      <c r="BU4" s="640" t="str">
        <f t="shared" si="1"/>
        <v>Flux 19</v>
      </c>
      <c r="BV4" s="640" t="str">
        <f t="shared" si="1"/>
        <v>Flux 20</v>
      </c>
      <c r="BW4" s="640" t="str">
        <f t="shared" si="1"/>
        <v>Flux 21</v>
      </c>
      <c r="BX4" s="640" t="str">
        <f t="shared" si="1"/>
        <v>Flux 22</v>
      </c>
      <c r="BY4" s="640" t="str">
        <f t="shared" si="1"/>
        <v>Flux 23</v>
      </c>
      <c r="BZ4" s="640" t="str">
        <f t="shared" si="1"/>
        <v>Flux 24</v>
      </c>
      <c r="CA4" s="640" t="str">
        <f t="shared" si="1"/>
        <v>Flux 25</v>
      </c>
      <c r="CB4" s="675"/>
      <c r="CD4" s="185" t="str">
        <f>Matrice[[#Headers],[OMR]]</f>
        <v>OMR</v>
      </c>
      <c r="CE4" s="185" t="str">
        <f>Matrice[[#Headers],[Verre]]</f>
        <v>Verre</v>
      </c>
      <c r="CF4" s="185" t="str">
        <f>Matrice[[#Headers],[RSOM hors verre]]</f>
        <v>RSOM hors verre</v>
      </c>
      <c r="CG4" s="185" t="str">
        <f>Matrice[[#Headers],[Déchets des déchèteries]]</f>
        <v>Déchets des déchèteries</v>
      </c>
      <c r="CH4" s="185" t="str">
        <f>Matrice[[#Headers],[Flux 5]]</f>
        <v>Flux 5</v>
      </c>
      <c r="CI4" s="185" t="str">
        <f>Matrice[[#Headers],[Flux 6]]</f>
        <v>Flux 6</v>
      </c>
      <c r="CJ4" s="185" t="str">
        <f>Matrice[[#Headers],[Flux 7]]</f>
        <v>Flux 7</v>
      </c>
      <c r="CK4" s="185" t="str">
        <f>Matrice[[#Headers],[Flux 8]]</f>
        <v>Flux 8</v>
      </c>
      <c r="CL4" s="185" t="str">
        <f>Matrice[[#Headers],[Flux 9]]</f>
        <v>Flux 9</v>
      </c>
      <c r="CM4" s="185" t="str">
        <f>Matrice[[#Headers],[Flux 10]]</f>
        <v>Flux 10</v>
      </c>
      <c r="CN4" s="185" t="str">
        <f>Matrice[[#Headers],[Flux 11]]</f>
        <v>Flux 11</v>
      </c>
      <c r="CO4" s="185" t="str">
        <f>Matrice[[#Headers],[Flux 12]]</f>
        <v>Flux 12</v>
      </c>
      <c r="CP4" s="185" t="str">
        <f>Matrice[[#Headers],[Flux 13]]</f>
        <v>Flux 13</v>
      </c>
      <c r="CQ4" s="185" t="str">
        <f>Matrice[[#Headers],[Flux 14]]</f>
        <v>Flux 14</v>
      </c>
      <c r="CR4" s="185" t="str">
        <f>Matrice[[#Headers],[Flux 15]]</f>
        <v>Flux 15</v>
      </c>
      <c r="CS4" s="185" t="str">
        <f>Matrice[[#Headers],[Flux 16]]</f>
        <v>Flux 16</v>
      </c>
      <c r="CT4" s="185" t="str">
        <f>Matrice[[#Headers],[Flux 17]]</f>
        <v>Flux 17</v>
      </c>
      <c r="CU4" s="185" t="str">
        <f>Matrice[[#Headers],[Flux 18]]</f>
        <v>Flux 18</v>
      </c>
      <c r="CV4" s="185" t="str">
        <f>Matrice[[#Headers],[Flux 19]]</f>
        <v>Flux 19</v>
      </c>
      <c r="CW4" s="185" t="str">
        <f>Matrice[[#Headers],[Flux 20]]</f>
        <v>Flux 20</v>
      </c>
      <c r="CX4" s="185" t="str">
        <f>Matrice[[#Headers],[Flux 21]]</f>
        <v>Flux 21</v>
      </c>
      <c r="CY4" s="185" t="str">
        <f>Matrice[[#Headers],[Flux 22]]</f>
        <v>Flux 22</v>
      </c>
      <c r="CZ4" s="185" t="str">
        <f>Matrice[[#Headers],[Flux 23]]</f>
        <v>Flux 23</v>
      </c>
      <c r="DA4" s="185" t="str">
        <f>Matrice[[#Headers],[Flux 24]]</f>
        <v>Flux 24</v>
      </c>
      <c r="DB4" s="185" t="str">
        <f>Matrice[[#Headers],[Flux 25]]</f>
        <v>Flux 25</v>
      </c>
    </row>
    <row r="5" spans="1:106" x14ac:dyDescent="0.25">
      <c r="A5" s="42" t="str">
        <f>Matrice[[#This Row],[Ligne de la matrice]]</f>
        <v>Charges de structure</v>
      </c>
      <c r="B5" s="276">
        <f>(SUMIF(Fonctionnement[Affectation matrice],$AB$3,Fonctionnement[Montant (€HT)])+SUMIF(Invest[Affectation matrice],$AB$3,Invest[Amortissement HT + intérêts]))*BC5</f>
        <v>0</v>
      </c>
      <c r="C5" s="276">
        <f>(SUMIF(Fonctionnement[Affectation matrice],$AB$3,Fonctionnement[Montant (€HT)])+SUMIF(Invest[Affectation matrice],$AB$3,Invest[Amortissement HT + intérêts]))*BD5</f>
        <v>0</v>
      </c>
      <c r="D5" s="276">
        <f>(SUMIF(Fonctionnement[Affectation matrice],$AB$3,Fonctionnement[Montant (€HT)])+SUMIF(Invest[Affectation matrice],$AB$3,Invest[Amortissement HT + intérêts]))*BE5</f>
        <v>0</v>
      </c>
      <c r="E5" s="276">
        <f>(SUMIF(Fonctionnement[Affectation matrice],$AB$3,Fonctionnement[Montant (€HT)])+SUMIF(Invest[Affectation matrice],$AB$3,Invest[Amortissement HT + intérêts]))*BF5</f>
        <v>0</v>
      </c>
      <c r="F5" s="276">
        <f>(SUMIF(Fonctionnement[Affectation matrice],$AB$3,Fonctionnement[Montant (€HT)])+SUMIF(Invest[Affectation matrice],$AB$3,Invest[Amortissement HT + intérêts]))*BG5</f>
        <v>0</v>
      </c>
      <c r="G5" s="276">
        <f>(SUMIF(Fonctionnement[Affectation matrice],$AB$3,Fonctionnement[Montant (€HT)])+SUMIF(Invest[Affectation matrice],$AB$3,Invest[Amortissement HT + intérêts]))*BH5</f>
        <v>0</v>
      </c>
      <c r="H5" s="276">
        <f>(SUMIF(Fonctionnement[Affectation matrice],$AB$3,Fonctionnement[Montant (€HT)])+SUMIF(Invest[Affectation matrice],$AB$3,Invest[Amortissement HT + intérêts]))*BI5</f>
        <v>0</v>
      </c>
      <c r="I5" s="276">
        <f>(SUMIF(Fonctionnement[Affectation matrice],$AB$3,Fonctionnement[Montant (€HT)])+SUMIF(Invest[Affectation matrice],$AB$3,Invest[Amortissement HT + intérêts]))*BJ5</f>
        <v>0</v>
      </c>
      <c r="J5" s="276">
        <f>(SUMIF(Fonctionnement[Affectation matrice],$AB$3,Fonctionnement[Montant (€HT)])+SUMIF(Invest[Affectation matrice],$AB$3,Invest[Amortissement HT + intérêts]))*BK5</f>
        <v>0</v>
      </c>
      <c r="K5" s="276">
        <f>(SUMIF(Fonctionnement[Affectation matrice],$AB$3,Fonctionnement[Montant (€HT)])+SUMIF(Invest[Affectation matrice],$AB$3,Invest[Amortissement HT + intérêts]))*BL5</f>
        <v>0</v>
      </c>
      <c r="L5" s="276">
        <f>(SUMIF(Fonctionnement[Affectation matrice],$AB$3,Fonctionnement[Montant (€HT)])+SUMIF(Invest[Affectation matrice],$AB$3,Invest[Amortissement HT + intérêts]))*BM5</f>
        <v>0</v>
      </c>
      <c r="M5" s="276">
        <f>(SUMIF(Fonctionnement[Affectation matrice],$AB$3,Fonctionnement[Montant (€HT)])+SUMIF(Invest[Affectation matrice],$AB$3,Invest[Amortissement HT + intérêts]))*BN5</f>
        <v>0</v>
      </c>
      <c r="N5" s="276">
        <f>(SUMIF(Fonctionnement[Affectation matrice],$AB$3,Fonctionnement[Montant (€HT)])+SUMIF(Invest[Affectation matrice],$AB$3,Invest[Amortissement HT + intérêts]))*BO5</f>
        <v>0</v>
      </c>
      <c r="O5" s="276">
        <f>(SUMIF(Fonctionnement[Affectation matrice],$AB$3,Fonctionnement[Montant (€HT)])+SUMIF(Invest[Affectation matrice],$AB$3,Invest[Amortissement HT + intérêts]))*BP5</f>
        <v>0</v>
      </c>
      <c r="P5" s="276">
        <f>(SUMIF(Fonctionnement[Affectation matrice],$AB$3,Fonctionnement[Montant (€HT)])+SUMIF(Invest[Affectation matrice],$AB$3,Invest[Amortissement HT + intérêts]))*BQ5</f>
        <v>0</v>
      </c>
      <c r="Q5" s="276">
        <f>(SUMIF(Fonctionnement[Affectation matrice],$AB$3,Fonctionnement[Montant (€HT)])+SUMIF(Invest[Affectation matrice],$AB$3,Invest[Amortissement HT + intérêts]))*BR5</f>
        <v>0</v>
      </c>
      <c r="R5" s="276">
        <f>(SUMIF(Fonctionnement[Affectation matrice],$AB$3,Fonctionnement[Montant (€HT)])+SUMIF(Invest[Affectation matrice],$AB$3,Invest[Amortissement HT + intérêts]))*BS5</f>
        <v>0</v>
      </c>
      <c r="S5" s="276">
        <f>(SUMIF(Fonctionnement[Affectation matrice],$AB$3,Fonctionnement[Montant (€HT)])+SUMIF(Invest[Affectation matrice],$AB$3,Invest[Amortissement HT + intérêts]))*BT5</f>
        <v>0</v>
      </c>
      <c r="T5" s="276">
        <f>(SUMIF(Fonctionnement[Affectation matrice],$AB$3,Fonctionnement[Montant (€HT)])+SUMIF(Invest[Affectation matrice],$AB$3,Invest[Amortissement HT + intérêts]))*BU5</f>
        <v>0</v>
      </c>
      <c r="U5" s="276">
        <f>(SUMIF(Fonctionnement[Affectation matrice],$AB$3,Fonctionnement[Montant (€HT)])+SUMIF(Invest[Affectation matrice],$AB$3,Invest[Amortissement HT + intérêts]))*BV5</f>
        <v>0</v>
      </c>
      <c r="V5" s="276">
        <f>(SUMIF(Fonctionnement[Affectation matrice],$AB$3,Fonctionnement[Montant (€HT)])+SUMIF(Invest[Affectation matrice],$AB$3,Invest[Amortissement HT + intérêts]))*BW5</f>
        <v>0</v>
      </c>
      <c r="W5" s="276">
        <f>(SUMIF(Fonctionnement[Affectation matrice],$AB$3,Fonctionnement[Montant (€HT)])+SUMIF(Invest[Affectation matrice],$AB$3,Invest[Amortissement HT + intérêts]))*BX5</f>
        <v>0</v>
      </c>
      <c r="X5" s="276">
        <f>(SUMIF(Fonctionnement[Affectation matrice],$AB$3,Fonctionnement[Montant (€HT)])+SUMIF(Invest[Affectation matrice],$AB$3,Invest[Amortissement HT + intérêts]))*BY5</f>
        <v>0</v>
      </c>
      <c r="Y5" s="276">
        <f>(SUMIF(Fonctionnement[Affectation matrice],$AB$3,Fonctionnement[Montant (€HT)])+SUMIF(Invest[Affectation matrice],$AB$3,Invest[Amortissement HT + intérêts]))*BZ5</f>
        <v>0</v>
      </c>
      <c r="Z5" s="276">
        <f>(SUMIF(Fonctionnement[Affectation matrice],$AB$3,Fonctionnement[Montant (€HT)])+SUMIF(Invest[Affectation matrice],$AB$3,Invest[Amortissement HT + intérêts]))*CA5</f>
        <v>0</v>
      </c>
      <c r="AA5" s="199"/>
      <c r="AB5" s="281"/>
      <c r="AC5" s="49"/>
      <c r="AD5" s="49"/>
      <c r="AE5" s="49"/>
      <c r="AF5" s="49"/>
      <c r="AG5" s="49"/>
      <c r="AH5" s="49"/>
      <c r="AI5" s="49"/>
      <c r="AJ5" s="49"/>
      <c r="AK5" s="49"/>
      <c r="AL5" s="49"/>
      <c r="AM5" s="49"/>
      <c r="AN5" s="49"/>
      <c r="AO5" s="49"/>
      <c r="AP5" s="49"/>
      <c r="AQ5" s="49"/>
      <c r="AR5" s="49"/>
      <c r="AS5" s="49"/>
      <c r="AT5" s="49"/>
      <c r="AU5" s="49"/>
      <c r="AV5" s="49"/>
      <c r="AW5" s="49"/>
      <c r="AX5" s="49"/>
      <c r="AY5" s="49"/>
      <c r="AZ5" s="49"/>
      <c r="BA5" s="283">
        <f>SUM(AB5:AZ5)</f>
        <v>0</v>
      </c>
      <c r="BC5" s="61">
        <f t="shared" ref="BC5:BR20" si="2">IF($BA$53=0,0,AB5/$BA$53)</f>
        <v>0</v>
      </c>
      <c r="BD5" s="61">
        <f t="shared" si="2"/>
        <v>0</v>
      </c>
      <c r="BE5" s="61">
        <f t="shared" si="2"/>
        <v>0</v>
      </c>
      <c r="BF5" s="61">
        <f t="shared" si="2"/>
        <v>0</v>
      </c>
      <c r="BG5" s="61">
        <f t="shared" si="2"/>
        <v>0</v>
      </c>
      <c r="BH5" s="61">
        <f t="shared" si="2"/>
        <v>0</v>
      </c>
      <c r="BI5" s="61">
        <f t="shared" si="2"/>
        <v>0</v>
      </c>
      <c r="BJ5" s="61">
        <f t="shared" si="2"/>
        <v>0</v>
      </c>
      <c r="BK5" s="61">
        <f t="shared" si="2"/>
        <v>0</v>
      </c>
      <c r="BL5" s="61">
        <f t="shared" si="2"/>
        <v>0</v>
      </c>
      <c r="BM5" s="61">
        <f t="shared" si="2"/>
        <v>0</v>
      </c>
      <c r="BN5" s="61">
        <f t="shared" si="2"/>
        <v>0</v>
      </c>
      <c r="BO5" s="61">
        <f t="shared" si="2"/>
        <v>0</v>
      </c>
      <c r="BP5" s="61">
        <f t="shared" si="2"/>
        <v>0</v>
      </c>
      <c r="BQ5" s="61">
        <f t="shared" si="2"/>
        <v>0</v>
      </c>
      <c r="BR5" s="61">
        <f t="shared" si="2"/>
        <v>0</v>
      </c>
      <c r="BS5" s="61">
        <f t="shared" ref="BS5:CA22" si="3">IF($BA$53=0,0,AR5/$BA$53)</f>
        <v>0</v>
      </c>
      <c r="BT5" s="61">
        <f t="shared" si="3"/>
        <v>0</v>
      </c>
      <c r="BU5" s="61">
        <f t="shared" si="3"/>
        <v>0</v>
      </c>
      <c r="BV5" s="61">
        <f t="shared" si="3"/>
        <v>0</v>
      </c>
      <c r="BW5" s="61">
        <f t="shared" si="3"/>
        <v>0</v>
      </c>
      <c r="BX5" s="61">
        <f t="shared" si="3"/>
        <v>0</v>
      </c>
      <c r="BY5" s="61">
        <f t="shared" si="3"/>
        <v>0</v>
      </c>
      <c r="BZ5" s="61">
        <f t="shared" si="3"/>
        <v>0</v>
      </c>
      <c r="CA5" s="61">
        <f t="shared" si="3"/>
        <v>0</v>
      </c>
      <c r="CB5" s="61">
        <f>SUM(BC5:CA5)</f>
        <v>0</v>
      </c>
      <c r="CD5" s="200">
        <f>(SUMIF(Fonctionnement[Affectation matrice],$AB$3,Fonctionnement[TVA acquittée])+SUMIF(Invest[Affectation matrice],$AB$3,Invest[TVA acquittée]))*BC5</f>
        <v>0</v>
      </c>
      <c r="CE5" s="200">
        <f>(SUMIF(Fonctionnement[Affectation matrice],$AB$3,Fonctionnement[TVA acquittée])+SUMIF(Invest[Affectation matrice],$AB$3,Invest[TVA acquittée]))*BD5</f>
        <v>0</v>
      </c>
      <c r="CF5" s="200">
        <f>(SUMIF(Fonctionnement[Affectation matrice],$AB$3,Fonctionnement[TVA acquittée])+SUMIF(Invest[Affectation matrice],$AB$3,Invest[TVA acquittée]))*BE5</f>
        <v>0</v>
      </c>
      <c r="CG5" s="200">
        <f>(SUMIF(Fonctionnement[Affectation matrice],$AB$3,Fonctionnement[TVA acquittée])+SUMIF(Invest[Affectation matrice],$AB$3,Invest[TVA acquittée]))*BF5</f>
        <v>0</v>
      </c>
      <c r="CH5" s="200">
        <f>(SUMIF(Fonctionnement[Affectation matrice],$AB$3,Fonctionnement[TVA acquittée])+SUMIF(Invest[Affectation matrice],$AB$3,Invest[TVA acquittée]))*BG5</f>
        <v>0</v>
      </c>
      <c r="CI5" s="200">
        <f>(SUMIF(Fonctionnement[Affectation matrice],$AB$3,Fonctionnement[TVA acquittée])+SUMIF(Invest[Affectation matrice],$AB$3,Invest[TVA acquittée]))*BH5</f>
        <v>0</v>
      </c>
      <c r="CJ5" s="200">
        <f>(SUMIF(Fonctionnement[Affectation matrice],$AB$3,Fonctionnement[TVA acquittée])+SUMIF(Invest[Affectation matrice],$AB$3,Invest[TVA acquittée]))*BI5</f>
        <v>0</v>
      </c>
      <c r="CK5" s="200">
        <f>(SUMIF(Fonctionnement[Affectation matrice],$AB$3,Fonctionnement[TVA acquittée])+SUMIF(Invest[Affectation matrice],$AB$3,Invest[TVA acquittée]))*BJ5</f>
        <v>0</v>
      </c>
      <c r="CL5" s="200">
        <f>(SUMIF(Fonctionnement[Affectation matrice],$AB$3,Fonctionnement[TVA acquittée])+SUMIF(Invest[Affectation matrice],$AB$3,Invest[TVA acquittée]))*BK5</f>
        <v>0</v>
      </c>
      <c r="CM5" s="200">
        <f>(SUMIF(Fonctionnement[Affectation matrice],$AB$3,Fonctionnement[TVA acquittée])+SUMIF(Invest[Affectation matrice],$AB$3,Invest[TVA acquittée]))*BL5</f>
        <v>0</v>
      </c>
      <c r="CN5" s="200">
        <f>(SUMIF(Fonctionnement[Affectation matrice],$AB$3,Fonctionnement[TVA acquittée])+SUMIF(Invest[Affectation matrice],$AB$3,Invest[TVA acquittée]))*BM5</f>
        <v>0</v>
      </c>
      <c r="CO5" s="200">
        <f>(SUMIF(Fonctionnement[Affectation matrice],$AB$3,Fonctionnement[TVA acquittée])+SUMIF(Invest[Affectation matrice],$AB$3,Invest[TVA acquittée]))*BN5</f>
        <v>0</v>
      </c>
      <c r="CP5" s="200">
        <f>(SUMIF(Fonctionnement[Affectation matrice],$AB$3,Fonctionnement[TVA acquittée])+SUMIF(Invest[Affectation matrice],$AB$3,Invest[TVA acquittée]))*BO5</f>
        <v>0</v>
      </c>
      <c r="CQ5" s="200">
        <f>(SUMIF(Fonctionnement[Affectation matrice],$AB$3,Fonctionnement[TVA acquittée])+SUMIF(Invest[Affectation matrice],$AB$3,Invest[TVA acquittée]))*BP5</f>
        <v>0</v>
      </c>
      <c r="CR5" s="200">
        <f>(SUMIF(Fonctionnement[Affectation matrice],$AB$3,Fonctionnement[TVA acquittée])+SUMIF(Invest[Affectation matrice],$AB$3,Invest[TVA acquittée]))*BQ5</f>
        <v>0</v>
      </c>
      <c r="CS5" s="200">
        <f>(SUMIF(Fonctionnement[Affectation matrice],$AB$3,Fonctionnement[TVA acquittée])+SUMIF(Invest[Affectation matrice],$AB$3,Invest[TVA acquittée]))*BR5</f>
        <v>0</v>
      </c>
      <c r="CT5" s="200">
        <f>(SUMIF(Fonctionnement[Affectation matrice],$AB$3,Fonctionnement[TVA acquittée])+SUMIF(Invest[Affectation matrice],$AB$3,Invest[TVA acquittée]))*BS5</f>
        <v>0</v>
      </c>
      <c r="CU5" s="200">
        <f>(SUMIF(Fonctionnement[Affectation matrice],$AB$3,Fonctionnement[TVA acquittée])+SUMIF(Invest[Affectation matrice],$AB$3,Invest[TVA acquittée]))*BT5</f>
        <v>0</v>
      </c>
      <c r="CV5" s="200">
        <f>(SUMIF(Fonctionnement[Affectation matrice],$AB$3,Fonctionnement[TVA acquittée])+SUMIF(Invest[Affectation matrice],$AB$3,Invest[TVA acquittée]))*BU5</f>
        <v>0</v>
      </c>
      <c r="CW5" s="200">
        <f>(SUMIF(Fonctionnement[Affectation matrice],$AB$3,Fonctionnement[TVA acquittée])+SUMIF(Invest[Affectation matrice],$AB$3,Invest[TVA acquittée]))*BV5</f>
        <v>0</v>
      </c>
      <c r="CX5" s="200">
        <f>(SUMIF(Fonctionnement[Affectation matrice],$AB$3,Fonctionnement[TVA acquittée])+SUMIF(Invest[Affectation matrice],$AB$3,Invest[TVA acquittée]))*BW5</f>
        <v>0</v>
      </c>
      <c r="CY5" s="200">
        <f>(SUMIF(Fonctionnement[Affectation matrice],$AB$3,Fonctionnement[TVA acquittée])+SUMIF(Invest[Affectation matrice],$AB$3,Invest[TVA acquittée]))*BX5</f>
        <v>0</v>
      </c>
      <c r="CZ5" s="200">
        <f>(SUMIF(Fonctionnement[Affectation matrice],$AB$3,Fonctionnement[TVA acquittée])+SUMIF(Invest[Affectation matrice],$AB$3,Invest[TVA acquittée]))*BY5</f>
        <v>0</v>
      </c>
      <c r="DA5" s="200">
        <f>(SUMIF(Fonctionnement[Affectation matrice],$AB$3,Fonctionnement[TVA acquittée])+SUMIF(Invest[Affectation matrice],$AB$3,Invest[TVA acquittée]))*BZ5</f>
        <v>0</v>
      </c>
      <c r="DB5" s="200">
        <f>(SUMIF(Fonctionnement[Affectation matrice],$AB$3,Fonctionnement[TVA acquittée])+SUMIF(Invest[Affectation matrice],$AB$3,Invest[TVA acquittée]))*CA5</f>
        <v>0</v>
      </c>
    </row>
    <row r="6" spans="1:106" ht="15" customHeight="1" x14ac:dyDescent="0.25">
      <c r="A6" s="42" t="str">
        <f>Matrice[[#This Row],[Ligne de la matrice]]</f>
        <v>Communication</v>
      </c>
      <c r="B6" s="276">
        <f>(SUMIF(Fonctionnement[Affectation matrice],$AB$3,Fonctionnement[Montant (€HT)])+SUMIF(Invest[Affectation matrice],$AB$3,Invest[Amortissement HT + intérêts]))*BC6</f>
        <v>0</v>
      </c>
      <c r="C6" s="276">
        <f>(SUMIF(Fonctionnement[Affectation matrice],$AB$3,Fonctionnement[Montant (€HT)])+SUMIF(Invest[Affectation matrice],$AB$3,Invest[Amortissement HT + intérêts]))*BD6</f>
        <v>0</v>
      </c>
      <c r="D6" s="276">
        <f>(SUMIF(Fonctionnement[Affectation matrice],$AB$3,Fonctionnement[Montant (€HT)])+SUMIF(Invest[Affectation matrice],$AB$3,Invest[Amortissement HT + intérêts]))*BE6</f>
        <v>0</v>
      </c>
      <c r="E6" s="276">
        <f>(SUMIF(Fonctionnement[Affectation matrice],$AB$3,Fonctionnement[Montant (€HT)])+SUMIF(Invest[Affectation matrice],$AB$3,Invest[Amortissement HT + intérêts]))*BF6</f>
        <v>0</v>
      </c>
      <c r="F6" s="276">
        <f>(SUMIF(Fonctionnement[Affectation matrice],$AB$3,Fonctionnement[Montant (€HT)])+SUMIF(Invest[Affectation matrice],$AB$3,Invest[Amortissement HT + intérêts]))*BG6</f>
        <v>0</v>
      </c>
      <c r="G6" s="276">
        <f>(SUMIF(Fonctionnement[Affectation matrice],$AB$3,Fonctionnement[Montant (€HT)])+SUMIF(Invest[Affectation matrice],$AB$3,Invest[Amortissement HT + intérêts]))*BH6</f>
        <v>0</v>
      </c>
      <c r="H6" s="276">
        <f>(SUMIF(Fonctionnement[Affectation matrice],$AB$3,Fonctionnement[Montant (€HT)])+SUMIF(Invest[Affectation matrice],$AB$3,Invest[Amortissement HT + intérêts]))*BI6</f>
        <v>0</v>
      </c>
      <c r="I6" s="276">
        <f>(SUMIF(Fonctionnement[Affectation matrice],$AB$3,Fonctionnement[Montant (€HT)])+SUMIF(Invest[Affectation matrice],$AB$3,Invest[Amortissement HT + intérêts]))*BJ6</f>
        <v>0</v>
      </c>
      <c r="J6" s="276">
        <f>(SUMIF(Fonctionnement[Affectation matrice],$AB$3,Fonctionnement[Montant (€HT)])+SUMIF(Invest[Affectation matrice],$AB$3,Invest[Amortissement HT + intérêts]))*BK6</f>
        <v>0</v>
      </c>
      <c r="K6" s="276">
        <f>(SUMIF(Fonctionnement[Affectation matrice],$AB$3,Fonctionnement[Montant (€HT)])+SUMIF(Invest[Affectation matrice],$AB$3,Invest[Amortissement HT + intérêts]))*BL6</f>
        <v>0</v>
      </c>
      <c r="L6" s="276">
        <f>(SUMIF(Fonctionnement[Affectation matrice],$AB$3,Fonctionnement[Montant (€HT)])+SUMIF(Invest[Affectation matrice],$AB$3,Invest[Amortissement HT + intérêts]))*BM6</f>
        <v>0</v>
      </c>
      <c r="M6" s="276">
        <f>(SUMIF(Fonctionnement[Affectation matrice],$AB$3,Fonctionnement[Montant (€HT)])+SUMIF(Invest[Affectation matrice],$AB$3,Invest[Amortissement HT + intérêts]))*BN6</f>
        <v>0</v>
      </c>
      <c r="N6" s="276">
        <f>(SUMIF(Fonctionnement[Affectation matrice],$AB$3,Fonctionnement[Montant (€HT)])+SUMIF(Invest[Affectation matrice],$AB$3,Invest[Amortissement HT + intérêts]))*BO6</f>
        <v>0</v>
      </c>
      <c r="O6" s="276">
        <f>(SUMIF(Fonctionnement[Affectation matrice],$AB$3,Fonctionnement[Montant (€HT)])+SUMIF(Invest[Affectation matrice],$AB$3,Invest[Amortissement HT + intérêts]))*BP6</f>
        <v>0</v>
      </c>
      <c r="P6" s="276">
        <f>(SUMIF(Fonctionnement[Affectation matrice],$AB$3,Fonctionnement[Montant (€HT)])+SUMIF(Invest[Affectation matrice],$AB$3,Invest[Amortissement HT + intérêts]))*BQ6</f>
        <v>0</v>
      </c>
      <c r="Q6" s="276">
        <f>(SUMIF(Fonctionnement[Affectation matrice],$AB$3,Fonctionnement[Montant (€HT)])+SUMIF(Invest[Affectation matrice],$AB$3,Invest[Amortissement HT + intérêts]))*BR6</f>
        <v>0</v>
      </c>
      <c r="R6" s="276">
        <f>(SUMIF(Fonctionnement[Affectation matrice],$AB$3,Fonctionnement[Montant (€HT)])+SUMIF(Invest[Affectation matrice],$AB$3,Invest[Amortissement HT + intérêts]))*BS6</f>
        <v>0</v>
      </c>
      <c r="S6" s="276">
        <f>(SUMIF(Fonctionnement[Affectation matrice],$AB$3,Fonctionnement[Montant (€HT)])+SUMIF(Invest[Affectation matrice],$AB$3,Invest[Amortissement HT + intérêts]))*BT6</f>
        <v>0</v>
      </c>
      <c r="T6" s="276">
        <f>(SUMIF(Fonctionnement[Affectation matrice],$AB$3,Fonctionnement[Montant (€HT)])+SUMIF(Invest[Affectation matrice],$AB$3,Invest[Amortissement HT + intérêts]))*BU6</f>
        <v>0</v>
      </c>
      <c r="U6" s="276">
        <f>(SUMIF(Fonctionnement[Affectation matrice],$AB$3,Fonctionnement[Montant (€HT)])+SUMIF(Invest[Affectation matrice],$AB$3,Invest[Amortissement HT + intérêts]))*BV6</f>
        <v>0</v>
      </c>
      <c r="V6" s="276">
        <f>(SUMIF(Fonctionnement[Affectation matrice],$AB$3,Fonctionnement[Montant (€HT)])+SUMIF(Invest[Affectation matrice],$AB$3,Invest[Amortissement HT + intérêts]))*BW6</f>
        <v>0</v>
      </c>
      <c r="W6" s="276">
        <f>(SUMIF(Fonctionnement[Affectation matrice],$AB$3,Fonctionnement[Montant (€HT)])+SUMIF(Invest[Affectation matrice],$AB$3,Invest[Amortissement HT + intérêts]))*BX6</f>
        <v>0</v>
      </c>
      <c r="X6" s="276">
        <f>(SUMIF(Fonctionnement[Affectation matrice],$AB$3,Fonctionnement[Montant (€HT)])+SUMIF(Invest[Affectation matrice],$AB$3,Invest[Amortissement HT + intérêts]))*BY6</f>
        <v>0</v>
      </c>
      <c r="Y6" s="276">
        <f>(SUMIF(Fonctionnement[Affectation matrice],$AB$3,Fonctionnement[Montant (€HT)])+SUMIF(Invest[Affectation matrice],$AB$3,Invest[Amortissement HT + intérêts]))*BZ6</f>
        <v>0</v>
      </c>
      <c r="Z6" s="276">
        <f>(SUMIF(Fonctionnement[Affectation matrice],$AB$3,Fonctionnement[Montant (€HT)])+SUMIF(Invest[Affectation matrice],$AB$3,Invest[Amortissement HT + intérêts]))*CA6</f>
        <v>0</v>
      </c>
      <c r="AA6" s="199"/>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283">
        <f>SUM(AB6:AZ6)</f>
        <v>0</v>
      </c>
      <c r="BC6" s="61">
        <f t="shared" si="2"/>
        <v>0</v>
      </c>
      <c r="BD6" s="61">
        <f t="shared" si="2"/>
        <v>0</v>
      </c>
      <c r="BE6" s="61">
        <f t="shared" si="2"/>
        <v>0</v>
      </c>
      <c r="BF6" s="61">
        <f t="shared" si="2"/>
        <v>0</v>
      </c>
      <c r="BG6" s="61">
        <f t="shared" si="2"/>
        <v>0</v>
      </c>
      <c r="BH6" s="61">
        <f t="shared" si="2"/>
        <v>0</v>
      </c>
      <c r="BI6" s="61">
        <f t="shared" si="2"/>
        <v>0</v>
      </c>
      <c r="BJ6" s="61">
        <f t="shared" si="2"/>
        <v>0</v>
      </c>
      <c r="BK6" s="61">
        <f t="shared" si="2"/>
        <v>0</v>
      </c>
      <c r="BL6" s="61">
        <f t="shared" si="2"/>
        <v>0</v>
      </c>
      <c r="BM6" s="61">
        <f t="shared" si="2"/>
        <v>0</v>
      </c>
      <c r="BN6" s="61">
        <f t="shared" si="2"/>
        <v>0</v>
      </c>
      <c r="BO6" s="61">
        <f t="shared" si="2"/>
        <v>0</v>
      </c>
      <c r="BP6" s="61">
        <f t="shared" si="2"/>
        <v>0</v>
      </c>
      <c r="BQ6" s="61">
        <f t="shared" si="2"/>
        <v>0</v>
      </c>
      <c r="BR6" s="61">
        <f t="shared" si="2"/>
        <v>0</v>
      </c>
      <c r="BS6" s="61">
        <f t="shared" si="3"/>
        <v>0</v>
      </c>
      <c r="BT6" s="61">
        <f t="shared" si="3"/>
        <v>0</v>
      </c>
      <c r="BU6" s="61">
        <f t="shared" si="3"/>
        <v>0</v>
      </c>
      <c r="BV6" s="61">
        <f t="shared" si="3"/>
        <v>0</v>
      </c>
      <c r="BW6" s="61">
        <f t="shared" si="3"/>
        <v>0</v>
      </c>
      <c r="BX6" s="61">
        <f t="shared" si="3"/>
        <v>0</v>
      </c>
      <c r="BY6" s="61">
        <f t="shared" si="3"/>
        <v>0</v>
      </c>
      <c r="BZ6" s="61">
        <f t="shared" si="3"/>
        <v>0</v>
      </c>
      <c r="CA6" s="61">
        <f t="shared" si="3"/>
        <v>0</v>
      </c>
      <c r="CB6" s="61">
        <f>SUM(BC6:CA6)</f>
        <v>0</v>
      </c>
      <c r="CD6" s="200">
        <f>(SUMIF(Fonctionnement[Affectation matrice],$AB$3,Fonctionnement[TVA acquittée])+SUMIF(Invest[Affectation matrice],$AB$3,Invest[TVA acquittée]))*BC6</f>
        <v>0</v>
      </c>
      <c r="CE6" s="200">
        <f>(SUMIF(Fonctionnement[Affectation matrice],$AB$3,Fonctionnement[TVA acquittée])+SUMIF(Invest[Affectation matrice],$AB$3,Invest[TVA acquittée]))*BD6</f>
        <v>0</v>
      </c>
      <c r="CF6" s="200">
        <f>(SUMIF(Fonctionnement[Affectation matrice],$AB$3,Fonctionnement[TVA acquittée])+SUMIF(Invest[Affectation matrice],$AB$3,Invest[TVA acquittée]))*BE6</f>
        <v>0</v>
      </c>
      <c r="CG6" s="200">
        <f>(SUMIF(Fonctionnement[Affectation matrice],$AB$3,Fonctionnement[TVA acquittée])+SUMIF(Invest[Affectation matrice],$AB$3,Invest[TVA acquittée]))*BF6</f>
        <v>0</v>
      </c>
      <c r="CH6" s="200">
        <f>(SUMIF(Fonctionnement[Affectation matrice],$AB$3,Fonctionnement[TVA acquittée])+SUMIF(Invest[Affectation matrice],$AB$3,Invest[TVA acquittée]))*BG6</f>
        <v>0</v>
      </c>
      <c r="CI6" s="200">
        <f>(SUMIF(Fonctionnement[Affectation matrice],$AB$3,Fonctionnement[TVA acquittée])+SUMIF(Invest[Affectation matrice],$AB$3,Invest[TVA acquittée]))*BH6</f>
        <v>0</v>
      </c>
      <c r="CJ6" s="200">
        <f>(SUMIF(Fonctionnement[Affectation matrice],$AB$3,Fonctionnement[TVA acquittée])+SUMIF(Invest[Affectation matrice],$AB$3,Invest[TVA acquittée]))*BI6</f>
        <v>0</v>
      </c>
      <c r="CK6" s="200">
        <f>(SUMIF(Fonctionnement[Affectation matrice],$AB$3,Fonctionnement[TVA acquittée])+SUMIF(Invest[Affectation matrice],$AB$3,Invest[TVA acquittée]))*BJ6</f>
        <v>0</v>
      </c>
      <c r="CL6" s="200">
        <f>(SUMIF(Fonctionnement[Affectation matrice],$AB$3,Fonctionnement[TVA acquittée])+SUMIF(Invest[Affectation matrice],$AB$3,Invest[TVA acquittée]))*BK6</f>
        <v>0</v>
      </c>
      <c r="CM6" s="200">
        <f>(SUMIF(Fonctionnement[Affectation matrice],$AB$3,Fonctionnement[TVA acquittée])+SUMIF(Invest[Affectation matrice],$AB$3,Invest[TVA acquittée]))*BL6</f>
        <v>0</v>
      </c>
      <c r="CN6" s="200">
        <f>(SUMIF(Fonctionnement[Affectation matrice],$AB$3,Fonctionnement[TVA acquittée])+SUMIF(Invest[Affectation matrice],$AB$3,Invest[TVA acquittée]))*BM6</f>
        <v>0</v>
      </c>
      <c r="CO6" s="200">
        <f>(SUMIF(Fonctionnement[Affectation matrice],$AB$3,Fonctionnement[TVA acquittée])+SUMIF(Invest[Affectation matrice],$AB$3,Invest[TVA acquittée]))*BN6</f>
        <v>0</v>
      </c>
      <c r="CP6" s="200">
        <f>(SUMIF(Fonctionnement[Affectation matrice],$AB$3,Fonctionnement[TVA acquittée])+SUMIF(Invest[Affectation matrice],$AB$3,Invest[TVA acquittée]))*BO6</f>
        <v>0</v>
      </c>
      <c r="CQ6" s="200">
        <f>(SUMIF(Fonctionnement[Affectation matrice],$AB$3,Fonctionnement[TVA acquittée])+SUMIF(Invest[Affectation matrice],$AB$3,Invest[TVA acquittée]))*BP6</f>
        <v>0</v>
      </c>
      <c r="CR6" s="200">
        <f>(SUMIF(Fonctionnement[Affectation matrice],$AB$3,Fonctionnement[TVA acquittée])+SUMIF(Invest[Affectation matrice],$AB$3,Invest[TVA acquittée]))*BQ6</f>
        <v>0</v>
      </c>
      <c r="CS6" s="200">
        <f>(SUMIF(Fonctionnement[Affectation matrice],$AB$3,Fonctionnement[TVA acquittée])+SUMIF(Invest[Affectation matrice],$AB$3,Invest[TVA acquittée]))*BR6</f>
        <v>0</v>
      </c>
      <c r="CT6" s="200">
        <f>(SUMIF(Fonctionnement[Affectation matrice],$AB$3,Fonctionnement[TVA acquittée])+SUMIF(Invest[Affectation matrice],$AB$3,Invest[TVA acquittée]))*BS6</f>
        <v>0</v>
      </c>
      <c r="CU6" s="200">
        <f>(SUMIF(Fonctionnement[Affectation matrice],$AB$3,Fonctionnement[TVA acquittée])+SUMIF(Invest[Affectation matrice],$AB$3,Invest[TVA acquittée]))*BT6</f>
        <v>0</v>
      </c>
      <c r="CV6" s="200">
        <f>(SUMIF(Fonctionnement[Affectation matrice],$AB$3,Fonctionnement[TVA acquittée])+SUMIF(Invest[Affectation matrice],$AB$3,Invest[TVA acquittée]))*BU6</f>
        <v>0</v>
      </c>
      <c r="CW6" s="200">
        <f>(SUMIF(Fonctionnement[Affectation matrice],$AB$3,Fonctionnement[TVA acquittée])+SUMIF(Invest[Affectation matrice],$AB$3,Invest[TVA acquittée]))*BV6</f>
        <v>0</v>
      </c>
      <c r="CX6" s="200">
        <f>(SUMIF(Fonctionnement[Affectation matrice],$AB$3,Fonctionnement[TVA acquittée])+SUMIF(Invest[Affectation matrice],$AB$3,Invest[TVA acquittée]))*BW6</f>
        <v>0</v>
      </c>
      <c r="CY6" s="200">
        <f>(SUMIF(Fonctionnement[Affectation matrice],$AB$3,Fonctionnement[TVA acquittée])+SUMIF(Invest[Affectation matrice],$AB$3,Invest[TVA acquittée]))*BX6</f>
        <v>0</v>
      </c>
      <c r="CZ6" s="200">
        <f>(SUMIF(Fonctionnement[Affectation matrice],$AB$3,Fonctionnement[TVA acquittée])+SUMIF(Invest[Affectation matrice],$AB$3,Invest[TVA acquittée]))*BY6</f>
        <v>0</v>
      </c>
      <c r="DA6" s="200">
        <f>(SUMIF(Fonctionnement[Affectation matrice],$AB$3,Fonctionnement[TVA acquittée])+SUMIF(Invest[Affectation matrice],$AB$3,Invest[TVA acquittée]))*BZ6</f>
        <v>0</v>
      </c>
      <c r="DB6" s="200">
        <f>(SUMIF(Fonctionnement[Affectation matrice],$AB$3,Fonctionnement[TVA acquittée])+SUMIF(Invest[Affectation matrice],$AB$3,Invest[TVA acquittée]))*CA6</f>
        <v>0</v>
      </c>
    </row>
    <row r="7" spans="1:106" ht="15" customHeight="1" x14ac:dyDescent="0.25">
      <c r="A7" s="42" t="str">
        <f>Matrice[[#This Row],[Ligne de la matrice]]</f>
        <v>Prévention</v>
      </c>
      <c r="B7" s="276">
        <f>(SUMIF(Fonctionnement[Affectation matrice],$AB$3,Fonctionnement[Montant (€HT)])+SUMIF(Invest[Affectation matrice],$AB$3,Invest[Amortissement HT + intérêts]))*BC7</f>
        <v>0</v>
      </c>
      <c r="C7" s="276">
        <f>(SUMIF(Fonctionnement[Affectation matrice],$AB$3,Fonctionnement[Montant (€HT)])+SUMIF(Invest[Affectation matrice],$AB$3,Invest[Amortissement HT + intérêts]))*BD7</f>
        <v>0</v>
      </c>
      <c r="D7" s="276">
        <f>(SUMIF(Fonctionnement[Affectation matrice],$AB$3,Fonctionnement[Montant (€HT)])+SUMIF(Invest[Affectation matrice],$AB$3,Invest[Amortissement HT + intérêts]))*BE7</f>
        <v>0</v>
      </c>
      <c r="E7" s="276">
        <f>(SUMIF(Fonctionnement[Affectation matrice],$AB$3,Fonctionnement[Montant (€HT)])+SUMIF(Invest[Affectation matrice],$AB$3,Invest[Amortissement HT + intérêts]))*BF7</f>
        <v>0</v>
      </c>
      <c r="F7" s="276">
        <f>(SUMIF(Fonctionnement[Affectation matrice],$AB$3,Fonctionnement[Montant (€HT)])+SUMIF(Invest[Affectation matrice],$AB$3,Invest[Amortissement HT + intérêts]))*BG7</f>
        <v>0</v>
      </c>
      <c r="G7" s="276">
        <f>(SUMIF(Fonctionnement[Affectation matrice],$AB$3,Fonctionnement[Montant (€HT)])+SUMIF(Invest[Affectation matrice],$AB$3,Invest[Amortissement HT + intérêts]))*BH7</f>
        <v>0</v>
      </c>
      <c r="H7" s="276">
        <f>(SUMIF(Fonctionnement[Affectation matrice],$AB$3,Fonctionnement[Montant (€HT)])+SUMIF(Invest[Affectation matrice],$AB$3,Invest[Amortissement HT + intérêts]))*BI7</f>
        <v>0</v>
      </c>
      <c r="I7" s="276">
        <f>(SUMIF(Fonctionnement[Affectation matrice],$AB$3,Fonctionnement[Montant (€HT)])+SUMIF(Invest[Affectation matrice],$AB$3,Invest[Amortissement HT + intérêts]))*BJ7</f>
        <v>0</v>
      </c>
      <c r="J7" s="276">
        <f>(SUMIF(Fonctionnement[Affectation matrice],$AB$3,Fonctionnement[Montant (€HT)])+SUMIF(Invest[Affectation matrice],$AB$3,Invest[Amortissement HT + intérêts]))*BK7</f>
        <v>0</v>
      </c>
      <c r="K7" s="276">
        <f>(SUMIF(Fonctionnement[Affectation matrice],$AB$3,Fonctionnement[Montant (€HT)])+SUMIF(Invest[Affectation matrice],$AB$3,Invest[Amortissement HT + intérêts]))*BL7</f>
        <v>0</v>
      </c>
      <c r="L7" s="276">
        <f>(SUMIF(Fonctionnement[Affectation matrice],$AB$3,Fonctionnement[Montant (€HT)])+SUMIF(Invest[Affectation matrice],$AB$3,Invest[Amortissement HT + intérêts]))*BM7</f>
        <v>0</v>
      </c>
      <c r="M7" s="276">
        <f>(SUMIF(Fonctionnement[Affectation matrice],$AB$3,Fonctionnement[Montant (€HT)])+SUMIF(Invest[Affectation matrice],$AB$3,Invest[Amortissement HT + intérêts]))*BN7</f>
        <v>0</v>
      </c>
      <c r="N7" s="276">
        <f>(SUMIF(Fonctionnement[Affectation matrice],$AB$3,Fonctionnement[Montant (€HT)])+SUMIF(Invest[Affectation matrice],$AB$3,Invest[Amortissement HT + intérêts]))*BO7</f>
        <v>0</v>
      </c>
      <c r="O7" s="276">
        <f>(SUMIF(Fonctionnement[Affectation matrice],$AB$3,Fonctionnement[Montant (€HT)])+SUMIF(Invest[Affectation matrice],$AB$3,Invest[Amortissement HT + intérêts]))*BP7</f>
        <v>0</v>
      </c>
      <c r="P7" s="276">
        <f>(SUMIF(Fonctionnement[Affectation matrice],$AB$3,Fonctionnement[Montant (€HT)])+SUMIF(Invest[Affectation matrice],$AB$3,Invest[Amortissement HT + intérêts]))*BQ7</f>
        <v>0</v>
      </c>
      <c r="Q7" s="276">
        <f>(SUMIF(Fonctionnement[Affectation matrice],$AB$3,Fonctionnement[Montant (€HT)])+SUMIF(Invest[Affectation matrice],$AB$3,Invest[Amortissement HT + intérêts]))*BR7</f>
        <v>0</v>
      </c>
      <c r="R7" s="276">
        <f>(SUMIF(Fonctionnement[Affectation matrice],$AB$3,Fonctionnement[Montant (€HT)])+SUMIF(Invest[Affectation matrice],$AB$3,Invest[Amortissement HT + intérêts]))*BS7</f>
        <v>0</v>
      </c>
      <c r="S7" s="276">
        <f>(SUMIF(Fonctionnement[Affectation matrice],$AB$3,Fonctionnement[Montant (€HT)])+SUMIF(Invest[Affectation matrice],$AB$3,Invest[Amortissement HT + intérêts]))*BT7</f>
        <v>0</v>
      </c>
      <c r="T7" s="276">
        <f>(SUMIF(Fonctionnement[Affectation matrice],$AB$3,Fonctionnement[Montant (€HT)])+SUMIF(Invest[Affectation matrice],$AB$3,Invest[Amortissement HT + intérêts]))*BU7</f>
        <v>0</v>
      </c>
      <c r="U7" s="276">
        <f>(SUMIF(Fonctionnement[Affectation matrice],$AB$3,Fonctionnement[Montant (€HT)])+SUMIF(Invest[Affectation matrice],$AB$3,Invest[Amortissement HT + intérêts]))*BV7</f>
        <v>0</v>
      </c>
      <c r="V7" s="276">
        <f>(SUMIF(Fonctionnement[Affectation matrice],$AB$3,Fonctionnement[Montant (€HT)])+SUMIF(Invest[Affectation matrice],$AB$3,Invest[Amortissement HT + intérêts]))*BW7</f>
        <v>0</v>
      </c>
      <c r="W7" s="276">
        <f>(SUMIF(Fonctionnement[Affectation matrice],$AB$3,Fonctionnement[Montant (€HT)])+SUMIF(Invest[Affectation matrice],$AB$3,Invest[Amortissement HT + intérêts]))*BX7</f>
        <v>0</v>
      </c>
      <c r="X7" s="276">
        <f>(SUMIF(Fonctionnement[Affectation matrice],$AB$3,Fonctionnement[Montant (€HT)])+SUMIF(Invest[Affectation matrice],$AB$3,Invest[Amortissement HT + intérêts]))*BY7</f>
        <v>0</v>
      </c>
      <c r="Y7" s="276">
        <f>(SUMIF(Fonctionnement[Affectation matrice],$AB$3,Fonctionnement[Montant (€HT)])+SUMIF(Invest[Affectation matrice],$AB$3,Invest[Amortissement HT + intérêts]))*BZ7</f>
        <v>0</v>
      </c>
      <c r="Z7" s="276">
        <f>(SUMIF(Fonctionnement[Affectation matrice],$AB$3,Fonctionnement[Montant (€HT)])+SUMIF(Invest[Affectation matrice],$AB$3,Invest[Amortissement HT + intérêts]))*CA7</f>
        <v>0</v>
      </c>
      <c r="AA7" s="199"/>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283">
        <f t="shared" ref="BA7:BA52" si="4">SUM(AB7:AZ7)</f>
        <v>0</v>
      </c>
      <c r="BC7" s="61">
        <f t="shared" si="2"/>
        <v>0</v>
      </c>
      <c r="BD7" s="61">
        <f t="shared" si="2"/>
        <v>0</v>
      </c>
      <c r="BE7" s="61">
        <f t="shared" si="2"/>
        <v>0</v>
      </c>
      <c r="BF7" s="61">
        <f t="shared" si="2"/>
        <v>0</v>
      </c>
      <c r="BG7" s="61">
        <f t="shared" si="2"/>
        <v>0</v>
      </c>
      <c r="BH7" s="61">
        <f t="shared" si="2"/>
        <v>0</v>
      </c>
      <c r="BI7" s="61">
        <f t="shared" si="2"/>
        <v>0</v>
      </c>
      <c r="BJ7" s="61">
        <f t="shared" si="2"/>
        <v>0</v>
      </c>
      <c r="BK7" s="61">
        <f t="shared" si="2"/>
        <v>0</v>
      </c>
      <c r="BL7" s="61">
        <f t="shared" si="2"/>
        <v>0</v>
      </c>
      <c r="BM7" s="61">
        <f t="shared" si="2"/>
        <v>0</v>
      </c>
      <c r="BN7" s="61">
        <f t="shared" si="2"/>
        <v>0</v>
      </c>
      <c r="BO7" s="61">
        <f t="shared" si="2"/>
        <v>0</v>
      </c>
      <c r="BP7" s="61">
        <f t="shared" si="2"/>
        <v>0</v>
      </c>
      <c r="BQ7" s="61">
        <f t="shared" si="2"/>
        <v>0</v>
      </c>
      <c r="BR7" s="61">
        <f t="shared" si="2"/>
        <v>0</v>
      </c>
      <c r="BS7" s="61">
        <f t="shared" si="3"/>
        <v>0</v>
      </c>
      <c r="BT7" s="61">
        <f t="shared" si="3"/>
        <v>0</v>
      </c>
      <c r="BU7" s="61">
        <f t="shared" si="3"/>
        <v>0</v>
      </c>
      <c r="BV7" s="61">
        <f t="shared" si="3"/>
        <v>0</v>
      </c>
      <c r="BW7" s="61">
        <f t="shared" si="3"/>
        <v>0</v>
      </c>
      <c r="BX7" s="61">
        <f t="shared" si="3"/>
        <v>0</v>
      </c>
      <c r="BY7" s="61">
        <f t="shared" si="3"/>
        <v>0</v>
      </c>
      <c r="BZ7" s="61">
        <f t="shared" si="3"/>
        <v>0</v>
      </c>
      <c r="CA7" s="61">
        <f t="shared" si="3"/>
        <v>0</v>
      </c>
      <c r="CB7" s="61">
        <f t="shared" ref="CB7:CB52" si="5">SUM(BC7:CA7)</f>
        <v>0</v>
      </c>
      <c r="CD7" s="200">
        <f>(SUMIF(Fonctionnement[Affectation matrice],$AB$3,Fonctionnement[TVA acquittée])+SUMIF(Invest[Affectation matrice],$AB$3,Invest[TVA acquittée]))*BC7</f>
        <v>0</v>
      </c>
      <c r="CE7" s="200">
        <f>(SUMIF(Fonctionnement[Affectation matrice],$AB$3,Fonctionnement[TVA acquittée])+SUMIF(Invest[Affectation matrice],$AB$3,Invest[TVA acquittée]))*BD7</f>
        <v>0</v>
      </c>
      <c r="CF7" s="200">
        <f>(SUMIF(Fonctionnement[Affectation matrice],$AB$3,Fonctionnement[TVA acquittée])+SUMIF(Invest[Affectation matrice],$AB$3,Invest[TVA acquittée]))*BE7</f>
        <v>0</v>
      </c>
      <c r="CG7" s="200">
        <f>(SUMIF(Fonctionnement[Affectation matrice],$AB$3,Fonctionnement[TVA acquittée])+SUMIF(Invest[Affectation matrice],$AB$3,Invest[TVA acquittée]))*BF7</f>
        <v>0</v>
      </c>
      <c r="CH7" s="200">
        <f>(SUMIF(Fonctionnement[Affectation matrice],$AB$3,Fonctionnement[TVA acquittée])+SUMIF(Invest[Affectation matrice],$AB$3,Invest[TVA acquittée]))*BG7</f>
        <v>0</v>
      </c>
      <c r="CI7" s="200">
        <f>(SUMIF(Fonctionnement[Affectation matrice],$AB$3,Fonctionnement[TVA acquittée])+SUMIF(Invest[Affectation matrice],$AB$3,Invest[TVA acquittée]))*BH7</f>
        <v>0</v>
      </c>
      <c r="CJ7" s="200">
        <f>(SUMIF(Fonctionnement[Affectation matrice],$AB$3,Fonctionnement[TVA acquittée])+SUMIF(Invest[Affectation matrice],$AB$3,Invest[TVA acquittée]))*BI7</f>
        <v>0</v>
      </c>
      <c r="CK7" s="200">
        <f>(SUMIF(Fonctionnement[Affectation matrice],$AB$3,Fonctionnement[TVA acquittée])+SUMIF(Invest[Affectation matrice],$AB$3,Invest[TVA acquittée]))*BJ7</f>
        <v>0</v>
      </c>
      <c r="CL7" s="200">
        <f>(SUMIF(Fonctionnement[Affectation matrice],$AB$3,Fonctionnement[TVA acquittée])+SUMIF(Invest[Affectation matrice],$AB$3,Invest[TVA acquittée]))*BK7</f>
        <v>0</v>
      </c>
      <c r="CM7" s="200">
        <f>(SUMIF(Fonctionnement[Affectation matrice],$AB$3,Fonctionnement[TVA acquittée])+SUMIF(Invest[Affectation matrice],$AB$3,Invest[TVA acquittée]))*BL7</f>
        <v>0</v>
      </c>
      <c r="CN7" s="200">
        <f>(SUMIF(Fonctionnement[Affectation matrice],$AB$3,Fonctionnement[TVA acquittée])+SUMIF(Invest[Affectation matrice],$AB$3,Invest[TVA acquittée]))*BM7</f>
        <v>0</v>
      </c>
      <c r="CO7" s="200">
        <f>(SUMIF(Fonctionnement[Affectation matrice],$AB$3,Fonctionnement[TVA acquittée])+SUMIF(Invest[Affectation matrice],$AB$3,Invest[TVA acquittée]))*BN7</f>
        <v>0</v>
      </c>
      <c r="CP7" s="200">
        <f>(SUMIF(Fonctionnement[Affectation matrice],$AB$3,Fonctionnement[TVA acquittée])+SUMIF(Invest[Affectation matrice],$AB$3,Invest[TVA acquittée]))*BO7</f>
        <v>0</v>
      </c>
      <c r="CQ7" s="200">
        <f>(SUMIF(Fonctionnement[Affectation matrice],$AB$3,Fonctionnement[TVA acquittée])+SUMIF(Invest[Affectation matrice],$AB$3,Invest[TVA acquittée]))*BP7</f>
        <v>0</v>
      </c>
      <c r="CR7" s="200">
        <f>(SUMIF(Fonctionnement[Affectation matrice],$AB$3,Fonctionnement[TVA acquittée])+SUMIF(Invest[Affectation matrice],$AB$3,Invest[TVA acquittée]))*BQ7</f>
        <v>0</v>
      </c>
      <c r="CS7" s="200">
        <f>(SUMIF(Fonctionnement[Affectation matrice],$AB$3,Fonctionnement[TVA acquittée])+SUMIF(Invest[Affectation matrice],$AB$3,Invest[TVA acquittée]))*BR7</f>
        <v>0</v>
      </c>
      <c r="CT7" s="200">
        <f>(SUMIF(Fonctionnement[Affectation matrice],$AB$3,Fonctionnement[TVA acquittée])+SUMIF(Invest[Affectation matrice],$AB$3,Invest[TVA acquittée]))*BS7</f>
        <v>0</v>
      </c>
      <c r="CU7" s="200">
        <f>(SUMIF(Fonctionnement[Affectation matrice],$AB$3,Fonctionnement[TVA acquittée])+SUMIF(Invest[Affectation matrice],$AB$3,Invest[TVA acquittée]))*BT7</f>
        <v>0</v>
      </c>
      <c r="CV7" s="200">
        <f>(SUMIF(Fonctionnement[Affectation matrice],$AB$3,Fonctionnement[TVA acquittée])+SUMIF(Invest[Affectation matrice],$AB$3,Invest[TVA acquittée]))*BU7</f>
        <v>0</v>
      </c>
      <c r="CW7" s="200">
        <f>(SUMIF(Fonctionnement[Affectation matrice],$AB$3,Fonctionnement[TVA acquittée])+SUMIF(Invest[Affectation matrice],$AB$3,Invest[TVA acquittée]))*BV7</f>
        <v>0</v>
      </c>
      <c r="CX7" s="200">
        <f>(SUMIF(Fonctionnement[Affectation matrice],$AB$3,Fonctionnement[TVA acquittée])+SUMIF(Invest[Affectation matrice],$AB$3,Invest[TVA acquittée]))*BW7</f>
        <v>0</v>
      </c>
      <c r="CY7" s="200">
        <f>(SUMIF(Fonctionnement[Affectation matrice],$AB$3,Fonctionnement[TVA acquittée])+SUMIF(Invest[Affectation matrice],$AB$3,Invest[TVA acquittée]))*BX7</f>
        <v>0</v>
      </c>
      <c r="CZ7" s="200">
        <f>(SUMIF(Fonctionnement[Affectation matrice],$AB$3,Fonctionnement[TVA acquittée])+SUMIF(Invest[Affectation matrice],$AB$3,Invest[TVA acquittée]))*BY7</f>
        <v>0</v>
      </c>
      <c r="DA7" s="200">
        <f>(SUMIF(Fonctionnement[Affectation matrice],$AB$3,Fonctionnement[TVA acquittée])+SUMIF(Invest[Affectation matrice],$AB$3,Invest[TVA acquittée]))*BZ7</f>
        <v>0</v>
      </c>
      <c r="DB7" s="200">
        <f>(SUMIF(Fonctionnement[Affectation matrice],$AB$3,Fonctionnement[TVA acquittée])+SUMIF(Invest[Affectation matrice],$AB$3,Invest[TVA acquittée]))*CA7</f>
        <v>0</v>
      </c>
    </row>
    <row r="8" spans="1:106" ht="12.75" customHeight="1" x14ac:dyDescent="0.25">
      <c r="A8" s="42" t="str">
        <f>Matrice[[#This Row],[Ligne de la matrice]]</f>
        <v>Pré-collecte</v>
      </c>
      <c r="B8" s="276">
        <f>(SUMIF(Fonctionnement[Affectation matrice],$AB$3,Fonctionnement[Montant (€HT)])+SUMIF(Invest[Affectation matrice],$AB$3,Invest[Amortissement HT + intérêts]))*BC8</f>
        <v>0</v>
      </c>
      <c r="C8" s="276">
        <f>(SUMIF(Fonctionnement[Affectation matrice],$AB$3,Fonctionnement[Montant (€HT)])+SUMIF(Invest[Affectation matrice],$AB$3,Invest[Amortissement HT + intérêts]))*BD8</f>
        <v>0</v>
      </c>
      <c r="D8" s="276">
        <f>(SUMIF(Fonctionnement[Affectation matrice],$AB$3,Fonctionnement[Montant (€HT)])+SUMIF(Invest[Affectation matrice],$AB$3,Invest[Amortissement HT + intérêts]))*BE8</f>
        <v>0</v>
      </c>
      <c r="E8" s="276">
        <f>(SUMIF(Fonctionnement[Affectation matrice],$AB$3,Fonctionnement[Montant (€HT)])+SUMIF(Invest[Affectation matrice],$AB$3,Invest[Amortissement HT + intérêts]))*BF8</f>
        <v>0</v>
      </c>
      <c r="F8" s="276">
        <f>(SUMIF(Fonctionnement[Affectation matrice],$AB$3,Fonctionnement[Montant (€HT)])+SUMIF(Invest[Affectation matrice],$AB$3,Invest[Amortissement HT + intérêts]))*BG8</f>
        <v>0</v>
      </c>
      <c r="G8" s="276">
        <f>(SUMIF(Fonctionnement[Affectation matrice],$AB$3,Fonctionnement[Montant (€HT)])+SUMIF(Invest[Affectation matrice],$AB$3,Invest[Amortissement HT + intérêts]))*BH8</f>
        <v>0</v>
      </c>
      <c r="H8" s="276">
        <f>(SUMIF(Fonctionnement[Affectation matrice],$AB$3,Fonctionnement[Montant (€HT)])+SUMIF(Invest[Affectation matrice],$AB$3,Invest[Amortissement HT + intérêts]))*BI8</f>
        <v>0</v>
      </c>
      <c r="I8" s="276">
        <f>(SUMIF(Fonctionnement[Affectation matrice],$AB$3,Fonctionnement[Montant (€HT)])+SUMIF(Invest[Affectation matrice],$AB$3,Invest[Amortissement HT + intérêts]))*BJ8</f>
        <v>0</v>
      </c>
      <c r="J8" s="276">
        <f>(SUMIF(Fonctionnement[Affectation matrice],$AB$3,Fonctionnement[Montant (€HT)])+SUMIF(Invest[Affectation matrice],$AB$3,Invest[Amortissement HT + intérêts]))*BK8</f>
        <v>0</v>
      </c>
      <c r="K8" s="276">
        <f>(SUMIF(Fonctionnement[Affectation matrice],$AB$3,Fonctionnement[Montant (€HT)])+SUMIF(Invest[Affectation matrice],$AB$3,Invest[Amortissement HT + intérêts]))*BL8</f>
        <v>0</v>
      </c>
      <c r="L8" s="276">
        <f>(SUMIF(Fonctionnement[Affectation matrice],$AB$3,Fonctionnement[Montant (€HT)])+SUMIF(Invest[Affectation matrice],$AB$3,Invest[Amortissement HT + intérêts]))*BM8</f>
        <v>0</v>
      </c>
      <c r="M8" s="276">
        <f>(SUMIF(Fonctionnement[Affectation matrice],$AB$3,Fonctionnement[Montant (€HT)])+SUMIF(Invest[Affectation matrice],$AB$3,Invest[Amortissement HT + intérêts]))*BN8</f>
        <v>0</v>
      </c>
      <c r="N8" s="276">
        <f>(SUMIF(Fonctionnement[Affectation matrice],$AB$3,Fonctionnement[Montant (€HT)])+SUMIF(Invest[Affectation matrice],$AB$3,Invest[Amortissement HT + intérêts]))*BO8</f>
        <v>0</v>
      </c>
      <c r="O8" s="276">
        <f>(SUMIF(Fonctionnement[Affectation matrice],$AB$3,Fonctionnement[Montant (€HT)])+SUMIF(Invest[Affectation matrice],$AB$3,Invest[Amortissement HT + intérêts]))*BP8</f>
        <v>0</v>
      </c>
      <c r="P8" s="276">
        <f>(SUMIF(Fonctionnement[Affectation matrice],$AB$3,Fonctionnement[Montant (€HT)])+SUMIF(Invest[Affectation matrice],$AB$3,Invest[Amortissement HT + intérêts]))*BQ8</f>
        <v>0</v>
      </c>
      <c r="Q8" s="276">
        <f>(SUMIF(Fonctionnement[Affectation matrice],$AB$3,Fonctionnement[Montant (€HT)])+SUMIF(Invest[Affectation matrice],$AB$3,Invest[Amortissement HT + intérêts]))*BR8</f>
        <v>0</v>
      </c>
      <c r="R8" s="276">
        <f>(SUMIF(Fonctionnement[Affectation matrice],$AB$3,Fonctionnement[Montant (€HT)])+SUMIF(Invest[Affectation matrice],$AB$3,Invest[Amortissement HT + intérêts]))*BS8</f>
        <v>0</v>
      </c>
      <c r="S8" s="276">
        <f>(SUMIF(Fonctionnement[Affectation matrice],$AB$3,Fonctionnement[Montant (€HT)])+SUMIF(Invest[Affectation matrice],$AB$3,Invest[Amortissement HT + intérêts]))*BT8</f>
        <v>0</v>
      </c>
      <c r="T8" s="276">
        <f>(SUMIF(Fonctionnement[Affectation matrice],$AB$3,Fonctionnement[Montant (€HT)])+SUMIF(Invest[Affectation matrice],$AB$3,Invest[Amortissement HT + intérêts]))*BU8</f>
        <v>0</v>
      </c>
      <c r="U8" s="276">
        <f>(SUMIF(Fonctionnement[Affectation matrice],$AB$3,Fonctionnement[Montant (€HT)])+SUMIF(Invest[Affectation matrice],$AB$3,Invest[Amortissement HT + intérêts]))*BV8</f>
        <v>0</v>
      </c>
      <c r="V8" s="276">
        <f>(SUMIF(Fonctionnement[Affectation matrice],$AB$3,Fonctionnement[Montant (€HT)])+SUMIF(Invest[Affectation matrice],$AB$3,Invest[Amortissement HT + intérêts]))*BW8</f>
        <v>0</v>
      </c>
      <c r="W8" s="276">
        <f>(SUMIF(Fonctionnement[Affectation matrice],$AB$3,Fonctionnement[Montant (€HT)])+SUMIF(Invest[Affectation matrice],$AB$3,Invest[Amortissement HT + intérêts]))*BX8</f>
        <v>0</v>
      </c>
      <c r="X8" s="276">
        <f>(SUMIF(Fonctionnement[Affectation matrice],$AB$3,Fonctionnement[Montant (€HT)])+SUMIF(Invest[Affectation matrice],$AB$3,Invest[Amortissement HT + intérêts]))*BY8</f>
        <v>0</v>
      </c>
      <c r="Y8" s="276">
        <f>(SUMIF(Fonctionnement[Affectation matrice],$AB$3,Fonctionnement[Montant (€HT)])+SUMIF(Invest[Affectation matrice],$AB$3,Invest[Amortissement HT + intérêts]))*BZ8</f>
        <v>0</v>
      </c>
      <c r="Z8" s="276">
        <f>(SUMIF(Fonctionnement[Affectation matrice],$AB$3,Fonctionnement[Montant (€HT)])+SUMIF(Invest[Affectation matrice],$AB$3,Invest[Amortissement HT + intérêts]))*CA8</f>
        <v>0</v>
      </c>
      <c r="AA8" s="199"/>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283">
        <f t="shared" si="4"/>
        <v>0</v>
      </c>
      <c r="BC8" s="61">
        <f t="shared" si="2"/>
        <v>0</v>
      </c>
      <c r="BD8" s="61">
        <f t="shared" si="2"/>
        <v>0</v>
      </c>
      <c r="BE8" s="61">
        <f t="shared" si="2"/>
        <v>0</v>
      </c>
      <c r="BF8" s="61">
        <f t="shared" si="2"/>
        <v>0</v>
      </c>
      <c r="BG8" s="61">
        <f t="shared" si="2"/>
        <v>0</v>
      </c>
      <c r="BH8" s="61">
        <f t="shared" si="2"/>
        <v>0</v>
      </c>
      <c r="BI8" s="61">
        <f t="shared" si="2"/>
        <v>0</v>
      </c>
      <c r="BJ8" s="61">
        <f t="shared" si="2"/>
        <v>0</v>
      </c>
      <c r="BK8" s="61">
        <f t="shared" si="2"/>
        <v>0</v>
      </c>
      <c r="BL8" s="61">
        <f t="shared" si="2"/>
        <v>0</v>
      </c>
      <c r="BM8" s="61">
        <f t="shared" si="2"/>
        <v>0</v>
      </c>
      <c r="BN8" s="61">
        <f t="shared" si="2"/>
        <v>0</v>
      </c>
      <c r="BO8" s="61">
        <f t="shared" si="2"/>
        <v>0</v>
      </c>
      <c r="BP8" s="61">
        <f t="shared" si="2"/>
        <v>0</v>
      </c>
      <c r="BQ8" s="61">
        <f t="shared" si="2"/>
        <v>0</v>
      </c>
      <c r="BR8" s="61">
        <f t="shared" si="2"/>
        <v>0</v>
      </c>
      <c r="BS8" s="61">
        <f t="shared" si="3"/>
        <v>0</v>
      </c>
      <c r="BT8" s="61">
        <f t="shared" si="3"/>
        <v>0</v>
      </c>
      <c r="BU8" s="61">
        <f t="shared" si="3"/>
        <v>0</v>
      </c>
      <c r="BV8" s="61">
        <f t="shared" si="3"/>
        <v>0</v>
      </c>
      <c r="BW8" s="61">
        <f t="shared" si="3"/>
        <v>0</v>
      </c>
      <c r="BX8" s="61">
        <f t="shared" si="3"/>
        <v>0</v>
      </c>
      <c r="BY8" s="61">
        <f t="shared" si="3"/>
        <v>0</v>
      </c>
      <c r="BZ8" s="61">
        <f t="shared" si="3"/>
        <v>0</v>
      </c>
      <c r="CA8" s="61">
        <f t="shared" si="3"/>
        <v>0</v>
      </c>
      <c r="CB8" s="61">
        <f t="shared" si="5"/>
        <v>0</v>
      </c>
      <c r="CD8" s="200">
        <f>(SUMIF(Fonctionnement[Affectation matrice],$AB$3,Fonctionnement[TVA acquittée])+SUMIF(Invest[Affectation matrice],$AB$3,Invest[TVA acquittée]))*BC8</f>
        <v>0</v>
      </c>
      <c r="CE8" s="200">
        <f>(SUMIF(Fonctionnement[Affectation matrice],$AB$3,Fonctionnement[TVA acquittée])+SUMIF(Invest[Affectation matrice],$AB$3,Invest[TVA acquittée]))*BD8</f>
        <v>0</v>
      </c>
      <c r="CF8" s="200">
        <f>(SUMIF(Fonctionnement[Affectation matrice],$AB$3,Fonctionnement[TVA acquittée])+SUMIF(Invest[Affectation matrice],$AB$3,Invest[TVA acquittée]))*BE8</f>
        <v>0</v>
      </c>
      <c r="CG8" s="200">
        <f>(SUMIF(Fonctionnement[Affectation matrice],$AB$3,Fonctionnement[TVA acquittée])+SUMIF(Invest[Affectation matrice],$AB$3,Invest[TVA acquittée]))*BF8</f>
        <v>0</v>
      </c>
      <c r="CH8" s="200">
        <f>(SUMIF(Fonctionnement[Affectation matrice],$AB$3,Fonctionnement[TVA acquittée])+SUMIF(Invest[Affectation matrice],$AB$3,Invest[TVA acquittée]))*BG8</f>
        <v>0</v>
      </c>
      <c r="CI8" s="200">
        <f>(SUMIF(Fonctionnement[Affectation matrice],$AB$3,Fonctionnement[TVA acquittée])+SUMIF(Invest[Affectation matrice],$AB$3,Invest[TVA acquittée]))*BH8</f>
        <v>0</v>
      </c>
      <c r="CJ8" s="200">
        <f>(SUMIF(Fonctionnement[Affectation matrice],$AB$3,Fonctionnement[TVA acquittée])+SUMIF(Invest[Affectation matrice],$AB$3,Invest[TVA acquittée]))*BI8</f>
        <v>0</v>
      </c>
      <c r="CK8" s="200">
        <f>(SUMIF(Fonctionnement[Affectation matrice],$AB$3,Fonctionnement[TVA acquittée])+SUMIF(Invest[Affectation matrice],$AB$3,Invest[TVA acquittée]))*BJ8</f>
        <v>0</v>
      </c>
      <c r="CL8" s="200">
        <f>(SUMIF(Fonctionnement[Affectation matrice],$AB$3,Fonctionnement[TVA acquittée])+SUMIF(Invest[Affectation matrice],$AB$3,Invest[TVA acquittée]))*BK8</f>
        <v>0</v>
      </c>
      <c r="CM8" s="200">
        <f>(SUMIF(Fonctionnement[Affectation matrice],$AB$3,Fonctionnement[TVA acquittée])+SUMIF(Invest[Affectation matrice],$AB$3,Invest[TVA acquittée]))*BL8</f>
        <v>0</v>
      </c>
      <c r="CN8" s="200">
        <f>(SUMIF(Fonctionnement[Affectation matrice],$AB$3,Fonctionnement[TVA acquittée])+SUMIF(Invest[Affectation matrice],$AB$3,Invest[TVA acquittée]))*BM8</f>
        <v>0</v>
      </c>
      <c r="CO8" s="200">
        <f>(SUMIF(Fonctionnement[Affectation matrice],$AB$3,Fonctionnement[TVA acquittée])+SUMIF(Invest[Affectation matrice],$AB$3,Invest[TVA acquittée]))*BN8</f>
        <v>0</v>
      </c>
      <c r="CP8" s="200">
        <f>(SUMIF(Fonctionnement[Affectation matrice],$AB$3,Fonctionnement[TVA acquittée])+SUMIF(Invest[Affectation matrice],$AB$3,Invest[TVA acquittée]))*BO8</f>
        <v>0</v>
      </c>
      <c r="CQ8" s="200">
        <f>(SUMIF(Fonctionnement[Affectation matrice],$AB$3,Fonctionnement[TVA acquittée])+SUMIF(Invest[Affectation matrice],$AB$3,Invest[TVA acquittée]))*BP8</f>
        <v>0</v>
      </c>
      <c r="CR8" s="200">
        <f>(SUMIF(Fonctionnement[Affectation matrice],$AB$3,Fonctionnement[TVA acquittée])+SUMIF(Invest[Affectation matrice],$AB$3,Invest[TVA acquittée]))*BQ8</f>
        <v>0</v>
      </c>
      <c r="CS8" s="200">
        <f>(SUMIF(Fonctionnement[Affectation matrice],$AB$3,Fonctionnement[TVA acquittée])+SUMIF(Invest[Affectation matrice],$AB$3,Invest[TVA acquittée]))*BR8</f>
        <v>0</v>
      </c>
      <c r="CT8" s="200">
        <f>(SUMIF(Fonctionnement[Affectation matrice],$AB$3,Fonctionnement[TVA acquittée])+SUMIF(Invest[Affectation matrice],$AB$3,Invest[TVA acquittée]))*BS8</f>
        <v>0</v>
      </c>
      <c r="CU8" s="200">
        <f>(SUMIF(Fonctionnement[Affectation matrice],$AB$3,Fonctionnement[TVA acquittée])+SUMIF(Invest[Affectation matrice],$AB$3,Invest[TVA acquittée]))*BT8</f>
        <v>0</v>
      </c>
      <c r="CV8" s="200">
        <f>(SUMIF(Fonctionnement[Affectation matrice],$AB$3,Fonctionnement[TVA acquittée])+SUMIF(Invest[Affectation matrice],$AB$3,Invest[TVA acquittée]))*BU8</f>
        <v>0</v>
      </c>
      <c r="CW8" s="200">
        <f>(SUMIF(Fonctionnement[Affectation matrice],$AB$3,Fonctionnement[TVA acquittée])+SUMIF(Invest[Affectation matrice],$AB$3,Invest[TVA acquittée]))*BV8</f>
        <v>0</v>
      </c>
      <c r="CX8" s="200">
        <f>(SUMIF(Fonctionnement[Affectation matrice],$AB$3,Fonctionnement[TVA acquittée])+SUMIF(Invest[Affectation matrice],$AB$3,Invest[TVA acquittée]))*BW8</f>
        <v>0</v>
      </c>
      <c r="CY8" s="200">
        <f>(SUMIF(Fonctionnement[Affectation matrice],$AB$3,Fonctionnement[TVA acquittée])+SUMIF(Invest[Affectation matrice],$AB$3,Invest[TVA acquittée]))*BX8</f>
        <v>0</v>
      </c>
      <c r="CZ8" s="200">
        <f>(SUMIF(Fonctionnement[Affectation matrice],$AB$3,Fonctionnement[TVA acquittée])+SUMIF(Invest[Affectation matrice],$AB$3,Invest[TVA acquittée]))*BY8</f>
        <v>0</v>
      </c>
      <c r="DA8" s="200">
        <f>(SUMIF(Fonctionnement[Affectation matrice],$AB$3,Fonctionnement[TVA acquittée])+SUMIF(Invest[Affectation matrice],$AB$3,Invest[TVA acquittée]))*BZ8</f>
        <v>0</v>
      </c>
      <c r="DB8" s="200">
        <f>(SUMIF(Fonctionnement[Affectation matrice],$AB$3,Fonctionnement[TVA acquittée])+SUMIF(Invest[Affectation matrice],$AB$3,Invest[TVA acquittée]))*CA8</f>
        <v>0</v>
      </c>
    </row>
    <row r="9" spans="1:106" s="22" customFormat="1" ht="12.75" customHeight="1" x14ac:dyDescent="0.25">
      <c r="A9" s="42" t="str">
        <f>Matrice[[#This Row],[Ligne de la matrice]]</f>
        <v>Collecte</v>
      </c>
      <c r="B9" s="276">
        <f>(SUMIF(Fonctionnement[Affectation matrice],$AB$3,Fonctionnement[Montant (€HT)])+SUMIF(Invest[Affectation matrice],$AB$3,Invest[Amortissement HT + intérêts]))*BC9</f>
        <v>0</v>
      </c>
      <c r="C9" s="276">
        <f>(SUMIF(Fonctionnement[Affectation matrice],$AB$3,Fonctionnement[Montant (€HT)])+SUMIF(Invest[Affectation matrice],$AB$3,Invest[Amortissement HT + intérêts]))*BD9</f>
        <v>0</v>
      </c>
      <c r="D9" s="276">
        <f>(SUMIF(Fonctionnement[Affectation matrice],$AB$3,Fonctionnement[Montant (€HT)])+SUMIF(Invest[Affectation matrice],$AB$3,Invest[Amortissement HT + intérêts]))*BE9</f>
        <v>0</v>
      </c>
      <c r="E9" s="276">
        <f>(SUMIF(Fonctionnement[Affectation matrice],$AB$3,Fonctionnement[Montant (€HT)])+SUMIF(Invest[Affectation matrice],$AB$3,Invest[Amortissement HT + intérêts]))*BF9</f>
        <v>0</v>
      </c>
      <c r="F9" s="276">
        <f>(SUMIF(Fonctionnement[Affectation matrice],$AB$3,Fonctionnement[Montant (€HT)])+SUMIF(Invest[Affectation matrice],$AB$3,Invest[Amortissement HT + intérêts]))*BG9</f>
        <v>0</v>
      </c>
      <c r="G9" s="276">
        <f>(SUMIF(Fonctionnement[Affectation matrice],$AB$3,Fonctionnement[Montant (€HT)])+SUMIF(Invest[Affectation matrice],$AB$3,Invest[Amortissement HT + intérêts]))*BH9</f>
        <v>0</v>
      </c>
      <c r="H9" s="276">
        <f>(SUMIF(Fonctionnement[Affectation matrice],$AB$3,Fonctionnement[Montant (€HT)])+SUMIF(Invest[Affectation matrice],$AB$3,Invest[Amortissement HT + intérêts]))*BI9</f>
        <v>0</v>
      </c>
      <c r="I9" s="276">
        <f>(SUMIF(Fonctionnement[Affectation matrice],$AB$3,Fonctionnement[Montant (€HT)])+SUMIF(Invest[Affectation matrice],$AB$3,Invest[Amortissement HT + intérêts]))*BJ9</f>
        <v>0</v>
      </c>
      <c r="J9" s="276">
        <f>(SUMIF(Fonctionnement[Affectation matrice],$AB$3,Fonctionnement[Montant (€HT)])+SUMIF(Invest[Affectation matrice],$AB$3,Invest[Amortissement HT + intérêts]))*BK9</f>
        <v>0</v>
      </c>
      <c r="K9" s="276">
        <f>(SUMIF(Fonctionnement[Affectation matrice],$AB$3,Fonctionnement[Montant (€HT)])+SUMIF(Invest[Affectation matrice],$AB$3,Invest[Amortissement HT + intérêts]))*BL9</f>
        <v>0</v>
      </c>
      <c r="L9" s="276">
        <f>(SUMIF(Fonctionnement[Affectation matrice],$AB$3,Fonctionnement[Montant (€HT)])+SUMIF(Invest[Affectation matrice],$AB$3,Invest[Amortissement HT + intérêts]))*BM9</f>
        <v>0</v>
      </c>
      <c r="M9" s="276">
        <f>(SUMIF(Fonctionnement[Affectation matrice],$AB$3,Fonctionnement[Montant (€HT)])+SUMIF(Invest[Affectation matrice],$AB$3,Invest[Amortissement HT + intérêts]))*BN9</f>
        <v>0</v>
      </c>
      <c r="N9" s="276">
        <f>(SUMIF(Fonctionnement[Affectation matrice],$AB$3,Fonctionnement[Montant (€HT)])+SUMIF(Invest[Affectation matrice],$AB$3,Invest[Amortissement HT + intérêts]))*BO9</f>
        <v>0</v>
      </c>
      <c r="O9" s="276">
        <f>(SUMIF(Fonctionnement[Affectation matrice],$AB$3,Fonctionnement[Montant (€HT)])+SUMIF(Invest[Affectation matrice],$AB$3,Invest[Amortissement HT + intérêts]))*BP9</f>
        <v>0</v>
      </c>
      <c r="P9" s="276">
        <f>(SUMIF(Fonctionnement[Affectation matrice],$AB$3,Fonctionnement[Montant (€HT)])+SUMIF(Invest[Affectation matrice],$AB$3,Invest[Amortissement HT + intérêts]))*BQ9</f>
        <v>0</v>
      </c>
      <c r="Q9" s="276">
        <f>(SUMIF(Fonctionnement[Affectation matrice],$AB$3,Fonctionnement[Montant (€HT)])+SUMIF(Invest[Affectation matrice],$AB$3,Invest[Amortissement HT + intérêts]))*BR9</f>
        <v>0</v>
      </c>
      <c r="R9" s="276">
        <f>(SUMIF(Fonctionnement[Affectation matrice],$AB$3,Fonctionnement[Montant (€HT)])+SUMIF(Invest[Affectation matrice],$AB$3,Invest[Amortissement HT + intérêts]))*BS9</f>
        <v>0</v>
      </c>
      <c r="S9" s="276">
        <f>(SUMIF(Fonctionnement[Affectation matrice],$AB$3,Fonctionnement[Montant (€HT)])+SUMIF(Invest[Affectation matrice],$AB$3,Invest[Amortissement HT + intérêts]))*BT9</f>
        <v>0</v>
      </c>
      <c r="T9" s="276">
        <f>(SUMIF(Fonctionnement[Affectation matrice],$AB$3,Fonctionnement[Montant (€HT)])+SUMIF(Invest[Affectation matrice],$AB$3,Invest[Amortissement HT + intérêts]))*BU9</f>
        <v>0</v>
      </c>
      <c r="U9" s="276">
        <f>(SUMIF(Fonctionnement[Affectation matrice],$AB$3,Fonctionnement[Montant (€HT)])+SUMIF(Invest[Affectation matrice],$AB$3,Invest[Amortissement HT + intérêts]))*BV9</f>
        <v>0</v>
      </c>
      <c r="V9" s="276">
        <f>(SUMIF(Fonctionnement[Affectation matrice],$AB$3,Fonctionnement[Montant (€HT)])+SUMIF(Invest[Affectation matrice],$AB$3,Invest[Amortissement HT + intérêts]))*BW9</f>
        <v>0</v>
      </c>
      <c r="W9" s="276">
        <f>(SUMIF(Fonctionnement[Affectation matrice],$AB$3,Fonctionnement[Montant (€HT)])+SUMIF(Invest[Affectation matrice],$AB$3,Invest[Amortissement HT + intérêts]))*BX9</f>
        <v>0</v>
      </c>
      <c r="X9" s="276">
        <f>(SUMIF(Fonctionnement[Affectation matrice],$AB$3,Fonctionnement[Montant (€HT)])+SUMIF(Invest[Affectation matrice],$AB$3,Invest[Amortissement HT + intérêts]))*BY9</f>
        <v>0</v>
      </c>
      <c r="Y9" s="276">
        <f>(SUMIF(Fonctionnement[Affectation matrice],$AB$3,Fonctionnement[Montant (€HT)])+SUMIF(Invest[Affectation matrice],$AB$3,Invest[Amortissement HT + intérêts]))*BZ9</f>
        <v>0</v>
      </c>
      <c r="Z9" s="276">
        <f>(SUMIF(Fonctionnement[Affectation matrice],$AB$3,Fonctionnement[Montant (€HT)])+SUMIF(Invest[Affectation matrice],$AB$3,Invest[Amortissement HT + intérêts]))*CA9</f>
        <v>0</v>
      </c>
      <c r="AA9" s="199"/>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283">
        <f t="shared" si="4"/>
        <v>0</v>
      </c>
      <c r="BB9" s="7"/>
      <c r="BC9" s="61">
        <f t="shared" si="2"/>
        <v>0</v>
      </c>
      <c r="BD9" s="61">
        <f t="shared" si="2"/>
        <v>0</v>
      </c>
      <c r="BE9" s="61">
        <f t="shared" si="2"/>
        <v>0</v>
      </c>
      <c r="BF9" s="61">
        <f t="shared" si="2"/>
        <v>0</v>
      </c>
      <c r="BG9" s="61">
        <f t="shared" si="2"/>
        <v>0</v>
      </c>
      <c r="BH9" s="61">
        <f t="shared" si="2"/>
        <v>0</v>
      </c>
      <c r="BI9" s="61">
        <f t="shared" si="2"/>
        <v>0</v>
      </c>
      <c r="BJ9" s="61">
        <f t="shared" si="2"/>
        <v>0</v>
      </c>
      <c r="BK9" s="61">
        <f t="shared" si="2"/>
        <v>0</v>
      </c>
      <c r="BL9" s="61">
        <f t="shared" si="2"/>
        <v>0</v>
      </c>
      <c r="BM9" s="61">
        <f t="shared" si="2"/>
        <v>0</v>
      </c>
      <c r="BN9" s="61">
        <f t="shared" si="2"/>
        <v>0</v>
      </c>
      <c r="BO9" s="61">
        <f t="shared" si="2"/>
        <v>0</v>
      </c>
      <c r="BP9" s="61">
        <f t="shared" si="2"/>
        <v>0</v>
      </c>
      <c r="BQ9" s="61">
        <f t="shared" si="2"/>
        <v>0</v>
      </c>
      <c r="BR9" s="61">
        <f t="shared" si="2"/>
        <v>0</v>
      </c>
      <c r="BS9" s="61">
        <f t="shared" si="3"/>
        <v>0</v>
      </c>
      <c r="BT9" s="61">
        <f t="shared" si="3"/>
        <v>0</v>
      </c>
      <c r="BU9" s="61">
        <f t="shared" si="3"/>
        <v>0</v>
      </c>
      <c r="BV9" s="61">
        <f t="shared" si="3"/>
        <v>0</v>
      </c>
      <c r="BW9" s="61">
        <f t="shared" si="3"/>
        <v>0</v>
      </c>
      <c r="BX9" s="61">
        <f t="shared" si="3"/>
        <v>0</v>
      </c>
      <c r="BY9" s="61">
        <f t="shared" si="3"/>
        <v>0</v>
      </c>
      <c r="BZ9" s="61">
        <f t="shared" si="3"/>
        <v>0</v>
      </c>
      <c r="CA9" s="61">
        <f t="shared" si="3"/>
        <v>0</v>
      </c>
      <c r="CB9" s="61">
        <f t="shared" si="5"/>
        <v>0</v>
      </c>
      <c r="CD9" s="200">
        <f>(SUMIF(Fonctionnement[Affectation matrice],$AB$3,Fonctionnement[TVA acquittée])+SUMIF(Invest[Affectation matrice],$AB$3,Invest[TVA acquittée]))*BC9</f>
        <v>0</v>
      </c>
      <c r="CE9" s="200">
        <f>(SUMIF(Fonctionnement[Affectation matrice],$AB$3,Fonctionnement[TVA acquittée])+SUMIF(Invest[Affectation matrice],$AB$3,Invest[TVA acquittée]))*BD9</f>
        <v>0</v>
      </c>
      <c r="CF9" s="200">
        <f>(SUMIF(Fonctionnement[Affectation matrice],$AB$3,Fonctionnement[TVA acquittée])+SUMIF(Invest[Affectation matrice],$AB$3,Invest[TVA acquittée]))*BE9</f>
        <v>0</v>
      </c>
      <c r="CG9" s="200">
        <f>(SUMIF(Fonctionnement[Affectation matrice],$AB$3,Fonctionnement[TVA acquittée])+SUMIF(Invest[Affectation matrice],$AB$3,Invest[TVA acquittée]))*BF9</f>
        <v>0</v>
      </c>
      <c r="CH9" s="200">
        <f>(SUMIF(Fonctionnement[Affectation matrice],$AB$3,Fonctionnement[TVA acquittée])+SUMIF(Invest[Affectation matrice],$AB$3,Invest[TVA acquittée]))*BG9</f>
        <v>0</v>
      </c>
      <c r="CI9" s="200">
        <f>(SUMIF(Fonctionnement[Affectation matrice],$AB$3,Fonctionnement[TVA acquittée])+SUMIF(Invest[Affectation matrice],$AB$3,Invest[TVA acquittée]))*BH9</f>
        <v>0</v>
      </c>
      <c r="CJ9" s="200">
        <f>(SUMIF(Fonctionnement[Affectation matrice],$AB$3,Fonctionnement[TVA acquittée])+SUMIF(Invest[Affectation matrice],$AB$3,Invest[TVA acquittée]))*BI9</f>
        <v>0</v>
      </c>
      <c r="CK9" s="200">
        <f>(SUMIF(Fonctionnement[Affectation matrice],$AB$3,Fonctionnement[TVA acquittée])+SUMIF(Invest[Affectation matrice],$AB$3,Invest[TVA acquittée]))*BJ9</f>
        <v>0</v>
      </c>
      <c r="CL9" s="200">
        <f>(SUMIF(Fonctionnement[Affectation matrice],$AB$3,Fonctionnement[TVA acquittée])+SUMIF(Invest[Affectation matrice],$AB$3,Invest[TVA acquittée]))*BK9</f>
        <v>0</v>
      </c>
      <c r="CM9" s="200">
        <f>(SUMIF(Fonctionnement[Affectation matrice],$AB$3,Fonctionnement[TVA acquittée])+SUMIF(Invest[Affectation matrice],$AB$3,Invest[TVA acquittée]))*BL9</f>
        <v>0</v>
      </c>
      <c r="CN9" s="200">
        <f>(SUMIF(Fonctionnement[Affectation matrice],$AB$3,Fonctionnement[TVA acquittée])+SUMIF(Invest[Affectation matrice],$AB$3,Invest[TVA acquittée]))*BM9</f>
        <v>0</v>
      </c>
      <c r="CO9" s="200">
        <f>(SUMIF(Fonctionnement[Affectation matrice],$AB$3,Fonctionnement[TVA acquittée])+SUMIF(Invest[Affectation matrice],$AB$3,Invest[TVA acquittée]))*BN9</f>
        <v>0</v>
      </c>
      <c r="CP9" s="200">
        <f>(SUMIF(Fonctionnement[Affectation matrice],$AB$3,Fonctionnement[TVA acquittée])+SUMIF(Invest[Affectation matrice],$AB$3,Invest[TVA acquittée]))*BO9</f>
        <v>0</v>
      </c>
      <c r="CQ9" s="200">
        <f>(SUMIF(Fonctionnement[Affectation matrice],$AB$3,Fonctionnement[TVA acquittée])+SUMIF(Invest[Affectation matrice],$AB$3,Invest[TVA acquittée]))*BP9</f>
        <v>0</v>
      </c>
      <c r="CR9" s="200">
        <f>(SUMIF(Fonctionnement[Affectation matrice],$AB$3,Fonctionnement[TVA acquittée])+SUMIF(Invest[Affectation matrice],$AB$3,Invest[TVA acquittée]))*BQ9</f>
        <v>0</v>
      </c>
      <c r="CS9" s="200">
        <f>(SUMIF(Fonctionnement[Affectation matrice],$AB$3,Fonctionnement[TVA acquittée])+SUMIF(Invest[Affectation matrice],$AB$3,Invest[TVA acquittée]))*BR9</f>
        <v>0</v>
      </c>
      <c r="CT9" s="200">
        <f>(SUMIF(Fonctionnement[Affectation matrice],$AB$3,Fonctionnement[TVA acquittée])+SUMIF(Invest[Affectation matrice],$AB$3,Invest[TVA acquittée]))*BS9</f>
        <v>0</v>
      </c>
      <c r="CU9" s="200">
        <f>(SUMIF(Fonctionnement[Affectation matrice],$AB$3,Fonctionnement[TVA acquittée])+SUMIF(Invest[Affectation matrice],$AB$3,Invest[TVA acquittée]))*BT9</f>
        <v>0</v>
      </c>
      <c r="CV9" s="200">
        <f>(SUMIF(Fonctionnement[Affectation matrice],$AB$3,Fonctionnement[TVA acquittée])+SUMIF(Invest[Affectation matrice],$AB$3,Invest[TVA acquittée]))*BU9</f>
        <v>0</v>
      </c>
      <c r="CW9" s="200">
        <f>(SUMIF(Fonctionnement[Affectation matrice],$AB$3,Fonctionnement[TVA acquittée])+SUMIF(Invest[Affectation matrice],$AB$3,Invest[TVA acquittée]))*BV9</f>
        <v>0</v>
      </c>
      <c r="CX9" s="200">
        <f>(SUMIF(Fonctionnement[Affectation matrice],$AB$3,Fonctionnement[TVA acquittée])+SUMIF(Invest[Affectation matrice],$AB$3,Invest[TVA acquittée]))*BW9</f>
        <v>0</v>
      </c>
      <c r="CY9" s="200">
        <f>(SUMIF(Fonctionnement[Affectation matrice],$AB$3,Fonctionnement[TVA acquittée])+SUMIF(Invest[Affectation matrice],$AB$3,Invest[TVA acquittée]))*BX9</f>
        <v>0</v>
      </c>
      <c r="CZ9" s="200">
        <f>(SUMIF(Fonctionnement[Affectation matrice],$AB$3,Fonctionnement[TVA acquittée])+SUMIF(Invest[Affectation matrice],$AB$3,Invest[TVA acquittée]))*BY9</f>
        <v>0</v>
      </c>
      <c r="DA9" s="200">
        <f>(SUMIF(Fonctionnement[Affectation matrice],$AB$3,Fonctionnement[TVA acquittée])+SUMIF(Invest[Affectation matrice],$AB$3,Invest[TVA acquittée]))*BZ9</f>
        <v>0</v>
      </c>
      <c r="DB9" s="200">
        <f>(SUMIF(Fonctionnement[Affectation matrice],$AB$3,Fonctionnement[TVA acquittée])+SUMIF(Invest[Affectation matrice],$AB$3,Invest[TVA acquittée]))*CA9</f>
        <v>0</v>
      </c>
    </row>
    <row r="10" spans="1:106" s="22" customFormat="1" ht="12.75" customHeight="1" x14ac:dyDescent="0.25">
      <c r="A10" s="42" t="str">
        <f>Matrice[[#This Row],[Ligne de la matrice]]</f>
        <v>Transfert/Transport</v>
      </c>
      <c r="B10" s="276">
        <f>(SUMIF(Fonctionnement[Affectation matrice],$AB$3,Fonctionnement[Montant (€HT)])+SUMIF(Invest[Affectation matrice],$AB$3,Invest[Amortissement HT + intérêts]))*BC10</f>
        <v>0</v>
      </c>
      <c r="C10" s="276">
        <f>(SUMIF(Fonctionnement[Affectation matrice],$AB$3,Fonctionnement[Montant (€HT)])+SUMIF(Invest[Affectation matrice],$AB$3,Invest[Amortissement HT + intérêts]))*BD10</f>
        <v>0</v>
      </c>
      <c r="D10" s="276">
        <f>(SUMIF(Fonctionnement[Affectation matrice],$AB$3,Fonctionnement[Montant (€HT)])+SUMIF(Invest[Affectation matrice],$AB$3,Invest[Amortissement HT + intérêts]))*BE10</f>
        <v>0</v>
      </c>
      <c r="E10" s="276">
        <f>(SUMIF(Fonctionnement[Affectation matrice],$AB$3,Fonctionnement[Montant (€HT)])+SUMIF(Invest[Affectation matrice],$AB$3,Invest[Amortissement HT + intérêts]))*BF10</f>
        <v>0</v>
      </c>
      <c r="F10" s="276">
        <f>(SUMIF(Fonctionnement[Affectation matrice],$AB$3,Fonctionnement[Montant (€HT)])+SUMIF(Invest[Affectation matrice],$AB$3,Invest[Amortissement HT + intérêts]))*BG10</f>
        <v>0</v>
      </c>
      <c r="G10" s="276">
        <f>(SUMIF(Fonctionnement[Affectation matrice],$AB$3,Fonctionnement[Montant (€HT)])+SUMIF(Invest[Affectation matrice],$AB$3,Invest[Amortissement HT + intérêts]))*BH10</f>
        <v>0</v>
      </c>
      <c r="H10" s="276">
        <f>(SUMIF(Fonctionnement[Affectation matrice],$AB$3,Fonctionnement[Montant (€HT)])+SUMIF(Invest[Affectation matrice],$AB$3,Invest[Amortissement HT + intérêts]))*BI10</f>
        <v>0</v>
      </c>
      <c r="I10" s="276">
        <f>(SUMIF(Fonctionnement[Affectation matrice],$AB$3,Fonctionnement[Montant (€HT)])+SUMIF(Invest[Affectation matrice],$AB$3,Invest[Amortissement HT + intérêts]))*BJ10</f>
        <v>0</v>
      </c>
      <c r="J10" s="276">
        <f>(SUMIF(Fonctionnement[Affectation matrice],$AB$3,Fonctionnement[Montant (€HT)])+SUMIF(Invest[Affectation matrice],$AB$3,Invest[Amortissement HT + intérêts]))*BK10</f>
        <v>0</v>
      </c>
      <c r="K10" s="276">
        <f>(SUMIF(Fonctionnement[Affectation matrice],$AB$3,Fonctionnement[Montant (€HT)])+SUMIF(Invest[Affectation matrice],$AB$3,Invest[Amortissement HT + intérêts]))*BL10</f>
        <v>0</v>
      </c>
      <c r="L10" s="276">
        <f>(SUMIF(Fonctionnement[Affectation matrice],$AB$3,Fonctionnement[Montant (€HT)])+SUMIF(Invest[Affectation matrice],$AB$3,Invest[Amortissement HT + intérêts]))*BM10</f>
        <v>0</v>
      </c>
      <c r="M10" s="276">
        <f>(SUMIF(Fonctionnement[Affectation matrice],$AB$3,Fonctionnement[Montant (€HT)])+SUMIF(Invest[Affectation matrice],$AB$3,Invest[Amortissement HT + intérêts]))*BN10</f>
        <v>0</v>
      </c>
      <c r="N10" s="276">
        <f>(SUMIF(Fonctionnement[Affectation matrice],$AB$3,Fonctionnement[Montant (€HT)])+SUMIF(Invest[Affectation matrice],$AB$3,Invest[Amortissement HT + intérêts]))*BO10</f>
        <v>0</v>
      </c>
      <c r="O10" s="276">
        <f>(SUMIF(Fonctionnement[Affectation matrice],$AB$3,Fonctionnement[Montant (€HT)])+SUMIF(Invest[Affectation matrice],$AB$3,Invest[Amortissement HT + intérêts]))*BP10</f>
        <v>0</v>
      </c>
      <c r="P10" s="276">
        <f>(SUMIF(Fonctionnement[Affectation matrice],$AB$3,Fonctionnement[Montant (€HT)])+SUMIF(Invest[Affectation matrice],$AB$3,Invest[Amortissement HT + intérêts]))*BQ10</f>
        <v>0</v>
      </c>
      <c r="Q10" s="276">
        <f>(SUMIF(Fonctionnement[Affectation matrice],$AB$3,Fonctionnement[Montant (€HT)])+SUMIF(Invest[Affectation matrice],$AB$3,Invest[Amortissement HT + intérêts]))*BR10</f>
        <v>0</v>
      </c>
      <c r="R10" s="276">
        <f>(SUMIF(Fonctionnement[Affectation matrice],$AB$3,Fonctionnement[Montant (€HT)])+SUMIF(Invest[Affectation matrice],$AB$3,Invest[Amortissement HT + intérêts]))*BS10</f>
        <v>0</v>
      </c>
      <c r="S10" s="276">
        <f>(SUMIF(Fonctionnement[Affectation matrice],$AB$3,Fonctionnement[Montant (€HT)])+SUMIF(Invest[Affectation matrice],$AB$3,Invest[Amortissement HT + intérêts]))*BT10</f>
        <v>0</v>
      </c>
      <c r="T10" s="276">
        <f>(SUMIF(Fonctionnement[Affectation matrice],$AB$3,Fonctionnement[Montant (€HT)])+SUMIF(Invest[Affectation matrice],$AB$3,Invest[Amortissement HT + intérêts]))*BU10</f>
        <v>0</v>
      </c>
      <c r="U10" s="276">
        <f>(SUMIF(Fonctionnement[Affectation matrice],$AB$3,Fonctionnement[Montant (€HT)])+SUMIF(Invest[Affectation matrice],$AB$3,Invest[Amortissement HT + intérêts]))*BV10</f>
        <v>0</v>
      </c>
      <c r="V10" s="276">
        <f>(SUMIF(Fonctionnement[Affectation matrice],$AB$3,Fonctionnement[Montant (€HT)])+SUMIF(Invest[Affectation matrice],$AB$3,Invest[Amortissement HT + intérêts]))*BW10</f>
        <v>0</v>
      </c>
      <c r="W10" s="276">
        <f>(SUMIF(Fonctionnement[Affectation matrice],$AB$3,Fonctionnement[Montant (€HT)])+SUMIF(Invest[Affectation matrice],$AB$3,Invest[Amortissement HT + intérêts]))*BX10</f>
        <v>0</v>
      </c>
      <c r="X10" s="276">
        <f>(SUMIF(Fonctionnement[Affectation matrice],$AB$3,Fonctionnement[Montant (€HT)])+SUMIF(Invest[Affectation matrice],$AB$3,Invest[Amortissement HT + intérêts]))*BY10</f>
        <v>0</v>
      </c>
      <c r="Y10" s="276">
        <f>(SUMIF(Fonctionnement[Affectation matrice],$AB$3,Fonctionnement[Montant (€HT)])+SUMIF(Invest[Affectation matrice],$AB$3,Invest[Amortissement HT + intérêts]))*BZ10</f>
        <v>0</v>
      </c>
      <c r="Z10" s="276">
        <f>(SUMIF(Fonctionnement[Affectation matrice],$AB$3,Fonctionnement[Montant (€HT)])+SUMIF(Invest[Affectation matrice],$AB$3,Invest[Amortissement HT + intérêts]))*CA10</f>
        <v>0</v>
      </c>
      <c r="AA10" s="199"/>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283">
        <f t="shared" si="4"/>
        <v>0</v>
      </c>
      <c r="BB10" s="7"/>
      <c r="BC10" s="61">
        <f t="shared" si="2"/>
        <v>0</v>
      </c>
      <c r="BD10" s="61">
        <f t="shared" si="2"/>
        <v>0</v>
      </c>
      <c r="BE10" s="61">
        <f t="shared" si="2"/>
        <v>0</v>
      </c>
      <c r="BF10" s="61">
        <f t="shared" si="2"/>
        <v>0</v>
      </c>
      <c r="BG10" s="61">
        <f t="shared" si="2"/>
        <v>0</v>
      </c>
      <c r="BH10" s="61">
        <f t="shared" si="2"/>
        <v>0</v>
      </c>
      <c r="BI10" s="61">
        <f t="shared" si="2"/>
        <v>0</v>
      </c>
      <c r="BJ10" s="61">
        <f t="shared" si="2"/>
        <v>0</v>
      </c>
      <c r="BK10" s="61">
        <f t="shared" si="2"/>
        <v>0</v>
      </c>
      <c r="BL10" s="61">
        <f t="shared" si="2"/>
        <v>0</v>
      </c>
      <c r="BM10" s="61">
        <f t="shared" si="2"/>
        <v>0</v>
      </c>
      <c r="BN10" s="61">
        <f t="shared" si="2"/>
        <v>0</v>
      </c>
      <c r="BO10" s="61">
        <f t="shared" si="2"/>
        <v>0</v>
      </c>
      <c r="BP10" s="61">
        <f t="shared" si="2"/>
        <v>0</v>
      </c>
      <c r="BQ10" s="61">
        <f t="shared" si="2"/>
        <v>0</v>
      </c>
      <c r="BR10" s="61">
        <f t="shared" si="2"/>
        <v>0</v>
      </c>
      <c r="BS10" s="61">
        <f t="shared" si="3"/>
        <v>0</v>
      </c>
      <c r="BT10" s="61">
        <f t="shared" si="3"/>
        <v>0</v>
      </c>
      <c r="BU10" s="61">
        <f t="shared" si="3"/>
        <v>0</v>
      </c>
      <c r="BV10" s="61">
        <f t="shared" si="3"/>
        <v>0</v>
      </c>
      <c r="BW10" s="61">
        <f t="shared" si="3"/>
        <v>0</v>
      </c>
      <c r="BX10" s="61">
        <f t="shared" si="3"/>
        <v>0</v>
      </c>
      <c r="BY10" s="61">
        <f t="shared" si="3"/>
        <v>0</v>
      </c>
      <c r="BZ10" s="61">
        <f t="shared" si="3"/>
        <v>0</v>
      </c>
      <c r="CA10" s="61">
        <f t="shared" si="3"/>
        <v>0</v>
      </c>
      <c r="CB10" s="61">
        <f t="shared" si="5"/>
        <v>0</v>
      </c>
      <c r="CD10" s="200">
        <f>(SUMIF(Fonctionnement[Affectation matrice],$AB$3,Fonctionnement[TVA acquittée])+SUMIF(Invest[Affectation matrice],$AB$3,Invest[TVA acquittée]))*BC10</f>
        <v>0</v>
      </c>
      <c r="CE10" s="200">
        <f>(SUMIF(Fonctionnement[Affectation matrice],$AB$3,Fonctionnement[TVA acquittée])+SUMIF(Invest[Affectation matrice],$AB$3,Invest[TVA acquittée]))*BD10</f>
        <v>0</v>
      </c>
      <c r="CF10" s="200">
        <f>(SUMIF(Fonctionnement[Affectation matrice],$AB$3,Fonctionnement[TVA acquittée])+SUMIF(Invest[Affectation matrice],$AB$3,Invest[TVA acquittée]))*BE10</f>
        <v>0</v>
      </c>
      <c r="CG10" s="200">
        <f>(SUMIF(Fonctionnement[Affectation matrice],$AB$3,Fonctionnement[TVA acquittée])+SUMIF(Invest[Affectation matrice],$AB$3,Invest[TVA acquittée]))*BF10</f>
        <v>0</v>
      </c>
      <c r="CH10" s="200">
        <f>(SUMIF(Fonctionnement[Affectation matrice],$AB$3,Fonctionnement[TVA acquittée])+SUMIF(Invest[Affectation matrice],$AB$3,Invest[TVA acquittée]))*BG10</f>
        <v>0</v>
      </c>
      <c r="CI10" s="200">
        <f>(SUMIF(Fonctionnement[Affectation matrice],$AB$3,Fonctionnement[TVA acquittée])+SUMIF(Invest[Affectation matrice],$AB$3,Invest[TVA acquittée]))*BH10</f>
        <v>0</v>
      </c>
      <c r="CJ10" s="200">
        <f>(SUMIF(Fonctionnement[Affectation matrice],$AB$3,Fonctionnement[TVA acquittée])+SUMIF(Invest[Affectation matrice],$AB$3,Invest[TVA acquittée]))*BI10</f>
        <v>0</v>
      </c>
      <c r="CK10" s="200">
        <f>(SUMIF(Fonctionnement[Affectation matrice],$AB$3,Fonctionnement[TVA acquittée])+SUMIF(Invest[Affectation matrice],$AB$3,Invest[TVA acquittée]))*BJ10</f>
        <v>0</v>
      </c>
      <c r="CL10" s="200">
        <f>(SUMIF(Fonctionnement[Affectation matrice],$AB$3,Fonctionnement[TVA acquittée])+SUMIF(Invest[Affectation matrice],$AB$3,Invest[TVA acquittée]))*BK10</f>
        <v>0</v>
      </c>
      <c r="CM10" s="200">
        <f>(SUMIF(Fonctionnement[Affectation matrice],$AB$3,Fonctionnement[TVA acquittée])+SUMIF(Invest[Affectation matrice],$AB$3,Invest[TVA acquittée]))*BL10</f>
        <v>0</v>
      </c>
      <c r="CN10" s="200">
        <f>(SUMIF(Fonctionnement[Affectation matrice],$AB$3,Fonctionnement[TVA acquittée])+SUMIF(Invest[Affectation matrice],$AB$3,Invest[TVA acquittée]))*BM10</f>
        <v>0</v>
      </c>
      <c r="CO10" s="200">
        <f>(SUMIF(Fonctionnement[Affectation matrice],$AB$3,Fonctionnement[TVA acquittée])+SUMIF(Invest[Affectation matrice],$AB$3,Invest[TVA acquittée]))*BN10</f>
        <v>0</v>
      </c>
      <c r="CP10" s="200">
        <f>(SUMIF(Fonctionnement[Affectation matrice],$AB$3,Fonctionnement[TVA acquittée])+SUMIF(Invest[Affectation matrice],$AB$3,Invest[TVA acquittée]))*BO10</f>
        <v>0</v>
      </c>
      <c r="CQ10" s="200">
        <f>(SUMIF(Fonctionnement[Affectation matrice],$AB$3,Fonctionnement[TVA acquittée])+SUMIF(Invest[Affectation matrice],$AB$3,Invest[TVA acquittée]))*BP10</f>
        <v>0</v>
      </c>
      <c r="CR10" s="200">
        <f>(SUMIF(Fonctionnement[Affectation matrice],$AB$3,Fonctionnement[TVA acquittée])+SUMIF(Invest[Affectation matrice],$AB$3,Invest[TVA acquittée]))*BQ10</f>
        <v>0</v>
      </c>
      <c r="CS10" s="200">
        <f>(SUMIF(Fonctionnement[Affectation matrice],$AB$3,Fonctionnement[TVA acquittée])+SUMIF(Invest[Affectation matrice],$AB$3,Invest[TVA acquittée]))*BR10</f>
        <v>0</v>
      </c>
      <c r="CT10" s="200">
        <f>(SUMIF(Fonctionnement[Affectation matrice],$AB$3,Fonctionnement[TVA acquittée])+SUMIF(Invest[Affectation matrice],$AB$3,Invest[TVA acquittée]))*BS10</f>
        <v>0</v>
      </c>
      <c r="CU10" s="200">
        <f>(SUMIF(Fonctionnement[Affectation matrice],$AB$3,Fonctionnement[TVA acquittée])+SUMIF(Invest[Affectation matrice],$AB$3,Invest[TVA acquittée]))*BT10</f>
        <v>0</v>
      </c>
      <c r="CV10" s="200">
        <f>(SUMIF(Fonctionnement[Affectation matrice],$AB$3,Fonctionnement[TVA acquittée])+SUMIF(Invest[Affectation matrice],$AB$3,Invest[TVA acquittée]))*BU10</f>
        <v>0</v>
      </c>
      <c r="CW10" s="200">
        <f>(SUMIF(Fonctionnement[Affectation matrice],$AB$3,Fonctionnement[TVA acquittée])+SUMIF(Invest[Affectation matrice],$AB$3,Invest[TVA acquittée]))*BV10</f>
        <v>0</v>
      </c>
      <c r="CX10" s="200">
        <f>(SUMIF(Fonctionnement[Affectation matrice],$AB$3,Fonctionnement[TVA acquittée])+SUMIF(Invest[Affectation matrice],$AB$3,Invest[TVA acquittée]))*BW10</f>
        <v>0</v>
      </c>
      <c r="CY10" s="200">
        <f>(SUMIF(Fonctionnement[Affectation matrice],$AB$3,Fonctionnement[TVA acquittée])+SUMIF(Invest[Affectation matrice],$AB$3,Invest[TVA acquittée]))*BX10</f>
        <v>0</v>
      </c>
      <c r="CZ10" s="200">
        <f>(SUMIF(Fonctionnement[Affectation matrice],$AB$3,Fonctionnement[TVA acquittée])+SUMIF(Invest[Affectation matrice],$AB$3,Invest[TVA acquittée]))*BY10</f>
        <v>0</v>
      </c>
      <c r="DA10" s="200">
        <f>(SUMIF(Fonctionnement[Affectation matrice],$AB$3,Fonctionnement[TVA acquittée])+SUMIF(Invest[Affectation matrice],$AB$3,Invest[TVA acquittée]))*BZ10</f>
        <v>0</v>
      </c>
      <c r="DB10" s="200">
        <f>(SUMIF(Fonctionnement[Affectation matrice],$AB$3,Fonctionnement[TVA acquittée])+SUMIF(Invest[Affectation matrice],$AB$3,Invest[TVA acquittée]))*CA10</f>
        <v>0</v>
      </c>
    </row>
    <row r="11" spans="1:106" s="22" customFormat="1" ht="12.75" customHeight="1" x14ac:dyDescent="0.25">
      <c r="A11" s="42" t="str">
        <f>Matrice[[#This Row],[Ligne de la matrice]]</f>
        <v>Traitement des déchets non dangereux</v>
      </c>
      <c r="B11" s="276">
        <f>(SUMIF(Fonctionnement[Affectation matrice],$AB$3,Fonctionnement[Montant (€HT)])+SUMIF(Invest[Affectation matrice],$AB$3,Invest[Amortissement HT + intérêts]))*BC11</f>
        <v>0</v>
      </c>
      <c r="C11" s="276">
        <f>(SUMIF(Fonctionnement[Affectation matrice],$AB$3,Fonctionnement[Montant (€HT)])+SUMIF(Invest[Affectation matrice],$AB$3,Invest[Amortissement HT + intérêts]))*BD11</f>
        <v>0</v>
      </c>
      <c r="D11" s="276">
        <f>(SUMIF(Fonctionnement[Affectation matrice],$AB$3,Fonctionnement[Montant (€HT)])+SUMIF(Invest[Affectation matrice],$AB$3,Invest[Amortissement HT + intérêts]))*BE11</f>
        <v>0</v>
      </c>
      <c r="E11" s="276">
        <f>(SUMIF(Fonctionnement[Affectation matrice],$AB$3,Fonctionnement[Montant (€HT)])+SUMIF(Invest[Affectation matrice],$AB$3,Invest[Amortissement HT + intérêts]))*BF11</f>
        <v>0</v>
      </c>
      <c r="F11" s="276">
        <f>(SUMIF(Fonctionnement[Affectation matrice],$AB$3,Fonctionnement[Montant (€HT)])+SUMIF(Invest[Affectation matrice],$AB$3,Invest[Amortissement HT + intérêts]))*BG11</f>
        <v>0</v>
      </c>
      <c r="G11" s="276">
        <f>(SUMIF(Fonctionnement[Affectation matrice],$AB$3,Fonctionnement[Montant (€HT)])+SUMIF(Invest[Affectation matrice],$AB$3,Invest[Amortissement HT + intérêts]))*BH11</f>
        <v>0</v>
      </c>
      <c r="H11" s="276">
        <f>(SUMIF(Fonctionnement[Affectation matrice],$AB$3,Fonctionnement[Montant (€HT)])+SUMIF(Invest[Affectation matrice],$AB$3,Invest[Amortissement HT + intérêts]))*BI11</f>
        <v>0</v>
      </c>
      <c r="I11" s="276">
        <f>(SUMIF(Fonctionnement[Affectation matrice],$AB$3,Fonctionnement[Montant (€HT)])+SUMIF(Invest[Affectation matrice],$AB$3,Invest[Amortissement HT + intérêts]))*BJ11</f>
        <v>0</v>
      </c>
      <c r="J11" s="276">
        <f>(SUMIF(Fonctionnement[Affectation matrice],$AB$3,Fonctionnement[Montant (€HT)])+SUMIF(Invest[Affectation matrice],$AB$3,Invest[Amortissement HT + intérêts]))*BK11</f>
        <v>0</v>
      </c>
      <c r="K11" s="276">
        <f>(SUMIF(Fonctionnement[Affectation matrice],$AB$3,Fonctionnement[Montant (€HT)])+SUMIF(Invest[Affectation matrice],$AB$3,Invest[Amortissement HT + intérêts]))*BL11</f>
        <v>0</v>
      </c>
      <c r="L11" s="276">
        <f>(SUMIF(Fonctionnement[Affectation matrice],$AB$3,Fonctionnement[Montant (€HT)])+SUMIF(Invest[Affectation matrice],$AB$3,Invest[Amortissement HT + intérêts]))*BM11</f>
        <v>0</v>
      </c>
      <c r="M11" s="276">
        <f>(SUMIF(Fonctionnement[Affectation matrice],$AB$3,Fonctionnement[Montant (€HT)])+SUMIF(Invest[Affectation matrice],$AB$3,Invest[Amortissement HT + intérêts]))*BN11</f>
        <v>0</v>
      </c>
      <c r="N11" s="276">
        <f>(SUMIF(Fonctionnement[Affectation matrice],$AB$3,Fonctionnement[Montant (€HT)])+SUMIF(Invest[Affectation matrice],$AB$3,Invest[Amortissement HT + intérêts]))*BO11</f>
        <v>0</v>
      </c>
      <c r="O11" s="276">
        <f>(SUMIF(Fonctionnement[Affectation matrice],$AB$3,Fonctionnement[Montant (€HT)])+SUMIF(Invest[Affectation matrice],$AB$3,Invest[Amortissement HT + intérêts]))*BP11</f>
        <v>0</v>
      </c>
      <c r="P11" s="276">
        <f>(SUMIF(Fonctionnement[Affectation matrice],$AB$3,Fonctionnement[Montant (€HT)])+SUMIF(Invest[Affectation matrice],$AB$3,Invest[Amortissement HT + intérêts]))*BQ11</f>
        <v>0</v>
      </c>
      <c r="Q11" s="276">
        <f>(SUMIF(Fonctionnement[Affectation matrice],$AB$3,Fonctionnement[Montant (€HT)])+SUMIF(Invest[Affectation matrice],$AB$3,Invest[Amortissement HT + intérêts]))*BR11</f>
        <v>0</v>
      </c>
      <c r="R11" s="276">
        <f>(SUMIF(Fonctionnement[Affectation matrice],$AB$3,Fonctionnement[Montant (€HT)])+SUMIF(Invest[Affectation matrice],$AB$3,Invest[Amortissement HT + intérêts]))*BS11</f>
        <v>0</v>
      </c>
      <c r="S11" s="276">
        <f>(SUMIF(Fonctionnement[Affectation matrice],$AB$3,Fonctionnement[Montant (€HT)])+SUMIF(Invest[Affectation matrice],$AB$3,Invest[Amortissement HT + intérêts]))*BT11</f>
        <v>0</v>
      </c>
      <c r="T11" s="276">
        <f>(SUMIF(Fonctionnement[Affectation matrice],$AB$3,Fonctionnement[Montant (€HT)])+SUMIF(Invest[Affectation matrice],$AB$3,Invest[Amortissement HT + intérêts]))*BU11</f>
        <v>0</v>
      </c>
      <c r="U11" s="276">
        <f>(SUMIF(Fonctionnement[Affectation matrice],$AB$3,Fonctionnement[Montant (€HT)])+SUMIF(Invest[Affectation matrice],$AB$3,Invest[Amortissement HT + intérêts]))*BV11</f>
        <v>0</v>
      </c>
      <c r="V11" s="276">
        <f>(SUMIF(Fonctionnement[Affectation matrice],$AB$3,Fonctionnement[Montant (€HT)])+SUMIF(Invest[Affectation matrice],$AB$3,Invest[Amortissement HT + intérêts]))*BW11</f>
        <v>0</v>
      </c>
      <c r="W11" s="276">
        <f>(SUMIF(Fonctionnement[Affectation matrice],$AB$3,Fonctionnement[Montant (€HT)])+SUMIF(Invest[Affectation matrice],$AB$3,Invest[Amortissement HT + intérêts]))*BX11</f>
        <v>0</v>
      </c>
      <c r="X11" s="276">
        <f>(SUMIF(Fonctionnement[Affectation matrice],$AB$3,Fonctionnement[Montant (€HT)])+SUMIF(Invest[Affectation matrice],$AB$3,Invest[Amortissement HT + intérêts]))*BY11</f>
        <v>0</v>
      </c>
      <c r="Y11" s="276">
        <f>(SUMIF(Fonctionnement[Affectation matrice],$AB$3,Fonctionnement[Montant (€HT)])+SUMIF(Invest[Affectation matrice],$AB$3,Invest[Amortissement HT + intérêts]))*BZ11</f>
        <v>0</v>
      </c>
      <c r="Z11" s="276">
        <f>(SUMIF(Fonctionnement[Affectation matrice],$AB$3,Fonctionnement[Montant (€HT)])+SUMIF(Invest[Affectation matrice],$AB$3,Invest[Amortissement HT + intérêts]))*CA11</f>
        <v>0</v>
      </c>
      <c r="AA11" s="199"/>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283">
        <f t="shared" si="4"/>
        <v>0</v>
      </c>
      <c r="BB11" s="7"/>
      <c r="BC11" s="61">
        <f t="shared" si="2"/>
        <v>0</v>
      </c>
      <c r="BD11" s="61">
        <f t="shared" si="2"/>
        <v>0</v>
      </c>
      <c r="BE11" s="61">
        <f t="shared" si="2"/>
        <v>0</v>
      </c>
      <c r="BF11" s="61">
        <f t="shared" si="2"/>
        <v>0</v>
      </c>
      <c r="BG11" s="61">
        <f t="shared" si="2"/>
        <v>0</v>
      </c>
      <c r="BH11" s="61">
        <f t="shared" si="2"/>
        <v>0</v>
      </c>
      <c r="BI11" s="61">
        <f t="shared" si="2"/>
        <v>0</v>
      </c>
      <c r="BJ11" s="61">
        <f t="shared" si="2"/>
        <v>0</v>
      </c>
      <c r="BK11" s="61">
        <f t="shared" si="2"/>
        <v>0</v>
      </c>
      <c r="BL11" s="61">
        <f t="shared" si="2"/>
        <v>0</v>
      </c>
      <c r="BM11" s="61">
        <f t="shared" si="2"/>
        <v>0</v>
      </c>
      <c r="BN11" s="61">
        <f t="shared" si="2"/>
        <v>0</v>
      </c>
      <c r="BO11" s="61">
        <f t="shared" si="2"/>
        <v>0</v>
      </c>
      <c r="BP11" s="61">
        <f t="shared" si="2"/>
        <v>0</v>
      </c>
      <c r="BQ11" s="61">
        <f t="shared" si="2"/>
        <v>0</v>
      </c>
      <c r="BR11" s="61">
        <f t="shared" si="2"/>
        <v>0</v>
      </c>
      <c r="BS11" s="61">
        <f t="shared" si="3"/>
        <v>0</v>
      </c>
      <c r="BT11" s="61">
        <f t="shared" si="3"/>
        <v>0</v>
      </c>
      <c r="BU11" s="61">
        <f t="shared" si="3"/>
        <v>0</v>
      </c>
      <c r="BV11" s="61">
        <f t="shared" si="3"/>
        <v>0</v>
      </c>
      <c r="BW11" s="61">
        <f t="shared" si="3"/>
        <v>0</v>
      </c>
      <c r="BX11" s="61">
        <f t="shared" si="3"/>
        <v>0</v>
      </c>
      <c r="BY11" s="61">
        <f t="shared" si="3"/>
        <v>0</v>
      </c>
      <c r="BZ11" s="61">
        <f t="shared" si="3"/>
        <v>0</v>
      </c>
      <c r="CA11" s="61">
        <f t="shared" si="3"/>
        <v>0</v>
      </c>
      <c r="CB11" s="61">
        <f t="shared" si="5"/>
        <v>0</v>
      </c>
      <c r="CD11" s="200">
        <f>(SUMIF(Fonctionnement[Affectation matrice],$AB$3,Fonctionnement[TVA acquittée])+SUMIF(Invest[Affectation matrice],$AB$3,Invest[TVA acquittée]))*BC11</f>
        <v>0</v>
      </c>
      <c r="CE11" s="200">
        <f>(SUMIF(Fonctionnement[Affectation matrice],$AB$3,Fonctionnement[TVA acquittée])+SUMIF(Invest[Affectation matrice],$AB$3,Invest[TVA acquittée]))*BD11</f>
        <v>0</v>
      </c>
      <c r="CF11" s="200">
        <f>(SUMIF(Fonctionnement[Affectation matrice],$AB$3,Fonctionnement[TVA acquittée])+SUMIF(Invest[Affectation matrice],$AB$3,Invest[TVA acquittée]))*BE11</f>
        <v>0</v>
      </c>
      <c r="CG11" s="200">
        <f>(SUMIF(Fonctionnement[Affectation matrice],$AB$3,Fonctionnement[TVA acquittée])+SUMIF(Invest[Affectation matrice],$AB$3,Invest[TVA acquittée]))*BF11</f>
        <v>0</v>
      </c>
      <c r="CH11" s="200">
        <f>(SUMIF(Fonctionnement[Affectation matrice],$AB$3,Fonctionnement[TVA acquittée])+SUMIF(Invest[Affectation matrice],$AB$3,Invest[TVA acquittée]))*BG11</f>
        <v>0</v>
      </c>
      <c r="CI11" s="200">
        <f>(SUMIF(Fonctionnement[Affectation matrice],$AB$3,Fonctionnement[TVA acquittée])+SUMIF(Invest[Affectation matrice],$AB$3,Invest[TVA acquittée]))*BH11</f>
        <v>0</v>
      </c>
      <c r="CJ11" s="200">
        <f>(SUMIF(Fonctionnement[Affectation matrice],$AB$3,Fonctionnement[TVA acquittée])+SUMIF(Invest[Affectation matrice],$AB$3,Invest[TVA acquittée]))*BI11</f>
        <v>0</v>
      </c>
      <c r="CK11" s="200">
        <f>(SUMIF(Fonctionnement[Affectation matrice],$AB$3,Fonctionnement[TVA acquittée])+SUMIF(Invest[Affectation matrice],$AB$3,Invest[TVA acquittée]))*BJ11</f>
        <v>0</v>
      </c>
      <c r="CL11" s="200">
        <f>(SUMIF(Fonctionnement[Affectation matrice],$AB$3,Fonctionnement[TVA acquittée])+SUMIF(Invest[Affectation matrice],$AB$3,Invest[TVA acquittée]))*BK11</f>
        <v>0</v>
      </c>
      <c r="CM11" s="200">
        <f>(SUMIF(Fonctionnement[Affectation matrice],$AB$3,Fonctionnement[TVA acquittée])+SUMIF(Invest[Affectation matrice],$AB$3,Invest[TVA acquittée]))*BL11</f>
        <v>0</v>
      </c>
      <c r="CN11" s="200">
        <f>(SUMIF(Fonctionnement[Affectation matrice],$AB$3,Fonctionnement[TVA acquittée])+SUMIF(Invest[Affectation matrice],$AB$3,Invest[TVA acquittée]))*BM11</f>
        <v>0</v>
      </c>
      <c r="CO11" s="200">
        <f>(SUMIF(Fonctionnement[Affectation matrice],$AB$3,Fonctionnement[TVA acquittée])+SUMIF(Invest[Affectation matrice],$AB$3,Invest[TVA acquittée]))*BN11</f>
        <v>0</v>
      </c>
      <c r="CP11" s="200">
        <f>(SUMIF(Fonctionnement[Affectation matrice],$AB$3,Fonctionnement[TVA acquittée])+SUMIF(Invest[Affectation matrice],$AB$3,Invest[TVA acquittée]))*BO11</f>
        <v>0</v>
      </c>
      <c r="CQ11" s="200">
        <f>(SUMIF(Fonctionnement[Affectation matrice],$AB$3,Fonctionnement[TVA acquittée])+SUMIF(Invest[Affectation matrice],$AB$3,Invest[TVA acquittée]))*BP11</f>
        <v>0</v>
      </c>
      <c r="CR11" s="200">
        <f>(SUMIF(Fonctionnement[Affectation matrice],$AB$3,Fonctionnement[TVA acquittée])+SUMIF(Invest[Affectation matrice],$AB$3,Invest[TVA acquittée]))*BQ11</f>
        <v>0</v>
      </c>
      <c r="CS11" s="200">
        <f>(SUMIF(Fonctionnement[Affectation matrice],$AB$3,Fonctionnement[TVA acquittée])+SUMIF(Invest[Affectation matrice],$AB$3,Invest[TVA acquittée]))*BR11</f>
        <v>0</v>
      </c>
      <c r="CT11" s="200">
        <f>(SUMIF(Fonctionnement[Affectation matrice],$AB$3,Fonctionnement[TVA acquittée])+SUMIF(Invest[Affectation matrice],$AB$3,Invest[TVA acquittée]))*BS11</f>
        <v>0</v>
      </c>
      <c r="CU11" s="200">
        <f>(SUMIF(Fonctionnement[Affectation matrice],$AB$3,Fonctionnement[TVA acquittée])+SUMIF(Invest[Affectation matrice],$AB$3,Invest[TVA acquittée]))*BT11</f>
        <v>0</v>
      </c>
      <c r="CV11" s="200">
        <f>(SUMIF(Fonctionnement[Affectation matrice],$AB$3,Fonctionnement[TVA acquittée])+SUMIF(Invest[Affectation matrice],$AB$3,Invest[TVA acquittée]))*BU11</f>
        <v>0</v>
      </c>
      <c r="CW11" s="200">
        <f>(SUMIF(Fonctionnement[Affectation matrice],$AB$3,Fonctionnement[TVA acquittée])+SUMIF(Invest[Affectation matrice],$AB$3,Invest[TVA acquittée]))*BV11</f>
        <v>0</v>
      </c>
      <c r="CX11" s="200">
        <f>(SUMIF(Fonctionnement[Affectation matrice],$AB$3,Fonctionnement[TVA acquittée])+SUMIF(Invest[Affectation matrice],$AB$3,Invest[TVA acquittée]))*BW11</f>
        <v>0</v>
      </c>
      <c r="CY11" s="200">
        <f>(SUMIF(Fonctionnement[Affectation matrice],$AB$3,Fonctionnement[TVA acquittée])+SUMIF(Invest[Affectation matrice],$AB$3,Invest[TVA acquittée]))*BX11</f>
        <v>0</v>
      </c>
      <c r="CZ11" s="200">
        <f>(SUMIF(Fonctionnement[Affectation matrice],$AB$3,Fonctionnement[TVA acquittée])+SUMIF(Invest[Affectation matrice],$AB$3,Invest[TVA acquittée]))*BY11</f>
        <v>0</v>
      </c>
      <c r="DA11" s="200">
        <f>(SUMIF(Fonctionnement[Affectation matrice],$AB$3,Fonctionnement[TVA acquittée])+SUMIF(Invest[Affectation matrice],$AB$3,Invest[TVA acquittée]))*BZ11</f>
        <v>0</v>
      </c>
      <c r="DB11" s="200">
        <f>(SUMIF(Fonctionnement[Affectation matrice],$AB$3,Fonctionnement[TVA acquittée])+SUMIF(Invest[Affectation matrice],$AB$3,Invest[TVA acquittée]))*CA11</f>
        <v>0</v>
      </c>
    </row>
    <row r="12" spans="1:106" s="22" customFormat="1" ht="12.75" customHeight="1" x14ac:dyDescent="0.25">
      <c r="A12" s="42" t="str">
        <f>Matrice[[#This Row],[Ligne de la matrice]]</f>
        <v>Enlèvement et traitement des déchets dangereux</v>
      </c>
      <c r="B12" s="276">
        <f>(SUMIF(Fonctionnement[Affectation matrice],$AB$3,Fonctionnement[Montant (€HT)])+SUMIF(Invest[Affectation matrice],$AB$3,Invest[Amortissement HT + intérêts]))*BC12</f>
        <v>0</v>
      </c>
      <c r="C12" s="276">
        <f>(SUMIF(Fonctionnement[Affectation matrice],$AB$3,Fonctionnement[Montant (€HT)])+SUMIF(Invest[Affectation matrice],$AB$3,Invest[Amortissement HT + intérêts]))*BD12</f>
        <v>0</v>
      </c>
      <c r="D12" s="276">
        <f>(SUMIF(Fonctionnement[Affectation matrice],$AB$3,Fonctionnement[Montant (€HT)])+SUMIF(Invest[Affectation matrice],$AB$3,Invest[Amortissement HT + intérêts]))*BE12</f>
        <v>0</v>
      </c>
      <c r="E12" s="276">
        <f>(SUMIF(Fonctionnement[Affectation matrice],$AB$3,Fonctionnement[Montant (€HT)])+SUMIF(Invest[Affectation matrice],$AB$3,Invest[Amortissement HT + intérêts]))*BF12</f>
        <v>0</v>
      </c>
      <c r="F12" s="276">
        <f>(SUMIF(Fonctionnement[Affectation matrice],$AB$3,Fonctionnement[Montant (€HT)])+SUMIF(Invest[Affectation matrice],$AB$3,Invest[Amortissement HT + intérêts]))*BG12</f>
        <v>0</v>
      </c>
      <c r="G12" s="276">
        <f>(SUMIF(Fonctionnement[Affectation matrice],$AB$3,Fonctionnement[Montant (€HT)])+SUMIF(Invest[Affectation matrice],$AB$3,Invest[Amortissement HT + intérêts]))*BH12</f>
        <v>0</v>
      </c>
      <c r="H12" s="276">
        <f>(SUMIF(Fonctionnement[Affectation matrice],$AB$3,Fonctionnement[Montant (€HT)])+SUMIF(Invest[Affectation matrice],$AB$3,Invest[Amortissement HT + intérêts]))*BI12</f>
        <v>0</v>
      </c>
      <c r="I12" s="276">
        <f>(SUMIF(Fonctionnement[Affectation matrice],$AB$3,Fonctionnement[Montant (€HT)])+SUMIF(Invest[Affectation matrice],$AB$3,Invest[Amortissement HT + intérêts]))*BJ12</f>
        <v>0</v>
      </c>
      <c r="J12" s="276">
        <f>(SUMIF(Fonctionnement[Affectation matrice],$AB$3,Fonctionnement[Montant (€HT)])+SUMIF(Invest[Affectation matrice],$AB$3,Invest[Amortissement HT + intérêts]))*BK12</f>
        <v>0</v>
      </c>
      <c r="K12" s="276">
        <f>(SUMIF(Fonctionnement[Affectation matrice],$AB$3,Fonctionnement[Montant (€HT)])+SUMIF(Invest[Affectation matrice],$AB$3,Invest[Amortissement HT + intérêts]))*BL12</f>
        <v>0</v>
      </c>
      <c r="L12" s="276">
        <f>(SUMIF(Fonctionnement[Affectation matrice],$AB$3,Fonctionnement[Montant (€HT)])+SUMIF(Invest[Affectation matrice],$AB$3,Invest[Amortissement HT + intérêts]))*BM12</f>
        <v>0</v>
      </c>
      <c r="M12" s="276">
        <f>(SUMIF(Fonctionnement[Affectation matrice],$AB$3,Fonctionnement[Montant (€HT)])+SUMIF(Invest[Affectation matrice],$AB$3,Invest[Amortissement HT + intérêts]))*BN12</f>
        <v>0</v>
      </c>
      <c r="N12" s="276">
        <f>(SUMIF(Fonctionnement[Affectation matrice],$AB$3,Fonctionnement[Montant (€HT)])+SUMIF(Invest[Affectation matrice],$AB$3,Invest[Amortissement HT + intérêts]))*BO12</f>
        <v>0</v>
      </c>
      <c r="O12" s="276">
        <f>(SUMIF(Fonctionnement[Affectation matrice],$AB$3,Fonctionnement[Montant (€HT)])+SUMIF(Invest[Affectation matrice],$AB$3,Invest[Amortissement HT + intérêts]))*BP12</f>
        <v>0</v>
      </c>
      <c r="P12" s="276">
        <f>(SUMIF(Fonctionnement[Affectation matrice],$AB$3,Fonctionnement[Montant (€HT)])+SUMIF(Invest[Affectation matrice],$AB$3,Invest[Amortissement HT + intérêts]))*BQ12</f>
        <v>0</v>
      </c>
      <c r="Q12" s="276">
        <f>(SUMIF(Fonctionnement[Affectation matrice],$AB$3,Fonctionnement[Montant (€HT)])+SUMIF(Invest[Affectation matrice],$AB$3,Invest[Amortissement HT + intérêts]))*BR12</f>
        <v>0</v>
      </c>
      <c r="R12" s="276">
        <f>(SUMIF(Fonctionnement[Affectation matrice],$AB$3,Fonctionnement[Montant (€HT)])+SUMIF(Invest[Affectation matrice],$AB$3,Invest[Amortissement HT + intérêts]))*BS12</f>
        <v>0</v>
      </c>
      <c r="S12" s="276">
        <f>(SUMIF(Fonctionnement[Affectation matrice],$AB$3,Fonctionnement[Montant (€HT)])+SUMIF(Invest[Affectation matrice],$AB$3,Invest[Amortissement HT + intérêts]))*BT12</f>
        <v>0</v>
      </c>
      <c r="T12" s="276">
        <f>(SUMIF(Fonctionnement[Affectation matrice],$AB$3,Fonctionnement[Montant (€HT)])+SUMIF(Invest[Affectation matrice],$AB$3,Invest[Amortissement HT + intérêts]))*BU12</f>
        <v>0</v>
      </c>
      <c r="U12" s="276">
        <f>(SUMIF(Fonctionnement[Affectation matrice],$AB$3,Fonctionnement[Montant (€HT)])+SUMIF(Invest[Affectation matrice],$AB$3,Invest[Amortissement HT + intérêts]))*BV12</f>
        <v>0</v>
      </c>
      <c r="V12" s="276">
        <f>(SUMIF(Fonctionnement[Affectation matrice],$AB$3,Fonctionnement[Montant (€HT)])+SUMIF(Invest[Affectation matrice],$AB$3,Invest[Amortissement HT + intérêts]))*BW12</f>
        <v>0</v>
      </c>
      <c r="W12" s="276">
        <f>(SUMIF(Fonctionnement[Affectation matrice],$AB$3,Fonctionnement[Montant (€HT)])+SUMIF(Invest[Affectation matrice],$AB$3,Invest[Amortissement HT + intérêts]))*BX12</f>
        <v>0</v>
      </c>
      <c r="X12" s="276">
        <f>(SUMIF(Fonctionnement[Affectation matrice],$AB$3,Fonctionnement[Montant (€HT)])+SUMIF(Invest[Affectation matrice],$AB$3,Invest[Amortissement HT + intérêts]))*BY12</f>
        <v>0</v>
      </c>
      <c r="Y12" s="276">
        <f>(SUMIF(Fonctionnement[Affectation matrice],$AB$3,Fonctionnement[Montant (€HT)])+SUMIF(Invest[Affectation matrice],$AB$3,Invest[Amortissement HT + intérêts]))*BZ12</f>
        <v>0</v>
      </c>
      <c r="Z12" s="276">
        <f>(SUMIF(Fonctionnement[Affectation matrice],$AB$3,Fonctionnement[Montant (€HT)])+SUMIF(Invest[Affectation matrice],$AB$3,Invest[Amortissement HT + intérêts]))*CA12</f>
        <v>0</v>
      </c>
      <c r="AA12" s="199"/>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283">
        <f t="shared" si="4"/>
        <v>0</v>
      </c>
      <c r="BB12" s="7"/>
      <c r="BC12" s="61">
        <f t="shared" si="2"/>
        <v>0</v>
      </c>
      <c r="BD12" s="61">
        <f t="shared" si="2"/>
        <v>0</v>
      </c>
      <c r="BE12" s="61">
        <f t="shared" si="2"/>
        <v>0</v>
      </c>
      <c r="BF12" s="61">
        <f t="shared" si="2"/>
        <v>0</v>
      </c>
      <c r="BG12" s="61">
        <f t="shared" si="2"/>
        <v>0</v>
      </c>
      <c r="BH12" s="61">
        <f t="shared" si="2"/>
        <v>0</v>
      </c>
      <c r="BI12" s="61">
        <f t="shared" si="2"/>
        <v>0</v>
      </c>
      <c r="BJ12" s="61">
        <f t="shared" si="2"/>
        <v>0</v>
      </c>
      <c r="BK12" s="61">
        <f t="shared" si="2"/>
        <v>0</v>
      </c>
      <c r="BL12" s="61">
        <f t="shared" si="2"/>
        <v>0</v>
      </c>
      <c r="BM12" s="61">
        <f t="shared" si="2"/>
        <v>0</v>
      </c>
      <c r="BN12" s="61">
        <f t="shared" si="2"/>
        <v>0</v>
      </c>
      <c r="BO12" s="61">
        <f t="shared" si="2"/>
        <v>0</v>
      </c>
      <c r="BP12" s="61">
        <f t="shared" si="2"/>
        <v>0</v>
      </c>
      <c r="BQ12" s="61">
        <f t="shared" si="2"/>
        <v>0</v>
      </c>
      <c r="BR12" s="61">
        <f t="shared" si="2"/>
        <v>0</v>
      </c>
      <c r="BS12" s="61">
        <f t="shared" si="3"/>
        <v>0</v>
      </c>
      <c r="BT12" s="61">
        <f t="shared" si="3"/>
        <v>0</v>
      </c>
      <c r="BU12" s="61">
        <f t="shared" si="3"/>
        <v>0</v>
      </c>
      <c r="BV12" s="61">
        <f t="shared" si="3"/>
        <v>0</v>
      </c>
      <c r="BW12" s="61">
        <f t="shared" si="3"/>
        <v>0</v>
      </c>
      <c r="BX12" s="61">
        <f t="shared" si="3"/>
        <v>0</v>
      </c>
      <c r="BY12" s="61">
        <f t="shared" si="3"/>
        <v>0</v>
      </c>
      <c r="BZ12" s="61">
        <f t="shared" si="3"/>
        <v>0</v>
      </c>
      <c r="CA12" s="61">
        <f t="shared" si="3"/>
        <v>0</v>
      </c>
      <c r="CB12" s="61">
        <f t="shared" si="5"/>
        <v>0</v>
      </c>
      <c r="CD12" s="200">
        <f>(SUMIF(Fonctionnement[Affectation matrice],$AB$3,Fonctionnement[TVA acquittée])+SUMIF(Invest[Affectation matrice],$AB$3,Invest[TVA acquittée]))*BC12</f>
        <v>0</v>
      </c>
      <c r="CE12" s="200">
        <f>(SUMIF(Fonctionnement[Affectation matrice],$AB$3,Fonctionnement[TVA acquittée])+SUMIF(Invest[Affectation matrice],$AB$3,Invest[TVA acquittée]))*BD12</f>
        <v>0</v>
      </c>
      <c r="CF12" s="200">
        <f>(SUMIF(Fonctionnement[Affectation matrice],$AB$3,Fonctionnement[TVA acquittée])+SUMIF(Invest[Affectation matrice],$AB$3,Invest[TVA acquittée]))*BE12</f>
        <v>0</v>
      </c>
      <c r="CG12" s="200">
        <f>(SUMIF(Fonctionnement[Affectation matrice],$AB$3,Fonctionnement[TVA acquittée])+SUMIF(Invest[Affectation matrice],$AB$3,Invest[TVA acquittée]))*BF12</f>
        <v>0</v>
      </c>
      <c r="CH12" s="200">
        <f>(SUMIF(Fonctionnement[Affectation matrice],$AB$3,Fonctionnement[TVA acquittée])+SUMIF(Invest[Affectation matrice],$AB$3,Invest[TVA acquittée]))*BG12</f>
        <v>0</v>
      </c>
      <c r="CI12" s="200">
        <f>(SUMIF(Fonctionnement[Affectation matrice],$AB$3,Fonctionnement[TVA acquittée])+SUMIF(Invest[Affectation matrice],$AB$3,Invest[TVA acquittée]))*BH12</f>
        <v>0</v>
      </c>
      <c r="CJ12" s="200">
        <f>(SUMIF(Fonctionnement[Affectation matrice],$AB$3,Fonctionnement[TVA acquittée])+SUMIF(Invest[Affectation matrice],$AB$3,Invest[TVA acquittée]))*BI12</f>
        <v>0</v>
      </c>
      <c r="CK12" s="200">
        <f>(SUMIF(Fonctionnement[Affectation matrice],$AB$3,Fonctionnement[TVA acquittée])+SUMIF(Invest[Affectation matrice],$AB$3,Invest[TVA acquittée]))*BJ12</f>
        <v>0</v>
      </c>
      <c r="CL12" s="200">
        <f>(SUMIF(Fonctionnement[Affectation matrice],$AB$3,Fonctionnement[TVA acquittée])+SUMIF(Invest[Affectation matrice],$AB$3,Invest[TVA acquittée]))*BK12</f>
        <v>0</v>
      </c>
      <c r="CM12" s="200">
        <f>(SUMIF(Fonctionnement[Affectation matrice],$AB$3,Fonctionnement[TVA acquittée])+SUMIF(Invest[Affectation matrice],$AB$3,Invest[TVA acquittée]))*BL12</f>
        <v>0</v>
      </c>
      <c r="CN12" s="200">
        <f>(SUMIF(Fonctionnement[Affectation matrice],$AB$3,Fonctionnement[TVA acquittée])+SUMIF(Invest[Affectation matrice],$AB$3,Invest[TVA acquittée]))*BM12</f>
        <v>0</v>
      </c>
      <c r="CO12" s="200">
        <f>(SUMIF(Fonctionnement[Affectation matrice],$AB$3,Fonctionnement[TVA acquittée])+SUMIF(Invest[Affectation matrice],$AB$3,Invest[TVA acquittée]))*BN12</f>
        <v>0</v>
      </c>
      <c r="CP12" s="200">
        <f>(SUMIF(Fonctionnement[Affectation matrice],$AB$3,Fonctionnement[TVA acquittée])+SUMIF(Invest[Affectation matrice],$AB$3,Invest[TVA acquittée]))*BO12</f>
        <v>0</v>
      </c>
      <c r="CQ12" s="200">
        <f>(SUMIF(Fonctionnement[Affectation matrice],$AB$3,Fonctionnement[TVA acquittée])+SUMIF(Invest[Affectation matrice],$AB$3,Invest[TVA acquittée]))*BP12</f>
        <v>0</v>
      </c>
      <c r="CR12" s="200">
        <f>(SUMIF(Fonctionnement[Affectation matrice],$AB$3,Fonctionnement[TVA acquittée])+SUMIF(Invest[Affectation matrice],$AB$3,Invest[TVA acquittée]))*BQ12</f>
        <v>0</v>
      </c>
      <c r="CS12" s="200">
        <f>(SUMIF(Fonctionnement[Affectation matrice],$AB$3,Fonctionnement[TVA acquittée])+SUMIF(Invest[Affectation matrice],$AB$3,Invest[TVA acquittée]))*BR12</f>
        <v>0</v>
      </c>
      <c r="CT12" s="200">
        <f>(SUMIF(Fonctionnement[Affectation matrice],$AB$3,Fonctionnement[TVA acquittée])+SUMIF(Invest[Affectation matrice],$AB$3,Invest[TVA acquittée]))*BS12</f>
        <v>0</v>
      </c>
      <c r="CU12" s="200">
        <f>(SUMIF(Fonctionnement[Affectation matrice],$AB$3,Fonctionnement[TVA acquittée])+SUMIF(Invest[Affectation matrice],$AB$3,Invest[TVA acquittée]))*BT12</f>
        <v>0</v>
      </c>
      <c r="CV12" s="200">
        <f>(SUMIF(Fonctionnement[Affectation matrice],$AB$3,Fonctionnement[TVA acquittée])+SUMIF(Invest[Affectation matrice],$AB$3,Invest[TVA acquittée]))*BU12</f>
        <v>0</v>
      </c>
      <c r="CW12" s="200">
        <f>(SUMIF(Fonctionnement[Affectation matrice],$AB$3,Fonctionnement[TVA acquittée])+SUMIF(Invest[Affectation matrice],$AB$3,Invest[TVA acquittée]))*BV12</f>
        <v>0</v>
      </c>
      <c r="CX12" s="200">
        <f>(SUMIF(Fonctionnement[Affectation matrice],$AB$3,Fonctionnement[TVA acquittée])+SUMIF(Invest[Affectation matrice],$AB$3,Invest[TVA acquittée]))*BW12</f>
        <v>0</v>
      </c>
      <c r="CY12" s="200">
        <f>(SUMIF(Fonctionnement[Affectation matrice],$AB$3,Fonctionnement[TVA acquittée])+SUMIF(Invest[Affectation matrice],$AB$3,Invest[TVA acquittée]))*BX12</f>
        <v>0</v>
      </c>
      <c r="CZ12" s="200">
        <f>(SUMIF(Fonctionnement[Affectation matrice],$AB$3,Fonctionnement[TVA acquittée])+SUMIF(Invest[Affectation matrice],$AB$3,Invest[TVA acquittée]))*BY12</f>
        <v>0</v>
      </c>
      <c r="DA12" s="200">
        <f>(SUMIF(Fonctionnement[Affectation matrice],$AB$3,Fonctionnement[TVA acquittée])+SUMIF(Invest[Affectation matrice],$AB$3,Invest[TVA acquittée]))*BZ12</f>
        <v>0</v>
      </c>
      <c r="DB12" s="200">
        <f>(SUMIF(Fonctionnement[Affectation matrice],$AB$3,Fonctionnement[TVA acquittée])+SUMIF(Invest[Affectation matrice],$AB$3,Invest[TVA acquittée]))*CA12</f>
        <v>0</v>
      </c>
    </row>
    <row r="13" spans="1:106" s="22" customFormat="1" ht="12.75" hidden="1" customHeight="1" x14ac:dyDescent="0.25">
      <c r="A13" s="42">
        <f>Matrice[[#This Row],[Ligne de la matrice]]</f>
        <v>0</v>
      </c>
      <c r="B13" s="276">
        <f>(SUMIF(Fonctionnement[Affectation matrice],$AB$3,Fonctionnement[Montant (€HT)])+SUMIF(Invest[Affectation matrice],$AB$3,Invest[Amortissement HT + intérêts]))*BC13</f>
        <v>0</v>
      </c>
      <c r="C13" s="276">
        <f>(SUMIF(Fonctionnement[Affectation matrice],$AB$3,Fonctionnement[Montant (€HT)])+SUMIF(Invest[Affectation matrice],$AB$3,Invest[Amortissement HT + intérêts]))*BD13</f>
        <v>0</v>
      </c>
      <c r="D13" s="276">
        <f>(SUMIF(Fonctionnement[Affectation matrice],$AB$3,Fonctionnement[Montant (€HT)])+SUMIF(Invest[Affectation matrice],$AB$3,Invest[Amortissement HT + intérêts]))*BE13</f>
        <v>0</v>
      </c>
      <c r="E13" s="276">
        <f>(SUMIF(Fonctionnement[Affectation matrice],$AB$3,Fonctionnement[Montant (€HT)])+SUMIF(Invest[Affectation matrice],$AB$3,Invest[Amortissement HT + intérêts]))*BF13</f>
        <v>0</v>
      </c>
      <c r="F13" s="276">
        <f>(SUMIF(Fonctionnement[Affectation matrice],$AB$3,Fonctionnement[Montant (€HT)])+SUMIF(Invest[Affectation matrice],$AB$3,Invest[Amortissement HT + intérêts]))*BG13</f>
        <v>0</v>
      </c>
      <c r="G13" s="276">
        <f>(SUMIF(Fonctionnement[Affectation matrice],$AB$3,Fonctionnement[Montant (€HT)])+SUMIF(Invest[Affectation matrice],$AB$3,Invest[Amortissement HT + intérêts]))*BH13</f>
        <v>0</v>
      </c>
      <c r="H13" s="276">
        <f>(SUMIF(Fonctionnement[Affectation matrice],$AB$3,Fonctionnement[Montant (€HT)])+SUMIF(Invest[Affectation matrice],$AB$3,Invest[Amortissement HT + intérêts]))*BI13</f>
        <v>0</v>
      </c>
      <c r="I13" s="276">
        <f>(SUMIF(Fonctionnement[Affectation matrice],$AB$3,Fonctionnement[Montant (€HT)])+SUMIF(Invest[Affectation matrice],$AB$3,Invest[Amortissement HT + intérêts]))*BJ13</f>
        <v>0</v>
      </c>
      <c r="J13" s="276">
        <f>(SUMIF(Fonctionnement[Affectation matrice],$AB$3,Fonctionnement[Montant (€HT)])+SUMIF(Invest[Affectation matrice],$AB$3,Invest[Amortissement HT + intérêts]))*BK13</f>
        <v>0</v>
      </c>
      <c r="K13" s="276">
        <f>(SUMIF(Fonctionnement[Affectation matrice],$AB$3,Fonctionnement[Montant (€HT)])+SUMIF(Invest[Affectation matrice],$AB$3,Invest[Amortissement HT + intérêts]))*BL13</f>
        <v>0</v>
      </c>
      <c r="L13" s="276">
        <f>(SUMIF(Fonctionnement[Affectation matrice],$AB$3,Fonctionnement[Montant (€HT)])+SUMIF(Invest[Affectation matrice],$AB$3,Invest[Amortissement HT + intérêts]))*BM13</f>
        <v>0</v>
      </c>
      <c r="M13" s="276">
        <f>(SUMIF(Fonctionnement[Affectation matrice],$AB$3,Fonctionnement[Montant (€HT)])+SUMIF(Invest[Affectation matrice],$AB$3,Invest[Amortissement HT + intérêts]))*BN13</f>
        <v>0</v>
      </c>
      <c r="N13" s="276">
        <f>(SUMIF(Fonctionnement[Affectation matrice],$AB$3,Fonctionnement[Montant (€HT)])+SUMIF(Invest[Affectation matrice],$AB$3,Invest[Amortissement HT + intérêts]))*BO13</f>
        <v>0</v>
      </c>
      <c r="O13" s="276">
        <f>(SUMIF(Fonctionnement[Affectation matrice],$AB$3,Fonctionnement[Montant (€HT)])+SUMIF(Invest[Affectation matrice],$AB$3,Invest[Amortissement HT + intérêts]))*BP13</f>
        <v>0</v>
      </c>
      <c r="P13" s="276">
        <f>(SUMIF(Fonctionnement[Affectation matrice],$AB$3,Fonctionnement[Montant (€HT)])+SUMIF(Invest[Affectation matrice],$AB$3,Invest[Amortissement HT + intérêts]))*BQ13</f>
        <v>0</v>
      </c>
      <c r="Q13" s="276">
        <f>(SUMIF(Fonctionnement[Affectation matrice],$AB$3,Fonctionnement[Montant (€HT)])+SUMIF(Invest[Affectation matrice],$AB$3,Invest[Amortissement HT + intérêts]))*BR13</f>
        <v>0</v>
      </c>
      <c r="R13" s="276">
        <f>(SUMIF(Fonctionnement[Affectation matrice],$AB$3,Fonctionnement[Montant (€HT)])+SUMIF(Invest[Affectation matrice],$AB$3,Invest[Amortissement HT + intérêts]))*BS13</f>
        <v>0</v>
      </c>
      <c r="S13" s="276">
        <f>(SUMIF(Fonctionnement[Affectation matrice],$AB$3,Fonctionnement[Montant (€HT)])+SUMIF(Invest[Affectation matrice],$AB$3,Invest[Amortissement HT + intérêts]))*BT13</f>
        <v>0</v>
      </c>
      <c r="T13" s="276">
        <f>(SUMIF(Fonctionnement[Affectation matrice],$AB$3,Fonctionnement[Montant (€HT)])+SUMIF(Invest[Affectation matrice],$AB$3,Invest[Amortissement HT + intérêts]))*BU13</f>
        <v>0</v>
      </c>
      <c r="U13" s="276">
        <f>(SUMIF(Fonctionnement[Affectation matrice],$AB$3,Fonctionnement[Montant (€HT)])+SUMIF(Invest[Affectation matrice],$AB$3,Invest[Amortissement HT + intérêts]))*BV13</f>
        <v>0</v>
      </c>
      <c r="V13" s="276">
        <f>(SUMIF(Fonctionnement[Affectation matrice],$AB$3,Fonctionnement[Montant (€HT)])+SUMIF(Invest[Affectation matrice],$AB$3,Invest[Amortissement HT + intérêts]))*BW13</f>
        <v>0</v>
      </c>
      <c r="W13" s="276">
        <f>(SUMIF(Fonctionnement[Affectation matrice],$AB$3,Fonctionnement[Montant (€HT)])+SUMIF(Invest[Affectation matrice],$AB$3,Invest[Amortissement HT + intérêts]))*BX13</f>
        <v>0</v>
      </c>
      <c r="X13" s="276">
        <f>(SUMIF(Fonctionnement[Affectation matrice],$AB$3,Fonctionnement[Montant (€HT)])+SUMIF(Invest[Affectation matrice],$AB$3,Invest[Amortissement HT + intérêts]))*BY13</f>
        <v>0</v>
      </c>
      <c r="Y13" s="276">
        <f>(SUMIF(Fonctionnement[Affectation matrice],$AB$3,Fonctionnement[Montant (€HT)])+SUMIF(Invest[Affectation matrice],$AB$3,Invest[Amortissement HT + intérêts]))*BZ13</f>
        <v>0</v>
      </c>
      <c r="Z13" s="276">
        <f>(SUMIF(Fonctionnement[Affectation matrice],$AB$3,Fonctionnement[Montant (€HT)])+SUMIF(Invest[Affectation matrice],$AB$3,Invest[Amortissement HT + intérêts]))*CA13</f>
        <v>0</v>
      </c>
      <c r="AA13" s="199"/>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283">
        <f t="shared" si="4"/>
        <v>0</v>
      </c>
      <c r="BB13" s="7"/>
      <c r="BC13" s="61">
        <f t="shared" si="2"/>
        <v>0</v>
      </c>
      <c r="BD13" s="61">
        <f t="shared" si="2"/>
        <v>0</v>
      </c>
      <c r="BE13" s="61">
        <f t="shared" si="2"/>
        <v>0</v>
      </c>
      <c r="BF13" s="61">
        <f t="shared" si="2"/>
        <v>0</v>
      </c>
      <c r="BG13" s="61">
        <f t="shared" si="2"/>
        <v>0</v>
      </c>
      <c r="BH13" s="61">
        <f t="shared" si="2"/>
        <v>0</v>
      </c>
      <c r="BI13" s="61">
        <f t="shared" si="2"/>
        <v>0</v>
      </c>
      <c r="BJ13" s="61">
        <f t="shared" si="2"/>
        <v>0</v>
      </c>
      <c r="BK13" s="61">
        <f t="shared" si="2"/>
        <v>0</v>
      </c>
      <c r="BL13" s="61">
        <f t="shared" si="2"/>
        <v>0</v>
      </c>
      <c r="BM13" s="61">
        <f t="shared" si="2"/>
        <v>0</v>
      </c>
      <c r="BN13" s="61">
        <f t="shared" si="2"/>
        <v>0</v>
      </c>
      <c r="BO13" s="61">
        <f t="shared" si="2"/>
        <v>0</v>
      </c>
      <c r="BP13" s="61">
        <f t="shared" si="2"/>
        <v>0</v>
      </c>
      <c r="BQ13" s="61">
        <f t="shared" si="2"/>
        <v>0</v>
      </c>
      <c r="BR13" s="61">
        <f t="shared" si="2"/>
        <v>0</v>
      </c>
      <c r="BS13" s="61">
        <f t="shared" si="3"/>
        <v>0</v>
      </c>
      <c r="BT13" s="61">
        <f t="shared" si="3"/>
        <v>0</v>
      </c>
      <c r="BU13" s="61">
        <f t="shared" si="3"/>
        <v>0</v>
      </c>
      <c r="BV13" s="61">
        <f t="shared" si="3"/>
        <v>0</v>
      </c>
      <c r="BW13" s="61">
        <f t="shared" si="3"/>
        <v>0</v>
      </c>
      <c r="BX13" s="61">
        <f t="shared" si="3"/>
        <v>0</v>
      </c>
      <c r="BY13" s="61">
        <f t="shared" si="3"/>
        <v>0</v>
      </c>
      <c r="BZ13" s="61">
        <f t="shared" si="3"/>
        <v>0</v>
      </c>
      <c r="CA13" s="61">
        <f t="shared" si="3"/>
        <v>0</v>
      </c>
      <c r="CB13" s="61">
        <f t="shared" si="5"/>
        <v>0</v>
      </c>
      <c r="CD13" s="200">
        <f>(SUMIF(Fonctionnement[Affectation matrice],$AB$3,Fonctionnement[TVA acquittée])+SUMIF(Invest[Affectation matrice],$AB$3,Invest[TVA acquittée]))*BC13</f>
        <v>0</v>
      </c>
      <c r="CE13" s="200">
        <f>(SUMIF(Fonctionnement[Affectation matrice],$AB$3,Fonctionnement[TVA acquittée])+SUMIF(Invest[Affectation matrice],$AB$3,Invest[TVA acquittée]))*BD13</f>
        <v>0</v>
      </c>
      <c r="CF13" s="200">
        <f>(SUMIF(Fonctionnement[Affectation matrice],$AB$3,Fonctionnement[TVA acquittée])+SUMIF(Invest[Affectation matrice],$AB$3,Invest[TVA acquittée]))*BE13</f>
        <v>0</v>
      </c>
      <c r="CG13" s="200">
        <f>(SUMIF(Fonctionnement[Affectation matrice],$AB$3,Fonctionnement[TVA acquittée])+SUMIF(Invest[Affectation matrice],$AB$3,Invest[TVA acquittée]))*BF13</f>
        <v>0</v>
      </c>
      <c r="CH13" s="200">
        <f>(SUMIF(Fonctionnement[Affectation matrice],$AB$3,Fonctionnement[TVA acquittée])+SUMIF(Invest[Affectation matrice],$AB$3,Invest[TVA acquittée]))*BG13</f>
        <v>0</v>
      </c>
      <c r="CI13" s="200">
        <f>(SUMIF(Fonctionnement[Affectation matrice],$AB$3,Fonctionnement[TVA acquittée])+SUMIF(Invest[Affectation matrice],$AB$3,Invest[TVA acquittée]))*BH13</f>
        <v>0</v>
      </c>
      <c r="CJ13" s="200">
        <f>(SUMIF(Fonctionnement[Affectation matrice],$AB$3,Fonctionnement[TVA acquittée])+SUMIF(Invest[Affectation matrice],$AB$3,Invest[TVA acquittée]))*BI13</f>
        <v>0</v>
      </c>
      <c r="CK13" s="200">
        <f>(SUMIF(Fonctionnement[Affectation matrice],$AB$3,Fonctionnement[TVA acquittée])+SUMIF(Invest[Affectation matrice],$AB$3,Invest[TVA acquittée]))*BJ13</f>
        <v>0</v>
      </c>
      <c r="CL13" s="200">
        <f>(SUMIF(Fonctionnement[Affectation matrice],$AB$3,Fonctionnement[TVA acquittée])+SUMIF(Invest[Affectation matrice],$AB$3,Invest[TVA acquittée]))*BK13</f>
        <v>0</v>
      </c>
      <c r="CM13" s="200">
        <f>(SUMIF(Fonctionnement[Affectation matrice],$AB$3,Fonctionnement[TVA acquittée])+SUMIF(Invest[Affectation matrice],$AB$3,Invest[TVA acquittée]))*BL13</f>
        <v>0</v>
      </c>
      <c r="CN13" s="200">
        <f>(SUMIF(Fonctionnement[Affectation matrice],$AB$3,Fonctionnement[TVA acquittée])+SUMIF(Invest[Affectation matrice],$AB$3,Invest[TVA acquittée]))*BM13</f>
        <v>0</v>
      </c>
      <c r="CO13" s="200">
        <f>(SUMIF(Fonctionnement[Affectation matrice],$AB$3,Fonctionnement[TVA acquittée])+SUMIF(Invest[Affectation matrice],$AB$3,Invest[TVA acquittée]))*BN13</f>
        <v>0</v>
      </c>
      <c r="CP13" s="200">
        <f>(SUMIF(Fonctionnement[Affectation matrice],$AB$3,Fonctionnement[TVA acquittée])+SUMIF(Invest[Affectation matrice],$AB$3,Invest[TVA acquittée]))*BO13</f>
        <v>0</v>
      </c>
      <c r="CQ13" s="200">
        <f>(SUMIF(Fonctionnement[Affectation matrice],$AB$3,Fonctionnement[TVA acquittée])+SUMIF(Invest[Affectation matrice],$AB$3,Invest[TVA acquittée]))*BP13</f>
        <v>0</v>
      </c>
      <c r="CR13" s="200">
        <f>(SUMIF(Fonctionnement[Affectation matrice],$AB$3,Fonctionnement[TVA acquittée])+SUMIF(Invest[Affectation matrice],$AB$3,Invest[TVA acquittée]))*BQ13</f>
        <v>0</v>
      </c>
      <c r="CS13" s="200">
        <f>(SUMIF(Fonctionnement[Affectation matrice],$AB$3,Fonctionnement[TVA acquittée])+SUMIF(Invest[Affectation matrice],$AB$3,Invest[TVA acquittée]))*BR13</f>
        <v>0</v>
      </c>
      <c r="CT13" s="200">
        <f>(SUMIF(Fonctionnement[Affectation matrice],$AB$3,Fonctionnement[TVA acquittée])+SUMIF(Invest[Affectation matrice],$AB$3,Invest[TVA acquittée]))*BS13</f>
        <v>0</v>
      </c>
      <c r="CU13" s="200">
        <f>(SUMIF(Fonctionnement[Affectation matrice],$AB$3,Fonctionnement[TVA acquittée])+SUMIF(Invest[Affectation matrice],$AB$3,Invest[TVA acquittée]))*BT13</f>
        <v>0</v>
      </c>
      <c r="CV13" s="200">
        <f>(SUMIF(Fonctionnement[Affectation matrice],$AB$3,Fonctionnement[TVA acquittée])+SUMIF(Invest[Affectation matrice],$AB$3,Invest[TVA acquittée]))*BU13</f>
        <v>0</v>
      </c>
      <c r="CW13" s="200">
        <f>(SUMIF(Fonctionnement[Affectation matrice],$AB$3,Fonctionnement[TVA acquittée])+SUMIF(Invest[Affectation matrice],$AB$3,Invest[TVA acquittée]))*BV13</f>
        <v>0</v>
      </c>
      <c r="CX13" s="200">
        <f>(SUMIF(Fonctionnement[Affectation matrice],$AB$3,Fonctionnement[TVA acquittée])+SUMIF(Invest[Affectation matrice],$AB$3,Invest[TVA acquittée]))*BW13</f>
        <v>0</v>
      </c>
      <c r="CY13" s="200">
        <f>(SUMIF(Fonctionnement[Affectation matrice],$AB$3,Fonctionnement[TVA acquittée])+SUMIF(Invest[Affectation matrice],$AB$3,Invest[TVA acquittée]))*BX13</f>
        <v>0</v>
      </c>
      <c r="CZ13" s="200">
        <f>(SUMIF(Fonctionnement[Affectation matrice],$AB$3,Fonctionnement[TVA acquittée])+SUMIF(Invest[Affectation matrice],$AB$3,Invest[TVA acquittée]))*BY13</f>
        <v>0</v>
      </c>
      <c r="DA13" s="200">
        <f>(SUMIF(Fonctionnement[Affectation matrice],$AB$3,Fonctionnement[TVA acquittée])+SUMIF(Invest[Affectation matrice],$AB$3,Invest[TVA acquittée]))*BZ13</f>
        <v>0</v>
      </c>
      <c r="DB13" s="200">
        <f>(SUMIF(Fonctionnement[Affectation matrice],$AB$3,Fonctionnement[TVA acquittée])+SUMIF(Invest[Affectation matrice],$AB$3,Invest[TVA acquittée]))*CA13</f>
        <v>0</v>
      </c>
    </row>
    <row r="14" spans="1:106" s="22" customFormat="1" ht="12.75" hidden="1" customHeight="1" x14ac:dyDescent="0.25">
      <c r="A14" s="42">
        <f>Matrice[[#This Row],[Ligne de la matrice]]</f>
        <v>0</v>
      </c>
      <c r="B14" s="276">
        <f>(SUMIF(Fonctionnement[Affectation matrice],$AB$3,Fonctionnement[Montant (€HT)])+SUMIF(Invest[Affectation matrice],$AB$3,Invest[Amortissement HT + intérêts]))*BC14</f>
        <v>0</v>
      </c>
      <c r="C14" s="276">
        <f>(SUMIF(Fonctionnement[Affectation matrice],$AB$3,Fonctionnement[Montant (€HT)])+SUMIF(Invest[Affectation matrice],$AB$3,Invest[Amortissement HT + intérêts]))*BD14</f>
        <v>0</v>
      </c>
      <c r="D14" s="276">
        <f>(SUMIF(Fonctionnement[Affectation matrice],$AB$3,Fonctionnement[Montant (€HT)])+SUMIF(Invest[Affectation matrice],$AB$3,Invest[Amortissement HT + intérêts]))*BE14</f>
        <v>0</v>
      </c>
      <c r="E14" s="276">
        <f>(SUMIF(Fonctionnement[Affectation matrice],$AB$3,Fonctionnement[Montant (€HT)])+SUMIF(Invest[Affectation matrice],$AB$3,Invest[Amortissement HT + intérêts]))*BF14</f>
        <v>0</v>
      </c>
      <c r="F14" s="276">
        <f>(SUMIF(Fonctionnement[Affectation matrice],$AB$3,Fonctionnement[Montant (€HT)])+SUMIF(Invest[Affectation matrice],$AB$3,Invest[Amortissement HT + intérêts]))*BG14</f>
        <v>0</v>
      </c>
      <c r="G14" s="276">
        <f>(SUMIF(Fonctionnement[Affectation matrice],$AB$3,Fonctionnement[Montant (€HT)])+SUMIF(Invest[Affectation matrice],$AB$3,Invest[Amortissement HT + intérêts]))*BH14</f>
        <v>0</v>
      </c>
      <c r="H14" s="276">
        <f>(SUMIF(Fonctionnement[Affectation matrice],$AB$3,Fonctionnement[Montant (€HT)])+SUMIF(Invest[Affectation matrice],$AB$3,Invest[Amortissement HT + intérêts]))*BI14</f>
        <v>0</v>
      </c>
      <c r="I14" s="276">
        <f>(SUMIF(Fonctionnement[Affectation matrice],$AB$3,Fonctionnement[Montant (€HT)])+SUMIF(Invest[Affectation matrice],$AB$3,Invest[Amortissement HT + intérêts]))*BJ14</f>
        <v>0</v>
      </c>
      <c r="J14" s="276">
        <f>(SUMIF(Fonctionnement[Affectation matrice],$AB$3,Fonctionnement[Montant (€HT)])+SUMIF(Invest[Affectation matrice],$AB$3,Invest[Amortissement HT + intérêts]))*BK14</f>
        <v>0</v>
      </c>
      <c r="K14" s="276">
        <f>(SUMIF(Fonctionnement[Affectation matrice],$AB$3,Fonctionnement[Montant (€HT)])+SUMIF(Invest[Affectation matrice],$AB$3,Invest[Amortissement HT + intérêts]))*BL14</f>
        <v>0</v>
      </c>
      <c r="L14" s="276">
        <f>(SUMIF(Fonctionnement[Affectation matrice],$AB$3,Fonctionnement[Montant (€HT)])+SUMIF(Invest[Affectation matrice],$AB$3,Invest[Amortissement HT + intérêts]))*BM14</f>
        <v>0</v>
      </c>
      <c r="M14" s="276">
        <f>(SUMIF(Fonctionnement[Affectation matrice],$AB$3,Fonctionnement[Montant (€HT)])+SUMIF(Invest[Affectation matrice],$AB$3,Invest[Amortissement HT + intérêts]))*BN14</f>
        <v>0</v>
      </c>
      <c r="N14" s="276">
        <f>(SUMIF(Fonctionnement[Affectation matrice],$AB$3,Fonctionnement[Montant (€HT)])+SUMIF(Invest[Affectation matrice],$AB$3,Invest[Amortissement HT + intérêts]))*BO14</f>
        <v>0</v>
      </c>
      <c r="O14" s="276">
        <f>(SUMIF(Fonctionnement[Affectation matrice],$AB$3,Fonctionnement[Montant (€HT)])+SUMIF(Invest[Affectation matrice],$AB$3,Invest[Amortissement HT + intérêts]))*BP14</f>
        <v>0</v>
      </c>
      <c r="P14" s="276">
        <f>(SUMIF(Fonctionnement[Affectation matrice],$AB$3,Fonctionnement[Montant (€HT)])+SUMIF(Invest[Affectation matrice],$AB$3,Invest[Amortissement HT + intérêts]))*BQ14</f>
        <v>0</v>
      </c>
      <c r="Q14" s="276">
        <f>(SUMIF(Fonctionnement[Affectation matrice],$AB$3,Fonctionnement[Montant (€HT)])+SUMIF(Invest[Affectation matrice],$AB$3,Invest[Amortissement HT + intérêts]))*BR14</f>
        <v>0</v>
      </c>
      <c r="R14" s="276">
        <f>(SUMIF(Fonctionnement[Affectation matrice],$AB$3,Fonctionnement[Montant (€HT)])+SUMIF(Invest[Affectation matrice],$AB$3,Invest[Amortissement HT + intérêts]))*BS14</f>
        <v>0</v>
      </c>
      <c r="S14" s="276">
        <f>(SUMIF(Fonctionnement[Affectation matrice],$AB$3,Fonctionnement[Montant (€HT)])+SUMIF(Invest[Affectation matrice],$AB$3,Invest[Amortissement HT + intérêts]))*BT14</f>
        <v>0</v>
      </c>
      <c r="T14" s="276">
        <f>(SUMIF(Fonctionnement[Affectation matrice],$AB$3,Fonctionnement[Montant (€HT)])+SUMIF(Invest[Affectation matrice],$AB$3,Invest[Amortissement HT + intérêts]))*BU14</f>
        <v>0</v>
      </c>
      <c r="U14" s="276">
        <f>(SUMIF(Fonctionnement[Affectation matrice],$AB$3,Fonctionnement[Montant (€HT)])+SUMIF(Invest[Affectation matrice],$AB$3,Invest[Amortissement HT + intérêts]))*BV14</f>
        <v>0</v>
      </c>
      <c r="V14" s="276">
        <f>(SUMIF(Fonctionnement[Affectation matrice],$AB$3,Fonctionnement[Montant (€HT)])+SUMIF(Invest[Affectation matrice],$AB$3,Invest[Amortissement HT + intérêts]))*BW14</f>
        <v>0</v>
      </c>
      <c r="W14" s="276">
        <f>(SUMIF(Fonctionnement[Affectation matrice],$AB$3,Fonctionnement[Montant (€HT)])+SUMIF(Invest[Affectation matrice],$AB$3,Invest[Amortissement HT + intérêts]))*BX14</f>
        <v>0</v>
      </c>
      <c r="X14" s="276">
        <f>(SUMIF(Fonctionnement[Affectation matrice],$AB$3,Fonctionnement[Montant (€HT)])+SUMIF(Invest[Affectation matrice],$AB$3,Invest[Amortissement HT + intérêts]))*BY14</f>
        <v>0</v>
      </c>
      <c r="Y14" s="276">
        <f>(SUMIF(Fonctionnement[Affectation matrice],$AB$3,Fonctionnement[Montant (€HT)])+SUMIF(Invest[Affectation matrice],$AB$3,Invest[Amortissement HT + intérêts]))*BZ14</f>
        <v>0</v>
      </c>
      <c r="Z14" s="276">
        <f>(SUMIF(Fonctionnement[Affectation matrice],$AB$3,Fonctionnement[Montant (€HT)])+SUMIF(Invest[Affectation matrice],$AB$3,Invest[Amortissement HT + intérêts]))*CA14</f>
        <v>0</v>
      </c>
      <c r="AA14" s="199"/>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283">
        <f t="shared" si="4"/>
        <v>0</v>
      </c>
      <c r="BB14" s="7"/>
      <c r="BC14" s="61">
        <f t="shared" si="2"/>
        <v>0</v>
      </c>
      <c r="BD14" s="61">
        <f t="shared" si="2"/>
        <v>0</v>
      </c>
      <c r="BE14" s="61">
        <f t="shared" si="2"/>
        <v>0</v>
      </c>
      <c r="BF14" s="61">
        <f t="shared" si="2"/>
        <v>0</v>
      </c>
      <c r="BG14" s="61">
        <f t="shared" si="2"/>
        <v>0</v>
      </c>
      <c r="BH14" s="61">
        <f t="shared" si="2"/>
        <v>0</v>
      </c>
      <c r="BI14" s="61">
        <f t="shared" si="2"/>
        <v>0</v>
      </c>
      <c r="BJ14" s="61">
        <f t="shared" si="2"/>
        <v>0</v>
      </c>
      <c r="BK14" s="61">
        <f t="shared" si="2"/>
        <v>0</v>
      </c>
      <c r="BL14" s="61">
        <f t="shared" si="2"/>
        <v>0</v>
      </c>
      <c r="BM14" s="61">
        <f t="shared" si="2"/>
        <v>0</v>
      </c>
      <c r="BN14" s="61">
        <f t="shared" si="2"/>
        <v>0</v>
      </c>
      <c r="BO14" s="61">
        <f t="shared" si="2"/>
        <v>0</v>
      </c>
      <c r="BP14" s="61">
        <f t="shared" si="2"/>
        <v>0</v>
      </c>
      <c r="BQ14" s="61">
        <f t="shared" si="2"/>
        <v>0</v>
      </c>
      <c r="BR14" s="61">
        <f t="shared" si="2"/>
        <v>0</v>
      </c>
      <c r="BS14" s="61">
        <f t="shared" si="3"/>
        <v>0</v>
      </c>
      <c r="BT14" s="61">
        <f t="shared" si="3"/>
        <v>0</v>
      </c>
      <c r="BU14" s="61">
        <f t="shared" si="3"/>
        <v>0</v>
      </c>
      <c r="BV14" s="61">
        <f t="shared" si="3"/>
        <v>0</v>
      </c>
      <c r="BW14" s="61">
        <f t="shared" si="3"/>
        <v>0</v>
      </c>
      <c r="BX14" s="61">
        <f t="shared" si="3"/>
        <v>0</v>
      </c>
      <c r="BY14" s="61">
        <f t="shared" si="3"/>
        <v>0</v>
      </c>
      <c r="BZ14" s="61">
        <f t="shared" si="3"/>
        <v>0</v>
      </c>
      <c r="CA14" s="61">
        <f t="shared" si="3"/>
        <v>0</v>
      </c>
      <c r="CB14" s="61">
        <f t="shared" si="5"/>
        <v>0</v>
      </c>
      <c r="CD14" s="200">
        <f>(SUMIF(Fonctionnement[Affectation matrice],$AB$3,Fonctionnement[TVA acquittée])+SUMIF(Invest[Affectation matrice],$AB$3,Invest[TVA acquittée]))*BC14</f>
        <v>0</v>
      </c>
      <c r="CE14" s="200">
        <f>(SUMIF(Fonctionnement[Affectation matrice],$AB$3,Fonctionnement[TVA acquittée])+SUMIF(Invest[Affectation matrice],$AB$3,Invest[TVA acquittée]))*BD14</f>
        <v>0</v>
      </c>
      <c r="CF14" s="200">
        <f>(SUMIF(Fonctionnement[Affectation matrice],$AB$3,Fonctionnement[TVA acquittée])+SUMIF(Invest[Affectation matrice],$AB$3,Invest[TVA acquittée]))*BE14</f>
        <v>0</v>
      </c>
      <c r="CG14" s="200">
        <f>(SUMIF(Fonctionnement[Affectation matrice],$AB$3,Fonctionnement[TVA acquittée])+SUMIF(Invest[Affectation matrice],$AB$3,Invest[TVA acquittée]))*BF14</f>
        <v>0</v>
      </c>
      <c r="CH14" s="200">
        <f>(SUMIF(Fonctionnement[Affectation matrice],$AB$3,Fonctionnement[TVA acquittée])+SUMIF(Invest[Affectation matrice],$AB$3,Invest[TVA acquittée]))*BG14</f>
        <v>0</v>
      </c>
      <c r="CI14" s="200">
        <f>(SUMIF(Fonctionnement[Affectation matrice],$AB$3,Fonctionnement[TVA acquittée])+SUMIF(Invest[Affectation matrice],$AB$3,Invest[TVA acquittée]))*BH14</f>
        <v>0</v>
      </c>
      <c r="CJ14" s="200">
        <f>(SUMIF(Fonctionnement[Affectation matrice],$AB$3,Fonctionnement[TVA acquittée])+SUMIF(Invest[Affectation matrice],$AB$3,Invest[TVA acquittée]))*BI14</f>
        <v>0</v>
      </c>
      <c r="CK14" s="200">
        <f>(SUMIF(Fonctionnement[Affectation matrice],$AB$3,Fonctionnement[TVA acquittée])+SUMIF(Invest[Affectation matrice],$AB$3,Invest[TVA acquittée]))*BJ14</f>
        <v>0</v>
      </c>
      <c r="CL14" s="200">
        <f>(SUMIF(Fonctionnement[Affectation matrice],$AB$3,Fonctionnement[TVA acquittée])+SUMIF(Invest[Affectation matrice],$AB$3,Invest[TVA acquittée]))*BK14</f>
        <v>0</v>
      </c>
      <c r="CM14" s="200">
        <f>(SUMIF(Fonctionnement[Affectation matrice],$AB$3,Fonctionnement[TVA acquittée])+SUMIF(Invest[Affectation matrice],$AB$3,Invest[TVA acquittée]))*BL14</f>
        <v>0</v>
      </c>
      <c r="CN14" s="200">
        <f>(SUMIF(Fonctionnement[Affectation matrice],$AB$3,Fonctionnement[TVA acquittée])+SUMIF(Invest[Affectation matrice],$AB$3,Invest[TVA acquittée]))*BM14</f>
        <v>0</v>
      </c>
      <c r="CO14" s="200">
        <f>(SUMIF(Fonctionnement[Affectation matrice],$AB$3,Fonctionnement[TVA acquittée])+SUMIF(Invest[Affectation matrice],$AB$3,Invest[TVA acquittée]))*BN14</f>
        <v>0</v>
      </c>
      <c r="CP14" s="200">
        <f>(SUMIF(Fonctionnement[Affectation matrice],$AB$3,Fonctionnement[TVA acquittée])+SUMIF(Invest[Affectation matrice],$AB$3,Invest[TVA acquittée]))*BO14</f>
        <v>0</v>
      </c>
      <c r="CQ14" s="200">
        <f>(SUMIF(Fonctionnement[Affectation matrice],$AB$3,Fonctionnement[TVA acquittée])+SUMIF(Invest[Affectation matrice],$AB$3,Invest[TVA acquittée]))*BP14</f>
        <v>0</v>
      </c>
      <c r="CR14" s="200">
        <f>(SUMIF(Fonctionnement[Affectation matrice],$AB$3,Fonctionnement[TVA acquittée])+SUMIF(Invest[Affectation matrice],$AB$3,Invest[TVA acquittée]))*BQ14</f>
        <v>0</v>
      </c>
      <c r="CS14" s="200">
        <f>(SUMIF(Fonctionnement[Affectation matrice],$AB$3,Fonctionnement[TVA acquittée])+SUMIF(Invest[Affectation matrice],$AB$3,Invest[TVA acquittée]))*BR14</f>
        <v>0</v>
      </c>
      <c r="CT14" s="200">
        <f>(SUMIF(Fonctionnement[Affectation matrice],$AB$3,Fonctionnement[TVA acquittée])+SUMIF(Invest[Affectation matrice],$AB$3,Invest[TVA acquittée]))*BS14</f>
        <v>0</v>
      </c>
      <c r="CU14" s="200">
        <f>(SUMIF(Fonctionnement[Affectation matrice],$AB$3,Fonctionnement[TVA acquittée])+SUMIF(Invest[Affectation matrice],$AB$3,Invest[TVA acquittée]))*BT14</f>
        <v>0</v>
      </c>
      <c r="CV14" s="200">
        <f>(SUMIF(Fonctionnement[Affectation matrice],$AB$3,Fonctionnement[TVA acquittée])+SUMIF(Invest[Affectation matrice],$AB$3,Invest[TVA acquittée]))*BU14</f>
        <v>0</v>
      </c>
      <c r="CW14" s="200">
        <f>(SUMIF(Fonctionnement[Affectation matrice],$AB$3,Fonctionnement[TVA acquittée])+SUMIF(Invest[Affectation matrice],$AB$3,Invest[TVA acquittée]))*BV14</f>
        <v>0</v>
      </c>
      <c r="CX14" s="200">
        <f>(SUMIF(Fonctionnement[Affectation matrice],$AB$3,Fonctionnement[TVA acquittée])+SUMIF(Invest[Affectation matrice],$AB$3,Invest[TVA acquittée]))*BW14</f>
        <v>0</v>
      </c>
      <c r="CY14" s="200">
        <f>(SUMIF(Fonctionnement[Affectation matrice],$AB$3,Fonctionnement[TVA acquittée])+SUMIF(Invest[Affectation matrice],$AB$3,Invest[TVA acquittée]))*BX14</f>
        <v>0</v>
      </c>
      <c r="CZ14" s="200">
        <f>(SUMIF(Fonctionnement[Affectation matrice],$AB$3,Fonctionnement[TVA acquittée])+SUMIF(Invest[Affectation matrice],$AB$3,Invest[TVA acquittée]))*BY14</f>
        <v>0</v>
      </c>
      <c r="DA14" s="200">
        <f>(SUMIF(Fonctionnement[Affectation matrice],$AB$3,Fonctionnement[TVA acquittée])+SUMIF(Invest[Affectation matrice],$AB$3,Invest[TVA acquittée]))*BZ14</f>
        <v>0</v>
      </c>
      <c r="DB14" s="200">
        <f>(SUMIF(Fonctionnement[Affectation matrice],$AB$3,Fonctionnement[TVA acquittée])+SUMIF(Invest[Affectation matrice],$AB$3,Invest[TVA acquittée]))*CA14</f>
        <v>0</v>
      </c>
    </row>
    <row r="15" spans="1:106" s="22" customFormat="1" ht="12.75" hidden="1" customHeight="1" x14ac:dyDescent="0.25">
      <c r="A15" s="42">
        <f>Matrice[[#This Row],[Ligne de la matrice]]</f>
        <v>0</v>
      </c>
      <c r="B15" s="276">
        <f>(SUMIF(Fonctionnement[Affectation matrice],$AB$3,Fonctionnement[Montant (€HT)])+SUMIF(Invest[Affectation matrice],$AB$3,Invest[Amortissement HT + intérêts]))*BC15</f>
        <v>0</v>
      </c>
      <c r="C15" s="276">
        <f>(SUMIF(Fonctionnement[Affectation matrice],$AB$3,Fonctionnement[Montant (€HT)])+SUMIF(Invest[Affectation matrice],$AB$3,Invest[Amortissement HT + intérêts]))*BD15</f>
        <v>0</v>
      </c>
      <c r="D15" s="276">
        <f>(SUMIF(Fonctionnement[Affectation matrice],$AB$3,Fonctionnement[Montant (€HT)])+SUMIF(Invest[Affectation matrice],$AB$3,Invest[Amortissement HT + intérêts]))*BE15</f>
        <v>0</v>
      </c>
      <c r="E15" s="276">
        <f>(SUMIF(Fonctionnement[Affectation matrice],$AB$3,Fonctionnement[Montant (€HT)])+SUMIF(Invest[Affectation matrice],$AB$3,Invest[Amortissement HT + intérêts]))*BF15</f>
        <v>0</v>
      </c>
      <c r="F15" s="276">
        <f>(SUMIF(Fonctionnement[Affectation matrice],$AB$3,Fonctionnement[Montant (€HT)])+SUMIF(Invest[Affectation matrice],$AB$3,Invest[Amortissement HT + intérêts]))*BG15</f>
        <v>0</v>
      </c>
      <c r="G15" s="276">
        <f>(SUMIF(Fonctionnement[Affectation matrice],$AB$3,Fonctionnement[Montant (€HT)])+SUMIF(Invest[Affectation matrice],$AB$3,Invest[Amortissement HT + intérêts]))*BH15</f>
        <v>0</v>
      </c>
      <c r="H15" s="276">
        <f>(SUMIF(Fonctionnement[Affectation matrice],$AB$3,Fonctionnement[Montant (€HT)])+SUMIF(Invest[Affectation matrice],$AB$3,Invest[Amortissement HT + intérêts]))*BI15</f>
        <v>0</v>
      </c>
      <c r="I15" s="276">
        <f>(SUMIF(Fonctionnement[Affectation matrice],$AB$3,Fonctionnement[Montant (€HT)])+SUMIF(Invest[Affectation matrice],$AB$3,Invest[Amortissement HT + intérêts]))*BJ15</f>
        <v>0</v>
      </c>
      <c r="J15" s="276">
        <f>(SUMIF(Fonctionnement[Affectation matrice],$AB$3,Fonctionnement[Montant (€HT)])+SUMIF(Invest[Affectation matrice],$AB$3,Invest[Amortissement HT + intérêts]))*BK15</f>
        <v>0</v>
      </c>
      <c r="K15" s="276">
        <f>(SUMIF(Fonctionnement[Affectation matrice],$AB$3,Fonctionnement[Montant (€HT)])+SUMIF(Invest[Affectation matrice],$AB$3,Invest[Amortissement HT + intérêts]))*BL15</f>
        <v>0</v>
      </c>
      <c r="L15" s="276">
        <f>(SUMIF(Fonctionnement[Affectation matrice],$AB$3,Fonctionnement[Montant (€HT)])+SUMIF(Invest[Affectation matrice],$AB$3,Invest[Amortissement HT + intérêts]))*BM15</f>
        <v>0</v>
      </c>
      <c r="M15" s="276">
        <f>(SUMIF(Fonctionnement[Affectation matrice],$AB$3,Fonctionnement[Montant (€HT)])+SUMIF(Invest[Affectation matrice],$AB$3,Invest[Amortissement HT + intérêts]))*BN15</f>
        <v>0</v>
      </c>
      <c r="N15" s="276">
        <f>(SUMIF(Fonctionnement[Affectation matrice],$AB$3,Fonctionnement[Montant (€HT)])+SUMIF(Invest[Affectation matrice],$AB$3,Invest[Amortissement HT + intérêts]))*BO15</f>
        <v>0</v>
      </c>
      <c r="O15" s="276">
        <f>(SUMIF(Fonctionnement[Affectation matrice],$AB$3,Fonctionnement[Montant (€HT)])+SUMIF(Invest[Affectation matrice],$AB$3,Invest[Amortissement HT + intérêts]))*BP15</f>
        <v>0</v>
      </c>
      <c r="P15" s="276">
        <f>(SUMIF(Fonctionnement[Affectation matrice],$AB$3,Fonctionnement[Montant (€HT)])+SUMIF(Invest[Affectation matrice],$AB$3,Invest[Amortissement HT + intérêts]))*BQ15</f>
        <v>0</v>
      </c>
      <c r="Q15" s="276">
        <f>(SUMIF(Fonctionnement[Affectation matrice],$AB$3,Fonctionnement[Montant (€HT)])+SUMIF(Invest[Affectation matrice],$AB$3,Invest[Amortissement HT + intérêts]))*BR15</f>
        <v>0</v>
      </c>
      <c r="R15" s="276">
        <f>(SUMIF(Fonctionnement[Affectation matrice],$AB$3,Fonctionnement[Montant (€HT)])+SUMIF(Invest[Affectation matrice],$AB$3,Invest[Amortissement HT + intérêts]))*BS15</f>
        <v>0</v>
      </c>
      <c r="S15" s="276">
        <f>(SUMIF(Fonctionnement[Affectation matrice],$AB$3,Fonctionnement[Montant (€HT)])+SUMIF(Invest[Affectation matrice],$AB$3,Invest[Amortissement HT + intérêts]))*BT15</f>
        <v>0</v>
      </c>
      <c r="T15" s="276">
        <f>(SUMIF(Fonctionnement[Affectation matrice],$AB$3,Fonctionnement[Montant (€HT)])+SUMIF(Invest[Affectation matrice],$AB$3,Invest[Amortissement HT + intérêts]))*BU15</f>
        <v>0</v>
      </c>
      <c r="U15" s="276">
        <f>(SUMIF(Fonctionnement[Affectation matrice],$AB$3,Fonctionnement[Montant (€HT)])+SUMIF(Invest[Affectation matrice],$AB$3,Invest[Amortissement HT + intérêts]))*BV15</f>
        <v>0</v>
      </c>
      <c r="V15" s="276">
        <f>(SUMIF(Fonctionnement[Affectation matrice],$AB$3,Fonctionnement[Montant (€HT)])+SUMIF(Invest[Affectation matrice],$AB$3,Invest[Amortissement HT + intérêts]))*BW15</f>
        <v>0</v>
      </c>
      <c r="W15" s="276">
        <f>(SUMIF(Fonctionnement[Affectation matrice],$AB$3,Fonctionnement[Montant (€HT)])+SUMIF(Invest[Affectation matrice],$AB$3,Invest[Amortissement HT + intérêts]))*BX15</f>
        <v>0</v>
      </c>
      <c r="X15" s="276">
        <f>(SUMIF(Fonctionnement[Affectation matrice],$AB$3,Fonctionnement[Montant (€HT)])+SUMIF(Invest[Affectation matrice],$AB$3,Invest[Amortissement HT + intérêts]))*BY15</f>
        <v>0</v>
      </c>
      <c r="Y15" s="276">
        <f>(SUMIF(Fonctionnement[Affectation matrice],$AB$3,Fonctionnement[Montant (€HT)])+SUMIF(Invest[Affectation matrice],$AB$3,Invest[Amortissement HT + intérêts]))*BZ15</f>
        <v>0</v>
      </c>
      <c r="Z15" s="276">
        <f>(SUMIF(Fonctionnement[Affectation matrice],$AB$3,Fonctionnement[Montant (€HT)])+SUMIF(Invest[Affectation matrice],$AB$3,Invest[Amortissement HT + intérêts]))*CA15</f>
        <v>0</v>
      </c>
      <c r="AA15" s="199"/>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283">
        <f t="shared" si="4"/>
        <v>0</v>
      </c>
      <c r="BB15" s="7"/>
      <c r="BC15" s="61">
        <f t="shared" si="2"/>
        <v>0</v>
      </c>
      <c r="BD15" s="61">
        <f t="shared" si="2"/>
        <v>0</v>
      </c>
      <c r="BE15" s="61">
        <f t="shared" si="2"/>
        <v>0</v>
      </c>
      <c r="BF15" s="61">
        <f t="shared" si="2"/>
        <v>0</v>
      </c>
      <c r="BG15" s="61">
        <f t="shared" si="2"/>
        <v>0</v>
      </c>
      <c r="BH15" s="61">
        <f t="shared" si="2"/>
        <v>0</v>
      </c>
      <c r="BI15" s="61">
        <f t="shared" si="2"/>
        <v>0</v>
      </c>
      <c r="BJ15" s="61">
        <f t="shared" si="2"/>
        <v>0</v>
      </c>
      <c r="BK15" s="61">
        <f t="shared" si="2"/>
        <v>0</v>
      </c>
      <c r="BL15" s="61">
        <f t="shared" si="2"/>
        <v>0</v>
      </c>
      <c r="BM15" s="61">
        <f t="shared" si="2"/>
        <v>0</v>
      </c>
      <c r="BN15" s="61">
        <f t="shared" si="2"/>
        <v>0</v>
      </c>
      <c r="BO15" s="61">
        <f t="shared" si="2"/>
        <v>0</v>
      </c>
      <c r="BP15" s="61">
        <f t="shared" si="2"/>
        <v>0</v>
      </c>
      <c r="BQ15" s="61">
        <f t="shared" si="2"/>
        <v>0</v>
      </c>
      <c r="BR15" s="61">
        <f t="shared" si="2"/>
        <v>0</v>
      </c>
      <c r="BS15" s="61">
        <f t="shared" si="3"/>
        <v>0</v>
      </c>
      <c r="BT15" s="61">
        <f t="shared" si="3"/>
        <v>0</v>
      </c>
      <c r="BU15" s="61">
        <f t="shared" si="3"/>
        <v>0</v>
      </c>
      <c r="BV15" s="61">
        <f t="shared" si="3"/>
        <v>0</v>
      </c>
      <c r="BW15" s="61">
        <f t="shared" si="3"/>
        <v>0</v>
      </c>
      <c r="BX15" s="61">
        <f t="shared" si="3"/>
        <v>0</v>
      </c>
      <c r="BY15" s="61">
        <f t="shared" si="3"/>
        <v>0</v>
      </c>
      <c r="BZ15" s="61">
        <f t="shared" si="3"/>
        <v>0</v>
      </c>
      <c r="CA15" s="61">
        <f t="shared" si="3"/>
        <v>0</v>
      </c>
      <c r="CB15" s="61">
        <f t="shared" si="5"/>
        <v>0</v>
      </c>
      <c r="CD15" s="200">
        <f>(SUMIF(Fonctionnement[Affectation matrice],$AB$3,Fonctionnement[TVA acquittée])+SUMIF(Invest[Affectation matrice],$AB$3,Invest[TVA acquittée]))*BC15</f>
        <v>0</v>
      </c>
      <c r="CE15" s="200">
        <f>(SUMIF(Fonctionnement[Affectation matrice],$AB$3,Fonctionnement[TVA acquittée])+SUMIF(Invest[Affectation matrice],$AB$3,Invest[TVA acquittée]))*BD15</f>
        <v>0</v>
      </c>
      <c r="CF15" s="200">
        <f>(SUMIF(Fonctionnement[Affectation matrice],$AB$3,Fonctionnement[TVA acquittée])+SUMIF(Invest[Affectation matrice],$AB$3,Invest[TVA acquittée]))*BE15</f>
        <v>0</v>
      </c>
      <c r="CG15" s="200">
        <f>(SUMIF(Fonctionnement[Affectation matrice],$AB$3,Fonctionnement[TVA acquittée])+SUMIF(Invest[Affectation matrice],$AB$3,Invest[TVA acquittée]))*BF15</f>
        <v>0</v>
      </c>
      <c r="CH15" s="200">
        <f>(SUMIF(Fonctionnement[Affectation matrice],$AB$3,Fonctionnement[TVA acquittée])+SUMIF(Invest[Affectation matrice],$AB$3,Invest[TVA acquittée]))*BG15</f>
        <v>0</v>
      </c>
      <c r="CI15" s="200">
        <f>(SUMIF(Fonctionnement[Affectation matrice],$AB$3,Fonctionnement[TVA acquittée])+SUMIF(Invest[Affectation matrice],$AB$3,Invest[TVA acquittée]))*BH15</f>
        <v>0</v>
      </c>
      <c r="CJ15" s="200">
        <f>(SUMIF(Fonctionnement[Affectation matrice],$AB$3,Fonctionnement[TVA acquittée])+SUMIF(Invest[Affectation matrice],$AB$3,Invest[TVA acquittée]))*BI15</f>
        <v>0</v>
      </c>
      <c r="CK15" s="200">
        <f>(SUMIF(Fonctionnement[Affectation matrice],$AB$3,Fonctionnement[TVA acquittée])+SUMIF(Invest[Affectation matrice],$AB$3,Invest[TVA acquittée]))*BJ15</f>
        <v>0</v>
      </c>
      <c r="CL15" s="200">
        <f>(SUMIF(Fonctionnement[Affectation matrice],$AB$3,Fonctionnement[TVA acquittée])+SUMIF(Invest[Affectation matrice],$AB$3,Invest[TVA acquittée]))*BK15</f>
        <v>0</v>
      </c>
      <c r="CM15" s="200">
        <f>(SUMIF(Fonctionnement[Affectation matrice],$AB$3,Fonctionnement[TVA acquittée])+SUMIF(Invest[Affectation matrice],$AB$3,Invest[TVA acquittée]))*BL15</f>
        <v>0</v>
      </c>
      <c r="CN15" s="200">
        <f>(SUMIF(Fonctionnement[Affectation matrice],$AB$3,Fonctionnement[TVA acquittée])+SUMIF(Invest[Affectation matrice],$AB$3,Invest[TVA acquittée]))*BM15</f>
        <v>0</v>
      </c>
      <c r="CO15" s="200">
        <f>(SUMIF(Fonctionnement[Affectation matrice],$AB$3,Fonctionnement[TVA acquittée])+SUMIF(Invest[Affectation matrice],$AB$3,Invest[TVA acquittée]))*BN15</f>
        <v>0</v>
      </c>
      <c r="CP15" s="200">
        <f>(SUMIF(Fonctionnement[Affectation matrice],$AB$3,Fonctionnement[TVA acquittée])+SUMIF(Invest[Affectation matrice],$AB$3,Invest[TVA acquittée]))*BO15</f>
        <v>0</v>
      </c>
      <c r="CQ15" s="200">
        <f>(SUMIF(Fonctionnement[Affectation matrice],$AB$3,Fonctionnement[TVA acquittée])+SUMIF(Invest[Affectation matrice],$AB$3,Invest[TVA acquittée]))*BP15</f>
        <v>0</v>
      </c>
      <c r="CR15" s="200">
        <f>(SUMIF(Fonctionnement[Affectation matrice],$AB$3,Fonctionnement[TVA acquittée])+SUMIF(Invest[Affectation matrice],$AB$3,Invest[TVA acquittée]))*BQ15</f>
        <v>0</v>
      </c>
      <c r="CS15" s="200">
        <f>(SUMIF(Fonctionnement[Affectation matrice],$AB$3,Fonctionnement[TVA acquittée])+SUMIF(Invest[Affectation matrice],$AB$3,Invest[TVA acquittée]))*BR15</f>
        <v>0</v>
      </c>
      <c r="CT15" s="200">
        <f>(SUMIF(Fonctionnement[Affectation matrice],$AB$3,Fonctionnement[TVA acquittée])+SUMIF(Invest[Affectation matrice],$AB$3,Invest[TVA acquittée]))*BS15</f>
        <v>0</v>
      </c>
      <c r="CU15" s="200">
        <f>(SUMIF(Fonctionnement[Affectation matrice],$AB$3,Fonctionnement[TVA acquittée])+SUMIF(Invest[Affectation matrice],$AB$3,Invest[TVA acquittée]))*BT15</f>
        <v>0</v>
      </c>
      <c r="CV15" s="200">
        <f>(SUMIF(Fonctionnement[Affectation matrice],$AB$3,Fonctionnement[TVA acquittée])+SUMIF(Invest[Affectation matrice],$AB$3,Invest[TVA acquittée]))*BU15</f>
        <v>0</v>
      </c>
      <c r="CW15" s="200">
        <f>(SUMIF(Fonctionnement[Affectation matrice],$AB$3,Fonctionnement[TVA acquittée])+SUMIF(Invest[Affectation matrice],$AB$3,Invest[TVA acquittée]))*BV15</f>
        <v>0</v>
      </c>
      <c r="CX15" s="200">
        <f>(SUMIF(Fonctionnement[Affectation matrice],$AB$3,Fonctionnement[TVA acquittée])+SUMIF(Invest[Affectation matrice],$AB$3,Invest[TVA acquittée]))*BW15</f>
        <v>0</v>
      </c>
      <c r="CY15" s="200">
        <f>(SUMIF(Fonctionnement[Affectation matrice],$AB$3,Fonctionnement[TVA acquittée])+SUMIF(Invest[Affectation matrice],$AB$3,Invest[TVA acquittée]))*BX15</f>
        <v>0</v>
      </c>
      <c r="CZ15" s="200">
        <f>(SUMIF(Fonctionnement[Affectation matrice],$AB$3,Fonctionnement[TVA acquittée])+SUMIF(Invest[Affectation matrice],$AB$3,Invest[TVA acquittée]))*BY15</f>
        <v>0</v>
      </c>
      <c r="DA15" s="200">
        <f>(SUMIF(Fonctionnement[Affectation matrice],$AB$3,Fonctionnement[TVA acquittée])+SUMIF(Invest[Affectation matrice],$AB$3,Invest[TVA acquittée]))*BZ15</f>
        <v>0</v>
      </c>
      <c r="DB15" s="200">
        <f>(SUMIF(Fonctionnement[Affectation matrice],$AB$3,Fonctionnement[TVA acquittée])+SUMIF(Invest[Affectation matrice],$AB$3,Invest[TVA acquittée]))*CA15</f>
        <v>0</v>
      </c>
    </row>
    <row r="16" spans="1:106" s="22" customFormat="1" ht="12.75" hidden="1" customHeight="1" x14ac:dyDescent="0.25">
      <c r="A16" s="42">
        <f>Matrice[[#This Row],[Ligne de la matrice]]</f>
        <v>0</v>
      </c>
      <c r="B16" s="276">
        <f>(SUMIF(Fonctionnement[Affectation matrice],$AB$3,Fonctionnement[Montant (€HT)])+SUMIF(Invest[Affectation matrice],$AB$3,Invest[Amortissement HT + intérêts]))*BC16</f>
        <v>0</v>
      </c>
      <c r="C16" s="276">
        <f>(SUMIF(Fonctionnement[Affectation matrice],$AB$3,Fonctionnement[Montant (€HT)])+SUMIF(Invest[Affectation matrice],$AB$3,Invest[Amortissement HT + intérêts]))*BD16</f>
        <v>0</v>
      </c>
      <c r="D16" s="276">
        <f>(SUMIF(Fonctionnement[Affectation matrice],$AB$3,Fonctionnement[Montant (€HT)])+SUMIF(Invest[Affectation matrice],$AB$3,Invest[Amortissement HT + intérêts]))*BE16</f>
        <v>0</v>
      </c>
      <c r="E16" s="276">
        <f>(SUMIF(Fonctionnement[Affectation matrice],$AB$3,Fonctionnement[Montant (€HT)])+SUMIF(Invest[Affectation matrice],$AB$3,Invest[Amortissement HT + intérêts]))*BF16</f>
        <v>0</v>
      </c>
      <c r="F16" s="276">
        <f>(SUMIF(Fonctionnement[Affectation matrice],$AB$3,Fonctionnement[Montant (€HT)])+SUMIF(Invest[Affectation matrice],$AB$3,Invest[Amortissement HT + intérêts]))*BG16</f>
        <v>0</v>
      </c>
      <c r="G16" s="276">
        <f>(SUMIF(Fonctionnement[Affectation matrice],$AB$3,Fonctionnement[Montant (€HT)])+SUMIF(Invest[Affectation matrice],$AB$3,Invest[Amortissement HT + intérêts]))*BH16</f>
        <v>0</v>
      </c>
      <c r="H16" s="276">
        <f>(SUMIF(Fonctionnement[Affectation matrice],$AB$3,Fonctionnement[Montant (€HT)])+SUMIF(Invest[Affectation matrice],$AB$3,Invest[Amortissement HT + intérêts]))*BI16</f>
        <v>0</v>
      </c>
      <c r="I16" s="276">
        <f>(SUMIF(Fonctionnement[Affectation matrice],$AB$3,Fonctionnement[Montant (€HT)])+SUMIF(Invest[Affectation matrice],$AB$3,Invest[Amortissement HT + intérêts]))*BJ16</f>
        <v>0</v>
      </c>
      <c r="J16" s="276">
        <f>(SUMIF(Fonctionnement[Affectation matrice],$AB$3,Fonctionnement[Montant (€HT)])+SUMIF(Invest[Affectation matrice],$AB$3,Invest[Amortissement HT + intérêts]))*BK16</f>
        <v>0</v>
      </c>
      <c r="K16" s="276">
        <f>(SUMIF(Fonctionnement[Affectation matrice],$AB$3,Fonctionnement[Montant (€HT)])+SUMIF(Invest[Affectation matrice],$AB$3,Invest[Amortissement HT + intérêts]))*BL16</f>
        <v>0</v>
      </c>
      <c r="L16" s="276">
        <f>(SUMIF(Fonctionnement[Affectation matrice],$AB$3,Fonctionnement[Montant (€HT)])+SUMIF(Invest[Affectation matrice],$AB$3,Invest[Amortissement HT + intérêts]))*BM16</f>
        <v>0</v>
      </c>
      <c r="M16" s="276">
        <f>(SUMIF(Fonctionnement[Affectation matrice],$AB$3,Fonctionnement[Montant (€HT)])+SUMIF(Invest[Affectation matrice],$AB$3,Invest[Amortissement HT + intérêts]))*BN16</f>
        <v>0</v>
      </c>
      <c r="N16" s="276">
        <f>(SUMIF(Fonctionnement[Affectation matrice],$AB$3,Fonctionnement[Montant (€HT)])+SUMIF(Invest[Affectation matrice],$AB$3,Invest[Amortissement HT + intérêts]))*BO16</f>
        <v>0</v>
      </c>
      <c r="O16" s="276">
        <f>(SUMIF(Fonctionnement[Affectation matrice],$AB$3,Fonctionnement[Montant (€HT)])+SUMIF(Invest[Affectation matrice],$AB$3,Invest[Amortissement HT + intérêts]))*BP16</f>
        <v>0</v>
      </c>
      <c r="P16" s="276">
        <f>(SUMIF(Fonctionnement[Affectation matrice],$AB$3,Fonctionnement[Montant (€HT)])+SUMIF(Invest[Affectation matrice],$AB$3,Invest[Amortissement HT + intérêts]))*BQ16</f>
        <v>0</v>
      </c>
      <c r="Q16" s="276">
        <f>(SUMIF(Fonctionnement[Affectation matrice],$AB$3,Fonctionnement[Montant (€HT)])+SUMIF(Invest[Affectation matrice],$AB$3,Invest[Amortissement HT + intérêts]))*BR16</f>
        <v>0</v>
      </c>
      <c r="R16" s="276">
        <f>(SUMIF(Fonctionnement[Affectation matrice],$AB$3,Fonctionnement[Montant (€HT)])+SUMIF(Invest[Affectation matrice],$AB$3,Invest[Amortissement HT + intérêts]))*BS16</f>
        <v>0</v>
      </c>
      <c r="S16" s="276">
        <f>(SUMIF(Fonctionnement[Affectation matrice],$AB$3,Fonctionnement[Montant (€HT)])+SUMIF(Invest[Affectation matrice],$AB$3,Invest[Amortissement HT + intérêts]))*BT16</f>
        <v>0</v>
      </c>
      <c r="T16" s="276">
        <f>(SUMIF(Fonctionnement[Affectation matrice],$AB$3,Fonctionnement[Montant (€HT)])+SUMIF(Invest[Affectation matrice],$AB$3,Invest[Amortissement HT + intérêts]))*BU16</f>
        <v>0</v>
      </c>
      <c r="U16" s="276">
        <f>(SUMIF(Fonctionnement[Affectation matrice],$AB$3,Fonctionnement[Montant (€HT)])+SUMIF(Invest[Affectation matrice],$AB$3,Invest[Amortissement HT + intérêts]))*BV16</f>
        <v>0</v>
      </c>
      <c r="V16" s="276">
        <f>(SUMIF(Fonctionnement[Affectation matrice],$AB$3,Fonctionnement[Montant (€HT)])+SUMIF(Invest[Affectation matrice],$AB$3,Invest[Amortissement HT + intérêts]))*BW16</f>
        <v>0</v>
      </c>
      <c r="W16" s="276">
        <f>(SUMIF(Fonctionnement[Affectation matrice],$AB$3,Fonctionnement[Montant (€HT)])+SUMIF(Invest[Affectation matrice],$AB$3,Invest[Amortissement HT + intérêts]))*BX16</f>
        <v>0</v>
      </c>
      <c r="X16" s="276">
        <f>(SUMIF(Fonctionnement[Affectation matrice],$AB$3,Fonctionnement[Montant (€HT)])+SUMIF(Invest[Affectation matrice],$AB$3,Invest[Amortissement HT + intérêts]))*BY16</f>
        <v>0</v>
      </c>
      <c r="Y16" s="276">
        <f>(SUMIF(Fonctionnement[Affectation matrice],$AB$3,Fonctionnement[Montant (€HT)])+SUMIF(Invest[Affectation matrice],$AB$3,Invest[Amortissement HT + intérêts]))*BZ16</f>
        <v>0</v>
      </c>
      <c r="Z16" s="276">
        <f>(SUMIF(Fonctionnement[Affectation matrice],$AB$3,Fonctionnement[Montant (€HT)])+SUMIF(Invest[Affectation matrice],$AB$3,Invest[Amortissement HT + intérêts]))*CA16</f>
        <v>0</v>
      </c>
      <c r="AA16" s="199"/>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283">
        <f t="shared" si="4"/>
        <v>0</v>
      </c>
      <c r="BB16" s="7"/>
      <c r="BC16" s="61">
        <f t="shared" si="2"/>
        <v>0</v>
      </c>
      <c r="BD16" s="61">
        <f t="shared" si="2"/>
        <v>0</v>
      </c>
      <c r="BE16" s="61">
        <f t="shared" si="2"/>
        <v>0</v>
      </c>
      <c r="BF16" s="61">
        <f t="shared" si="2"/>
        <v>0</v>
      </c>
      <c r="BG16" s="61">
        <f t="shared" si="2"/>
        <v>0</v>
      </c>
      <c r="BH16" s="61">
        <f t="shared" si="2"/>
        <v>0</v>
      </c>
      <c r="BI16" s="61">
        <f t="shared" si="2"/>
        <v>0</v>
      </c>
      <c r="BJ16" s="61">
        <f t="shared" si="2"/>
        <v>0</v>
      </c>
      <c r="BK16" s="61">
        <f t="shared" si="2"/>
        <v>0</v>
      </c>
      <c r="BL16" s="61">
        <f t="shared" si="2"/>
        <v>0</v>
      </c>
      <c r="BM16" s="61">
        <f t="shared" si="2"/>
        <v>0</v>
      </c>
      <c r="BN16" s="61">
        <f t="shared" si="2"/>
        <v>0</v>
      </c>
      <c r="BO16" s="61">
        <f t="shared" si="2"/>
        <v>0</v>
      </c>
      <c r="BP16" s="61">
        <f t="shared" si="2"/>
        <v>0</v>
      </c>
      <c r="BQ16" s="61">
        <f t="shared" si="2"/>
        <v>0</v>
      </c>
      <c r="BR16" s="61">
        <f t="shared" si="2"/>
        <v>0</v>
      </c>
      <c r="BS16" s="61">
        <f t="shared" si="3"/>
        <v>0</v>
      </c>
      <c r="BT16" s="61">
        <f t="shared" si="3"/>
        <v>0</v>
      </c>
      <c r="BU16" s="61">
        <f t="shared" si="3"/>
        <v>0</v>
      </c>
      <c r="BV16" s="61">
        <f t="shared" si="3"/>
        <v>0</v>
      </c>
      <c r="BW16" s="61">
        <f t="shared" si="3"/>
        <v>0</v>
      </c>
      <c r="BX16" s="61">
        <f t="shared" si="3"/>
        <v>0</v>
      </c>
      <c r="BY16" s="61">
        <f t="shared" si="3"/>
        <v>0</v>
      </c>
      <c r="BZ16" s="61">
        <f t="shared" si="3"/>
        <v>0</v>
      </c>
      <c r="CA16" s="61">
        <f t="shared" si="3"/>
        <v>0</v>
      </c>
      <c r="CB16" s="61">
        <f t="shared" si="5"/>
        <v>0</v>
      </c>
      <c r="CD16" s="200">
        <f>(SUMIF(Fonctionnement[Affectation matrice],$AB$3,Fonctionnement[TVA acquittée])+SUMIF(Invest[Affectation matrice],$AB$3,Invest[TVA acquittée]))*BC16</f>
        <v>0</v>
      </c>
      <c r="CE16" s="200">
        <f>(SUMIF(Fonctionnement[Affectation matrice],$AB$3,Fonctionnement[TVA acquittée])+SUMIF(Invest[Affectation matrice],$AB$3,Invest[TVA acquittée]))*BD16</f>
        <v>0</v>
      </c>
      <c r="CF16" s="200">
        <f>(SUMIF(Fonctionnement[Affectation matrice],$AB$3,Fonctionnement[TVA acquittée])+SUMIF(Invest[Affectation matrice],$AB$3,Invest[TVA acquittée]))*BE16</f>
        <v>0</v>
      </c>
      <c r="CG16" s="200">
        <f>(SUMIF(Fonctionnement[Affectation matrice],$AB$3,Fonctionnement[TVA acquittée])+SUMIF(Invest[Affectation matrice],$AB$3,Invest[TVA acquittée]))*BF16</f>
        <v>0</v>
      </c>
      <c r="CH16" s="200">
        <f>(SUMIF(Fonctionnement[Affectation matrice],$AB$3,Fonctionnement[TVA acquittée])+SUMIF(Invest[Affectation matrice],$AB$3,Invest[TVA acquittée]))*BG16</f>
        <v>0</v>
      </c>
      <c r="CI16" s="200">
        <f>(SUMIF(Fonctionnement[Affectation matrice],$AB$3,Fonctionnement[TVA acquittée])+SUMIF(Invest[Affectation matrice],$AB$3,Invest[TVA acquittée]))*BH16</f>
        <v>0</v>
      </c>
      <c r="CJ16" s="200">
        <f>(SUMIF(Fonctionnement[Affectation matrice],$AB$3,Fonctionnement[TVA acquittée])+SUMIF(Invest[Affectation matrice],$AB$3,Invest[TVA acquittée]))*BI16</f>
        <v>0</v>
      </c>
      <c r="CK16" s="200">
        <f>(SUMIF(Fonctionnement[Affectation matrice],$AB$3,Fonctionnement[TVA acquittée])+SUMIF(Invest[Affectation matrice],$AB$3,Invest[TVA acquittée]))*BJ16</f>
        <v>0</v>
      </c>
      <c r="CL16" s="200">
        <f>(SUMIF(Fonctionnement[Affectation matrice],$AB$3,Fonctionnement[TVA acquittée])+SUMIF(Invest[Affectation matrice],$AB$3,Invest[TVA acquittée]))*BK16</f>
        <v>0</v>
      </c>
      <c r="CM16" s="200">
        <f>(SUMIF(Fonctionnement[Affectation matrice],$AB$3,Fonctionnement[TVA acquittée])+SUMIF(Invest[Affectation matrice],$AB$3,Invest[TVA acquittée]))*BL16</f>
        <v>0</v>
      </c>
      <c r="CN16" s="200">
        <f>(SUMIF(Fonctionnement[Affectation matrice],$AB$3,Fonctionnement[TVA acquittée])+SUMIF(Invest[Affectation matrice],$AB$3,Invest[TVA acquittée]))*BM16</f>
        <v>0</v>
      </c>
      <c r="CO16" s="200">
        <f>(SUMIF(Fonctionnement[Affectation matrice],$AB$3,Fonctionnement[TVA acquittée])+SUMIF(Invest[Affectation matrice],$AB$3,Invest[TVA acquittée]))*BN16</f>
        <v>0</v>
      </c>
      <c r="CP16" s="200">
        <f>(SUMIF(Fonctionnement[Affectation matrice],$AB$3,Fonctionnement[TVA acquittée])+SUMIF(Invest[Affectation matrice],$AB$3,Invest[TVA acquittée]))*BO16</f>
        <v>0</v>
      </c>
      <c r="CQ16" s="200">
        <f>(SUMIF(Fonctionnement[Affectation matrice],$AB$3,Fonctionnement[TVA acquittée])+SUMIF(Invest[Affectation matrice],$AB$3,Invest[TVA acquittée]))*BP16</f>
        <v>0</v>
      </c>
      <c r="CR16" s="200">
        <f>(SUMIF(Fonctionnement[Affectation matrice],$AB$3,Fonctionnement[TVA acquittée])+SUMIF(Invest[Affectation matrice],$AB$3,Invest[TVA acquittée]))*BQ16</f>
        <v>0</v>
      </c>
      <c r="CS16" s="200">
        <f>(SUMIF(Fonctionnement[Affectation matrice],$AB$3,Fonctionnement[TVA acquittée])+SUMIF(Invest[Affectation matrice],$AB$3,Invest[TVA acquittée]))*BR16</f>
        <v>0</v>
      </c>
      <c r="CT16" s="200">
        <f>(SUMIF(Fonctionnement[Affectation matrice],$AB$3,Fonctionnement[TVA acquittée])+SUMIF(Invest[Affectation matrice],$AB$3,Invest[TVA acquittée]))*BS16</f>
        <v>0</v>
      </c>
      <c r="CU16" s="200">
        <f>(SUMIF(Fonctionnement[Affectation matrice],$AB$3,Fonctionnement[TVA acquittée])+SUMIF(Invest[Affectation matrice],$AB$3,Invest[TVA acquittée]))*BT16</f>
        <v>0</v>
      </c>
      <c r="CV16" s="200">
        <f>(SUMIF(Fonctionnement[Affectation matrice],$AB$3,Fonctionnement[TVA acquittée])+SUMIF(Invest[Affectation matrice],$AB$3,Invest[TVA acquittée]))*BU16</f>
        <v>0</v>
      </c>
      <c r="CW16" s="200">
        <f>(SUMIF(Fonctionnement[Affectation matrice],$AB$3,Fonctionnement[TVA acquittée])+SUMIF(Invest[Affectation matrice],$AB$3,Invest[TVA acquittée]))*BV16</f>
        <v>0</v>
      </c>
      <c r="CX16" s="200">
        <f>(SUMIF(Fonctionnement[Affectation matrice],$AB$3,Fonctionnement[TVA acquittée])+SUMIF(Invest[Affectation matrice],$AB$3,Invest[TVA acquittée]))*BW16</f>
        <v>0</v>
      </c>
      <c r="CY16" s="200">
        <f>(SUMIF(Fonctionnement[Affectation matrice],$AB$3,Fonctionnement[TVA acquittée])+SUMIF(Invest[Affectation matrice],$AB$3,Invest[TVA acquittée]))*BX16</f>
        <v>0</v>
      </c>
      <c r="CZ16" s="200">
        <f>(SUMIF(Fonctionnement[Affectation matrice],$AB$3,Fonctionnement[TVA acquittée])+SUMIF(Invest[Affectation matrice],$AB$3,Invest[TVA acquittée]))*BY16</f>
        <v>0</v>
      </c>
      <c r="DA16" s="200">
        <f>(SUMIF(Fonctionnement[Affectation matrice],$AB$3,Fonctionnement[TVA acquittée])+SUMIF(Invest[Affectation matrice],$AB$3,Invest[TVA acquittée]))*BZ16</f>
        <v>0</v>
      </c>
      <c r="DB16" s="200">
        <f>(SUMIF(Fonctionnement[Affectation matrice],$AB$3,Fonctionnement[TVA acquittée])+SUMIF(Invest[Affectation matrice],$AB$3,Invest[TVA acquittée]))*CA16</f>
        <v>0</v>
      </c>
    </row>
    <row r="17" spans="1:106" ht="12.75" hidden="1" customHeight="1" x14ac:dyDescent="0.25">
      <c r="A17" s="42">
        <f>Matrice[[#This Row],[Ligne de la matrice]]</f>
        <v>0</v>
      </c>
      <c r="B17" s="276">
        <f>(SUMIF(Fonctionnement[Affectation matrice],$AB$3,Fonctionnement[Montant (€HT)])+SUMIF(Invest[Affectation matrice],$AB$3,Invest[Amortissement HT + intérêts]))*BC17</f>
        <v>0</v>
      </c>
      <c r="C17" s="276">
        <f>(SUMIF(Fonctionnement[Affectation matrice],$AB$3,Fonctionnement[Montant (€HT)])+SUMIF(Invest[Affectation matrice],$AB$3,Invest[Amortissement HT + intérêts]))*BD17</f>
        <v>0</v>
      </c>
      <c r="D17" s="276">
        <f>(SUMIF(Fonctionnement[Affectation matrice],$AB$3,Fonctionnement[Montant (€HT)])+SUMIF(Invest[Affectation matrice],$AB$3,Invest[Amortissement HT + intérêts]))*BE17</f>
        <v>0</v>
      </c>
      <c r="E17" s="276">
        <f>(SUMIF(Fonctionnement[Affectation matrice],$AB$3,Fonctionnement[Montant (€HT)])+SUMIF(Invest[Affectation matrice],$AB$3,Invest[Amortissement HT + intérêts]))*BF17</f>
        <v>0</v>
      </c>
      <c r="F17" s="276">
        <f>(SUMIF(Fonctionnement[Affectation matrice],$AB$3,Fonctionnement[Montant (€HT)])+SUMIF(Invest[Affectation matrice],$AB$3,Invest[Amortissement HT + intérêts]))*BG17</f>
        <v>0</v>
      </c>
      <c r="G17" s="276">
        <f>(SUMIF(Fonctionnement[Affectation matrice],$AB$3,Fonctionnement[Montant (€HT)])+SUMIF(Invest[Affectation matrice],$AB$3,Invest[Amortissement HT + intérêts]))*BH17</f>
        <v>0</v>
      </c>
      <c r="H17" s="276">
        <f>(SUMIF(Fonctionnement[Affectation matrice],$AB$3,Fonctionnement[Montant (€HT)])+SUMIF(Invest[Affectation matrice],$AB$3,Invest[Amortissement HT + intérêts]))*BI17</f>
        <v>0</v>
      </c>
      <c r="I17" s="276">
        <f>(SUMIF(Fonctionnement[Affectation matrice],$AB$3,Fonctionnement[Montant (€HT)])+SUMIF(Invest[Affectation matrice],$AB$3,Invest[Amortissement HT + intérêts]))*BJ17</f>
        <v>0</v>
      </c>
      <c r="J17" s="276">
        <f>(SUMIF(Fonctionnement[Affectation matrice],$AB$3,Fonctionnement[Montant (€HT)])+SUMIF(Invest[Affectation matrice],$AB$3,Invest[Amortissement HT + intérêts]))*BK17</f>
        <v>0</v>
      </c>
      <c r="K17" s="276">
        <f>(SUMIF(Fonctionnement[Affectation matrice],$AB$3,Fonctionnement[Montant (€HT)])+SUMIF(Invest[Affectation matrice],$AB$3,Invest[Amortissement HT + intérêts]))*BL17</f>
        <v>0</v>
      </c>
      <c r="L17" s="276">
        <f>(SUMIF(Fonctionnement[Affectation matrice],$AB$3,Fonctionnement[Montant (€HT)])+SUMIF(Invest[Affectation matrice],$AB$3,Invest[Amortissement HT + intérêts]))*BM17</f>
        <v>0</v>
      </c>
      <c r="M17" s="276">
        <f>(SUMIF(Fonctionnement[Affectation matrice],$AB$3,Fonctionnement[Montant (€HT)])+SUMIF(Invest[Affectation matrice],$AB$3,Invest[Amortissement HT + intérêts]))*BN17</f>
        <v>0</v>
      </c>
      <c r="N17" s="276">
        <f>(SUMIF(Fonctionnement[Affectation matrice],$AB$3,Fonctionnement[Montant (€HT)])+SUMIF(Invest[Affectation matrice],$AB$3,Invest[Amortissement HT + intérêts]))*BO17</f>
        <v>0</v>
      </c>
      <c r="O17" s="276">
        <f>(SUMIF(Fonctionnement[Affectation matrice],$AB$3,Fonctionnement[Montant (€HT)])+SUMIF(Invest[Affectation matrice],$AB$3,Invest[Amortissement HT + intérêts]))*BP17</f>
        <v>0</v>
      </c>
      <c r="P17" s="276">
        <f>(SUMIF(Fonctionnement[Affectation matrice],$AB$3,Fonctionnement[Montant (€HT)])+SUMIF(Invest[Affectation matrice],$AB$3,Invest[Amortissement HT + intérêts]))*BQ17</f>
        <v>0</v>
      </c>
      <c r="Q17" s="276">
        <f>(SUMIF(Fonctionnement[Affectation matrice],$AB$3,Fonctionnement[Montant (€HT)])+SUMIF(Invest[Affectation matrice],$AB$3,Invest[Amortissement HT + intérêts]))*BR17</f>
        <v>0</v>
      </c>
      <c r="R17" s="276">
        <f>(SUMIF(Fonctionnement[Affectation matrice],$AB$3,Fonctionnement[Montant (€HT)])+SUMIF(Invest[Affectation matrice],$AB$3,Invest[Amortissement HT + intérêts]))*BS17</f>
        <v>0</v>
      </c>
      <c r="S17" s="276">
        <f>(SUMIF(Fonctionnement[Affectation matrice],$AB$3,Fonctionnement[Montant (€HT)])+SUMIF(Invest[Affectation matrice],$AB$3,Invest[Amortissement HT + intérêts]))*BT17</f>
        <v>0</v>
      </c>
      <c r="T17" s="276">
        <f>(SUMIF(Fonctionnement[Affectation matrice],$AB$3,Fonctionnement[Montant (€HT)])+SUMIF(Invest[Affectation matrice],$AB$3,Invest[Amortissement HT + intérêts]))*BU17</f>
        <v>0</v>
      </c>
      <c r="U17" s="276">
        <f>(SUMIF(Fonctionnement[Affectation matrice],$AB$3,Fonctionnement[Montant (€HT)])+SUMIF(Invest[Affectation matrice],$AB$3,Invest[Amortissement HT + intérêts]))*BV17</f>
        <v>0</v>
      </c>
      <c r="V17" s="276">
        <f>(SUMIF(Fonctionnement[Affectation matrice],$AB$3,Fonctionnement[Montant (€HT)])+SUMIF(Invest[Affectation matrice],$AB$3,Invest[Amortissement HT + intérêts]))*BW17</f>
        <v>0</v>
      </c>
      <c r="W17" s="276">
        <f>(SUMIF(Fonctionnement[Affectation matrice],$AB$3,Fonctionnement[Montant (€HT)])+SUMIF(Invest[Affectation matrice],$AB$3,Invest[Amortissement HT + intérêts]))*BX17</f>
        <v>0</v>
      </c>
      <c r="X17" s="276">
        <f>(SUMIF(Fonctionnement[Affectation matrice],$AB$3,Fonctionnement[Montant (€HT)])+SUMIF(Invest[Affectation matrice],$AB$3,Invest[Amortissement HT + intérêts]))*BY17</f>
        <v>0</v>
      </c>
      <c r="Y17" s="276">
        <f>(SUMIF(Fonctionnement[Affectation matrice],$AB$3,Fonctionnement[Montant (€HT)])+SUMIF(Invest[Affectation matrice],$AB$3,Invest[Amortissement HT + intérêts]))*BZ17</f>
        <v>0</v>
      </c>
      <c r="Z17" s="276">
        <f>(SUMIF(Fonctionnement[Affectation matrice],$AB$3,Fonctionnement[Montant (€HT)])+SUMIF(Invest[Affectation matrice],$AB$3,Invest[Amortissement HT + intérêts]))*CA17</f>
        <v>0</v>
      </c>
      <c r="AA17" s="199"/>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283">
        <f t="shared" si="4"/>
        <v>0</v>
      </c>
      <c r="BC17" s="61">
        <f t="shared" si="2"/>
        <v>0</v>
      </c>
      <c r="BD17" s="61">
        <f t="shared" si="2"/>
        <v>0</v>
      </c>
      <c r="BE17" s="61">
        <f t="shared" si="2"/>
        <v>0</v>
      </c>
      <c r="BF17" s="61">
        <f t="shared" si="2"/>
        <v>0</v>
      </c>
      <c r="BG17" s="61">
        <f t="shared" si="2"/>
        <v>0</v>
      </c>
      <c r="BH17" s="61">
        <f t="shared" si="2"/>
        <v>0</v>
      </c>
      <c r="BI17" s="61">
        <f t="shared" si="2"/>
        <v>0</v>
      </c>
      <c r="BJ17" s="61">
        <f t="shared" si="2"/>
        <v>0</v>
      </c>
      <c r="BK17" s="61">
        <f t="shared" si="2"/>
        <v>0</v>
      </c>
      <c r="BL17" s="61">
        <f t="shared" si="2"/>
        <v>0</v>
      </c>
      <c r="BM17" s="61">
        <f t="shared" si="2"/>
        <v>0</v>
      </c>
      <c r="BN17" s="61">
        <f t="shared" si="2"/>
        <v>0</v>
      </c>
      <c r="BO17" s="61">
        <f t="shared" si="2"/>
        <v>0</v>
      </c>
      <c r="BP17" s="61">
        <f t="shared" si="2"/>
        <v>0</v>
      </c>
      <c r="BQ17" s="61">
        <f t="shared" si="2"/>
        <v>0</v>
      </c>
      <c r="BR17" s="61">
        <f t="shared" si="2"/>
        <v>0</v>
      </c>
      <c r="BS17" s="61">
        <f t="shared" si="3"/>
        <v>0</v>
      </c>
      <c r="BT17" s="61">
        <f t="shared" si="3"/>
        <v>0</v>
      </c>
      <c r="BU17" s="61">
        <f t="shared" si="3"/>
        <v>0</v>
      </c>
      <c r="BV17" s="61">
        <f t="shared" si="3"/>
        <v>0</v>
      </c>
      <c r="BW17" s="61">
        <f t="shared" si="3"/>
        <v>0</v>
      </c>
      <c r="BX17" s="61">
        <f t="shared" si="3"/>
        <v>0</v>
      </c>
      <c r="BY17" s="61">
        <f t="shared" si="3"/>
        <v>0</v>
      </c>
      <c r="BZ17" s="61">
        <f t="shared" si="3"/>
        <v>0</v>
      </c>
      <c r="CA17" s="61">
        <f t="shared" si="3"/>
        <v>0</v>
      </c>
      <c r="CB17" s="61">
        <f t="shared" si="5"/>
        <v>0</v>
      </c>
      <c r="CD17" s="200">
        <f>(SUMIF(Fonctionnement[Affectation matrice],$AB$3,Fonctionnement[TVA acquittée])+SUMIF(Invest[Affectation matrice],$AB$3,Invest[TVA acquittée]))*BC17</f>
        <v>0</v>
      </c>
      <c r="CE17" s="200">
        <f>(SUMIF(Fonctionnement[Affectation matrice],$AB$3,Fonctionnement[TVA acquittée])+SUMIF(Invest[Affectation matrice],$AB$3,Invest[TVA acquittée]))*BD17</f>
        <v>0</v>
      </c>
      <c r="CF17" s="200">
        <f>(SUMIF(Fonctionnement[Affectation matrice],$AB$3,Fonctionnement[TVA acquittée])+SUMIF(Invest[Affectation matrice],$AB$3,Invest[TVA acquittée]))*BE17</f>
        <v>0</v>
      </c>
      <c r="CG17" s="200">
        <f>(SUMIF(Fonctionnement[Affectation matrice],$AB$3,Fonctionnement[TVA acquittée])+SUMIF(Invest[Affectation matrice],$AB$3,Invest[TVA acquittée]))*BF17</f>
        <v>0</v>
      </c>
      <c r="CH17" s="200">
        <f>(SUMIF(Fonctionnement[Affectation matrice],$AB$3,Fonctionnement[TVA acquittée])+SUMIF(Invest[Affectation matrice],$AB$3,Invest[TVA acquittée]))*BG17</f>
        <v>0</v>
      </c>
      <c r="CI17" s="200">
        <f>(SUMIF(Fonctionnement[Affectation matrice],$AB$3,Fonctionnement[TVA acquittée])+SUMIF(Invest[Affectation matrice],$AB$3,Invest[TVA acquittée]))*BH17</f>
        <v>0</v>
      </c>
      <c r="CJ17" s="200">
        <f>(SUMIF(Fonctionnement[Affectation matrice],$AB$3,Fonctionnement[TVA acquittée])+SUMIF(Invest[Affectation matrice],$AB$3,Invest[TVA acquittée]))*BI17</f>
        <v>0</v>
      </c>
      <c r="CK17" s="200">
        <f>(SUMIF(Fonctionnement[Affectation matrice],$AB$3,Fonctionnement[TVA acquittée])+SUMIF(Invest[Affectation matrice],$AB$3,Invest[TVA acquittée]))*BJ17</f>
        <v>0</v>
      </c>
      <c r="CL17" s="200">
        <f>(SUMIF(Fonctionnement[Affectation matrice],$AB$3,Fonctionnement[TVA acquittée])+SUMIF(Invest[Affectation matrice],$AB$3,Invest[TVA acquittée]))*BK17</f>
        <v>0</v>
      </c>
      <c r="CM17" s="200">
        <f>(SUMIF(Fonctionnement[Affectation matrice],$AB$3,Fonctionnement[TVA acquittée])+SUMIF(Invest[Affectation matrice],$AB$3,Invest[TVA acquittée]))*BL17</f>
        <v>0</v>
      </c>
      <c r="CN17" s="200">
        <f>(SUMIF(Fonctionnement[Affectation matrice],$AB$3,Fonctionnement[TVA acquittée])+SUMIF(Invest[Affectation matrice],$AB$3,Invest[TVA acquittée]))*BM17</f>
        <v>0</v>
      </c>
      <c r="CO17" s="200">
        <f>(SUMIF(Fonctionnement[Affectation matrice],$AB$3,Fonctionnement[TVA acquittée])+SUMIF(Invest[Affectation matrice],$AB$3,Invest[TVA acquittée]))*BN17</f>
        <v>0</v>
      </c>
      <c r="CP17" s="200">
        <f>(SUMIF(Fonctionnement[Affectation matrice],$AB$3,Fonctionnement[TVA acquittée])+SUMIF(Invest[Affectation matrice],$AB$3,Invest[TVA acquittée]))*BO17</f>
        <v>0</v>
      </c>
      <c r="CQ17" s="200">
        <f>(SUMIF(Fonctionnement[Affectation matrice],$AB$3,Fonctionnement[TVA acquittée])+SUMIF(Invest[Affectation matrice],$AB$3,Invest[TVA acquittée]))*BP17</f>
        <v>0</v>
      </c>
      <c r="CR17" s="200">
        <f>(SUMIF(Fonctionnement[Affectation matrice],$AB$3,Fonctionnement[TVA acquittée])+SUMIF(Invest[Affectation matrice],$AB$3,Invest[TVA acquittée]))*BQ17</f>
        <v>0</v>
      </c>
      <c r="CS17" s="200">
        <f>(SUMIF(Fonctionnement[Affectation matrice],$AB$3,Fonctionnement[TVA acquittée])+SUMIF(Invest[Affectation matrice],$AB$3,Invest[TVA acquittée]))*BR17</f>
        <v>0</v>
      </c>
      <c r="CT17" s="200">
        <f>(SUMIF(Fonctionnement[Affectation matrice],$AB$3,Fonctionnement[TVA acquittée])+SUMIF(Invest[Affectation matrice],$AB$3,Invest[TVA acquittée]))*BS17</f>
        <v>0</v>
      </c>
      <c r="CU17" s="200">
        <f>(SUMIF(Fonctionnement[Affectation matrice],$AB$3,Fonctionnement[TVA acquittée])+SUMIF(Invest[Affectation matrice],$AB$3,Invest[TVA acquittée]))*BT17</f>
        <v>0</v>
      </c>
      <c r="CV17" s="200">
        <f>(SUMIF(Fonctionnement[Affectation matrice],$AB$3,Fonctionnement[TVA acquittée])+SUMIF(Invest[Affectation matrice],$AB$3,Invest[TVA acquittée]))*BU17</f>
        <v>0</v>
      </c>
      <c r="CW17" s="200">
        <f>(SUMIF(Fonctionnement[Affectation matrice],$AB$3,Fonctionnement[TVA acquittée])+SUMIF(Invest[Affectation matrice],$AB$3,Invest[TVA acquittée]))*BV17</f>
        <v>0</v>
      </c>
      <c r="CX17" s="200">
        <f>(SUMIF(Fonctionnement[Affectation matrice],$AB$3,Fonctionnement[TVA acquittée])+SUMIF(Invest[Affectation matrice],$AB$3,Invest[TVA acquittée]))*BW17</f>
        <v>0</v>
      </c>
      <c r="CY17" s="200">
        <f>(SUMIF(Fonctionnement[Affectation matrice],$AB$3,Fonctionnement[TVA acquittée])+SUMIF(Invest[Affectation matrice],$AB$3,Invest[TVA acquittée]))*BX17</f>
        <v>0</v>
      </c>
      <c r="CZ17" s="200">
        <f>(SUMIF(Fonctionnement[Affectation matrice],$AB$3,Fonctionnement[TVA acquittée])+SUMIF(Invest[Affectation matrice],$AB$3,Invest[TVA acquittée]))*BY17</f>
        <v>0</v>
      </c>
      <c r="DA17" s="200">
        <f>(SUMIF(Fonctionnement[Affectation matrice],$AB$3,Fonctionnement[TVA acquittée])+SUMIF(Invest[Affectation matrice],$AB$3,Invest[TVA acquittée]))*BZ17</f>
        <v>0</v>
      </c>
      <c r="DB17" s="200">
        <f>(SUMIF(Fonctionnement[Affectation matrice],$AB$3,Fonctionnement[TVA acquittée])+SUMIF(Invest[Affectation matrice],$AB$3,Invest[TVA acquittée]))*CA17</f>
        <v>0</v>
      </c>
    </row>
    <row r="18" spans="1:106" ht="12.75" hidden="1" customHeight="1" x14ac:dyDescent="0.25">
      <c r="A18" s="42">
        <f>Matrice[[#This Row],[Ligne de la matrice]]</f>
        <v>0</v>
      </c>
      <c r="B18" s="276">
        <f>(SUMIF(Fonctionnement[Affectation matrice],$AB$3,Fonctionnement[Montant (€HT)])+SUMIF(Invest[Affectation matrice],$AB$3,Invest[Amortissement HT + intérêts]))*BC18</f>
        <v>0</v>
      </c>
      <c r="C18" s="276">
        <f>(SUMIF(Fonctionnement[Affectation matrice],$AB$3,Fonctionnement[Montant (€HT)])+SUMIF(Invest[Affectation matrice],$AB$3,Invest[Amortissement HT + intérêts]))*BD18</f>
        <v>0</v>
      </c>
      <c r="D18" s="276">
        <f>(SUMIF(Fonctionnement[Affectation matrice],$AB$3,Fonctionnement[Montant (€HT)])+SUMIF(Invest[Affectation matrice],$AB$3,Invest[Amortissement HT + intérêts]))*BE18</f>
        <v>0</v>
      </c>
      <c r="E18" s="276">
        <f>(SUMIF(Fonctionnement[Affectation matrice],$AB$3,Fonctionnement[Montant (€HT)])+SUMIF(Invest[Affectation matrice],$AB$3,Invest[Amortissement HT + intérêts]))*BF18</f>
        <v>0</v>
      </c>
      <c r="F18" s="276">
        <f>(SUMIF(Fonctionnement[Affectation matrice],$AB$3,Fonctionnement[Montant (€HT)])+SUMIF(Invest[Affectation matrice],$AB$3,Invest[Amortissement HT + intérêts]))*BG18</f>
        <v>0</v>
      </c>
      <c r="G18" s="276">
        <f>(SUMIF(Fonctionnement[Affectation matrice],$AB$3,Fonctionnement[Montant (€HT)])+SUMIF(Invest[Affectation matrice],$AB$3,Invest[Amortissement HT + intérêts]))*BH18</f>
        <v>0</v>
      </c>
      <c r="H18" s="276">
        <f>(SUMIF(Fonctionnement[Affectation matrice],$AB$3,Fonctionnement[Montant (€HT)])+SUMIF(Invest[Affectation matrice],$AB$3,Invest[Amortissement HT + intérêts]))*BI18</f>
        <v>0</v>
      </c>
      <c r="I18" s="276">
        <f>(SUMIF(Fonctionnement[Affectation matrice],$AB$3,Fonctionnement[Montant (€HT)])+SUMIF(Invest[Affectation matrice],$AB$3,Invest[Amortissement HT + intérêts]))*BJ18</f>
        <v>0</v>
      </c>
      <c r="J18" s="276">
        <f>(SUMIF(Fonctionnement[Affectation matrice],$AB$3,Fonctionnement[Montant (€HT)])+SUMIF(Invest[Affectation matrice],$AB$3,Invest[Amortissement HT + intérêts]))*BK18</f>
        <v>0</v>
      </c>
      <c r="K18" s="276">
        <f>(SUMIF(Fonctionnement[Affectation matrice],$AB$3,Fonctionnement[Montant (€HT)])+SUMIF(Invest[Affectation matrice],$AB$3,Invest[Amortissement HT + intérêts]))*BL18</f>
        <v>0</v>
      </c>
      <c r="L18" s="276">
        <f>(SUMIF(Fonctionnement[Affectation matrice],$AB$3,Fonctionnement[Montant (€HT)])+SUMIF(Invest[Affectation matrice],$AB$3,Invest[Amortissement HT + intérêts]))*BM18</f>
        <v>0</v>
      </c>
      <c r="M18" s="276">
        <f>(SUMIF(Fonctionnement[Affectation matrice],$AB$3,Fonctionnement[Montant (€HT)])+SUMIF(Invest[Affectation matrice],$AB$3,Invest[Amortissement HT + intérêts]))*BN18</f>
        <v>0</v>
      </c>
      <c r="N18" s="276">
        <f>(SUMIF(Fonctionnement[Affectation matrice],$AB$3,Fonctionnement[Montant (€HT)])+SUMIF(Invest[Affectation matrice],$AB$3,Invest[Amortissement HT + intérêts]))*BO18</f>
        <v>0</v>
      </c>
      <c r="O18" s="276">
        <f>(SUMIF(Fonctionnement[Affectation matrice],$AB$3,Fonctionnement[Montant (€HT)])+SUMIF(Invest[Affectation matrice],$AB$3,Invest[Amortissement HT + intérêts]))*BP18</f>
        <v>0</v>
      </c>
      <c r="P18" s="276">
        <f>(SUMIF(Fonctionnement[Affectation matrice],$AB$3,Fonctionnement[Montant (€HT)])+SUMIF(Invest[Affectation matrice],$AB$3,Invest[Amortissement HT + intérêts]))*BQ18</f>
        <v>0</v>
      </c>
      <c r="Q18" s="276">
        <f>(SUMIF(Fonctionnement[Affectation matrice],$AB$3,Fonctionnement[Montant (€HT)])+SUMIF(Invest[Affectation matrice],$AB$3,Invest[Amortissement HT + intérêts]))*BR18</f>
        <v>0</v>
      </c>
      <c r="R18" s="276">
        <f>(SUMIF(Fonctionnement[Affectation matrice],$AB$3,Fonctionnement[Montant (€HT)])+SUMIF(Invest[Affectation matrice],$AB$3,Invest[Amortissement HT + intérêts]))*BS18</f>
        <v>0</v>
      </c>
      <c r="S18" s="276">
        <f>(SUMIF(Fonctionnement[Affectation matrice],$AB$3,Fonctionnement[Montant (€HT)])+SUMIF(Invest[Affectation matrice],$AB$3,Invest[Amortissement HT + intérêts]))*BT18</f>
        <v>0</v>
      </c>
      <c r="T18" s="276">
        <f>(SUMIF(Fonctionnement[Affectation matrice],$AB$3,Fonctionnement[Montant (€HT)])+SUMIF(Invest[Affectation matrice],$AB$3,Invest[Amortissement HT + intérêts]))*BU18</f>
        <v>0</v>
      </c>
      <c r="U18" s="276">
        <f>(SUMIF(Fonctionnement[Affectation matrice],$AB$3,Fonctionnement[Montant (€HT)])+SUMIF(Invest[Affectation matrice],$AB$3,Invest[Amortissement HT + intérêts]))*BV18</f>
        <v>0</v>
      </c>
      <c r="V18" s="276">
        <f>(SUMIF(Fonctionnement[Affectation matrice],$AB$3,Fonctionnement[Montant (€HT)])+SUMIF(Invest[Affectation matrice],$AB$3,Invest[Amortissement HT + intérêts]))*BW18</f>
        <v>0</v>
      </c>
      <c r="W18" s="276">
        <f>(SUMIF(Fonctionnement[Affectation matrice],$AB$3,Fonctionnement[Montant (€HT)])+SUMIF(Invest[Affectation matrice],$AB$3,Invest[Amortissement HT + intérêts]))*BX18</f>
        <v>0</v>
      </c>
      <c r="X18" s="276">
        <f>(SUMIF(Fonctionnement[Affectation matrice],$AB$3,Fonctionnement[Montant (€HT)])+SUMIF(Invest[Affectation matrice],$AB$3,Invest[Amortissement HT + intérêts]))*BY18</f>
        <v>0</v>
      </c>
      <c r="Y18" s="276">
        <f>(SUMIF(Fonctionnement[Affectation matrice],$AB$3,Fonctionnement[Montant (€HT)])+SUMIF(Invest[Affectation matrice],$AB$3,Invest[Amortissement HT + intérêts]))*BZ18</f>
        <v>0</v>
      </c>
      <c r="Z18" s="276">
        <f>(SUMIF(Fonctionnement[Affectation matrice],$AB$3,Fonctionnement[Montant (€HT)])+SUMIF(Invest[Affectation matrice],$AB$3,Invest[Amortissement HT + intérêts]))*CA18</f>
        <v>0</v>
      </c>
      <c r="AA18" s="199"/>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283">
        <f t="shared" si="4"/>
        <v>0</v>
      </c>
      <c r="BC18" s="61">
        <f t="shared" si="2"/>
        <v>0</v>
      </c>
      <c r="BD18" s="61">
        <f t="shared" si="2"/>
        <v>0</v>
      </c>
      <c r="BE18" s="61">
        <f t="shared" si="2"/>
        <v>0</v>
      </c>
      <c r="BF18" s="61">
        <f t="shared" si="2"/>
        <v>0</v>
      </c>
      <c r="BG18" s="61">
        <f t="shared" si="2"/>
        <v>0</v>
      </c>
      <c r="BH18" s="61">
        <f t="shared" si="2"/>
        <v>0</v>
      </c>
      <c r="BI18" s="61">
        <f t="shared" si="2"/>
        <v>0</v>
      </c>
      <c r="BJ18" s="61">
        <f t="shared" si="2"/>
        <v>0</v>
      </c>
      <c r="BK18" s="61">
        <f t="shared" si="2"/>
        <v>0</v>
      </c>
      <c r="BL18" s="61">
        <f t="shared" si="2"/>
        <v>0</v>
      </c>
      <c r="BM18" s="61">
        <f t="shared" si="2"/>
        <v>0</v>
      </c>
      <c r="BN18" s="61">
        <f t="shared" si="2"/>
        <v>0</v>
      </c>
      <c r="BO18" s="61">
        <f t="shared" si="2"/>
        <v>0</v>
      </c>
      <c r="BP18" s="61">
        <f t="shared" si="2"/>
        <v>0</v>
      </c>
      <c r="BQ18" s="61">
        <f t="shared" si="2"/>
        <v>0</v>
      </c>
      <c r="BR18" s="61">
        <f t="shared" si="2"/>
        <v>0</v>
      </c>
      <c r="BS18" s="61">
        <f t="shared" si="3"/>
        <v>0</v>
      </c>
      <c r="BT18" s="61">
        <f t="shared" si="3"/>
        <v>0</v>
      </c>
      <c r="BU18" s="61">
        <f t="shared" si="3"/>
        <v>0</v>
      </c>
      <c r="BV18" s="61">
        <f t="shared" si="3"/>
        <v>0</v>
      </c>
      <c r="BW18" s="61">
        <f t="shared" si="3"/>
        <v>0</v>
      </c>
      <c r="BX18" s="61">
        <f t="shared" si="3"/>
        <v>0</v>
      </c>
      <c r="BY18" s="61">
        <f t="shared" si="3"/>
        <v>0</v>
      </c>
      <c r="BZ18" s="61">
        <f t="shared" si="3"/>
        <v>0</v>
      </c>
      <c r="CA18" s="61">
        <f t="shared" si="3"/>
        <v>0</v>
      </c>
      <c r="CB18" s="61">
        <f t="shared" si="5"/>
        <v>0</v>
      </c>
      <c r="CD18" s="200">
        <f>(SUMIF(Fonctionnement[Affectation matrice],$AB$3,Fonctionnement[TVA acquittée])+SUMIF(Invest[Affectation matrice],$AB$3,Invest[TVA acquittée]))*BC18</f>
        <v>0</v>
      </c>
      <c r="CE18" s="200">
        <f>(SUMIF(Fonctionnement[Affectation matrice],$AB$3,Fonctionnement[TVA acquittée])+SUMIF(Invest[Affectation matrice],$AB$3,Invest[TVA acquittée]))*BD18</f>
        <v>0</v>
      </c>
      <c r="CF18" s="200">
        <f>(SUMIF(Fonctionnement[Affectation matrice],$AB$3,Fonctionnement[TVA acquittée])+SUMIF(Invest[Affectation matrice],$AB$3,Invest[TVA acquittée]))*BE18</f>
        <v>0</v>
      </c>
      <c r="CG18" s="200">
        <f>(SUMIF(Fonctionnement[Affectation matrice],$AB$3,Fonctionnement[TVA acquittée])+SUMIF(Invest[Affectation matrice],$AB$3,Invest[TVA acquittée]))*BF18</f>
        <v>0</v>
      </c>
      <c r="CH18" s="200">
        <f>(SUMIF(Fonctionnement[Affectation matrice],$AB$3,Fonctionnement[TVA acquittée])+SUMIF(Invest[Affectation matrice],$AB$3,Invest[TVA acquittée]))*BG18</f>
        <v>0</v>
      </c>
      <c r="CI18" s="200">
        <f>(SUMIF(Fonctionnement[Affectation matrice],$AB$3,Fonctionnement[TVA acquittée])+SUMIF(Invest[Affectation matrice],$AB$3,Invest[TVA acquittée]))*BH18</f>
        <v>0</v>
      </c>
      <c r="CJ18" s="200">
        <f>(SUMIF(Fonctionnement[Affectation matrice],$AB$3,Fonctionnement[TVA acquittée])+SUMIF(Invest[Affectation matrice],$AB$3,Invest[TVA acquittée]))*BI18</f>
        <v>0</v>
      </c>
      <c r="CK18" s="200">
        <f>(SUMIF(Fonctionnement[Affectation matrice],$AB$3,Fonctionnement[TVA acquittée])+SUMIF(Invest[Affectation matrice],$AB$3,Invest[TVA acquittée]))*BJ18</f>
        <v>0</v>
      </c>
      <c r="CL18" s="200">
        <f>(SUMIF(Fonctionnement[Affectation matrice],$AB$3,Fonctionnement[TVA acquittée])+SUMIF(Invest[Affectation matrice],$AB$3,Invest[TVA acquittée]))*BK18</f>
        <v>0</v>
      </c>
      <c r="CM18" s="200">
        <f>(SUMIF(Fonctionnement[Affectation matrice],$AB$3,Fonctionnement[TVA acquittée])+SUMIF(Invest[Affectation matrice],$AB$3,Invest[TVA acquittée]))*BL18</f>
        <v>0</v>
      </c>
      <c r="CN18" s="200">
        <f>(SUMIF(Fonctionnement[Affectation matrice],$AB$3,Fonctionnement[TVA acquittée])+SUMIF(Invest[Affectation matrice],$AB$3,Invest[TVA acquittée]))*BM18</f>
        <v>0</v>
      </c>
      <c r="CO18" s="200">
        <f>(SUMIF(Fonctionnement[Affectation matrice],$AB$3,Fonctionnement[TVA acquittée])+SUMIF(Invest[Affectation matrice],$AB$3,Invest[TVA acquittée]))*BN18</f>
        <v>0</v>
      </c>
      <c r="CP18" s="200">
        <f>(SUMIF(Fonctionnement[Affectation matrice],$AB$3,Fonctionnement[TVA acquittée])+SUMIF(Invest[Affectation matrice],$AB$3,Invest[TVA acquittée]))*BO18</f>
        <v>0</v>
      </c>
      <c r="CQ18" s="200">
        <f>(SUMIF(Fonctionnement[Affectation matrice],$AB$3,Fonctionnement[TVA acquittée])+SUMIF(Invest[Affectation matrice],$AB$3,Invest[TVA acquittée]))*BP18</f>
        <v>0</v>
      </c>
      <c r="CR18" s="200">
        <f>(SUMIF(Fonctionnement[Affectation matrice],$AB$3,Fonctionnement[TVA acquittée])+SUMIF(Invest[Affectation matrice],$AB$3,Invest[TVA acquittée]))*BQ18</f>
        <v>0</v>
      </c>
      <c r="CS18" s="200">
        <f>(SUMIF(Fonctionnement[Affectation matrice],$AB$3,Fonctionnement[TVA acquittée])+SUMIF(Invest[Affectation matrice],$AB$3,Invest[TVA acquittée]))*BR18</f>
        <v>0</v>
      </c>
      <c r="CT18" s="200">
        <f>(SUMIF(Fonctionnement[Affectation matrice],$AB$3,Fonctionnement[TVA acquittée])+SUMIF(Invest[Affectation matrice],$AB$3,Invest[TVA acquittée]))*BS18</f>
        <v>0</v>
      </c>
      <c r="CU18" s="200">
        <f>(SUMIF(Fonctionnement[Affectation matrice],$AB$3,Fonctionnement[TVA acquittée])+SUMIF(Invest[Affectation matrice],$AB$3,Invest[TVA acquittée]))*BT18</f>
        <v>0</v>
      </c>
      <c r="CV18" s="200">
        <f>(SUMIF(Fonctionnement[Affectation matrice],$AB$3,Fonctionnement[TVA acquittée])+SUMIF(Invest[Affectation matrice],$AB$3,Invest[TVA acquittée]))*BU18</f>
        <v>0</v>
      </c>
      <c r="CW18" s="200">
        <f>(SUMIF(Fonctionnement[Affectation matrice],$AB$3,Fonctionnement[TVA acquittée])+SUMIF(Invest[Affectation matrice],$AB$3,Invest[TVA acquittée]))*BV18</f>
        <v>0</v>
      </c>
      <c r="CX18" s="200">
        <f>(SUMIF(Fonctionnement[Affectation matrice],$AB$3,Fonctionnement[TVA acquittée])+SUMIF(Invest[Affectation matrice],$AB$3,Invest[TVA acquittée]))*BW18</f>
        <v>0</v>
      </c>
      <c r="CY18" s="200">
        <f>(SUMIF(Fonctionnement[Affectation matrice],$AB$3,Fonctionnement[TVA acquittée])+SUMIF(Invest[Affectation matrice],$AB$3,Invest[TVA acquittée]))*BX18</f>
        <v>0</v>
      </c>
      <c r="CZ18" s="200">
        <f>(SUMIF(Fonctionnement[Affectation matrice],$AB$3,Fonctionnement[TVA acquittée])+SUMIF(Invest[Affectation matrice],$AB$3,Invest[TVA acquittée]))*BY18</f>
        <v>0</v>
      </c>
      <c r="DA18" s="200">
        <f>(SUMIF(Fonctionnement[Affectation matrice],$AB$3,Fonctionnement[TVA acquittée])+SUMIF(Invest[Affectation matrice],$AB$3,Invest[TVA acquittée]))*BZ18</f>
        <v>0</v>
      </c>
      <c r="DB18" s="200">
        <f>(SUMIF(Fonctionnement[Affectation matrice],$AB$3,Fonctionnement[TVA acquittée])+SUMIF(Invest[Affectation matrice],$AB$3,Invest[TVA acquittée]))*CA18</f>
        <v>0</v>
      </c>
    </row>
    <row r="19" spans="1:106" ht="12.75" hidden="1" customHeight="1" x14ac:dyDescent="0.25">
      <c r="A19" s="42">
        <f>Matrice[[#This Row],[Ligne de la matrice]]</f>
        <v>0</v>
      </c>
      <c r="B19" s="276">
        <f>(SUMIF(Fonctionnement[Affectation matrice],$AB$3,Fonctionnement[Montant (€HT)])+SUMIF(Invest[Affectation matrice],$AB$3,Invest[Amortissement HT + intérêts]))*BC19</f>
        <v>0</v>
      </c>
      <c r="C19" s="276">
        <f>(SUMIF(Fonctionnement[Affectation matrice],$AB$3,Fonctionnement[Montant (€HT)])+SUMIF(Invest[Affectation matrice],$AB$3,Invest[Amortissement HT + intérêts]))*BD19</f>
        <v>0</v>
      </c>
      <c r="D19" s="276">
        <f>(SUMIF(Fonctionnement[Affectation matrice],$AB$3,Fonctionnement[Montant (€HT)])+SUMIF(Invest[Affectation matrice],$AB$3,Invest[Amortissement HT + intérêts]))*BE19</f>
        <v>0</v>
      </c>
      <c r="E19" s="276">
        <f>(SUMIF(Fonctionnement[Affectation matrice],$AB$3,Fonctionnement[Montant (€HT)])+SUMIF(Invest[Affectation matrice],$AB$3,Invest[Amortissement HT + intérêts]))*BF19</f>
        <v>0</v>
      </c>
      <c r="F19" s="276">
        <f>(SUMIF(Fonctionnement[Affectation matrice],$AB$3,Fonctionnement[Montant (€HT)])+SUMIF(Invest[Affectation matrice],$AB$3,Invest[Amortissement HT + intérêts]))*BG19</f>
        <v>0</v>
      </c>
      <c r="G19" s="276">
        <f>(SUMIF(Fonctionnement[Affectation matrice],$AB$3,Fonctionnement[Montant (€HT)])+SUMIF(Invest[Affectation matrice],$AB$3,Invest[Amortissement HT + intérêts]))*BH19</f>
        <v>0</v>
      </c>
      <c r="H19" s="276">
        <f>(SUMIF(Fonctionnement[Affectation matrice],$AB$3,Fonctionnement[Montant (€HT)])+SUMIF(Invest[Affectation matrice],$AB$3,Invest[Amortissement HT + intérêts]))*BI19</f>
        <v>0</v>
      </c>
      <c r="I19" s="276">
        <f>(SUMIF(Fonctionnement[Affectation matrice],$AB$3,Fonctionnement[Montant (€HT)])+SUMIF(Invest[Affectation matrice],$AB$3,Invest[Amortissement HT + intérêts]))*BJ19</f>
        <v>0</v>
      </c>
      <c r="J19" s="276">
        <f>(SUMIF(Fonctionnement[Affectation matrice],$AB$3,Fonctionnement[Montant (€HT)])+SUMIF(Invest[Affectation matrice],$AB$3,Invest[Amortissement HT + intérêts]))*BK19</f>
        <v>0</v>
      </c>
      <c r="K19" s="276">
        <f>(SUMIF(Fonctionnement[Affectation matrice],$AB$3,Fonctionnement[Montant (€HT)])+SUMIF(Invest[Affectation matrice],$AB$3,Invest[Amortissement HT + intérêts]))*BL19</f>
        <v>0</v>
      </c>
      <c r="L19" s="276">
        <f>(SUMIF(Fonctionnement[Affectation matrice],$AB$3,Fonctionnement[Montant (€HT)])+SUMIF(Invest[Affectation matrice],$AB$3,Invest[Amortissement HT + intérêts]))*BM19</f>
        <v>0</v>
      </c>
      <c r="M19" s="276">
        <f>(SUMIF(Fonctionnement[Affectation matrice],$AB$3,Fonctionnement[Montant (€HT)])+SUMIF(Invest[Affectation matrice],$AB$3,Invest[Amortissement HT + intérêts]))*BN19</f>
        <v>0</v>
      </c>
      <c r="N19" s="276">
        <f>(SUMIF(Fonctionnement[Affectation matrice],$AB$3,Fonctionnement[Montant (€HT)])+SUMIF(Invest[Affectation matrice],$AB$3,Invest[Amortissement HT + intérêts]))*BO19</f>
        <v>0</v>
      </c>
      <c r="O19" s="276">
        <f>(SUMIF(Fonctionnement[Affectation matrice],$AB$3,Fonctionnement[Montant (€HT)])+SUMIF(Invest[Affectation matrice],$AB$3,Invest[Amortissement HT + intérêts]))*BP19</f>
        <v>0</v>
      </c>
      <c r="P19" s="276">
        <f>(SUMIF(Fonctionnement[Affectation matrice],$AB$3,Fonctionnement[Montant (€HT)])+SUMIF(Invest[Affectation matrice],$AB$3,Invest[Amortissement HT + intérêts]))*BQ19</f>
        <v>0</v>
      </c>
      <c r="Q19" s="276">
        <f>(SUMIF(Fonctionnement[Affectation matrice],$AB$3,Fonctionnement[Montant (€HT)])+SUMIF(Invest[Affectation matrice],$AB$3,Invest[Amortissement HT + intérêts]))*BR19</f>
        <v>0</v>
      </c>
      <c r="R19" s="276">
        <f>(SUMIF(Fonctionnement[Affectation matrice],$AB$3,Fonctionnement[Montant (€HT)])+SUMIF(Invest[Affectation matrice],$AB$3,Invest[Amortissement HT + intérêts]))*BS19</f>
        <v>0</v>
      </c>
      <c r="S19" s="276">
        <f>(SUMIF(Fonctionnement[Affectation matrice],$AB$3,Fonctionnement[Montant (€HT)])+SUMIF(Invest[Affectation matrice],$AB$3,Invest[Amortissement HT + intérêts]))*BT19</f>
        <v>0</v>
      </c>
      <c r="T19" s="276">
        <f>(SUMIF(Fonctionnement[Affectation matrice],$AB$3,Fonctionnement[Montant (€HT)])+SUMIF(Invest[Affectation matrice],$AB$3,Invest[Amortissement HT + intérêts]))*BU19</f>
        <v>0</v>
      </c>
      <c r="U19" s="276">
        <f>(SUMIF(Fonctionnement[Affectation matrice],$AB$3,Fonctionnement[Montant (€HT)])+SUMIF(Invest[Affectation matrice],$AB$3,Invest[Amortissement HT + intérêts]))*BV19</f>
        <v>0</v>
      </c>
      <c r="V19" s="276">
        <f>(SUMIF(Fonctionnement[Affectation matrice],$AB$3,Fonctionnement[Montant (€HT)])+SUMIF(Invest[Affectation matrice],$AB$3,Invest[Amortissement HT + intérêts]))*BW19</f>
        <v>0</v>
      </c>
      <c r="W19" s="276">
        <f>(SUMIF(Fonctionnement[Affectation matrice],$AB$3,Fonctionnement[Montant (€HT)])+SUMIF(Invest[Affectation matrice],$AB$3,Invest[Amortissement HT + intérêts]))*BX19</f>
        <v>0</v>
      </c>
      <c r="X19" s="276">
        <f>(SUMIF(Fonctionnement[Affectation matrice],$AB$3,Fonctionnement[Montant (€HT)])+SUMIF(Invest[Affectation matrice],$AB$3,Invest[Amortissement HT + intérêts]))*BY19</f>
        <v>0</v>
      </c>
      <c r="Y19" s="276">
        <f>(SUMIF(Fonctionnement[Affectation matrice],$AB$3,Fonctionnement[Montant (€HT)])+SUMIF(Invest[Affectation matrice],$AB$3,Invest[Amortissement HT + intérêts]))*BZ19</f>
        <v>0</v>
      </c>
      <c r="Z19" s="276">
        <f>(SUMIF(Fonctionnement[Affectation matrice],$AB$3,Fonctionnement[Montant (€HT)])+SUMIF(Invest[Affectation matrice],$AB$3,Invest[Amortissement HT + intérêts]))*CA19</f>
        <v>0</v>
      </c>
      <c r="AA19" s="199"/>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283">
        <f t="shared" si="4"/>
        <v>0</v>
      </c>
      <c r="BC19" s="61">
        <f t="shared" si="2"/>
        <v>0</v>
      </c>
      <c r="BD19" s="61">
        <f t="shared" si="2"/>
        <v>0</v>
      </c>
      <c r="BE19" s="61">
        <f t="shared" si="2"/>
        <v>0</v>
      </c>
      <c r="BF19" s="61">
        <f t="shared" si="2"/>
        <v>0</v>
      </c>
      <c r="BG19" s="61">
        <f t="shared" si="2"/>
        <v>0</v>
      </c>
      <c r="BH19" s="61">
        <f t="shared" si="2"/>
        <v>0</v>
      </c>
      <c r="BI19" s="61">
        <f t="shared" si="2"/>
        <v>0</v>
      </c>
      <c r="BJ19" s="61">
        <f t="shared" si="2"/>
        <v>0</v>
      </c>
      <c r="BK19" s="61">
        <f t="shared" si="2"/>
        <v>0</v>
      </c>
      <c r="BL19" s="61">
        <f t="shared" si="2"/>
        <v>0</v>
      </c>
      <c r="BM19" s="61">
        <f t="shared" si="2"/>
        <v>0</v>
      </c>
      <c r="BN19" s="61">
        <f t="shared" si="2"/>
        <v>0</v>
      </c>
      <c r="BO19" s="61">
        <f t="shared" si="2"/>
        <v>0</v>
      </c>
      <c r="BP19" s="61">
        <f t="shared" si="2"/>
        <v>0</v>
      </c>
      <c r="BQ19" s="61">
        <f t="shared" si="2"/>
        <v>0</v>
      </c>
      <c r="BR19" s="61">
        <f t="shared" si="2"/>
        <v>0</v>
      </c>
      <c r="BS19" s="61">
        <f t="shared" si="3"/>
        <v>0</v>
      </c>
      <c r="BT19" s="61">
        <f t="shared" si="3"/>
        <v>0</v>
      </c>
      <c r="BU19" s="61">
        <f t="shared" si="3"/>
        <v>0</v>
      </c>
      <c r="BV19" s="61">
        <f t="shared" si="3"/>
        <v>0</v>
      </c>
      <c r="BW19" s="61">
        <f t="shared" si="3"/>
        <v>0</v>
      </c>
      <c r="BX19" s="61">
        <f t="shared" si="3"/>
        <v>0</v>
      </c>
      <c r="BY19" s="61">
        <f t="shared" si="3"/>
        <v>0</v>
      </c>
      <c r="BZ19" s="61">
        <f t="shared" si="3"/>
        <v>0</v>
      </c>
      <c r="CA19" s="61">
        <f t="shared" si="3"/>
        <v>0</v>
      </c>
      <c r="CB19" s="61">
        <f t="shared" si="5"/>
        <v>0</v>
      </c>
      <c r="CD19" s="200">
        <f>(SUMIF(Fonctionnement[Affectation matrice],$AB$3,Fonctionnement[TVA acquittée])+SUMIF(Invest[Affectation matrice],$AB$3,Invest[TVA acquittée]))*BC19</f>
        <v>0</v>
      </c>
      <c r="CE19" s="200">
        <f>(SUMIF(Fonctionnement[Affectation matrice],$AB$3,Fonctionnement[TVA acquittée])+SUMIF(Invest[Affectation matrice],$AB$3,Invest[TVA acquittée]))*BD19</f>
        <v>0</v>
      </c>
      <c r="CF19" s="200">
        <f>(SUMIF(Fonctionnement[Affectation matrice],$AB$3,Fonctionnement[TVA acquittée])+SUMIF(Invest[Affectation matrice],$AB$3,Invest[TVA acquittée]))*BE19</f>
        <v>0</v>
      </c>
      <c r="CG19" s="200">
        <f>(SUMIF(Fonctionnement[Affectation matrice],$AB$3,Fonctionnement[TVA acquittée])+SUMIF(Invest[Affectation matrice],$AB$3,Invest[TVA acquittée]))*BF19</f>
        <v>0</v>
      </c>
      <c r="CH19" s="200">
        <f>(SUMIF(Fonctionnement[Affectation matrice],$AB$3,Fonctionnement[TVA acquittée])+SUMIF(Invest[Affectation matrice],$AB$3,Invest[TVA acquittée]))*BG19</f>
        <v>0</v>
      </c>
      <c r="CI19" s="200">
        <f>(SUMIF(Fonctionnement[Affectation matrice],$AB$3,Fonctionnement[TVA acquittée])+SUMIF(Invest[Affectation matrice],$AB$3,Invest[TVA acquittée]))*BH19</f>
        <v>0</v>
      </c>
      <c r="CJ19" s="200">
        <f>(SUMIF(Fonctionnement[Affectation matrice],$AB$3,Fonctionnement[TVA acquittée])+SUMIF(Invest[Affectation matrice],$AB$3,Invest[TVA acquittée]))*BI19</f>
        <v>0</v>
      </c>
      <c r="CK19" s="200">
        <f>(SUMIF(Fonctionnement[Affectation matrice],$AB$3,Fonctionnement[TVA acquittée])+SUMIF(Invest[Affectation matrice],$AB$3,Invest[TVA acquittée]))*BJ19</f>
        <v>0</v>
      </c>
      <c r="CL19" s="200">
        <f>(SUMIF(Fonctionnement[Affectation matrice],$AB$3,Fonctionnement[TVA acquittée])+SUMIF(Invest[Affectation matrice],$AB$3,Invest[TVA acquittée]))*BK19</f>
        <v>0</v>
      </c>
      <c r="CM19" s="200">
        <f>(SUMIF(Fonctionnement[Affectation matrice],$AB$3,Fonctionnement[TVA acquittée])+SUMIF(Invest[Affectation matrice],$AB$3,Invest[TVA acquittée]))*BL19</f>
        <v>0</v>
      </c>
      <c r="CN19" s="200">
        <f>(SUMIF(Fonctionnement[Affectation matrice],$AB$3,Fonctionnement[TVA acquittée])+SUMIF(Invest[Affectation matrice],$AB$3,Invest[TVA acquittée]))*BM19</f>
        <v>0</v>
      </c>
      <c r="CO19" s="200">
        <f>(SUMIF(Fonctionnement[Affectation matrice],$AB$3,Fonctionnement[TVA acquittée])+SUMIF(Invest[Affectation matrice],$AB$3,Invest[TVA acquittée]))*BN19</f>
        <v>0</v>
      </c>
      <c r="CP19" s="200">
        <f>(SUMIF(Fonctionnement[Affectation matrice],$AB$3,Fonctionnement[TVA acquittée])+SUMIF(Invest[Affectation matrice],$AB$3,Invest[TVA acquittée]))*BO19</f>
        <v>0</v>
      </c>
      <c r="CQ19" s="200">
        <f>(SUMIF(Fonctionnement[Affectation matrice],$AB$3,Fonctionnement[TVA acquittée])+SUMIF(Invest[Affectation matrice],$AB$3,Invest[TVA acquittée]))*BP19</f>
        <v>0</v>
      </c>
      <c r="CR19" s="200">
        <f>(SUMIF(Fonctionnement[Affectation matrice],$AB$3,Fonctionnement[TVA acquittée])+SUMIF(Invest[Affectation matrice],$AB$3,Invest[TVA acquittée]))*BQ19</f>
        <v>0</v>
      </c>
      <c r="CS19" s="200">
        <f>(SUMIF(Fonctionnement[Affectation matrice],$AB$3,Fonctionnement[TVA acquittée])+SUMIF(Invest[Affectation matrice],$AB$3,Invest[TVA acquittée]))*BR19</f>
        <v>0</v>
      </c>
      <c r="CT19" s="200">
        <f>(SUMIF(Fonctionnement[Affectation matrice],$AB$3,Fonctionnement[TVA acquittée])+SUMIF(Invest[Affectation matrice],$AB$3,Invest[TVA acquittée]))*BS19</f>
        <v>0</v>
      </c>
      <c r="CU19" s="200">
        <f>(SUMIF(Fonctionnement[Affectation matrice],$AB$3,Fonctionnement[TVA acquittée])+SUMIF(Invest[Affectation matrice],$AB$3,Invest[TVA acquittée]))*BT19</f>
        <v>0</v>
      </c>
      <c r="CV19" s="200">
        <f>(SUMIF(Fonctionnement[Affectation matrice],$AB$3,Fonctionnement[TVA acquittée])+SUMIF(Invest[Affectation matrice],$AB$3,Invest[TVA acquittée]))*BU19</f>
        <v>0</v>
      </c>
      <c r="CW19" s="200">
        <f>(SUMIF(Fonctionnement[Affectation matrice],$AB$3,Fonctionnement[TVA acquittée])+SUMIF(Invest[Affectation matrice],$AB$3,Invest[TVA acquittée]))*BV19</f>
        <v>0</v>
      </c>
      <c r="CX19" s="200">
        <f>(SUMIF(Fonctionnement[Affectation matrice],$AB$3,Fonctionnement[TVA acquittée])+SUMIF(Invest[Affectation matrice],$AB$3,Invest[TVA acquittée]))*BW19</f>
        <v>0</v>
      </c>
      <c r="CY19" s="200">
        <f>(SUMIF(Fonctionnement[Affectation matrice],$AB$3,Fonctionnement[TVA acquittée])+SUMIF(Invest[Affectation matrice],$AB$3,Invest[TVA acquittée]))*BX19</f>
        <v>0</v>
      </c>
      <c r="CZ19" s="200">
        <f>(SUMIF(Fonctionnement[Affectation matrice],$AB$3,Fonctionnement[TVA acquittée])+SUMIF(Invest[Affectation matrice],$AB$3,Invest[TVA acquittée]))*BY19</f>
        <v>0</v>
      </c>
      <c r="DA19" s="200">
        <f>(SUMIF(Fonctionnement[Affectation matrice],$AB$3,Fonctionnement[TVA acquittée])+SUMIF(Invest[Affectation matrice],$AB$3,Invest[TVA acquittée]))*BZ19</f>
        <v>0</v>
      </c>
      <c r="DB19" s="200">
        <f>(SUMIF(Fonctionnement[Affectation matrice],$AB$3,Fonctionnement[TVA acquittée])+SUMIF(Invest[Affectation matrice],$AB$3,Invest[TVA acquittée]))*CA19</f>
        <v>0</v>
      </c>
    </row>
    <row r="20" spans="1:106" ht="12.75" hidden="1" customHeight="1" x14ac:dyDescent="0.25">
      <c r="A20" s="42">
        <f>Matrice[[#This Row],[Ligne de la matrice]]</f>
        <v>0</v>
      </c>
      <c r="B20" s="276">
        <f>(SUMIF(Fonctionnement[Affectation matrice],$AB$3,Fonctionnement[Montant (€HT)])+SUMIF(Invest[Affectation matrice],$AB$3,Invest[Amortissement HT + intérêts]))*BC20</f>
        <v>0</v>
      </c>
      <c r="C20" s="276">
        <f>(SUMIF(Fonctionnement[Affectation matrice],$AB$3,Fonctionnement[Montant (€HT)])+SUMIF(Invest[Affectation matrice],$AB$3,Invest[Amortissement HT + intérêts]))*BD20</f>
        <v>0</v>
      </c>
      <c r="D20" s="276">
        <f>(SUMIF(Fonctionnement[Affectation matrice],$AB$3,Fonctionnement[Montant (€HT)])+SUMIF(Invest[Affectation matrice],$AB$3,Invest[Amortissement HT + intérêts]))*BE20</f>
        <v>0</v>
      </c>
      <c r="E20" s="276">
        <f>(SUMIF(Fonctionnement[Affectation matrice],$AB$3,Fonctionnement[Montant (€HT)])+SUMIF(Invest[Affectation matrice],$AB$3,Invest[Amortissement HT + intérêts]))*BF20</f>
        <v>0</v>
      </c>
      <c r="F20" s="276">
        <f>(SUMIF(Fonctionnement[Affectation matrice],$AB$3,Fonctionnement[Montant (€HT)])+SUMIF(Invest[Affectation matrice],$AB$3,Invest[Amortissement HT + intérêts]))*BG20</f>
        <v>0</v>
      </c>
      <c r="G20" s="276">
        <f>(SUMIF(Fonctionnement[Affectation matrice],$AB$3,Fonctionnement[Montant (€HT)])+SUMIF(Invest[Affectation matrice],$AB$3,Invest[Amortissement HT + intérêts]))*BH20</f>
        <v>0</v>
      </c>
      <c r="H20" s="276">
        <f>(SUMIF(Fonctionnement[Affectation matrice],$AB$3,Fonctionnement[Montant (€HT)])+SUMIF(Invest[Affectation matrice],$AB$3,Invest[Amortissement HT + intérêts]))*BI20</f>
        <v>0</v>
      </c>
      <c r="I20" s="276">
        <f>(SUMIF(Fonctionnement[Affectation matrice],$AB$3,Fonctionnement[Montant (€HT)])+SUMIF(Invest[Affectation matrice],$AB$3,Invest[Amortissement HT + intérêts]))*BJ20</f>
        <v>0</v>
      </c>
      <c r="J20" s="276">
        <f>(SUMIF(Fonctionnement[Affectation matrice],$AB$3,Fonctionnement[Montant (€HT)])+SUMIF(Invest[Affectation matrice],$AB$3,Invest[Amortissement HT + intérêts]))*BK20</f>
        <v>0</v>
      </c>
      <c r="K20" s="276">
        <f>(SUMIF(Fonctionnement[Affectation matrice],$AB$3,Fonctionnement[Montant (€HT)])+SUMIF(Invest[Affectation matrice],$AB$3,Invest[Amortissement HT + intérêts]))*BL20</f>
        <v>0</v>
      </c>
      <c r="L20" s="276">
        <f>(SUMIF(Fonctionnement[Affectation matrice],$AB$3,Fonctionnement[Montant (€HT)])+SUMIF(Invest[Affectation matrice],$AB$3,Invest[Amortissement HT + intérêts]))*BM20</f>
        <v>0</v>
      </c>
      <c r="M20" s="276">
        <f>(SUMIF(Fonctionnement[Affectation matrice],$AB$3,Fonctionnement[Montant (€HT)])+SUMIF(Invest[Affectation matrice],$AB$3,Invest[Amortissement HT + intérêts]))*BN20</f>
        <v>0</v>
      </c>
      <c r="N20" s="276">
        <f>(SUMIF(Fonctionnement[Affectation matrice],$AB$3,Fonctionnement[Montant (€HT)])+SUMIF(Invest[Affectation matrice],$AB$3,Invest[Amortissement HT + intérêts]))*BO20</f>
        <v>0</v>
      </c>
      <c r="O20" s="276">
        <f>(SUMIF(Fonctionnement[Affectation matrice],$AB$3,Fonctionnement[Montant (€HT)])+SUMIF(Invest[Affectation matrice],$AB$3,Invest[Amortissement HT + intérêts]))*BP20</f>
        <v>0</v>
      </c>
      <c r="P20" s="276">
        <f>(SUMIF(Fonctionnement[Affectation matrice],$AB$3,Fonctionnement[Montant (€HT)])+SUMIF(Invest[Affectation matrice],$AB$3,Invest[Amortissement HT + intérêts]))*BQ20</f>
        <v>0</v>
      </c>
      <c r="Q20" s="276">
        <f>(SUMIF(Fonctionnement[Affectation matrice],$AB$3,Fonctionnement[Montant (€HT)])+SUMIF(Invest[Affectation matrice],$AB$3,Invest[Amortissement HT + intérêts]))*BR20</f>
        <v>0</v>
      </c>
      <c r="R20" s="276">
        <f>(SUMIF(Fonctionnement[Affectation matrice],$AB$3,Fonctionnement[Montant (€HT)])+SUMIF(Invest[Affectation matrice],$AB$3,Invest[Amortissement HT + intérêts]))*BS20</f>
        <v>0</v>
      </c>
      <c r="S20" s="276">
        <f>(SUMIF(Fonctionnement[Affectation matrice],$AB$3,Fonctionnement[Montant (€HT)])+SUMIF(Invest[Affectation matrice],$AB$3,Invest[Amortissement HT + intérêts]))*BT20</f>
        <v>0</v>
      </c>
      <c r="T20" s="276">
        <f>(SUMIF(Fonctionnement[Affectation matrice],$AB$3,Fonctionnement[Montant (€HT)])+SUMIF(Invest[Affectation matrice],$AB$3,Invest[Amortissement HT + intérêts]))*BU20</f>
        <v>0</v>
      </c>
      <c r="U20" s="276">
        <f>(SUMIF(Fonctionnement[Affectation matrice],$AB$3,Fonctionnement[Montant (€HT)])+SUMIF(Invest[Affectation matrice],$AB$3,Invest[Amortissement HT + intérêts]))*BV20</f>
        <v>0</v>
      </c>
      <c r="V20" s="276">
        <f>(SUMIF(Fonctionnement[Affectation matrice],$AB$3,Fonctionnement[Montant (€HT)])+SUMIF(Invest[Affectation matrice],$AB$3,Invest[Amortissement HT + intérêts]))*BW20</f>
        <v>0</v>
      </c>
      <c r="W20" s="276">
        <f>(SUMIF(Fonctionnement[Affectation matrice],$AB$3,Fonctionnement[Montant (€HT)])+SUMIF(Invest[Affectation matrice],$AB$3,Invest[Amortissement HT + intérêts]))*BX20</f>
        <v>0</v>
      </c>
      <c r="X20" s="276">
        <f>(SUMIF(Fonctionnement[Affectation matrice],$AB$3,Fonctionnement[Montant (€HT)])+SUMIF(Invest[Affectation matrice],$AB$3,Invest[Amortissement HT + intérêts]))*BY20</f>
        <v>0</v>
      </c>
      <c r="Y20" s="276">
        <f>(SUMIF(Fonctionnement[Affectation matrice],$AB$3,Fonctionnement[Montant (€HT)])+SUMIF(Invest[Affectation matrice],$AB$3,Invest[Amortissement HT + intérêts]))*BZ20</f>
        <v>0</v>
      </c>
      <c r="Z20" s="276">
        <f>(SUMIF(Fonctionnement[Affectation matrice],$AB$3,Fonctionnement[Montant (€HT)])+SUMIF(Invest[Affectation matrice],$AB$3,Invest[Amortissement HT + intérêts]))*CA20</f>
        <v>0</v>
      </c>
      <c r="AA20" s="199"/>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283">
        <f t="shared" si="4"/>
        <v>0</v>
      </c>
      <c r="BC20" s="61">
        <f t="shared" si="2"/>
        <v>0</v>
      </c>
      <c r="BD20" s="61">
        <f t="shared" si="2"/>
        <v>0</v>
      </c>
      <c r="BE20" s="61">
        <f t="shared" si="2"/>
        <v>0</v>
      </c>
      <c r="BF20" s="61">
        <f t="shared" si="2"/>
        <v>0</v>
      </c>
      <c r="BG20" s="61">
        <f t="shared" si="2"/>
        <v>0</v>
      </c>
      <c r="BH20" s="61">
        <f t="shared" si="2"/>
        <v>0</v>
      </c>
      <c r="BI20" s="61">
        <f t="shared" si="2"/>
        <v>0</v>
      </c>
      <c r="BJ20" s="61">
        <f t="shared" si="2"/>
        <v>0</v>
      </c>
      <c r="BK20" s="61">
        <f t="shared" si="2"/>
        <v>0</v>
      </c>
      <c r="BL20" s="61">
        <f t="shared" si="2"/>
        <v>0</v>
      </c>
      <c r="BM20" s="61">
        <f t="shared" si="2"/>
        <v>0</v>
      </c>
      <c r="BN20" s="61">
        <f t="shared" si="2"/>
        <v>0</v>
      </c>
      <c r="BO20" s="61">
        <f t="shared" si="2"/>
        <v>0</v>
      </c>
      <c r="BP20" s="61">
        <f t="shared" si="2"/>
        <v>0</v>
      </c>
      <c r="BQ20" s="61">
        <f t="shared" si="2"/>
        <v>0</v>
      </c>
      <c r="BR20" s="61">
        <f t="shared" ref="BR20:BR22" si="6">IF($BA$53=0,0,AQ20/$BA$53)</f>
        <v>0</v>
      </c>
      <c r="BS20" s="61">
        <f t="shared" si="3"/>
        <v>0</v>
      </c>
      <c r="BT20" s="61">
        <f t="shared" si="3"/>
        <v>0</v>
      </c>
      <c r="BU20" s="61">
        <f t="shared" si="3"/>
        <v>0</v>
      </c>
      <c r="BV20" s="61">
        <f t="shared" si="3"/>
        <v>0</v>
      </c>
      <c r="BW20" s="61">
        <f t="shared" si="3"/>
        <v>0</v>
      </c>
      <c r="BX20" s="61">
        <f t="shared" si="3"/>
        <v>0</v>
      </c>
      <c r="BY20" s="61">
        <f t="shared" si="3"/>
        <v>0</v>
      </c>
      <c r="BZ20" s="61">
        <f t="shared" si="3"/>
        <v>0</v>
      </c>
      <c r="CA20" s="61">
        <f t="shared" si="3"/>
        <v>0</v>
      </c>
      <c r="CB20" s="61">
        <f t="shared" si="5"/>
        <v>0</v>
      </c>
      <c r="CD20" s="200">
        <f>(SUMIF(Fonctionnement[Affectation matrice],$AB$3,Fonctionnement[TVA acquittée])+SUMIF(Invest[Affectation matrice],$AB$3,Invest[TVA acquittée]))*BC20</f>
        <v>0</v>
      </c>
      <c r="CE20" s="200">
        <f>(SUMIF(Fonctionnement[Affectation matrice],$AB$3,Fonctionnement[TVA acquittée])+SUMIF(Invest[Affectation matrice],$AB$3,Invest[TVA acquittée]))*BD20</f>
        <v>0</v>
      </c>
      <c r="CF20" s="200">
        <f>(SUMIF(Fonctionnement[Affectation matrice],$AB$3,Fonctionnement[TVA acquittée])+SUMIF(Invest[Affectation matrice],$AB$3,Invest[TVA acquittée]))*BE20</f>
        <v>0</v>
      </c>
      <c r="CG20" s="200">
        <f>(SUMIF(Fonctionnement[Affectation matrice],$AB$3,Fonctionnement[TVA acquittée])+SUMIF(Invest[Affectation matrice],$AB$3,Invest[TVA acquittée]))*BF20</f>
        <v>0</v>
      </c>
      <c r="CH20" s="200">
        <f>(SUMIF(Fonctionnement[Affectation matrice],$AB$3,Fonctionnement[TVA acquittée])+SUMIF(Invest[Affectation matrice],$AB$3,Invest[TVA acquittée]))*BG20</f>
        <v>0</v>
      </c>
      <c r="CI20" s="200">
        <f>(SUMIF(Fonctionnement[Affectation matrice],$AB$3,Fonctionnement[TVA acquittée])+SUMIF(Invest[Affectation matrice],$AB$3,Invest[TVA acquittée]))*BH20</f>
        <v>0</v>
      </c>
      <c r="CJ20" s="200">
        <f>(SUMIF(Fonctionnement[Affectation matrice],$AB$3,Fonctionnement[TVA acquittée])+SUMIF(Invest[Affectation matrice],$AB$3,Invest[TVA acquittée]))*BI20</f>
        <v>0</v>
      </c>
      <c r="CK20" s="200">
        <f>(SUMIF(Fonctionnement[Affectation matrice],$AB$3,Fonctionnement[TVA acquittée])+SUMIF(Invest[Affectation matrice],$AB$3,Invest[TVA acquittée]))*BJ20</f>
        <v>0</v>
      </c>
      <c r="CL20" s="200">
        <f>(SUMIF(Fonctionnement[Affectation matrice],$AB$3,Fonctionnement[TVA acquittée])+SUMIF(Invest[Affectation matrice],$AB$3,Invest[TVA acquittée]))*BK20</f>
        <v>0</v>
      </c>
      <c r="CM20" s="200">
        <f>(SUMIF(Fonctionnement[Affectation matrice],$AB$3,Fonctionnement[TVA acquittée])+SUMIF(Invest[Affectation matrice],$AB$3,Invest[TVA acquittée]))*BL20</f>
        <v>0</v>
      </c>
      <c r="CN20" s="200">
        <f>(SUMIF(Fonctionnement[Affectation matrice],$AB$3,Fonctionnement[TVA acquittée])+SUMIF(Invest[Affectation matrice],$AB$3,Invest[TVA acquittée]))*BM20</f>
        <v>0</v>
      </c>
      <c r="CO20" s="200">
        <f>(SUMIF(Fonctionnement[Affectation matrice],$AB$3,Fonctionnement[TVA acquittée])+SUMIF(Invest[Affectation matrice],$AB$3,Invest[TVA acquittée]))*BN20</f>
        <v>0</v>
      </c>
      <c r="CP20" s="200">
        <f>(SUMIF(Fonctionnement[Affectation matrice],$AB$3,Fonctionnement[TVA acquittée])+SUMIF(Invest[Affectation matrice],$AB$3,Invest[TVA acquittée]))*BO20</f>
        <v>0</v>
      </c>
      <c r="CQ20" s="200">
        <f>(SUMIF(Fonctionnement[Affectation matrice],$AB$3,Fonctionnement[TVA acquittée])+SUMIF(Invest[Affectation matrice],$AB$3,Invest[TVA acquittée]))*BP20</f>
        <v>0</v>
      </c>
      <c r="CR20" s="200">
        <f>(SUMIF(Fonctionnement[Affectation matrice],$AB$3,Fonctionnement[TVA acquittée])+SUMIF(Invest[Affectation matrice],$AB$3,Invest[TVA acquittée]))*BQ20</f>
        <v>0</v>
      </c>
      <c r="CS20" s="200">
        <f>(SUMIF(Fonctionnement[Affectation matrice],$AB$3,Fonctionnement[TVA acquittée])+SUMIF(Invest[Affectation matrice],$AB$3,Invest[TVA acquittée]))*BR20</f>
        <v>0</v>
      </c>
      <c r="CT20" s="200">
        <f>(SUMIF(Fonctionnement[Affectation matrice],$AB$3,Fonctionnement[TVA acquittée])+SUMIF(Invest[Affectation matrice],$AB$3,Invest[TVA acquittée]))*BS20</f>
        <v>0</v>
      </c>
      <c r="CU20" s="200">
        <f>(SUMIF(Fonctionnement[Affectation matrice],$AB$3,Fonctionnement[TVA acquittée])+SUMIF(Invest[Affectation matrice],$AB$3,Invest[TVA acquittée]))*BT20</f>
        <v>0</v>
      </c>
      <c r="CV20" s="200">
        <f>(SUMIF(Fonctionnement[Affectation matrice],$AB$3,Fonctionnement[TVA acquittée])+SUMIF(Invest[Affectation matrice],$AB$3,Invest[TVA acquittée]))*BU20</f>
        <v>0</v>
      </c>
      <c r="CW20" s="200">
        <f>(SUMIF(Fonctionnement[Affectation matrice],$AB$3,Fonctionnement[TVA acquittée])+SUMIF(Invest[Affectation matrice],$AB$3,Invest[TVA acquittée]))*BV20</f>
        <v>0</v>
      </c>
      <c r="CX20" s="200">
        <f>(SUMIF(Fonctionnement[Affectation matrice],$AB$3,Fonctionnement[TVA acquittée])+SUMIF(Invest[Affectation matrice],$AB$3,Invest[TVA acquittée]))*BW20</f>
        <v>0</v>
      </c>
      <c r="CY20" s="200">
        <f>(SUMIF(Fonctionnement[Affectation matrice],$AB$3,Fonctionnement[TVA acquittée])+SUMIF(Invest[Affectation matrice],$AB$3,Invest[TVA acquittée]))*BX20</f>
        <v>0</v>
      </c>
      <c r="CZ20" s="200">
        <f>(SUMIF(Fonctionnement[Affectation matrice],$AB$3,Fonctionnement[TVA acquittée])+SUMIF(Invest[Affectation matrice],$AB$3,Invest[TVA acquittée]))*BY20</f>
        <v>0</v>
      </c>
      <c r="DA20" s="200">
        <f>(SUMIF(Fonctionnement[Affectation matrice],$AB$3,Fonctionnement[TVA acquittée])+SUMIF(Invest[Affectation matrice],$AB$3,Invest[TVA acquittée]))*BZ20</f>
        <v>0</v>
      </c>
      <c r="DB20" s="200">
        <f>(SUMIF(Fonctionnement[Affectation matrice],$AB$3,Fonctionnement[TVA acquittée])+SUMIF(Invest[Affectation matrice],$AB$3,Invest[TVA acquittée]))*CA20</f>
        <v>0</v>
      </c>
    </row>
    <row r="21" spans="1:106" s="22" customFormat="1" ht="12.75" hidden="1" customHeight="1" x14ac:dyDescent="0.25">
      <c r="A21" s="42">
        <f>Matrice[[#This Row],[Ligne de la matrice]]</f>
        <v>0</v>
      </c>
      <c r="B21" s="276">
        <f>(SUMIF(Fonctionnement[Affectation matrice],$AB$3,Fonctionnement[Montant (€HT)])+SUMIF(Invest[Affectation matrice],$AB$3,Invest[Amortissement HT + intérêts]))*BC21</f>
        <v>0</v>
      </c>
      <c r="C21" s="276">
        <f>(SUMIF(Fonctionnement[Affectation matrice],$AB$3,Fonctionnement[Montant (€HT)])+SUMIF(Invest[Affectation matrice],$AB$3,Invest[Amortissement HT + intérêts]))*BD21</f>
        <v>0</v>
      </c>
      <c r="D21" s="276">
        <f>(SUMIF(Fonctionnement[Affectation matrice],$AB$3,Fonctionnement[Montant (€HT)])+SUMIF(Invest[Affectation matrice],$AB$3,Invest[Amortissement HT + intérêts]))*BE21</f>
        <v>0</v>
      </c>
      <c r="E21" s="276">
        <f>(SUMIF(Fonctionnement[Affectation matrice],$AB$3,Fonctionnement[Montant (€HT)])+SUMIF(Invest[Affectation matrice],$AB$3,Invest[Amortissement HT + intérêts]))*BF21</f>
        <v>0</v>
      </c>
      <c r="F21" s="276">
        <f>(SUMIF(Fonctionnement[Affectation matrice],$AB$3,Fonctionnement[Montant (€HT)])+SUMIF(Invest[Affectation matrice],$AB$3,Invest[Amortissement HT + intérêts]))*BG21</f>
        <v>0</v>
      </c>
      <c r="G21" s="276">
        <f>(SUMIF(Fonctionnement[Affectation matrice],$AB$3,Fonctionnement[Montant (€HT)])+SUMIF(Invest[Affectation matrice],$AB$3,Invest[Amortissement HT + intérêts]))*BH21</f>
        <v>0</v>
      </c>
      <c r="H21" s="276">
        <f>(SUMIF(Fonctionnement[Affectation matrice],$AB$3,Fonctionnement[Montant (€HT)])+SUMIF(Invest[Affectation matrice],$AB$3,Invest[Amortissement HT + intérêts]))*BI21</f>
        <v>0</v>
      </c>
      <c r="I21" s="276">
        <f>(SUMIF(Fonctionnement[Affectation matrice],$AB$3,Fonctionnement[Montant (€HT)])+SUMIF(Invest[Affectation matrice],$AB$3,Invest[Amortissement HT + intérêts]))*BJ21</f>
        <v>0</v>
      </c>
      <c r="J21" s="276">
        <f>(SUMIF(Fonctionnement[Affectation matrice],$AB$3,Fonctionnement[Montant (€HT)])+SUMIF(Invest[Affectation matrice],$AB$3,Invest[Amortissement HT + intérêts]))*BK21</f>
        <v>0</v>
      </c>
      <c r="K21" s="276">
        <f>(SUMIF(Fonctionnement[Affectation matrice],$AB$3,Fonctionnement[Montant (€HT)])+SUMIF(Invest[Affectation matrice],$AB$3,Invest[Amortissement HT + intérêts]))*BL21</f>
        <v>0</v>
      </c>
      <c r="L21" s="276">
        <f>(SUMIF(Fonctionnement[Affectation matrice],$AB$3,Fonctionnement[Montant (€HT)])+SUMIF(Invest[Affectation matrice],$AB$3,Invest[Amortissement HT + intérêts]))*BM21</f>
        <v>0</v>
      </c>
      <c r="M21" s="276">
        <f>(SUMIF(Fonctionnement[Affectation matrice],$AB$3,Fonctionnement[Montant (€HT)])+SUMIF(Invest[Affectation matrice],$AB$3,Invest[Amortissement HT + intérêts]))*BN21</f>
        <v>0</v>
      </c>
      <c r="N21" s="276">
        <f>(SUMIF(Fonctionnement[Affectation matrice],$AB$3,Fonctionnement[Montant (€HT)])+SUMIF(Invest[Affectation matrice],$AB$3,Invest[Amortissement HT + intérêts]))*BO21</f>
        <v>0</v>
      </c>
      <c r="O21" s="276">
        <f>(SUMIF(Fonctionnement[Affectation matrice],$AB$3,Fonctionnement[Montant (€HT)])+SUMIF(Invest[Affectation matrice],$AB$3,Invest[Amortissement HT + intérêts]))*BP21</f>
        <v>0</v>
      </c>
      <c r="P21" s="276">
        <f>(SUMIF(Fonctionnement[Affectation matrice],$AB$3,Fonctionnement[Montant (€HT)])+SUMIF(Invest[Affectation matrice],$AB$3,Invest[Amortissement HT + intérêts]))*BQ21</f>
        <v>0</v>
      </c>
      <c r="Q21" s="276">
        <f>(SUMIF(Fonctionnement[Affectation matrice],$AB$3,Fonctionnement[Montant (€HT)])+SUMIF(Invest[Affectation matrice],$AB$3,Invest[Amortissement HT + intérêts]))*BR21</f>
        <v>0</v>
      </c>
      <c r="R21" s="276">
        <f>(SUMIF(Fonctionnement[Affectation matrice],$AB$3,Fonctionnement[Montant (€HT)])+SUMIF(Invest[Affectation matrice],$AB$3,Invest[Amortissement HT + intérêts]))*BS21</f>
        <v>0</v>
      </c>
      <c r="S21" s="276">
        <f>(SUMIF(Fonctionnement[Affectation matrice],$AB$3,Fonctionnement[Montant (€HT)])+SUMIF(Invest[Affectation matrice],$AB$3,Invest[Amortissement HT + intérêts]))*BT21</f>
        <v>0</v>
      </c>
      <c r="T21" s="276">
        <f>(SUMIF(Fonctionnement[Affectation matrice],$AB$3,Fonctionnement[Montant (€HT)])+SUMIF(Invest[Affectation matrice],$AB$3,Invest[Amortissement HT + intérêts]))*BU21</f>
        <v>0</v>
      </c>
      <c r="U21" s="276">
        <f>(SUMIF(Fonctionnement[Affectation matrice],$AB$3,Fonctionnement[Montant (€HT)])+SUMIF(Invest[Affectation matrice],$AB$3,Invest[Amortissement HT + intérêts]))*BV21</f>
        <v>0</v>
      </c>
      <c r="V21" s="276">
        <f>(SUMIF(Fonctionnement[Affectation matrice],$AB$3,Fonctionnement[Montant (€HT)])+SUMIF(Invest[Affectation matrice],$AB$3,Invest[Amortissement HT + intérêts]))*BW21</f>
        <v>0</v>
      </c>
      <c r="W21" s="276">
        <f>(SUMIF(Fonctionnement[Affectation matrice],$AB$3,Fonctionnement[Montant (€HT)])+SUMIF(Invest[Affectation matrice],$AB$3,Invest[Amortissement HT + intérêts]))*BX21</f>
        <v>0</v>
      </c>
      <c r="X21" s="276">
        <f>(SUMIF(Fonctionnement[Affectation matrice],$AB$3,Fonctionnement[Montant (€HT)])+SUMIF(Invest[Affectation matrice],$AB$3,Invest[Amortissement HT + intérêts]))*BY21</f>
        <v>0</v>
      </c>
      <c r="Y21" s="276">
        <f>(SUMIF(Fonctionnement[Affectation matrice],$AB$3,Fonctionnement[Montant (€HT)])+SUMIF(Invest[Affectation matrice],$AB$3,Invest[Amortissement HT + intérêts]))*BZ21</f>
        <v>0</v>
      </c>
      <c r="Z21" s="276">
        <f>(SUMIF(Fonctionnement[Affectation matrice],$AB$3,Fonctionnement[Montant (€HT)])+SUMIF(Invest[Affectation matrice],$AB$3,Invest[Amortissement HT + intérêts]))*CA21</f>
        <v>0</v>
      </c>
      <c r="AA21" s="199"/>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283">
        <f t="shared" si="4"/>
        <v>0</v>
      </c>
      <c r="BB21" s="7"/>
      <c r="BC21" s="61">
        <f t="shared" ref="BC21:BQ22" si="7">IF($BA$53=0,0,AB21/$BA$53)</f>
        <v>0</v>
      </c>
      <c r="BD21" s="61">
        <f t="shared" si="7"/>
        <v>0</v>
      </c>
      <c r="BE21" s="61">
        <f t="shared" si="7"/>
        <v>0</v>
      </c>
      <c r="BF21" s="61">
        <f t="shared" si="7"/>
        <v>0</v>
      </c>
      <c r="BG21" s="61">
        <f t="shared" si="7"/>
        <v>0</v>
      </c>
      <c r="BH21" s="61">
        <f t="shared" si="7"/>
        <v>0</v>
      </c>
      <c r="BI21" s="61">
        <f t="shared" si="7"/>
        <v>0</v>
      </c>
      <c r="BJ21" s="61">
        <f t="shared" si="7"/>
        <v>0</v>
      </c>
      <c r="BK21" s="61">
        <f t="shared" si="7"/>
        <v>0</v>
      </c>
      <c r="BL21" s="61">
        <f t="shared" si="7"/>
        <v>0</v>
      </c>
      <c r="BM21" s="61">
        <f t="shared" si="7"/>
        <v>0</v>
      </c>
      <c r="BN21" s="61">
        <f t="shared" si="7"/>
        <v>0</v>
      </c>
      <c r="BO21" s="61">
        <f t="shared" si="7"/>
        <v>0</v>
      </c>
      <c r="BP21" s="61">
        <f t="shared" si="7"/>
        <v>0</v>
      </c>
      <c r="BQ21" s="61">
        <f t="shared" si="7"/>
        <v>0</v>
      </c>
      <c r="BR21" s="61">
        <f t="shared" si="6"/>
        <v>0</v>
      </c>
      <c r="BS21" s="61">
        <f t="shared" si="3"/>
        <v>0</v>
      </c>
      <c r="BT21" s="61">
        <f t="shared" si="3"/>
        <v>0</v>
      </c>
      <c r="BU21" s="61">
        <f t="shared" si="3"/>
        <v>0</v>
      </c>
      <c r="BV21" s="61">
        <f t="shared" si="3"/>
        <v>0</v>
      </c>
      <c r="BW21" s="61">
        <f t="shared" si="3"/>
        <v>0</v>
      </c>
      <c r="BX21" s="61">
        <f t="shared" si="3"/>
        <v>0</v>
      </c>
      <c r="BY21" s="61">
        <f t="shared" si="3"/>
        <v>0</v>
      </c>
      <c r="BZ21" s="61">
        <f t="shared" si="3"/>
        <v>0</v>
      </c>
      <c r="CA21" s="61">
        <f t="shared" si="3"/>
        <v>0</v>
      </c>
      <c r="CB21" s="61">
        <f t="shared" si="5"/>
        <v>0</v>
      </c>
      <c r="CD21" s="200">
        <f>(SUMIF(Fonctionnement[Affectation matrice],$AB$3,Fonctionnement[TVA acquittée])+SUMIF(Invest[Affectation matrice],$AB$3,Invest[TVA acquittée]))*BC21</f>
        <v>0</v>
      </c>
      <c r="CE21" s="200">
        <f>(SUMIF(Fonctionnement[Affectation matrice],$AB$3,Fonctionnement[TVA acquittée])+SUMIF(Invest[Affectation matrice],$AB$3,Invest[TVA acquittée]))*BD21</f>
        <v>0</v>
      </c>
      <c r="CF21" s="200">
        <f>(SUMIF(Fonctionnement[Affectation matrice],$AB$3,Fonctionnement[TVA acquittée])+SUMIF(Invest[Affectation matrice],$AB$3,Invest[TVA acquittée]))*BE21</f>
        <v>0</v>
      </c>
      <c r="CG21" s="200">
        <f>(SUMIF(Fonctionnement[Affectation matrice],$AB$3,Fonctionnement[TVA acquittée])+SUMIF(Invest[Affectation matrice],$AB$3,Invest[TVA acquittée]))*BF21</f>
        <v>0</v>
      </c>
      <c r="CH21" s="200">
        <f>(SUMIF(Fonctionnement[Affectation matrice],$AB$3,Fonctionnement[TVA acquittée])+SUMIF(Invest[Affectation matrice],$AB$3,Invest[TVA acquittée]))*BG21</f>
        <v>0</v>
      </c>
      <c r="CI21" s="200">
        <f>(SUMIF(Fonctionnement[Affectation matrice],$AB$3,Fonctionnement[TVA acquittée])+SUMIF(Invest[Affectation matrice],$AB$3,Invest[TVA acquittée]))*BH21</f>
        <v>0</v>
      </c>
      <c r="CJ21" s="200">
        <f>(SUMIF(Fonctionnement[Affectation matrice],$AB$3,Fonctionnement[TVA acquittée])+SUMIF(Invest[Affectation matrice],$AB$3,Invest[TVA acquittée]))*BI21</f>
        <v>0</v>
      </c>
      <c r="CK21" s="200">
        <f>(SUMIF(Fonctionnement[Affectation matrice],$AB$3,Fonctionnement[TVA acquittée])+SUMIF(Invest[Affectation matrice],$AB$3,Invest[TVA acquittée]))*BJ21</f>
        <v>0</v>
      </c>
      <c r="CL21" s="200">
        <f>(SUMIF(Fonctionnement[Affectation matrice],$AB$3,Fonctionnement[TVA acquittée])+SUMIF(Invest[Affectation matrice],$AB$3,Invest[TVA acquittée]))*BK21</f>
        <v>0</v>
      </c>
      <c r="CM21" s="200">
        <f>(SUMIF(Fonctionnement[Affectation matrice],$AB$3,Fonctionnement[TVA acquittée])+SUMIF(Invest[Affectation matrice],$AB$3,Invest[TVA acquittée]))*BL21</f>
        <v>0</v>
      </c>
      <c r="CN21" s="200">
        <f>(SUMIF(Fonctionnement[Affectation matrice],$AB$3,Fonctionnement[TVA acquittée])+SUMIF(Invest[Affectation matrice],$AB$3,Invest[TVA acquittée]))*BM21</f>
        <v>0</v>
      </c>
      <c r="CO21" s="200">
        <f>(SUMIF(Fonctionnement[Affectation matrice],$AB$3,Fonctionnement[TVA acquittée])+SUMIF(Invest[Affectation matrice],$AB$3,Invest[TVA acquittée]))*BN21</f>
        <v>0</v>
      </c>
      <c r="CP21" s="200">
        <f>(SUMIF(Fonctionnement[Affectation matrice],$AB$3,Fonctionnement[TVA acquittée])+SUMIF(Invest[Affectation matrice],$AB$3,Invest[TVA acquittée]))*BO21</f>
        <v>0</v>
      </c>
      <c r="CQ21" s="200">
        <f>(SUMIF(Fonctionnement[Affectation matrice],$AB$3,Fonctionnement[TVA acquittée])+SUMIF(Invest[Affectation matrice],$AB$3,Invest[TVA acquittée]))*BP21</f>
        <v>0</v>
      </c>
      <c r="CR21" s="200">
        <f>(SUMIF(Fonctionnement[Affectation matrice],$AB$3,Fonctionnement[TVA acquittée])+SUMIF(Invest[Affectation matrice],$AB$3,Invest[TVA acquittée]))*BQ21</f>
        <v>0</v>
      </c>
      <c r="CS21" s="200">
        <f>(SUMIF(Fonctionnement[Affectation matrice],$AB$3,Fonctionnement[TVA acquittée])+SUMIF(Invest[Affectation matrice],$AB$3,Invest[TVA acquittée]))*BR21</f>
        <v>0</v>
      </c>
      <c r="CT21" s="200">
        <f>(SUMIF(Fonctionnement[Affectation matrice],$AB$3,Fonctionnement[TVA acquittée])+SUMIF(Invest[Affectation matrice],$AB$3,Invest[TVA acquittée]))*BS21</f>
        <v>0</v>
      </c>
      <c r="CU21" s="200">
        <f>(SUMIF(Fonctionnement[Affectation matrice],$AB$3,Fonctionnement[TVA acquittée])+SUMIF(Invest[Affectation matrice],$AB$3,Invest[TVA acquittée]))*BT21</f>
        <v>0</v>
      </c>
      <c r="CV21" s="200">
        <f>(SUMIF(Fonctionnement[Affectation matrice],$AB$3,Fonctionnement[TVA acquittée])+SUMIF(Invest[Affectation matrice],$AB$3,Invest[TVA acquittée]))*BU21</f>
        <v>0</v>
      </c>
      <c r="CW21" s="200">
        <f>(SUMIF(Fonctionnement[Affectation matrice],$AB$3,Fonctionnement[TVA acquittée])+SUMIF(Invest[Affectation matrice],$AB$3,Invest[TVA acquittée]))*BV21</f>
        <v>0</v>
      </c>
      <c r="CX21" s="200">
        <f>(SUMIF(Fonctionnement[Affectation matrice],$AB$3,Fonctionnement[TVA acquittée])+SUMIF(Invest[Affectation matrice],$AB$3,Invest[TVA acquittée]))*BW21</f>
        <v>0</v>
      </c>
      <c r="CY21" s="200">
        <f>(SUMIF(Fonctionnement[Affectation matrice],$AB$3,Fonctionnement[TVA acquittée])+SUMIF(Invest[Affectation matrice],$AB$3,Invest[TVA acquittée]))*BX21</f>
        <v>0</v>
      </c>
      <c r="CZ21" s="200">
        <f>(SUMIF(Fonctionnement[Affectation matrice],$AB$3,Fonctionnement[TVA acquittée])+SUMIF(Invest[Affectation matrice],$AB$3,Invest[TVA acquittée]))*BY21</f>
        <v>0</v>
      </c>
      <c r="DA21" s="200">
        <f>(SUMIF(Fonctionnement[Affectation matrice],$AB$3,Fonctionnement[TVA acquittée])+SUMIF(Invest[Affectation matrice],$AB$3,Invest[TVA acquittée]))*BZ21</f>
        <v>0</v>
      </c>
      <c r="DB21" s="200">
        <f>(SUMIF(Fonctionnement[Affectation matrice],$AB$3,Fonctionnement[TVA acquittée])+SUMIF(Invest[Affectation matrice],$AB$3,Invest[TVA acquittée]))*CA21</f>
        <v>0</v>
      </c>
    </row>
    <row r="22" spans="1:106" s="22" customFormat="1" ht="12.75" hidden="1" customHeight="1" x14ac:dyDescent="0.25">
      <c r="A22" s="42">
        <f>Matrice[[#This Row],[Ligne de la matrice]]</f>
        <v>0</v>
      </c>
      <c r="B22" s="276">
        <f>(SUMIF(Fonctionnement[Affectation matrice],$AB$3,Fonctionnement[Montant (€HT)])+SUMIF(Invest[Affectation matrice],$AB$3,Invest[Amortissement HT + intérêts]))*BC22</f>
        <v>0</v>
      </c>
      <c r="C22" s="276">
        <f>(SUMIF(Fonctionnement[Affectation matrice],$AB$3,Fonctionnement[Montant (€HT)])+SUMIF(Invest[Affectation matrice],$AB$3,Invest[Amortissement HT + intérêts]))*BD22</f>
        <v>0</v>
      </c>
      <c r="D22" s="276">
        <f>(SUMIF(Fonctionnement[Affectation matrice],$AB$3,Fonctionnement[Montant (€HT)])+SUMIF(Invest[Affectation matrice],$AB$3,Invest[Amortissement HT + intérêts]))*BE22</f>
        <v>0</v>
      </c>
      <c r="E22" s="276">
        <f>(SUMIF(Fonctionnement[Affectation matrice],$AB$3,Fonctionnement[Montant (€HT)])+SUMIF(Invest[Affectation matrice],$AB$3,Invest[Amortissement HT + intérêts]))*BF22</f>
        <v>0</v>
      </c>
      <c r="F22" s="276">
        <f>(SUMIF(Fonctionnement[Affectation matrice],$AB$3,Fonctionnement[Montant (€HT)])+SUMIF(Invest[Affectation matrice],$AB$3,Invest[Amortissement HT + intérêts]))*BG22</f>
        <v>0</v>
      </c>
      <c r="G22" s="276">
        <f>(SUMIF(Fonctionnement[Affectation matrice],$AB$3,Fonctionnement[Montant (€HT)])+SUMIF(Invest[Affectation matrice],$AB$3,Invest[Amortissement HT + intérêts]))*BH22</f>
        <v>0</v>
      </c>
      <c r="H22" s="276">
        <f>(SUMIF(Fonctionnement[Affectation matrice],$AB$3,Fonctionnement[Montant (€HT)])+SUMIF(Invest[Affectation matrice],$AB$3,Invest[Amortissement HT + intérêts]))*BI22</f>
        <v>0</v>
      </c>
      <c r="I22" s="276">
        <f>(SUMIF(Fonctionnement[Affectation matrice],$AB$3,Fonctionnement[Montant (€HT)])+SUMIF(Invest[Affectation matrice],$AB$3,Invest[Amortissement HT + intérêts]))*BJ22</f>
        <v>0</v>
      </c>
      <c r="J22" s="276">
        <f>(SUMIF(Fonctionnement[Affectation matrice],$AB$3,Fonctionnement[Montant (€HT)])+SUMIF(Invest[Affectation matrice],$AB$3,Invest[Amortissement HT + intérêts]))*BK22</f>
        <v>0</v>
      </c>
      <c r="K22" s="276">
        <f>(SUMIF(Fonctionnement[Affectation matrice],$AB$3,Fonctionnement[Montant (€HT)])+SUMIF(Invest[Affectation matrice],$AB$3,Invest[Amortissement HT + intérêts]))*BL22</f>
        <v>0</v>
      </c>
      <c r="L22" s="276">
        <f>(SUMIF(Fonctionnement[Affectation matrice],$AB$3,Fonctionnement[Montant (€HT)])+SUMIF(Invest[Affectation matrice],$AB$3,Invest[Amortissement HT + intérêts]))*BM22</f>
        <v>0</v>
      </c>
      <c r="M22" s="276">
        <f>(SUMIF(Fonctionnement[Affectation matrice],$AB$3,Fonctionnement[Montant (€HT)])+SUMIF(Invest[Affectation matrice],$AB$3,Invest[Amortissement HT + intérêts]))*BN22</f>
        <v>0</v>
      </c>
      <c r="N22" s="276">
        <f>(SUMIF(Fonctionnement[Affectation matrice],$AB$3,Fonctionnement[Montant (€HT)])+SUMIF(Invest[Affectation matrice],$AB$3,Invest[Amortissement HT + intérêts]))*BO22</f>
        <v>0</v>
      </c>
      <c r="O22" s="276">
        <f>(SUMIF(Fonctionnement[Affectation matrice],$AB$3,Fonctionnement[Montant (€HT)])+SUMIF(Invest[Affectation matrice],$AB$3,Invest[Amortissement HT + intérêts]))*BP22</f>
        <v>0</v>
      </c>
      <c r="P22" s="276">
        <f>(SUMIF(Fonctionnement[Affectation matrice],$AB$3,Fonctionnement[Montant (€HT)])+SUMIF(Invest[Affectation matrice],$AB$3,Invest[Amortissement HT + intérêts]))*BQ22</f>
        <v>0</v>
      </c>
      <c r="Q22" s="276">
        <f>(SUMIF(Fonctionnement[Affectation matrice],$AB$3,Fonctionnement[Montant (€HT)])+SUMIF(Invest[Affectation matrice],$AB$3,Invest[Amortissement HT + intérêts]))*BR22</f>
        <v>0</v>
      </c>
      <c r="R22" s="276">
        <f>(SUMIF(Fonctionnement[Affectation matrice],$AB$3,Fonctionnement[Montant (€HT)])+SUMIF(Invest[Affectation matrice],$AB$3,Invest[Amortissement HT + intérêts]))*BS22</f>
        <v>0</v>
      </c>
      <c r="S22" s="276">
        <f>(SUMIF(Fonctionnement[Affectation matrice],$AB$3,Fonctionnement[Montant (€HT)])+SUMIF(Invest[Affectation matrice],$AB$3,Invest[Amortissement HT + intérêts]))*BT22</f>
        <v>0</v>
      </c>
      <c r="T22" s="276">
        <f>(SUMIF(Fonctionnement[Affectation matrice],$AB$3,Fonctionnement[Montant (€HT)])+SUMIF(Invest[Affectation matrice],$AB$3,Invest[Amortissement HT + intérêts]))*BU22</f>
        <v>0</v>
      </c>
      <c r="U22" s="276">
        <f>(SUMIF(Fonctionnement[Affectation matrice],$AB$3,Fonctionnement[Montant (€HT)])+SUMIF(Invest[Affectation matrice],$AB$3,Invest[Amortissement HT + intérêts]))*BV22</f>
        <v>0</v>
      </c>
      <c r="V22" s="276">
        <f>(SUMIF(Fonctionnement[Affectation matrice],$AB$3,Fonctionnement[Montant (€HT)])+SUMIF(Invest[Affectation matrice],$AB$3,Invest[Amortissement HT + intérêts]))*BW22</f>
        <v>0</v>
      </c>
      <c r="W22" s="276">
        <f>(SUMIF(Fonctionnement[Affectation matrice],$AB$3,Fonctionnement[Montant (€HT)])+SUMIF(Invest[Affectation matrice],$AB$3,Invest[Amortissement HT + intérêts]))*BX22</f>
        <v>0</v>
      </c>
      <c r="X22" s="276">
        <f>(SUMIF(Fonctionnement[Affectation matrice],$AB$3,Fonctionnement[Montant (€HT)])+SUMIF(Invest[Affectation matrice],$AB$3,Invest[Amortissement HT + intérêts]))*BY22</f>
        <v>0</v>
      </c>
      <c r="Y22" s="276">
        <f>(SUMIF(Fonctionnement[Affectation matrice],$AB$3,Fonctionnement[Montant (€HT)])+SUMIF(Invest[Affectation matrice],$AB$3,Invest[Amortissement HT + intérêts]))*BZ22</f>
        <v>0</v>
      </c>
      <c r="Z22" s="276">
        <f>(SUMIF(Fonctionnement[Affectation matrice],$AB$3,Fonctionnement[Montant (€HT)])+SUMIF(Invest[Affectation matrice],$AB$3,Invest[Amortissement HT + intérêts]))*CA22</f>
        <v>0</v>
      </c>
      <c r="AA22" s="199"/>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283">
        <f t="shared" si="4"/>
        <v>0</v>
      </c>
      <c r="BB22" s="7"/>
      <c r="BC22" s="61">
        <f t="shared" si="7"/>
        <v>0</v>
      </c>
      <c r="BD22" s="61">
        <f t="shared" si="7"/>
        <v>0</v>
      </c>
      <c r="BE22" s="61">
        <f t="shared" si="7"/>
        <v>0</v>
      </c>
      <c r="BF22" s="61">
        <f t="shared" si="7"/>
        <v>0</v>
      </c>
      <c r="BG22" s="61">
        <f t="shared" si="7"/>
        <v>0</v>
      </c>
      <c r="BH22" s="61">
        <f t="shared" si="7"/>
        <v>0</v>
      </c>
      <c r="BI22" s="61">
        <f t="shared" si="7"/>
        <v>0</v>
      </c>
      <c r="BJ22" s="61">
        <f t="shared" si="7"/>
        <v>0</v>
      </c>
      <c r="BK22" s="61">
        <f t="shared" si="7"/>
        <v>0</v>
      </c>
      <c r="BL22" s="61">
        <f t="shared" si="7"/>
        <v>0</v>
      </c>
      <c r="BM22" s="61">
        <f t="shared" si="7"/>
        <v>0</v>
      </c>
      <c r="BN22" s="61">
        <f t="shared" si="7"/>
        <v>0</v>
      </c>
      <c r="BO22" s="61">
        <f t="shared" si="7"/>
        <v>0</v>
      </c>
      <c r="BP22" s="61">
        <f t="shared" si="7"/>
        <v>0</v>
      </c>
      <c r="BQ22" s="61">
        <f t="shared" si="7"/>
        <v>0</v>
      </c>
      <c r="BR22" s="61">
        <f t="shared" si="6"/>
        <v>0</v>
      </c>
      <c r="BS22" s="61">
        <f t="shared" si="3"/>
        <v>0</v>
      </c>
      <c r="BT22" s="61">
        <f t="shared" si="3"/>
        <v>0</v>
      </c>
      <c r="BU22" s="61">
        <f t="shared" si="3"/>
        <v>0</v>
      </c>
      <c r="BV22" s="61">
        <f t="shared" si="3"/>
        <v>0</v>
      </c>
      <c r="BW22" s="61">
        <f t="shared" si="3"/>
        <v>0</v>
      </c>
      <c r="BX22" s="61">
        <f t="shared" si="3"/>
        <v>0</v>
      </c>
      <c r="BY22" s="61">
        <f t="shared" si="3"/>
        <v>0</v>
      </c>
      <c r="BZ22" s="61">
        <f t="shared" si="3"/>
        <v>0</v>
      </c>
      <c r="CA22" s="61">
        <f t="shared" si="3"/>
        <v>0</v>
      </c>
      <c r="CB22" s="61">
        <f t="shared" si="5"/>
        <v>0</v>
      </c>
      <c r="CD22" s="200">
        <f>(SUMIF(Fonctionnement[Affectation matrice],$AB$3,Fonctionnement[TVA acquittée])+SUMIF(Invest[Affectation matrice],$AB$3,Invest[TVA acquittée]))*BC22</f>
        <v>0</v>
      </c>
      <c r="CE22" s="200">
        <f>(SUMIF(Fonctionnement[Affectation matrice],$AB$3,Fonctionnement[TVA acquittée])+SUMIF(Invest[Affectation matrice],$AB$3,Invest[TVA acquittée]))*BD22</f>
        <v>0</v>
      </c>
      <c r="CF22" s="200">
        <f>(SUMIF(Fonctionnement[Affectation matrice],$AB$3,Fonctionnement[TVA acquittée])+SUMIF(Invest[Affectation matrice],$AB$3,Invest[TVA acquittée]))*BE22</f>
        <v>0</v>
      </c>
      <c r="CG22" s="200">
        <f>(SUMIF(Fonctionnement[Affectation matrice],$AB$3,Fonctionnement[TVA acquittée])+SUMIF(Invest[Affectation matrice],$AB$3,Invest[TVA acquittée]))*BF22</f>
        <v>0</v>
      </c>
      <c r="CH22" s="200">
        <f>(SUMIF(Fonctionnement[Affectation matrice],$AB$3,Fonctionnement[TVA acquittée])+SUMIF(Invest[Affectation matrice],$AB$3,Invest[TVA acquittée]))*BG22</f>
        <v>0</v>
      </c>
      <c r="CI22" s="200">
        <f>(SUMIF(Fonctionnement[Affectation matrice],$AB$3,Fonctionnement[TVA acquittée])+SUMIF(Invest[Affectation matrice],$AB$3,Invest[TVA acquittée]))*BH22</f>
        <v>0</v>
      </c>
      <c r="CJ22" s="200">
        <f>(SUMIF(Fonctionnement[Affectation matrice],$AB$3,Fonctionnement[TVA acquittée])+SUMIF(Invest[Affectation matrice],$AB$3,Invest[TVA acquittée]))*BI22</f>
        <v>0</v>
      </c>
      <c r="CK22" s="200">
        <f>(SUMIF(Fonctionnement[Affectation matrice],$AB$3,Fonctionnement[TVA acquittée])+SUMIF(Invest[Affectation matrice],$AB$3,Invest[TVA acquittée]))*BJ22</f>
        <v>0</v>
      </c>
      <c r="CL22" s="200">
        <f>(SUMIF(Fonctionnement[Affectation matrice],$AB$3,Fonctionnement[TVA acquittée])+SUMIF(Invest[Affectation matrice],$AB$3,Invest[TVA acquittée]))*BK22</f>
        <v>0</v>
      </c>
      <c r="CM22" s="200">
        <f>(SUMIF(Fonctionnement[Affectation matrice],$AB$3,Fonctionnement[TVA acquittée])+SUMIF(Invest[Affectation matrice],$AB$3,Invest[TVA acquittée]))*BL22</f>
        <v>0</v>
      </c>
      <c r="CN22" s="200">
        <f>(SUMIF(Fonctionnement[Affectation matrice],$AB$3,Fonctionnement[TVA acquittée])+SUMIF(Invest[Affectation matrice],$AB$3,Invest[TVA acquittée]))*BM22</f>
        <v>0</v>
      </c>
      <c r="CO22" s="200">
        <f>(SUMIF(Fonctionnement[Affectation matrice],$AB$3,Fonctionnement[TVA acquittée])+SUMIF(Invest[Affectation matrice],$AB$3,Invest[TVA acquittée]))*BN22</f>
        <v>0</v>
      </c>
      <c r="CP22" s="200">
        <f>(SUMIF(Fonctionnement[Affectation matrice],$AB$3,Fonctionnement[TVA acquittée])+SUMIF(Invest[Affectation matrice],$AB$3,Invest[TVA acquittée]))*BO22</f>
        <v>0</v>
      </c>
      <c r="CQ22" s="200">
        <f>(SUMIF(Fonctionnement[Affectation matrice],$AB$3,Fonctionnement[TVA acquittée])+SUMIF(Invest[Affectation matrice],$AB$3,Invest[TVA acquittée]))*BP22</f>
        <v>0</v>
      </c>
      <c r="CR22" s="200">
        <f>(SUMIF(Fonctionnement[Affectation matrice],$AB$3,Fonctionnement[TVA acquittée])+SUMIF(Invest[Affectation matrice],$AB$3,Invest[TVA acquittée]))*BQ22</f>
        <v>0</v>
      </c>
      <c r="CS22" s="200">
        <f>(SUMIF(Fonctionnement[Affectation matrice],$AB$3,Fonctionnement[TVA acquittée])+SUMIF(Invest[Affectation matrice],$AB$3,Invest[TVA acquittée]))*BR22</f>
        <v>0</v>
      </c>
      <c r="CT22" s="200">
        <f>(SUMIF(Fonctionnement[Affectation matrice],$AB$3,Fonctionnement[TVA acquittée])+SUMIF(Invest[Affectation matrice],$AB$3,Invest[TVA acquittée]))*BS22</f>
        <v>0</v>
      </c>
      <c r="CU22" s="200">
        <f>(SUMIF(Fonctionnement[Affectation matrice],$AB$3,Fonctionnement[TVA acquittée])+SUMIF(Invest[Affectation matrice],$AB$3,Invest[TVA acquittée]))*BT22</f>
        <v>0</v>
      </c>
      <c r="CV22" s="200">
        <f>(SUMIF(Fonctionnement[Affectation matrice],$AB$3,Fonctionnement[TVA acquittée])+SUMIF(Invest[Affectation matrice],$AB$3,Invest[TVA acquittée]))*BU22</f>
        <v>0</v>
      </c>
      <c r="CW22" s="200">
        <f>(SUMIF(Fonctionnement[Affectation matrice],$AB$3,Fonctionnement[TVA acquittée])+SUMIF(Invest[Affectation matrice],$AB$3,Invest[TVA acquittée]))*BV22</f>
        <v>0</v>
      </c>
      <c r="CX22" s="200">
        <f>(SUMIF(Fonctionnement[Affectation matrice],$AB$3,Fonctionnement[TVA acquittée])+SUMIF(Invest[Affectation matrice],$AB$3,Invest[TVA acquittée]))*BW22</f>
        <v>0</v>
      </c>
      <c r="CY22" s="200">
        <f>(SUMIF(Fonctionnement[Affectation matrice],$AB$3,Fonctionnement[TVA acquittée])+SUMIF(Invest[Affectation matrice],$AB$3,Invest[TVA acquittée]))*BX22</f>
        <v>0</v>
      </c>
      <c r="CZ22" s="200">
        <f>(SUMIF(Fonctionnement[Affectation matrice],$AB$3,Fonctionnement[TVA acquittée])+SUMIF(Invest[Affectation matrice],$AB$3,Invest[TVA acquittée]))*BY22</f>
        <v>0</v>
      </c>
      <c r="DA22" s="200">
        <f>(SUMIF(Fonctionnement[Affectation matrice],$AB$3,Fonctionnement[TVA acquittée])+SUMIF(Invest[Affectation matrice],$AB$3,Invest[TVA acquittée]))*BZ22</f>
        <v>0</v>
      </c>
      <c r="DB22" s="200">
        <f>(SUMIF(Fonctionnement[Affectation matrice],$AB$3,Fonctionnement[TVA acquittée])+SUMIF(Invest[Affectation matrice],$AB$3,Invest[TVA acquittée]))*CA22</f>
        <v>0</v>
      </c>
    </row>
    <row r="23" spans="1:106" s="205" customFormat="1" ht="12.75" hidden="1" customHeight="1" x14ac:dyDescent="0.25">
      <c r="A23" s="186"/>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02"/>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03"/>
      <c r="BB23" s="204"/>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row>
    <row r="24" spans="1:106" s="22" customFormat="1" ht="12.75" hidden="1" customHeight="1" x14ac:dyDescent="0.25">
      <c r="A24" s="42" t="str">
        <f>Matrice[[#This Row],[Ligne de la matrice]]</f>
        <v>Ventes de produits et d'énergie</v>
      </c>
      <c r="B24" s="276">
        <f>(SUMIF(Fonctionnement[Affectation matrice],$AB$3,Fonctionnement[Montant (€HT)])+SUMIF(Invest[Affectation matrice],$AB$3,Invest[Amortissement HT + intérêts]))*BC24</f>
        <v>0</v>
      </c>
      <c r="C24" s="276">
        <f>(SUMIF(Fonctionnement[Affectation matrice],$AB$3,Fonctionnement[Montant (€HT)])+SUMIF(Invest[Affectation matrice],$AB$3,Invest[Amortissement HT + intérêts]))*BD24</f>
        <v>0</v>
      </c>
      <c r="D24" s="276">
        <f>(SUMIF(Fonctionnement[Affectation matrice],$AB$3,Fonctionnement[Montant (€HT)])+SUMIF(Invest[Affectation matrice],$AB$3,Invest[Amortissement HT + intérêts]))*BE24</f>
        <v>0</v>
      </c>
      <c r="E24" s="276">
        <f>(SUMIF(Fonctionnement[Affectation matrice],$AB$3,Fonctionnement[Montant (€HT)])+SUMIF(Invest[Affectation matrice],$AB$3,Invest[Amortissement HT + intérêts]))*BF24</f>
        <v>0</v>
      </c>
      <c r="F24" s="276">
        <f>(SUMIF(Fonctionnement[Affectation matrice],$AB$3,Fonctionnement[Montant (€HT)])+SUMIF(Invest[Affectation matrice],$AB$3,Invest[Amortissement HT + intérêts]))*BG24</f>
        <v>0</v>
      </c>
      <c r="G24" s="276">
        <f>(SUMIF(Fonctionnement[Affectation matrice],$AB$3,Fonctionnement[Montant (€HT)])+SUMIF(Invest[Affectation matrice],$AB$3,Invest[Amortissement HT + intérêts]))*BH24</f>
        <v>0</v>
      </c>
      <c r="H24" s="276">
        <f>(SUMIF(Fonctionnement[Affectation matrice],$AB$3,Fonctionnement[Montant (€HT)])+SUMIF(Invest[Affectation matrice],$AB$3,Invest[Amortissement HT + intérêts]))*BI24</f>
        <v>0</v>
      </c>
      <c r="I24" s="276">
        <f>(SUMIF(Fonctionnement[Affectation matrice],$AB$3,Fonctionnement[Montant (€HT)])+SUMIF(Invest[Affectation matrice],$AB$3,Invest[Amortissement HT + intérêts]))*BJ24</f>
        <v>0</v>
      </c>
      <c r="J24" s="276">
        <f>(SUMIF(Fonctionnement[Affectation matrice],$AB$3,Fonctionnement[Montant (€HT)])+SUMIF(Invest[Affectation matrice],$AB$3,Invest[Amortissement HT + intérêts]))*BK24</f>
        <v>0</v>
      </c>
      <c r="K24" s="276">
        <f>(SUMIF(Fonctionnement[Affectation matrice],$AB$3,Fonctionnement[Montant (€HT)])+SUMIF(Invest[Affectation matrice],$AB$3,Invest[Amortissement HT + intérêts]))*BL24</f>
        <v>0</v>
      </c>
      <c r="L24" s="276">
        <f>(SUMIF(Fonctionnement[Affectation matrice],$AB$3,Fonctionnement[Montant (€HT)])+SUMIF(Invest[Affectation matrice],$AB$3,Invest[Amortissement HT + intérêts]))*BM24</f>
        <v>0</v>
      </c>
      <c r="M24" s="276">
        <f>(SUMIF(Fonctionnement[Affectation matrice],$AB$3,Fonctionnement[Montant (€HT)])+SUMIF(Invest[Affectation matrice],$AB$3,Invest[Amortissement HT + intérêts]))*BN24</f>
        <v>0</v>
      </c>
      <c r="N24" s="276">
        <f>(SUMIF(Fonctionnement[Affectation matrice],$AB$3,Fonctionnement[Montant (€HT)])+SUMIF(Invest[Affectation matrice],$AB$3,Invest[Amortissement HT + intérêts]))*BO24</f>
        <v>0</v>
      </c>
      <c r="O24" s="276">
        <f>(SUMIF(Fonctionnement[Affectation matrice],$AB$3,Fonctionnement[Montant (€HT)])+SUMIF(Invest[Affectation matrice],$AB$3,Invest[Amortissement HT + intérêts]))*BP24</f>
        <v>0</v>
      </c>
      <c r="P24" s="276">
        <f>(SUMIF(Fonctionnement[Affectation matrice],$AB$3,Fonctionnement[Montant (€HT)])+SUMIF(Invest[Affectation matrice],$AB$3,Invest[Amortissement HT + intérêts]))*BQ24</f>
        <v>0</v>
      </c>
      <c r="Q24" s="276">
        <f>(SUMIF(Fonctionnement[Affectation matrice],$AB$3,Fonctionnement[Montant (€HT)])+SUMIF(Invest[Affectation matrice],$AB$3,Invest[Amortissement HT + intérêts]))*BR24</f>
        <v>0</v>
      </c>
      <c r="R24" s="276">
        <f>(SUMIF(Fonctionnement[Affectation matrice],$AB$3,Fonctionnement[Montant (€HT)])+SUMIF(Invest[Affectation matrice],$AB$3,Invest[Amortissement HT + intérêts]))*BS24</f>
        <v>0</v>
      </c>
      <c r="S24" s="276">
        <f>(SUMIF(Fonctionnement[Affectation matrice],$AB$3,Fonctionnement[Montant (€HT)])+SUMIF(Invest[Affectation matrice],$AB$3,Invest[Amortissement HT + intérêts]))*BT24</f>
        <v>0</v>
      </c>
      <c r="T24" s="276">
        <f>(SUMIF(Fonctionnement[Affectation matrice],$AB$3,Fonctionnement[Montant (€HT)])+SUMIF(Invest[Affectation matrice],$AB$3,Invest[Amortissement HT + intérêts]))*BU24</f>
        <v>0</v>
      </c>
      <c r="U24" s="276">
        <f>(SUMIF(Fonctionnement[Affectation matrice],$AB$3,Fonctionnement[Montant (€HT)])+SUMIF(Invest[Affectation matrice],$AB$3,Invest[Amortissement HT + intérêts]))*BV24</f>
        <v>0</v>
      </c>
      <c r="V24" s="276">
        <f>(SUMIF(Fonctionnement[Affectation matrice],$AB$3,Fonctionnement[Montant (€HT)])+SUMIF(Invest[Affectation matrice],$AB$3,Invest[Amortissement HT + intérêts]))*BW24</f>
        <v>0</v>
      </c>
      <c r="W24" s="276">
        <f>(SUMIF(Fonctionnement[Affectation matrice],$AB$3,Fonctionnement[Montant (€HT)])+SUMIF(Invest[Affectation matrice],$AB$3,Invest[Amortissement HT + intérêts]))*BX24</f>
        <v>0</v>
      </c>
      <c r="X24" s="276">
        <f>(SUMIF(Fonctionnement[Affectation matrice],$AB$3,Fonctionnement[Montant (€HT)])+SUMIF(Invest[Affectation matrice],$AB$3,Invest[Amortissement HT + intérêts]))*BY24</f>
        <v>0</v>
      </c>
      <c r="Y24" s="276">
        <f>(SUMIF(Fonctionnement[Affectation matrice],$AB$3,Fonctionnement[Montant (€HT)])+SUMIF(Invest[Affectation matrice],$AB$3,Invest[Amortissement HT + intérêts]))*BZ24</f>
        <v>0</v>
      </c>
      <c r="Z24" s="276">
        <f>(SUMIF(Fonctionnement[Affectation matrice],$AB$3,Fonctionnement[Montant (€HT)])+SUMIF(Invest[Affectation matrice],$AB$3,Invest[Amortissement HT + intérêts]))*CA24</f>
        <v>0</v>
      </c>
      <c r="AA24" s="199"/>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283">
        <f t="shared" si="4"/>
        <v>0</v>
      </c>
      <c r="BB24" s="7"/>
      <c r="BC24" s="61">
        <f t="shared" ref="BC24:BR33" si="8">IF($BA$53=0,0,AB24/$BA$53)</f>
        <v>0</v>
      </c>
      <c r="BD24" s="61">
        <f t="shared" si="8"/>
        <v>0</v>
      </c>
      <c r="BE24" s="61">
        <f t="shared" si="8"/>
        <v>0</v>
      </c>
      <c r="BF24" s="61">
        <f t="shared" si="8"/>
        <v>0</v>
      </c>
      <c r="BG24" s="61">
        <f t="shared" si="8"/>
        <v>0</v>
      </c>
      <c r="BH24" s="61">
        <f t="shared" si="8"/>
        <v>0</v>
      </c>
      <c r="BI24" s="61">
        <f t="shared" si="8"/>
        <v>0</v>
      </c>
      <c r="BJ24" s="61">
        <f t="shared" si="8"/>
        <v>0</v>
      </c>
      <c r="BK24" s="61">
        <f t="shared" si="8"/>
        <v>0</v>
      </c>
      <c r="BL24" s="61">
        <f t="shared" si="8"/>
        <v>0</v>
      </c>
      <c r="BM24" s="61">
        <f t="shared" si="8"/>
        <v>0</v>
      </c>
      <c r="BN24" s="61">
        <f t="shared" si="8"/>
        <v>0</v>
      </c>
      <c r="BO24" s="61">
        <f t="shared" si="8"/>
        <v>0</v>
      </c>
      <c r="BP24" s="61">
        <f t="shared" si="8"/>
        <v>0</v>
      </c>
      <c r="BQ24" s="61">
        <f t="shared" si="8"/>
        <v>0</v>
      </c>
      <c r="BR24" s="61">
        <f t="shared" si="8"/>
        <v>0</v>
      </c>
      <c r="BS24" s="61">
        <f t="shared" ref="BS24:CA33" si="9">IF($BA$53=0,0,AR24/$BA$53)</f>
        <v>0</v>
      </c>
      <c r="BT24" s="61">
        <f t="shared" si="9"/>
        <v>0</v>
      </c>
      <c r="BU24" s="61">
        <f t="shared" si="9"/>
        <v>0</v>
      </c>
      <c r="BV24" s="61">
        <f t="shared" si="9"/>
        <v>0</v>
      </c>
      <c r="BW24" s="61">
        <f t="shared" si="9"/>
        <v>0</v>
      </c>
      <c r="BX24" s="61">
        <f t="shared" si="9"/>
        <v>0</v>
      </c>
      <c r="BY24" s="61">
        <f t="shared" si="9"/>
        <v>0</v>
      </c>
      <c r="BZ24" s="61">
        <f t="shared" si="9"/>
        <v>0</v>
      </c>
      <c r="CA24" s="61">
        <f t="shared" si="9"/>
        <v>0</v>
      </c>
      <c r="CB24" s="61">
        <f t="shared" si="5"/>
        <v>0</v>
      </c>
      <c r="CD24" s="200">
        <f>(SUMIF(Fonctionnement[Affectation matrice],$AB$3,Fonctionnement[TVA acquittée])+SUMIF(Invest[Affectation matrice],$AB$3,Invest[TVA acquittée]))*BC24</f>
        <v>0</v>
      </c>
      <c r="CE24" s="200">
        <f>(SUMIF(Fonctionnement[Affectation matrice],$AB$3,Fonctionnement[TVA acquittée])+SUMIF(Invest[Affectation matrice],$AB$3,Invest[TVA acquittée]))*BD24</f>
        <v>0</v>
      </c>
      <c r="CF24" s="200">
        <f>(SUMIF(Fonctionnement[Affectation matrice],$AB$3,Fonctionnement[TVA acquittée])+SUMIF(Invest[Affectation matrice],$AB$3,Invest[TVA acquittée]))*BE24</f>
        <v>0</v>
      </c>
      <c r="CG24" s="200">
        <f>(SUMIF(Fonctionnement[Affectation matrice],$AB$3,Fonctionnement[TVA acquittée])+SUMIF(Invest[Affectation matrice],$AB$3,Invest[TVA acquittée]))*BF24</f>
        <v>0</v>
      </c>
      <c r="CH24" s="200">
        <f>(SUMIF(Fonctionnement[Affectation matrice],$AB$3,Fonctionnement[TVA acquittée])+SUMIF(Invest[Affectation matrice],$AB$3,Invest[TVA acquittée]))*BG24</f>
        <v>0</v>
      </c>
      <c r="CI24" s="200">
        <f>(SUMIF(Fonctionnement[Affectation matrice],$AB$3,Fonctionnement[TVA acquittée])+SUMIF(Invest[Affectation matrice],$AB$3,Invest[TVA acquittée]))*BH24</f>
        <v>0</v>
      </c>
      <c r="CJ24" s="200">
        <f>(SUMIF(Fonctionnement[Affectation matrice],$AB$3,Fonctionnement[TVA acquittée])+SUMIF(Invest[Affectation matrice],$AB$3,Invest[TVA acquittée]))*BI24</f>
        <v>0</v>
      </c>
      <c r="CK24" s="200">
        <f>(SUMIF(Fonctionnement[Affectation matrice],$AB$3,Fonctionnement[TVA acquittée])+SUMIF(Invest[Affectation matrice],$AB$3,Invest[TVA acquittée]))*BJ24</f>
        <v>0</v>
      </c>
      <c r="CL24" s="200">
        <f>(SUMIF(Fonctionnement[Affectation matrice],$AB$3,Fonctionnement[TVA acquittée])+SUMIF(Invest[Affectation matrice],$AB$3,Invest[TVA acquittée]))*BK24</f>
        <v>0</v>
      </c>
      <c r="CM24" s="200">
        <f>(SUMIF(Fonctionnement[Affectation matrice],$AB$3,Fonctionnement[TVA acquittée])+SUMIF(Invest[Affectation matrice],$AB$3,Invest[TVA acquittée]))*BL24</f>
        <v>0</v>
      </c>
      <c r="CN24" s="200">
        <f>(SUMIF(Fonctionnement[Affectation matrice],$AB$3,Fonctionnement[TVA acquittée])+SUMIF(Invest[Affectation matrice],$AB$3,Invest[TVA acquittée]))*BM24</f>
        <v>0</v>
      </c>
      <c r="CO24" s="200">
        <f>(SUMIF(Fonctionnement[Affectation matrice],$AB$3,Fonctionnement[TVA acquittée])+SUMIF(Invest[Affectation matrice],$AB$3,Invest[TVA acquittée]))*BN24</f>
        <v>0</v>
      </c>
      <c r="CP24" s="200">
        <f>(SUMIF(Fonctionnement[Affectation matrice],$AB$3,Fonctionnement[TVA acquittée])+SUMIF(Invest[Affectation matrice],$AB$3,Invest[TVA acquittée]))*BO24</f>
        <v>0</v>
      </c>
      <c r="CQ24" s="200">
        <f>(SUMIF(Fonctionnement[Affectation matrice],$AB$3,Fonctionnement[TVA acquittée])+SUMIF(Invest[Affectation matrice],$AB$3,Invest[TVA acquittée]))*BP24</f>
        <v>0</v>
      </c>
      <c r="CR24" s="200">
        <f>(SUMIF(Fonctionnement[Affectation matrice],$AB$3,Fonctionnement[TVA acquittée])+SUMIF(Invest[Affectation matrice],$AB$3,Invest[TVA acquittée]))*BQ24</f>
        <v>0</v>
      </c>
      <c r="CS24" s="200">
        <f>(SUMIF(Fonctionnement[Affectation matrice],$AB$3,Fonctionnement[TVA acquittée])+SUMIF(Invest[Affectation matrice],$AB$3,Invest[TVA acquittée]))*BR24</f>
        <v>0</v>
      </c>
      <c r="CT24" s="200">
        <f>(SUMIF(Fonctionnement[Affectation matrice],$AB$3,Fonctionnement[TVA acquittée])+SUMIF(Invest[Affectation matrice],$AB$3,Invest[TVA acquittée]))*BS24</f>
        <v>0</v>
      </c>
      <c r="CU24" s="200">
        <f>(SUMIF(Fonctionnement[Affectation matrice],$AB$3,Fonctionnement[TVA acquittée])+SUMIF(Invest[Affectation matrice],$AB$3,Invest[TVA acquittée]))*BT24</f>
        <v>0</v>
      </c>
      <c r="CV24" s="200">
        <f>(SUMIF(Fonctionnement[Affectation matrice],$AB$3,Fonctionnement[TVA acquittée])+SUMIF(Invest[Affectation matrice],$AB$3,Invest[TVA acquittée]))*BU24</f>
        <v>0</v>
      </c>
      <c r="CW24" s="200">
        <f>(SUMIF(Fonctionnement[Affectation matrice],$AB$3,Fonctionnement[TVA acquittée])+SUMIF(Invest[Affectation matrice],$AB$3,Invest[TVA acquittée]))*BV24</f>
        <v>0</v>
      </c>
      <c r="CX24" s="200">
        <f>(SUMIF(Fonctionnement[Affectation matrice],$AB$3,Fonctionnement[TVA acquittée])+SUMIF(Invest[Affectation matrice],$AB$3,Invest[TVA acquittée]))*BW24</f>
        <v>0</v>
      </c>
      <c r="CY24" s="200">
        <f>(SUMIF(Fonctionnement[Affectation matrice],$AB$3,Fonctionnement[TVA acquittée])+SUMIF(Invest[Affectation matrice],$AB$3,Invest[TVA acquittée]))*BX24</f>
        <v>0</v>
      </c>
      <c r="CZ24" s="200">
        <f>(SUMIF(Fonctionnement[Affectation matrice],$AB$3,Fonctionnement[TVA acquittée])+SUMIF(Invest[Affectation matrice],$AB$3,Invest[TVA acquittée]))*BY24</f>
        <v>0</v>
      </c>
      <c r="DA24" s="200">
        <f>(SUMIF(Fonctionnement[Affectation matrice],$AB$3,Fonctionnement[TVA acquittée])+SUMIF(Invest[Affectation matrice],$AB$3,Invest[TVA acquittée]))*BZ24</f>
        <v>0</v>
      </c>
      <c r="DB24" s="200">
        <f>(SUMIF(Fonctionnement[Affectation matrice],$AB$3,Fonctionnement[TVA acquittée])+SUMIF(Invest[Affectation matrice],$AB$3,Invest[TVA acquittée]))*CA24</f>
        <v>0</v>
      </c>
    </row>
    <row r="25" spans="1:106" s="22" customFormat="1" ht="12.75" hidden="1" customHeight="1" x14ac:dyDescent="0.25">
      <c r="A25" s="42" t="str">
        <f>Matrice[[#This Row],[Ligne de la matrice]]</f>
        <v>Matériaux</v>
      </c>
      <c r="B25" s="276">
        <f>(SUMIF(Fonctionnement[Affectation matrice],$AB$3,Fonctionnement[Montant (€HT)])+SUMIF(Invest[Affectation matrice],$AB$3,Invest[Amortissement HT + intérêts]))*BC25</f>
        <v>0</v>
      </c>
      <c r="C25" s="276">
        <f>(SUMIF(Fonctionnement[Affectation matrice],$AB$3,Fonctionnement[Montant (€HT)])+SUMIF(Invest[Affectation matrice],$AB$3,Invest[Amortissement HT + intérêts]))*BD25</f>
        <v>0</v>
      </c>
      <c r="D25" s="276">
        <f>(SUMIF(Fonctionnement[Affectation matrice],$AB$3,Fonctionnement[Montant (€HT)])+SUMIF(Invest[Affectation matrice],$AB$3,Invest[Amortissement HT + intérêts]))*BE25</f>
        <v>0</v>
      </c>
      <c r="E25" s="276">
        <f>(SUMIF(Fonctionnement[Affectation matrice],$AB$3,Fonctionnement[Montant (€HT)])+SUMIF(Invest[Affectation matrice],$AB$3,Invest[Amortissement HT + intérêts]))*BF25</f>
        <v>0</v>
      </c>
      <c r="F25" s="276">
        <f>(SUMIF(Fonctionnement[Affectation matrice],$AB$3,Fonctionnement[Montant (€HT)])+SUMIF(Invest[Affectation matrice],$AB$3,Invest[Amortissement HT + intérêts]))*BG25</f>
        <v>0</v>
      </c>
      <c r="G25" s="276">
        <f>(SUMIF(Fonctionnement[Affectation matrice],$AB$3,Fonctionnement[Montant (€HT)])+SUMIF(Invest[Affectation matrice],$AB$3,Invest[Amortissement HT + intérêts]))*BH25</f>
        <v>0</v>
      </c>
      <c r="H25" s="276">
        <f>(SUMIF(Fonctionnement[Affectation matrice],$AB$3,Fonctionnement[Montant (€HT)])+SUMIF(Invest[Affectation matrice],$AB$3,Invest[Amortissement HT + intérêts]))*BI25</f>
        <v>0</v>
      </c>
      <c r="I25" s="276">
        <f>(SUMIF(Fonctionnement[Affectation matrice],$AB$3,Fonctionnement[Montant (€HT)])+SUMIF(Invest[Affectation matrice],$AB$3,Invest[Amortissement HT + intérêts]))*BJ25</f>
        <v>0</v>
      </c>
      <c r="J25" s="276">
        <f>(SUMIF(Fonctionnement[Affectation matrice],$AB$3,Fonctionnement[Montant (€HT)])+SUMIF(Invest[Affectation matrice],$AB$3,Invest[Amortissement HT + intérêts]))*BK25</f>
        <v>0</v>
      </c>
      <c r="K25" s="276">
        <f>(SUMIF(Fonctionnement[Affectation matrice],$AB$3,Fonctionnement[Montant (€HT)])+SUMIF(Invest[Affectation matrice],$AB$3,Invest[Amortissement HT + intérêts]))*BL25</f>
        <v>0</v>
      </c>
      <c r="L25" s="276">
        <f>(SUMIF(Fonctionnement[Affectation matrice],$AB$3,Fonctionnement[Montant (€HT)])+SUMIF(Invest[Affectation matrice],$AB$3,Invest[Amortissement HT + intérêts]))*BM25</f>
        <v>0</v>
      </c>
      <c r="M25" s="276">
        <f>(SUMIF(Fonctionnement[Affectation matrice],$AB$3,Fonctionnement[Montant (€HT)])+SUMIF(Invest[Affectation matrice],$AB$3,Invest[Amortissement HT + intérêts]))*BN25</f>
        <v>0</v>
      </c>
      <c r="N25" s="276">
        <f>(SUMIF(Fonctionnement[Affectation matrice],$AB$3,Fonctionnement[Montant (€HT)])+SUMIF(Invest[Affectation matrice],$AB$3,Invest[Amortissement HT + intérêts]))*BO25</f>
        <v>0</v>
      </c>
      <c r="O25" s="276">
        <f>(SUMIF(Fonctionnement[Affectation matrice],$AB$3,Fonctionnement[Montant (€HT)])+SUMIF(Invest[Affectation matrice],$AB$3,Invest[Amortissement HT + intérêts]))*BP25</f>
        <v>0</v>
      </c>
      <c r="P25" s="276">
        <f>(SUMIF(Fonctionnement[Affectation matrice],$AB$3,Fonctionnement[Montant (€HT)])+SUMIF(Invest[Affectation matrice],$AB$3,Invest[Amortissement HT + intérêts]))*BQ25</f>
        <v>0</v>
      </c>
      <c r="Q25" s="276">
        <f>(SUMIF(Fonctionnement[Affectation matrice],$AB$3,Fonctionnement[Montant (€HT)])+SUMIF(Invest[Affectation matrice],$AB$3,Invest[Amortissement HT + intérêts]))*BR25</f>
        <v>0</v>
      </c>
      <c r="R25" s="276">
        <f>(SUMIF(Fonctionnement[Affectation matrice],$AB$3,Fonctionnement[Montant (€HT)])+SUMIF(Invest[Affectation matrice],$AB$3,Invest[Amortissement HT + intérêts]))*BS25</f>
        <v>0</v>
      </c>
      <c r="S25" s="276">
        <f>(SUMIF(Fonctionnement[Affectation matrice],$AB$3,Fonctionnement[Montant (€HT)])+SUMIF(Invest[Affectation matrice],$AB$3,Invest[Amortissement HT + intérêts]))*BT25</f>
        <v>0</v>
      </c>
      <c r="T25" s="276">
        <f>(SUMIF(Fonctionnement[Affectation matrice],$AB$3,Fonctionnement[Montant (€HT)])+SUMIF(Invest[Affectation matrice],$AB$3,Invest[Amortissement HT + intérêts]))*BU25</f>
        <v>0</v>
      </c>
      <c r="U25" s="276">
        <f>(SUMIF(Fonctionnement[Affectation matrice],$AB$3,Fonctionnement[Montant (€HT)])+SUMIF(Invest[Affectation matrice],$AB$3,Invest[Amortissement HT + intérêts]))*BV25</f>
        <v>0</v>
      </c>
      <c r="V25" s="276">
        <f>(SUMIF(Fonctionnement[Affectation matrice],$AB$3,Fonctionnement[Montant (€HT)])+SUMIF(Invest[Affectation matrice],$AB$3,Invest[Amortissement HT + intérêts]))*BW25</f>
        <v>0</v>
      </c>
      <c r="W25" s="276">
        <f>(SUMIF(Fonctionnement[Affectation matrice],$AB$3,Fonctionnement[Montant (€HT)])+SUMIF(Invest[Affectation matrice],$AB$3,Invest[Amortissement HT + intérêts]))*BX25</f>
        <v>0</v>
      </c>
      <c r="X25" s="276">
        <f>(SUMIF(Fonctionnement[Affectation matrice],$AB$3,Fonctionnement[Montant (€HT)])+SUMIF(Invest[Affectation matrice],$AB$3,Invest[Amortissement HT + intérêts]))*BY25</f>
        <v>0</v>
      </c>
      <c r="Y25" s="276">
        <f>(SUMIF(Fonctionnement[Affectation matrice],$AB$3,Fonctionnement[Montant (€HT)])+SUMIF(Invest[Affectation matrice],$AB$3,Invest[Amortissement HT + intérêts]))*BZ25</f>
        <v>0</v>
      </c>
      <c r="Z25" s="276">
        <f>(SUMIF(Fonctionnement[Affectation matrice],$AB$3,Fonctionnement[Montant (€HT)])+SUMIF(Invest[Affectation matrice],$AB$3,Invest[Amortissement HT + intérêts]))*CA25</f>
        <v>0</v>
      </c>
      <c r="AA25" s="199"/>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283">
        <f t="shared" si="4"/>
        <v>0</v>
      </c>
      <c r="BB25" s="7"/>
      <c r="BC25" s="61">
        <f t="shared" si="8"/>
        <v>0</v>
      </c>
      <c r="BD25" s="61">
        <f t="shared" si="8"/>
        <v>0</v>
      </c>
      <c r="BE25" s="61">
        <f t="shared" si="8"/>
        <v>0</v>
      </c>
      <c r="BF25" s="61">
        <f t="shared" si="8"/>
        <v>0</v>
      </c>
      <c r="BG25" s="61">
        <f t="shared" si="8"/>
        <v>0</v>
      </c>
      <c r="BH25" s="61">
        <f t="shared" si="8"/>
        <v>0</v>
      </c>
      <c r="BI25" s="61">
        <f t="shared" si="8"/>
        <v>0</v>
      </c>
      <c r="BJ25" s="61">
        <f t="shared" si="8"/>
        <v>0</v>
      </c>
      <c r="BK25" s="61">
        <f t="shared" si="8"/>
        <v>0</v>
      </c>
      <c r="BL25" s="61">
        <f t="shared" si="8"/>
        <v>0</v>
      </c>
      <c r="BM25" s="61">
        <f t="shared" si="8"/>
        <v>0</v>
      </c>
      <c r="BN25" s="61">
        <f t="shared" si="8"/>
        <v>0</v>
      </c>
      <c r="BO25" s="61">
        <f t="shared" si="8"/>
        <v>0</v>
      </c>
      <c r="BP25" s="61">
        <f t="shared" si="8"/>
        <v>0</v>
      </c>
      <c r="BQ25" s="61">
        <f t="shared" si="8"/>
        <v>0</v>
      </c>
      <c r="BR25" s="61">
        <f t="shared" si="8"/>
        <v>0</v>
      </c>
      <c r="BS25" s="61">
        <f t="shared" si="9"/>
        <v>0</v>
      </c>
      <c r="BT25" s="61">
        <f t="shared" si="9"/>
        <v>0</v>
      </c>
      <c r="BU25" s="61">
        <f t="shared" si="9"/>
        <v>0</v>
      </c>
      <c r="BV25" s="61">
        <f t="shared" si="9"/>
        <v>0</v>
      </c>
      <c r="BW25" s="61">
        <f t="shared" si="9"/>
        <v>0</v>
      </c>
      <c r="BX25" s="61">
        <f t="shared" si="9"/>
        <v>0</v>
      </c>
      <c r="BY25" s="61">
        <f t="shared" si="9"/>
        <v>0</v>
      </c>
      <c r="BZ25" s="61">
        <f t="shared" si="9"/>
        <v>0</v>
      </c>
      <c r="CA25" s="61">
        <f t="shared" si="9"/>
        <v>0</v>
      </c>
      <c r="CB25" s="61">
        <f t="shared" si="5"/>
        <v>0</v>
      </c>
      <c r="CD25" s="200">
        <f>(SUMIF(Fonctionnement[Affectation matrice],$AB$3,Fonctionnement[TVA acquittée])+SUMIF(Invest[Affectation matrice],$AB$3,Invest[TVA acquittée]))*BC25</f>
        <v>0</v>
      </c>
      <c r="CE25" s="200">
        <f>(SUMIF(Fonctionnement[Affectation matrice],$AB$3,Fonctionnement[TVA acquittée])+SUMIF(Invest[Affectation matrice],$AB$3,Invest[TVA acquittée]))*BD25</f>
        <v>0</v>
      </c>
      <c r="CF25" s="200">
        <f>(SUMIF(Fonctionnement[Affectation matrice],$AB$3,Fonctionnement[TVA acquittée])+SUMIF(Invest[Affectation matrice],$AB$3,Invest[TVA acquittée]))*BE25</f>
        <v>0</v>
      </c>
      <c r="CG25" s="200">
        <f>(SUMIF(Fonctionnement[Affectation matrice],$AB$3,Fonctionnement[TVA acquittée])+SUMIF(Invest[Affectation matrice],$AB$3,Invest[TVA acquittée]))*BF25</f>
        <v>0</v>
      </c>
      <c r="CH25" s="200">
        <f>(SUMIF(Fonctionnement[Affectation matrice],$AB$3,Fonctionnement[TVA acquittée])+SUMIF(Invest[Affectation matrice],$AB$3,Invest[TVA acquittée]))*BG25</f>
        <v>0</v>
      </c>
      <c r="CI25" s="200">
        <f>(SUMIF(Fonctionnement[Affectation matrice],$AB$3,Fonctionnement[TVA acquittée])+SUMIF(Invest[Affectation matrice],$AB$3,Invest[TVA acquittée]))*BH25</f>
        <v>0</v>
      </c>
      <c r="CJ25" s="200">
        <f>(SUMIF(Fonctionnement[Affectation matrice],$AB$3,Fonctionnement[TVA acquittée])+SUMIF(Invest[Affectation matrice],$AB$3,Invest[TVA acquittée]))*BI25</f>
        <v>0</v>
      </c>
      <c r="CK25" s="200">
        <f>(SUMIF(Fonctionnement[Affectation matrice],$AB$3,Fonctionnement[TVA acquittée])+SUMIF(Invest[Affectation matrice],$AB$3,Invest[TVA acquittée]))*BJ25</f>
        <v>0</v>
      </c>
      <c r="CL25" s="200">
        <f>(SUMIF(Fonctionnement[Affectation matrice],$AB$3,Fonctionnement[TVA acquittée])+SUMIF(Invest[Affectation matrice],$AB$3,Invest[TVA acquittée]))*BK25</f>
        <v>0</v>
      </c>
      <c r="CM25" s="200">
        <f>(SUMIF(Fonctionnement[Affectation matrice],$AB$3,Fonctionnement[TVA acquittée])+SUMIF(Invest[Affectation matrice],$AB$3,Invest[TVA acquittée]))*BL25</f>
        <v>0</v>
      </c>
      <c r="CN25" s="200">
        <f>(SUMIF(Fonctionnement[Affectation matrice],$AB$3,Fonctionnement[TVA acquittée])+SUMIF(Invest[Affectation matrice],$AB$3,Invest[TVA acquittée]))*BM25</f>
        <v>0</v>
      </c>
      <c r="CO25" s="200">
        <f>(SUMIF(Fonctionnement[Affectation matrice],$AB$3,Fonctionnement[TVA acquittée])+SUMIF(Invest[Affectation matrice],$AB$3,Invest[TVA acquittée]))*BN25</f>
        <v>0</v>
      </c>
      <c r="CP25" s="200">
        <f>(SUMIF(Fonctionnement[Affectation matrice],$AB$3,Fonctionnement[TVA acquittée])+SUMIF(Invest[Affectation matrice],$AB$3,Invest[TVA acquittée]))*BO25</f>
        <v>0</v>
      </c>
      <c r="CQ25" s="200">
        <f>(SUMIF(Fonctionnement[Affectation matrice],$AB$3,Fonctionnement[TVA acquittée])+SUMIF(Invest[Affectation matrice],$AB$3,Invest[TVA acquittée]))*BP25</f>
        <v>0</v>
      </c>
      <c r="CR25" s="200">
        <f>(SUMIF(Fonctionnement[Affectation matrice],$AB$3,Fonctionnement[TVA acquittée])+SUMIF(Invest[Affectation matrice],$AB$3,Invest[TVA acquittée]))*BQ25</f>
        <v>0</v>
      </c>
      <c r="CS25" s="200">
        <f>(SUMIF(Fonctionnement[Affectation matrice],$AB$3,Fonctionnement[TVA acquittée])+SUMIF(Invest[Affectation matrice],$AB$3,Invest[TVA acquittée]))*BR25</f>
        <v>0</v>
      </c>
      <c r="CT25" s="200">
        <f>(SUMIF(Fonctionnement[Affectation matrice],$AB$3,Fonctionnement[TVA acquittée])+SUMIF(Invest[Affectation matrice],$AB$3,Invest[TVA acquittée]))*BS25</f>
        <v>0</v>
      </c>
      <c r="CU25" s="200">
        <f>(SUMIF(Fonctionnement[Affectation matrice],$AB$3,Fonctionnement[TVA acquittée])+SUMIF(Invest[Affectation matrice],$AB$3,Invest[TVA acquittée]))*BT25</f>
        <v>0</v>
      </c>
      <c r="CV25" s="200">
        <f>(SUMIF(Fonctionnement[Affectation matrice],$AB$3,Fonctionnement[TVA acquittée])+SUMIF(Invest[Affectation matrice],$AB$3,Invest[TVA acquittée]))*BU25</f>
        <v>0</v>
      </c>
      <c r="CW25" s="200">
        <f>(SUMIF(Fonctionnement[Affectation matrice],$AB$3,Fonctionnement[TVA acquittée])+SUMIF(Invest[Affectation matrice],$AB$3,Invest[TVA acquittée]))*BV25</f>
        <v>0</v>
      </c>
      <c r="CX25" s="200">
        <f>(SUMIF(Fonctionnement[Affectation matrice],$AB$3,Fonctionnement[TVA acquittée])+SUMIF(Invest[Affectation matrice],$AB$3,Invest[TVA acquittée]))*BW25</f>
        <v>0</v>
      </c>
      <c r="CY25" s="200">
        <f>(SUMIF(Fonctionnement[Affectation matrice],$AB$3,Fonctionnement[TVA acquittée])+SUMIF(Invest[Affectation matrice],$AB$3,Invest[TVA acquittée]))*BX25</f>
        <v>0</v>
      </c>
      <c r="CZ25" s="200">
        <f>(SUMIF(Fonctionnement[Affectation matrice],$AB$3,Fonctionnement[TVA acquittée])+SUMIF(Invest[Affectation matrice],$AB$3,Invest[TVA acquittée]))*BY25</f>
        <v>0</v>
      </c>
      <c r="DA25" s="200">
        <f>(SUMIF(Fonctionnement[Affectation matrice],$AB$3,Fonctionnement[TVA acquittée])+SUMIF(Invest[Affectation matrice],$AB$3,Invest[TVA acquittée]))*BZ25</f>
        <v>0</v>
      </c>
      <c r="DB25" s="200">
        <f>(SUMIF(Fonctionnement[Affectation matrice],$AB$3,Fonctionnement[TVA acquittée])+SUMIF(Invest[Affectation matrice],$AB$3,Invest[TVA acquittée]))*CA25</f>
        <v>0</v>
      </c>
    </row>
    <row r="26" spans="1:106" s="22" customFormat="1" ht="12.75" hidden="1" customHeight="1" x14ac:dyDescent="0.25">
      <c r="A26" s="42" t="str">
        <f>Matrice[[#This Row],[Ligne de la matrice]]</f>
        <v>Compost</v>
      </c>
      <c r="B26" s="276">
        <f>(SUMIF(Fonctionnement[Affectation matrice],$AB$3,Fonctionnement[Montant (€HT)])+SUMIF(Invest[Affectation matrice],$AB$3,Invest[Amortissement HT + intérêts]))*BC26</f>
        <v>0</v>
      </c>
      <c r="C26" s="276">
        <f>(SUMIF(Fonctionnement[Affectation matrice],$AB$3,Fonctionnement[Montant (€HT)])+SUMIF(Invest[Affectation matrice],$AB$3,Invest[Amortissement HT + intérêts]))*BD26</f>
        <v>0</v>
      </c>
      <c r="D26" s="276">
        <f>(SUMIF(Fonctionnement[Affectation matrice],$AB$3,Fonctionnement[Montant (€HT)])+SUMIF(Invest[Affectation matrice],$AB$3,Invest[Amortissement HT + intérêts]))*BE26</f>
        <v>0</v>
      </c>
      <c r="E26" s="276">
        <f>(SUMIF(Fonctionnement[Affectation matrice],$AB$3,Fonctionnement[Montant (€HT)])+SUMIF(Invest[Affectation matrice],$AB$3,Invest[Amortissement HT + intérêts]))*BF26</f>
        <v>0</v>
      </c>
      <c r="F26" s="276">
        <f>(SUMIF(Fonctionnement[Affectation matrice],$AB$3,Fonctionnement[Montant (€HT)])+SUMIF(Invest[Affectation matrice],$AB$3,Invest[Amortissement HT + intérêts]))*BG26</f>
        <v>0</v>
      </c>
      <c r="G26" s="276">
        <f>(SUMIF(Fonctionnement[Affectation matrice],$AB$3,Fonctionnement[Montant (€HT)])+SUMIF(Invest[Affectation matrice],$AB$3,Invest[Amortissement HT + intérêts]))*BH26</f>
        <v>0</v>
      </c>
      <c r="H26" s="276">
        <f>(SUMIF(Fonctionnement[Affectation matrice],$AB$3,Fonctionnement[Montant (€HT)])+SUMIF(Invest[Affectation matrice],$AB$3,Invest[Amortissement HT + intérêts]))*BI26</f>
        <v>0</v>
      </c>
      <c r="I26" s="276">
        <f>(SUMIF(Fonctionnement[Affectation matrice],$AB$3,Fonctionnement[Montant (€HT)])+SUMIF(Invest[Affectation matrice],$AB$3,Invest[Amortissement HT + intérêts]))*BJ26</f>
        <v>0</v>
      </c>
      <c r="J26" s="276">
        <f>(SUMIF(Fonctionnement[Affectation matrice],$AB$3,Fonctionnement[Montant (€HT)])+SUMIF(Invest[Affectation matrice],$AB$3,Invest[Amortissement HT + intérêts]))*BK26</f>
        <v>0</v>
      </c>
      <c r="K26" s="276">
        <f>(SUMIF(Fonctionnement[Affectation matrice],$AB$3,Fonctionnement[Montant (€HT)])+SUMIF(Invest[Affectation matrice],$AB$3,Invest[Amortissement HT + intérêts]))*BL26</f>
        <v>0</v>
      </c>
      <c r="L26" s="276">
        <f>(SUMIF(Fonctionnement[Affectation matrice],$AB$3,Fonctionnement[Montant (€HT)])+SUMIF(Invest[Affectation matrice],$AB$3,Invest[Amortissement HT + intérêts]))*BM26</f>
        <v>0</v>
      </c>
      <c r="M26" s="276">
        <f>(SUMIF(Fonctionnement[Affectation matrice],$AB$3,Fonctionnement[Montant (€HT)])+SUMIF(Invest[Affectation matrice],$AB$3,Invest[Amortissement HT + intérêts]))*BN26</f>
        <v>0</v>
      </c>
      <c r="N26" s="276">
        <f>(SUMIF(Fonctionnement[Affectation matrice],$AB$3,Fonctionnement[Montant (€HT)])+SUMIF(Invest[Affectation matrice],$AB$3,Invest[Amortissement HT + intérêts]))*BO26</f>
        <v>0</v>
      </c>
      <c r="O26" s="276">
        <f>(SUMIF(Fonctionnement[Affectation matrice],$AB$3,Fonctionnement[Montant (€HT)])+SUMIF(Invest[Affectation matrice],$AB$3,Invest[Amortissement HT + intérêts]))*BP26</f>
        <v>0</v>
      </c>
      <c r="P26" s="276">
        <f>(SUMIF(Fonctionnement[Affectation matrice],$AB$3,Fonctionnement[Montant (€HT)])+SUMIF(Invest[Affectation matrice],$AB$3,Invest[Amortissement HT + intérêts]))*BQ26</f>
        <v>0</v>
      </c>
      <c r="Q26" s="276">
        <f>(SUMIF(Fonctionnement[Affectation matrice],$AB$3,Fonctionnement[Montant (€HT)])+SUMIF(Invest[Affectation matrice],$AB$3,Invest[Amortissement HT + intérêts]))*BR26</f>
        <v>0</v>
      </c>
      <c r="R26" s="276">
        <f>(SUMIF(Fonctionnement[Affectation matrice],$AB$3,Fonctionnement[Montant (€HT)])+SUMIF(Invest[Affectation matrice],$AB$3,Invest[Amortissement HT + intérêts]))*BS26</f>
        <v>0</v>
      </c>
      <c r="S26" s="276">
        <f>(SUMIF(Fonctionnement[Affectation matrice],$AB$3,Fonctionnement[Montant (€HT)])+SUMIF(Invest[Affectation matrice],$AB$3,Invest[Amortissement HT + intérêts]))*BT26</f>
        <v>0</v>
      </c>
      <c r="T26" s="276">
        <f>(SUMIF(Fonctionnement[Affectation matrice],$AB$3,Fonctionnement[Montant (€HT)])+SUMIF(Invest[Affectation matrice],$AB$3,Invest[Amortissement HT + intérêts]))*BU26</f>
        <v>0</v>
      </c>
      <c r="U26" s="276">
        <f>(SUMIF(Fonctionnement[Affectation matrice],$AB$3,Fonctionnement[Montant (€HT)])+SUMIF(Invest[Affectation matrice],$AB$3,Invest[Amortissement HT + intérêts]))*BV26</f>
        <v>0</v>
      </c>
      <c r="V26" s="276">
        <f>(SUMIF(Fonctionnement[Affectation matrice],$AB$3,Fonctionnement[Montant (€HT)])+SUMIF(Invest[Affectation matrice],$AB$3,Invest[Amortissement HT + intérêts]))*BW26</f>
        <v>0</v>
      </c>
      <c r="W26" s="276">
        <f>(SUMIF(Fonctionnement[Affectation matrice],$AB$3,Fonctionnement[Montant (€HT)])+SUMIF(Invest[Affectation matrice],$AB$3,Invest[Amortissement HT + intérêts]))*BX26</f>
        <v>0</v>
      </c>
      <c r="X26" s="276">
        <f>(SUMIF(Fonctionnement[Affectation matrice],$AB$3,Fonctionnement[Montant (€HT)])+SUMIF(Invest[Affectation matrice],$AB$3,Invest[Amortissement HT + intérêts]))*BY26</f>
        <v>0</v>
      </c>
      <c r="Y26" s="276">
        <f>(SUMIF(Fonctionnement[Affectation matrice],$AB$3,Fonctionnement[Montant (€HT)])+SUMIF(Invest[Affectation matrice],$AB$3,Invest[Amortissement HT + intérêts]))*BZ26</f>
        <v>0</v>
      </c>
      <c r="Z26" s="276">
        <f>(SUMIF(Fonctionnement[Affectation matrice],$AB$3,Fonctionnement[Montant (€HT)])+SUMIF(Invest[Affectation matrice],$AB$3,Invest[Amortissement HT + intérêts]))*CA26</f>
        <v>0</v>
      </c>
      <c r="AA26" s="199"/>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283">
        <f t="shared" si="4"/>
        <v>0</v>
      </c>
      <c r="BB26" s="7"/>
      <c r="BC26" s="61">
        <f t="shared" si="8"/>
        <v>0</v>
      </c>
      <c r="BD26" s="61">
        <f t="shared" si="8"/>
        <v>0</v>
      </c>
      <c r="BE26" s="61">
        <f t="shared" si="8"/>
        <v>0</v>
      </c>
      <c r="BF26" s="61">
        <f t="shared" si="8"/>
        <v>0</v>
      </c>
      <c r="BG26" s="61">
        <f t="shared" si="8"/>
        <v>0</v>
      </c>
      <c r="BH26" s="61">
        <f t="shared" si="8"/>
        <v>0</v>
      </c>
      <c r="BI26" s="61">
        <f t="shared" si="8"/>
        <v>0</v>
      </c>
      <c r="BJ26" s="61">
        <f t="shared" si="8"/>
        <v>0</v>
      </c>
      <c r="BK26" s="61">
        <f t="shared" si="8"/>
        <v>0</v>
      </c>
      <c r="BL26" s="61">
        <f t="shared" si="8"/>
        <v>0</v>
      </c>
      <c r="BM26" s="61">
        <f t="shared" si="8"/>
        <v>0</v>
      </c>
      <c r="BN26" s="61">
        <f t="shared" si="8"/>
        <v>0</v>
      </c>
      <c r="BO26" s="61">
        <f t="shared" si="8"/>
        <v>0</v>
      </c>
      <c r="BP26" s="61">
        <f t="shared" si="8"/>
        <v>0</v>
      </c>
      <c r="BQ26" s="61">
        <f t="shared" si="8"/>
        <v>0</v>
      </c>
      <c r="BR26" s="61">
        <f t="shared" si="8"/>
        <v>0</v>
      </c>
      <c r="BS26" s="61">
        <f t="shared" si="9"/>
        <v>0</v>
      </c>
      <c r="BT26" s="61">
        <f t="shared" si="9"/>
        <v>0</v>
      </c>
      <c r="BU26" s="61">
        <f t="shared" si="9"/>
        <v>0</v>
      </c>
      <c r="BV26" s="61">
        <f t="shared" si="9"/>
        <v>0</v>
      </c>
      <c r="BW26" s="61">
        <f t="shared" si="9"/>
        <v>0</v>
      </c>
      <c r="BX26" s="61">
        <f t="shared" si="9"/>
        <v>0</v>
      </c>
      <c r="BY26" s="61">
        <f t="shared" si="9"/>
        <v>0</v>
      </c>
      <c r="BZ26" s="61">
        <f t="shared" si="9"/>
        <v>0</v>
      </c>
      <c r="CA26" s="61">
        <f t="shared" si="9"/>
        <v>0</v>
      </c>
      <c r="CB26" s="61">
        <f t="shared" si="5"/>
        <v>0</v>
      </c>
      <c r="CD26" s="200">
        <f>(SUMIF(Fonctionnement[Affectation matrice],$AB$3,Fonctionnement[TVA acquittée])+SUMIF(Invest[Affectation matrice],$AB$3,Invest[TVA acquittée]))*BC26</f>
        <v>0</v>
      </c>
      <c r="CE26" s="200">
        <f>(SUMIF(Fonctionnement[Affectation matrice],$AB$3,Fonctionnement[TVA acquittée])+SUMIF(Invest[Affectation matrice],$AB$3,Invest[TVA acquittée]))*BD26</f>
        <v>0</v>
      </c>
      <c r="CF26" s="200">
        <f>(SUMIF(Fonctionnement[Affectation matrice],$AB$3,Fonctionnement[TVA acquittée])+SUMIF(Invest[Affectation matrice],$AB$3,Invest[TVA acquittée]))*BE26</f>
        <v>0</v>
      </c>
      <c r="CG26" s="200">
        <f>(SUMIF(Fonctionnement[Affectation matrice],$AB$3,Fonctionnement[TVA acquittée])+SUMIF(Invest[Affectation matrice],$AB$3,Invest[TVA acquittée]))*BF26</f>
        <v>0</v>
      </c>
      <c r="CH26" s="200">
        <f>(SUMIF(Fonctionnement[Affectation matrice],$AB$3,Fonctionnement[TVA acquittée])+SUMIF(Invest[Affectation matrice],$AB$3,Invest[TVA acquittée]))*BG26</f>
        <v>0</v>
      </c>
      <c r="CI26" s="200">
        <f>(SUMIF(Fonctionnement[Affectation matrice],$AB$3,Fonctionnement[TVA acquittée])+SUMIF(Invest[Affectation matrice],$AB$3,Invest[TVA acquittée]))*BH26</f>
        <v>0</v>
      </c>
      <c r="CJ26" s="200">
        <f>(SUMIF(Fonctionnement[Affectation matrice],$AB$3,Fonctionnement[TVA acquittée])+SUMIF(Invest[Affectation matrice],$AB$3,Invest[TVA acquittée]))*BI26</f>
        <v>0</v>
      </c>
      <c r="CK26" s="200">
        <f>(SUMIF(Fonctionnement[Affectation matrice],$AB$3,Fonctionnement[TVA acquittée])+SUMIF(Invest[Affectation matrice],$AB$3,Invest[TVA acquittée]))*BJ26</f>
        <v>0</v>
      </c>
      <c r="CL26" s="200">
        <f>(SUMIF(Fonctionnement[Affectation matrice],$AB$3,Fonctionnement[TVA acquittée])+SUMIF(Invest[Affectation matrice],$AB$3,Invest[TVA acquittée]))*BK26</f>
        <v>0</v>
      </c>
      <c r="CM26" s="200">
        <f>(SUMIF(Fonctionnement[Affectation matrice],$AB$3,Fonctionnement[TVA acquittée])+SUMIF(Invest[Affectation matrice],$AB$3,Invest[TVA acquittée]))*BL26</f>
        <v>0</v>
      </c>
      <c r="CN26" s="200">
        <f>(SUMIF(Fonctionnement[Affectation matrice],$AB$3,Fonctionnement[TVA acquittée])+SUMIF(Invest[Affectation matrice],$AB$3,Invest[TVA acquittée]))*BM26</f>
        <v>0</v>
      </c>
      <c r="CO26" s="200">
        <f>(SUMIF(Fonctionnement[Affectation matrice],$AB$3,Fonctionnement[TVA acquittée])+SUMIF(Invest[Affectation matrice],$AB$3,Invest[TVA acquittée]))*BN26</f>
        <v>0</v>
      </c>
      <c r="CP26" s="200">
        <f>(SUMIF(Fonctionnement[Affectation matrice],$AB$3,Fonctionnement[TVA acquittée])+SUMIF(Invest[Affectation matrice],$AB$3,Invest[TVA acquittée]))*BO26</f>
        <v>0</v>
      </c>
      <c r="CQ26" s="200">
        <f>(SUMIF(Fonctionnement[Affectation matrice],$AB$3,Fonctionnement[TVA acquittée])+SUMIF(Invest[Affectation matrice],$AB$3,Invest[TVA acquittée]))*BP26</f>
        <v>0</v>
      </c>
      <c r="CR26" s="200">
        <f>(SUMIF(Fonctionnement[Affectation matrice],$AB$3,Fonctionnement[TVA acquittée])+SUMIF(Invest[Affectation matrice],$AB$3,Invest[TVA acquittée]))*BQ26</f>
        <v>0</v>
      </c>
      <c r="CS26" s="200">
        <f>(SUMIF(Fonctionnement[Affectation matrice],$AB$3,Fonctionnement[TVA acquittée])+SUMIF(Invest[Affectation matrice],$AB$3,Invest[TVA acquittée]))*BR26</f>
        <v>0</v>
      </c>
      <c r="CT26" s="200">
        <f>(SUMIF(Fonctionnement[Affectation matrice],$AB$3,Fonctionnement[TVA acquittée])+SUMIF(Invest[Affectation matrice],$AB$3,Invest[TVA acquittée]))*BS26</f>
        <v>0</v>
      </c>
      <c r="CU26" s="200">
        <f>(SUMIF(Fonctionnement[Affectation matrice],$AB$3,Fonctionnement[TVA acquittée])+SUMIF(Invest[Affectation matrice],$AB$3,Invest[TVA acquittée]))*BT26</f>
        <v>0</v>
      </c>
      <c r="CV26" s="200">
        <f>(SUMIF(Fonctionnement[Affectation matrice],$AB$3,Fonctionnement[TVA acquittée])+SUMIF(Invest[Affectation matrice],$AB$3,Invest[TVA acquittée]))*BU26</f>
        <v>0</v>
      </c>
      <c r="CW26" s="200">
        <f>(SUMIF(Fonctionnement[Affectation matrice],$AB$3,Fonctionnement[TVA acquittée])+SUMIF(Invest[Affectation matrice],$AB$3,Invest[TVA acquittée]))*BV26</f>
        <v>0</v>
      </c>
      <c r="CX26" s="200">
        <f>(SUMIF(Fonctionnement[Affectation matrice],$AB$3,Fonctionnement[TVA acquittée])+SUMIF(Invest[Affectation matrice],$AB$3,Invest[TVA acquittée]))*BW26</f>
        <v>0</v>
      </c>
      <c r="CY26" s="200">
        <f>(SUMIF(Fonctionnement[Affectation matrice],$AB$3,Fonctionnement[TVA acquittée])+SUMIF(Invest[Affectation matrice],$AB$3,Invest[TVA acquittée]))*BX26</f>
        <v>0</v>
      </c>
      <c r="CZ26" s="200">
        <f>(SUMIF(Fonctionnement[Affectation matrice],$AB$3,Fonctionnement[TVA acquittée])+SUMIF(Invest[Affectation matrice],$AB$3,Invest[TVA acquittée]))*BY26</f>
        <v>0</v>
      </c>
      <c r="DA26" s="200">
        <f>(SUMIF(Fonctionnement[Affectation matrice],$AB$3,Fonctionnement[TVA acquittée])+SUMIF(Invest[Affectation matrice],$AB$3,Invest[TVA acquittée]))*BZ26</f>
        <v>0</v>
      </c>
      <c r="DB26" s="200">
        <f>(SUMIF(Fonctionnement[Affectation matrice],$AB$3,Fonctionnement[TVA acquittée])+SUMIF(Invest[Affectation matrice],$AB$3,Invest[TVA acquittée]))*CA26</f>
        <v>0</v>
      </c>
    </row>
    <row r="27" spans="1:106" s="22" customFormat="1" ht="12.75" hidden="1" customHeight="1" x14ac:dyDescent="0.25">
      <c r="A27" s="42" t="str">
        <f>Matrice[[#This Row],[Ligne de la matrice]]</f>
        <v>Énergie</v>
      </c>
      <c r="B27" s="276">
        <f>(SUMIF(Fonctionnement[Affectation matrice],$AB$3,Fonctionnement[Montant (€HT)])+SUMIF(Invest[Affectation matrice],$AB$3,Invest[Amortissement HT + intérêts]))*BC27</f>
        <v>0</v>
      </c>
      <c r="C27" s="276">
        <f>(SUMIF(Fonctionnement[Affectation matrice],$AB$3,Fonctionnement[Montant (€HT)])+SUMIF(Invest[Affectation matrice],$AB$3,Invest[Amortissement HT + intérêts]))*BD27</f>
        <v>0</v>
      </c>
      <c r="D27" s="276">
        <f>(SUMIF(Fonctionnement[Affectation matrice],$AB$3,Fonctionnement[Montant (€HT)])+SUMIF(Invest[Affectation matrice],$AB$3,Invest[Amortissement HT + intérêts]))*BE27</f>
        <v>0</v>
      </c>
      <c r="E27" s="276">
        <f>(SUMIF(Fonctionnement[Affectation matrice],$AB$3,Fonctionnement[Montant (€HT)])+SUMIF(Invest[Affectation matrice],$AB$3,Invest[Amortissement HT + intérêts]))*BF27</f>
        <v>0</v>
      </c>
      <c r="F27" s="276">
        <f>(SUMIF(Fonctionnement[Affectation matrice],$AB$3,Fonctionnement[Montant (€HT)])+SUMIF(Invest[Affectation matrice],$AB$3,Invest[Amortissement HT + intérêts]))*BG27</f>
        <v>0</v>
      </c>
      <c r="G27" s="276">
        <f>(SUMIF(Fonctionnement[Affectation matrice],$AB$3,Fonctionnement[Montant (€HT)])+SUMIF(Invest[Affectation matrice],$AB$3,Invest[Amortissement HT + intérêts]))*BH27</f>
        <v>0</v>
      </c>
      <c r="H27" s="276">
        <f>(SUMIF(Fonctionnement[Affectation matrice],$AB$3,Fonctionnement[Montant (€HT)])+SUMIF(Invest[Affectation matrice],$AB$3,Invest[Amortissement HT + intérêts]))*BI27</f>
        <v>0</v>
      </c>
      <c r="I27" s="276">
        <f>(SUMIF(Fonctionnement[Affectation matrice],$AB$3,Fonctionnement[Montant (€HT)])+SUMIF(Invest[Affectation matrice],$AB$3,Invest[Amortissement HT + intérêts]))*BJ27</f>
        <v>0</v>
      </c>
      <c r="J27" s="276">
        <f>(SUMIF(Fonctionnement[Affectation matrice],$AB$3,Fonctionnement[Montant (€HT)])+SUMIF(Invest[Affectation matrice],$AB$3,Invest[Amortissement HT + intérêts]))*BK27</f>
        <v>0</v>
      </c>
      <c r="K27" s="276">
        <f>(SUMIF(Fonctionnement[Affectation matrice],$AB$3,Fonctionnement[Montant (€HT)])+SUMIF(Invest[Affectation matrice],$AB$3,Invest[Amortissement HT + intérêts]))*BL27</f>
        <v>0</v>
      </c>
      <c r="L27" s="276">
        <f>(SUMIF(Fonctionnement[Affectation matrice],$AB$3,Fonctionnement[Montant (€HT)])+SUMIF(Invest[Affectation matrice],$AB$3,Invest[Amortissement HT + intérêts]))*BM27</f>
        <v>0</v>
      </c>
      <c r="M27" s="276">
        <f>(SUMIF(Fonctionnement[Affectation matrice],$AB$3,Fonctionnement[Montant (€HT)])+SUMIF(Invest[Affectation matrice],$AB$3,Invest[Amortissement HT + intérêts]))*BN27</f>
        <v>0</v>
      </c>
      <c r="N27" s="276">
        <f>(SUMIF(Fonctionnement[Affectation matrice],$AB$3,Fonctionnement[Montant (€HT)])+SUMIF(Invest[Affectation matrice],$AB$3,Invest[Amortissement HT + intérêts]))*BO27</f>
        <v>0</v>
      </c>
      <c r="O27" s="276">
        <f>(SUMIF(Fonctionnement[Affectation matrice],$AB$3,Fonctionnement[Montant (€HT)])+SUMIF(Invest[Affectation matrice],$AB$3,Invest[Amortissement HT + intérêts]))*BP27</f>
        <v>0</v>
      </c>
      <c r="P27" s="276">
        <f>(SUMIF(Fonctionnement[Affectation matrice],$AB$3,Fonctionnement[Montant (€HT)])+SUMIF(Invest[Affectation matrice],$AB$3,Invest[Amortissement HT + intérêts]))*BQ27</f>
        <v>0</v>
      </c>
      <c r="Q27" s="276">
        <f>(SUMIF(Fonctionnement[Affectation matrice],$AB$3,Fonctionnement[Montant (€HT)])+SUMIF(Invest[Affectation matrice],$AB$3,Invest[Amortissement HT + intérêts]))*BR27</f>
        <v>0</v>
      </c>
      <c r="R27" s="276">
        <f>(SUMIF(Fonctionnement[Affectation matrice],$AB$3,Fonctionnement[Montant (€HT)])+SUMIF(Invest[Affectation matrice],$AB$3,Invest[Amortissement HT + intérêts]))*BS27</f>
        <v>0</v>
      </c>
      <c r="S27" s="276">
        <f>(SUMIF(Fonctionnement[Affectation matrice],$AB$3,Fonctionnement[Montant (€HT)])+SUMIF(Invest[Affectation matrice],$AB$3,Invest[Amortissement HT + intérêts]))*BT27</f>
        <v>0</v>
      </c>
      <c r="T27" s="276">
        <f>(SUMIF(Fonctionnement[Affectation matrice],$AB$3,Fonctionnement[Montant (€HT)])+SUMIF(Invest[Affectation matrice],$AB$3,Invest[Amortissement HT + intérêts]))*BU27</f>
        <v>0</v>
      </c>
      <c r="U27" s="276">
        <f>(SUMIF(Fonctionnement[Affectation matrice],$AB$3,Fonctionnement[Montant (€HT)])+SUMIF(Invest[Affectation matrice],$AB$3,Invest[Amortissement HT + intérêts]))*BV27</f>
        <v>0</v>
      </c>
      <c r="V27" s="276">
        <f>(SUMIF(Fonctionnement[Affectation matrice],$AB$3,Fonctionnement[Montant (€HT)])+SUMIF(Invest[Affectation matrice],$AB$3,Invest[Amortissement HT + intérêts]))*BW27</f>
        <v>0</v>
      </c>
      <c r="W27" s="276">
        <f>(SUMIF(Fonctionnement[Affectation matrice],$AB$3,Fonctionnement[Montant (€HT)])+SUMIF(Invest[Affectation matrice],$AB$3,Invest[Amortissement HT + intérêts]))*BX27</f>
        <v>0</v>
      </c>
      <c r="X27" s="276">
        <f>(SUMIF(Fonctionnement[Affectation matrice],$AB$3,Fonctionnement[Montant (€HT)])+SUMIF(Invest[Affectation matrice],$AB$3,Invest[Amortissement HT + intérêts]))*BY27</f>
        <v>0</v>
      </c>
      <c r="Y27" s="276">
        <f>(SUMIF(Fonctionnement[Affectation matrice],$AB$3,Fonctionnement[Montant (€HT)])+SUMIF(Invest[Affectation matrice],$AB$3,Invest[Amortissement HT + intérêts]))*BZ27</f>
        <v>0</v>
      </c>
      <c r="Z27" s="276">
        <f>(SUMIF(Fonctionnement[Affectation matrice],$AB$3,Fonctionnement[Montant (€HT)])+SUMIF(Invest[Affectation matrice],$AB$3,Invest[Amortissement HT + intérêts]))*CA27</f>
        <v>0</v>
      </c>
      <c r="AA27" s="199"/>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283">
        <f t="shared" si="4"/>
        <v>0</v>
      </c>
      <c r="BB27" s="7"/>
      <c r="BC27" s="61">
        <f t="shared" si="8"/>
        <v>0</v>
      </c>
      <c r="BD27" s="61">
        <f t="shared" si="8"/>
        <v>0</v>
      </c>
      <c r="BE27" s="61">
        <f t="shared" si="8"/>
        <v>0</v>
      </c>
      <c r="BF27" s="61">
        <f t="shared" si="8"/>
        <v>0</v>
      </c>
      <c r="BG27" s="61">
        <f t="shared" si="8"/>
        <v>0</v>
      </c>
      <c r="BH27" s="61">
        <f t="shared" si="8"/>
        <v>0</v>
      </c>
      <c r="BI27" s="61">
        <f t="shared" si="8"/>
        <v>0</v>
      </c>
      <c r="BJ27" s="61">
        <f t="shared" si="8"/>
        <v>0</v>
      </c>
      <c r="BK27" s="61">
        <f t="shared" si="8"/>
        <v>0</v>
      </c>
      <c r="BL27" s="61">
        <f t="shared" si="8"/>
        <v>0</v>
      </c>
      <c r="BM27" s="61">
        <f t="shared" si="8"/>
        <v>0</v>
      </c>
      <c r="BN27" s="61">
        <f t="shared" si="8"/>
        <v>0</v>
      </c>
      <c r="BO27" s="61">
        <f t="shared" si="8"/>
        <v>0</v>
      </c>
      <c r="BP27" s="61">
        <f t="shared" si="8"/>
        <v>0</v>
      </c>
      <c r="BQ27" s="61">
        <f t="shared" si="8"/>
        <v>0</v>
      </c>
      <c r="BR27" s="61">
        <f t="shared" si="8"/>
        <v>0</v>
      </c>
      <c r="BS27" s="61">
        <f t="shared" si="9"/>
        <v>0</v>
      </c>
      <c r="BT27" s="61">
        <f t="shared" si="9"/>
        <v>0</v>
      </c>
      <c r="BU27" s="61">
        <f t="shared" si="9"/>
        <v>0</v>
      </c>
      <c r="BV27" s="61">
        <f t="shared" si="9"/>
        <v>0</v>
      </c>
      <c r="BW27" s="61">
        <f t="shared" si="9"/>
        <v>0</v>
      </c>
      <c r="BX27" s="61">
        <f t="shared" si="9"/>
        <v>0</v>
      </c>
      <c r="BY27" s="61">
        <f t="shared" si="9"/>
        <v>0</v>
      </c>
      <c r="BZ27" s="61">
        <f t="shared" si="9"/>
        <v>0</v>
      </c>
      <c r="CA27" s="61">
        <f t="shared" si="9"/>
        <v>0</v>
      </c>
      <c r="CB27" s="61">
        <f t="shared" si="5"/>
        <v>0</v>
      </c>
      <c r="CD27" s="200">
        <f>(SUMIF(Fonctionnement[Affectation matrice],$AB$3,Fonctionnement[TVA acquittée])+SUMIF(Invest[Affectation matrice],$AB$3,Invest[TVA acquittée]))*BC27</f>
        <v>0</v>
      </c>
      <c r="CE27" s="200">
        <f>(SUMIF(Fonctionnement[Affectation matrice],$AB$3,Fonctionnement[TVA acquittée])+SUMIF(Invest[Affectation matrice],$AB$3,Invest[TVA acquittée]))*BD27</f>
        <v>0</v>
      </c>
      <c r="CF27" s="200">
        <f>(SUMIF(Fonctionnement[Affectation matrice],$AB$3,Fonctionnement[TVA acquittée])+SUMIF(Invest[Affectation matrice],$AB$3,Invest[TVA acquittée]))*BE27</f>
        <v>0</v>
      </c>
      <c r="CG27" s="200">
        <f>(SUMIF(Fonctionnement[Affectation matrice],$AB$3,Fonctionnement[TVA acquittée])+SUMIF(Invest[Affectation matrice],$AB$3,Invest[TVA acquittée]))*BF27</f>
        <v>0</v>
      </c>
      <c r="CH27" s="200">
        <f>(SUMIF(Fonctionnement[Affectation matrice],$AB$3,Fonctionnement[TVA acquittée])+SUMIF(Invest[Affectation matrice],$AB$3,Invest[TVA acquittée]))*BG27</f>
        <v>0</v>
      </c>
      <c r="CI27" s="200">
        <f>(SUMIF(Fonctionnement[Affectation matrice],$AB$3,Fonctionnement[TVA acquittée])+SUMIF(Invest[Affectation matrice],$AB$3,Invest[TVA acquittée]))*BH27</f>
        <v>0</v>
      </c>
      <c r="CJ27" s="200">
        <f>(SUMIF(Fonctionnement[Affectation matrice],$AB$3,Fonctionnement[TVA acquittée])+SUMIF(Invest[Affectation matrice],$AB$3,Invest[TVA acquittée]))*BI27</f>
        <v>0</v>
      </c>
      <c r="CK27" s="200">
        <f>(SUMIF(Fonctionnement[Affectation matrice],$AB$3,Fonctionnement[TVA acquittée])+SUMIF(Invest[Affectation matrice],$AB$3,Invest[TVA acquittée]))*BJ27</f>
        <v>0</v>
      </c>
      <c r="CL27" s="200">
        <f>(SUMIF(Fonctionnement[Affectation matrice],$AB$3,Fonctionnement[TVA acquittée])+SUMIF(Invest[Affectation matrice],$AB$3,Invest[TVA acquittée]))*BK27</f>
        <v>0</v>
      </c>
      <c r="CM27" s="200">
        <f>(SUMIF(Fonctionnement[Affectation matrice],$AB$3,Fonctionnement[TVA acquittée])+SUMIF(Invest[Affectation matrice],$AB$3,Invest[TVA acquittée]))*BL27</f>
        <v>0</v>
      </c>
      <c r="CN27" s="200">
        <f>(SUMIF(Fonctionnement[Affectation matrice],$AB$3,Fonctionnement[TVA acquittée])+SUMIF(Invest[Affectation matrice],$AB$3,Invest[TVA acquittée]))*BM27</f>
        <v>0</v>
      </c>
      <c r="CO27" s="200">
        <f>(SUMIF(Fonctionnement[Affectation matrice],$AB$3,Fonctionnement[TVA acquittée])+SUMIF(Invest[Affectation matrice],$AB$3,Invest[TVA acquittée]))*BN27</f>
        <v>0</v>
      </c>
      <c r="CP27" s="200">
        <f>(SUMIF(Fonctionnement[Affectation matrice],$AB$3,Fonctionnement[TVA acquittée])+SUMIF(Invest[Affectation matrice],$AB$3,Invest[TVA acquittée]))*BO27</f>
        <v>0</v>
      </c>
      <c r="CQ27" s="200">
        <f>(SUMIF(Fonctionnement[Affectation matrice],$AB$3,Fonctionnement[TVA acquittée])+SUMIF(Invest[Affectation matrice],$AB$3,Invest[TVA acquittée]))*BP27</f>
        <v>0</v>
      </c>
      <c r="CR27" s="200">
        <f>(SUMIF(Fonctionnement[Affectation matrice],$AB$3,Fonctionnement[TVA acquittée])+SUMIF(Invest[Affectation matrice],$AB$3,Invest[TVA acquittée]))*BQ27</f>
        <v>0</v>
      </c>
      <c r="CS27" s="200">
        <f>(SUMIF(Fonctionnement[Affectation matrice],$AB$3,Fonctionnement[TVA acquittée])+SUMIF(Invest[Affectation matrice],$AB$3,Invest[TVA acquittée]))*BR27</f>
        <v>0</v>
      </c>
      <c r="CT27" s="200">
        <f>(SUMIF(Fonctionnement[Affectation matrice],$AB$3,Fonctionnement[TVA acquittée])+SUMIF(Invest[Affectation matrice],$AB$3,Invest[TVA acquittée]))*BS27</f>
        <v>0</v>
      </c>
      <c r="CU27" s="200">
        <f>(SUMIF(Fonctionnement[Affectation matrice],$AB$3,Fonctionnement[TVA acquittée])+SUMIF(Invest[Affectation matrice],$AB$3,Invest[TVA acquittée]))*BT27</f>
        <v>0</v>
      </c>
      <c r="CV27" s="200">
        <f>(SUMIF(Fonctionnement[Affectation matrice],$AB$3,Fonctionnement[TVA acquittée])+SUMIF(Invest[Affectation matrice],$AB$3,Invest[TVA acquittée]))*BU27</f>
        <v>0</v>
      </c>
      <c r="CW27" s="200">
        <f>(SUMIF(Fonctionnement[Affectation matrice],$AB$3,Fonctionnement[TVA acquittée])+SUMIF(Invest[Affectation matrice],$AB$3,Invest[TVA acquittée]))*BV27</f>
        <v>0</v>
      </c>
      <c r="CX27" s="200">
        <f>(SUMIF(Fonctionnement[Affectation matrice],$AB$3,Fonctionnement[TVA acquittée])+SUMIF(Invest[Affectation matrice],$AB$3,Invest[TVA acquittée]))*BW27</f>
        <v>0</v>
      </c>
      <c r="CY27" s="200">
        <f>(SUMIF(Fonctionnement[Affectation matrice],$AB$3,Fonctionnement[TVA acquittée])+SUMIF(Invest[Affectation matrice],$AB$3,Invest[TVA acquittée]))*BX27</f>
        <v>0</v>
      </c>
      <c r="CZ27" s="200">
        <f>(SUMIF(Fonctionnement[Affectation matrice],$AB$3,Fonctionnement[TVA acquittée])+SUMIF(Invest[Affectation matrice],$AB$3,Invest[TVA acquittée]))*BY27</f>
        <v>0</v>
      </c>
      <c r="DA27" s="200">
        <f>(SUMIF(Fonctionnement[Affectation matrice],$AB$3,Fonctionnement[TVA acquittée])+SUMIF(Invest[Affectation matrice],$AB$3,Invest[TVA acquittée]))*BZ27</f>
        <v>0</v>
      </c>
      <c r="DB27" s="200">
        <f>(SUMIF(Fonctionnement[Affectation matrice],$AB$3,Fonctionnement[TVA acquittée])+SUMIF(Invest[Affectation matrice],$AB$3,Invest[TVA acquittée]))*CA27</f>
        <v>0</v>
      </c>
    </row>
    <row r="28" spans="1:106" s="22" customFormat="1" ht="12.75" hidden="1" customHeight="1" x14ac:dyDescent="0.25">
      <c r="A28" s="42" t="str">
        <f>Matrice[[#This Row],[Ligne de la matrice]]</f>
        <v>Prestation à des tiers</v>
      </c>
      <c r="B28" s="276">
        <f>(SUMIF(Fonctionnement[Affectation matrice],$AB$3,Fonctionnement[Montant (€HT)])+SUMIF(Invest[Affectation matrice],$AB$3,Invest[Amortissement HT + intérêts]))*BC28</f>
        <v>0</v>
      </c>
      <c r="C28" s="276">
        <f>(SUMIF(Fonctionnement[Affectation matrice],$AB$3,Fonctionnement[Montant (€HT)])+SUMIF(Invest[Affectation matrice],$AB$3,Invest[Amortissement HT + intérêts]))*BD28</f>
        <v>0</v>
      </c>
      <c r="D28" s="276">
        <f>(SUMIF(Fonctionnement[Affectation matrice],$AB$3,Fonctionnement[Montant (€HT)])+SUMIF(Invest[Affectation matrice],$AB$3,Invest[Amortissement HT + intérêts]))*BE28</f>
        <v>0</v>
      </c>
      <c r="E28" s="276">
        <f>(SUMIF(Fonctionnement[Affectation matrice],$AB$3,Fonctionnement[Montant (€HT)])+SUMIF(Invest[Affectation matrice],$AB$3,Invest[Amortissement HT + intérêts]))*BF28</f>
        <v>0</v>
      </c>
      <c r="F28" s="276">
        <f>(SUMIF(Fonctionnement[Affectation matrice],$AB$3,Fonctionnement[Montant (€HT)])+SUMIF(Invest[Affectation matrice],$AB$3,Invest[Amortissement HT + intérêts]))*BG28</f>
        <v>0</v>
      </c>
      <c r="G28" s="276">
        <f>(SUMIF(Fonctionnement[Affectation matrice],$AB$3,Fonctionnement[Montant (€HT)])+SUMIF(Invest[Affectation matrice],$AB$3,Invest[Amortissement HT + intérêts]))*BH28</f>
        <v>0</v>
      </c>
      <c r="H28" s="276">
        <f>(SUMIF(Fonctionnement[Affectation matrice],$AB$3,Fonctionnement[Montant (€HT)])+SUMIF(Invest[Affectation matrice],$AB$3,Invest[Amortissement HT + intérêts]))*BI28</f>
        <v>0</v>
      </c>
      <c r="I28" s="276">
        <f>(SUMIF(Fonctionnement[Affectation matrice],$AB$3,Fonctionnement[Montant (€HT)])+SUMIF(Invest[Affectation matrice],$AB$3,Invest[Amortissement HT + intérêts]))*BJ28</f>
        <v>0</v>
      </c>
      <c r="J28" s="276">
        <f>(SUMIF(Fonctionnement[Affectation matrice],$AB$3,Fonctionnement[Montant (€HT)])+SUMIF(Invest[Affectation matrice],$AB$3,Invest[Amortissement HT + intérêts]))*BK28</f>
        <v>0</v>
      </c>
      <c r="K28" s="276">
        <f>(SUMIF(Fonctionnement[Affectation matrice],$AB$3,Fonctionnement[Montant (€HT)])+SUMIF(Invest[Affectation matrice],$AB$3,Invest[Amortissement HT + intérêts]))*BL28</f>
        <v>0</v>
      </c>
      <c r="L28" s="276">
        <f>(SUMIF(Fonctionnement[Affectation matrice],$AB$3,Fonctionnement[Montant (€HT)])+SUMIF(Invest[Affectation matrice],$AB$3,Invest[Amortissement HT + intérêts]))*BM28</f>
        <v>0</v>
      </c>
      <c r="M28" s="276">
        <f>(SUMIF(Fonctionnement[Affectation matrice],$AB$3,Fonctionnement[Montant (€HT)])+SUMIF(Invest[Affectation matrice],$AB$3,Invest[Amortissement HT + intérêts]))*BN28</f>
        <v>0</v>
      </c>
      <c r="N28" s="276">
        <f>(SUMIF(Fonctionnement[Affectation matrice],$AB$3,Fonctionnement[Montant (€HT)])+SUMIF(Invest[Affectation matrice],$AB$3,Invest[Amortissement HT + intérêts]))*BO28</f>
        <v>0</v>
      </c>
      <c r="O28" s="276">
        <f>(SUMIF(Fonctionnement[Affectation matrice],$AB$3,Fonctionnement[Montant (€HT)])+SUMIF(Invest[Affectation matrice],$AB$3,Invest[Amortissement HT + intérêts]))*BP28</f>
        <v>0</v>
      </c>
      <c r="P28" s="276">
        <f>(SUMIF(Fonctionnement[Affectation matrice],$AB$3,Fonctionnement[Montant (€HT)])+SUMIF(Invest[Affectation matrice],$AB$3,Invest[Amortissement HT + intérêts]))*BQ28</f>
        <v>0</v>
      </c>
      <c r="Q28" s="276">
        <f>(SUMIF(Fonctionnement[Affectation matrice],$AB$3,Fonctionnement[Montant (€HT)])+SUMIF(Invest[Affectation matrice],$AB$3,Invest[Amortissement HT + intérêts]))*BR28</f>
        <v>0</v>
      </c>
      <c r="R28" s="276">
        <f>(SUMIF(Fonctionnement[Affectation matrice],$AB$3,Fonctionnement[Montant (€HT)])+SUMIF(Invest[Affectation matrice],$AB$3,Invest[Amortissement HT + intérêts]))*BS28</f>
        <v>0</v>
      </c>
      <c r="S28" s="276">
        <f>(SUMIF(Fonctionnement[Affectation matrice],$AB$3,Fonctionnement[Montant (€HT)])+SUMIF(Invest[Affectation matrice],$AB$3,Invest[Amortissement HT + intérêts]))*BT28</f>
        <v>0</v>
      </c>
      <c r="T28" s="276">
        <f>(SUMIF(Fonctionnement[Affectation matrice],$AB$3,Fonctionnement[Montant (€HT)])+SUMIF(Invest[Affectation matrice],$AB$3,Invest[Amortissement HT + intérêts]))*BU28</f>
        <v>0</v>
      </c>
      <c r="U28" s="276">
        <f>(SUMIF(Fonctionnement[Affectation matrice],$AB$3,Fonctionnement[Montant (€HT)])+SUMIF(Invest[Affectation matrice],$AB$3,Invest[Amortissement HT + intérêts]))*BV28</f>
        <v>0</v>
      </c>
      <c r="V28" s="276">
        <f>(SUMIF(Fonctionnement[Affectation matrice],$AB$3,Fonctionnement[Montant (€HT)])+SUMIF(Invest[Affectation matrice],$AB$3,Invest[Amortissement HT + intérêts]))*BW28</f>
        <v>0</v>
      </c>
      <c r="W28" s="276">
        <f>(SUMIF(Fonctionnement[Affectation matrice],$AB$3,Fonctionnement[Montant (€HT)])+SUMIF(Invest[Affectation matrice],$AB$3,Invest[Amortissement HT + intérêts]))*BX28</f>
        <v>0</v>
      </c>
      <c r="X28" s="276">
        <f>(SUMIF(Fonctionnement[Affectation matrice],$AB$3,Fonctionnement[Montant (€HT)])+SUMIF(Invest[Affectation matrice],$AB$3,Invest[Amortissement HT + intérêts]))*BY28</f>
        <v>0</v>
      </c>
      <c r="Y28" s="276">
        <f>(SUMIF(Fonctionnement[Affectation matrice],$AB$3,Fonctionnement[Montant (€HT)])+SUMIF(Invest[Affectation matrice],$AB$3,Invest[Amortissement HT + intérêts]))*BZ28</f>
        <v>0</v>
      </c>
      <c r="Z28" s="276">
        <f>(SUMIF(Fonctionnement[Affectation matrice],$AB$3,Fonctionnement[Montant (€HT)])+SUMIF(Invest[Affectation matrice],$AB$3,Invest[Amortissement HT + intérêts]))*CA28</f>
        <v>0</v>
      </c>
      <c r="AA28" s="199"/>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283">
        <f t="shared" si="4"/>
        <v>0</v>
      </c>
      <c r="BB28" s="7"/>
      <c r="BC28" s="61">
        <f t="shared" si="8"/>
        <v>0</v>
      </c>
      <c r="BD28" s="61">
        <f t="shared" si="8"/>
        <v>0</v>
      </c>
      <c r="BE28" s="61">
        <f t="shared" si="8"/>
        <v>0</v>
      </c>
      <c r="BF28" s="61">
        <f t="shared" si="8"/>
        <v>0</v>
      </c>
      <c r="BG28" s="61">
        <f t="shared" si="8"/>
        <v>0</v>
      </c>
      <c r="BH28" s="61">
        <f t="shared" si="8"/>
        <v>0</v>
      </c>
      <c r="BI28" s="61">
        <f t="shared" si="8"/>
        <v>0</v>
      </c>
      <c r="BJ28" s="61">
        <f t="shared" si="8"/>
        <v>0</v>
      </c>
      <c r="BK28" s="61">
        <f t="shared" si="8"/>
        <v>0</v>
      </c>
      <c r="BL28" s="61">
        <f t="shared" si="8"/>
        <v>0</v>
      </c>
      <c r="BM28" s="61">
        <f t="shared" si="8"/>
        <v>0</v>
      </c>
      <c r="BN28" s="61">
        <f t="shared" si="8"/>
        <v>0</v>
      </c>
      <c r="BO28" s="61">
        <f t="shared" si="8"/>
        <v>0</v>
      </c>
      <c r="BP28" s="61">
        <f t="shared" si="8"/>
        <v>0</v>
      </c>
      <c r="BQ28" s="61">
        <f t="shared" si="8"/>
        <v>0</v>
      </c>
      <c r="BR28" s="61">
        <f t="shared" si="8"/>
        <v>0</v>
      </c>
      <c r="BS28" s="61">
        <f t="shared" si="9"/>
        <v>0</v>
      </c>
      <c r="BT28" s="61">
        <f t="shared" si="9"/>
        <v>0</v>
      </c>
      <c r="BU28" s="61">
        <f t="shared" si="9"/>
        <v>0</v>
      </c>
      <c r="BV28" s="61">
        <f t="shared" si="9"/>
        <v>0</v>
      </c>
      <c r="BW28" s="61">
        <f t="shared" si="9"/>
        <v>0</v>
      </c>
      <c r="BX28" s="61">
        <f t="shared" si="9"/>
        <v>0</v>
      </c>
      <c r="BY28" s="61">
        <f t="shared" si="9"/>
        <v>0</v>
      </c>
      <c r="BZ28" s="61">
        <f t="shared" si="9"/>
        <v>0</v>
      </c>
      <c r="CA28" s="61">
        <f t="shared" si="9"/>
        <v>0</v>
      </c>
      <c r="CB28" s="61">
        <f t="shared" si="5"/>
        <v>0</v>
      </c>
      <c r="CD28" s="200">
        <f>(SUMIF(Fonctionnement[Affectation matrice],$AB$3,Fonctionnement[TVA acquittée])+SUMIF(Invest[Affectation matrice],$AB$3,Invest[TVA acquittée]))*BC28</f>
        <v>0</v>
      </c>
      <c r="CE28" s="200">
        <f>(SUMIF(Fonctionnement[Affectation matrice],$AB$3,Fonctionnement[TVA acquittée])+SUMIF(Invest[Affectation matrice],$AB$3,Invest[TVA acquittée]))*BD28</f>
        <v>0</v>
      </c>
      <c r="CF28" s="200">
        <f>(SUMIF(Fonctionnement[Affectation matrice],$AB$3,Fonctionnement[TVA acquittée])+SUMIF(Invest[Affectation matrice],$AB$3,Invest[TVA acquittée]))*BE28</f>
        <v>0</v>
      </c>
      <c r="CG28" s="200">
        <f>(SUMIF(Fonctionnement[Affectation matrice],$AB$3,Fonctionnement[TVA acquittée])+SUMIF(Invest[Affectation matrice],$AB$3,Invest[TVA acquittée]))*BF28</f>
        <v>0</v>
      </c>
      <c r="CH28" s="200">
        <f>(SUMIF(Fonctionnement[Affectation matrice],$AB$3,Fonctionnement[TVA acquittée])+SUMIF(Invest[Affectation matrice],$AB$3,Invest[TVA acquittée]))*BG28</f>
        <v>0</v>
      </c>
      <c r="CI28" s="200">
        <f>(SUMIF(Fonctionnement[Affectation matrice],$AB$3,Fonctionnement[TVA acquittée])+SUMIF(Invest[Affectation matrice],$AB$3,Invest[TVA acquittée]))*BH28</f>
        <v>0</v>
      </c>
      <c r="CJ28" s="200">
        <f>(SUMIF(Fonctionnement[Affectation matrice],$AB$3,Fonctionnement[TVA acquittée])+SUMIF(Invest[Affectation matrice],$AB$3,Invest[TVA acquittée]))*BI28</f>
        <v>0</v>
      </c>
      <c r="CK28" s="200">
        <f>(SUMIF(Fonctionnement[Affectation matrice],$AB$3,Fonctionnement[TVA acquittée])+SUMIF(Invest[Affectation matrice],$AB$3,Invest[TVA acquittée]))*BJ28</f>
        <v>0</v>
      </c>
      <c r="CL28" s="200">
        <f>(SUMIF(Fonctionnement[Affectation matrice],$AB$3,Fonctionnement[TVA acquittée])+SUMIF(Invest[Affectation matrice],$AB$3,Invest[TVA acquittée]))*BK28</f>
        <v>0</v>
      </c>
      <c r="CM28" s="200">
        <f>(SUMIF(Fonctionnement[Affectation matrice],$AB$3,Fonctionnement[TVA acquittée])+SUMIF(Invest[Affectation matrice],$AB$3,Invest[TVA acquittée]))*BL28</f>
        <v>0</v>
      </c>
      <c r="CN28" s="200">
        <f>(SUMIF(Fonctionnement[Affectation matrice],$AB$3,Fonctionnement[TVA acquittée])+SUMIF(Invest[Affectation matrice],$AB$3,Invest[TVA acquittée]))*BM28</f>
        <v>0</v>
      </c>
      <c r="CO28" s="200">
        <f>(SUMIF(Fonctionnement[Affectation matrice],$AB$3,Fonctionnement[TVA acquittée])+SUMIF(Invest[Affectation matrice],$AB$3,Invest[TVA acquittée]))*BN28</f>
        <v>0</v>
      </c>
      <c r="CP28" s="200">
        <f>(SUMIF(Fonctionnement[Affectation matrice],$AB$3,Fonctionnement[TVA acquittée])+SUMIF(Invest[Affectation matrice],$AB$3,Invest[TVA acquittée]))*BO28</f>
        <v>0</v>
      </c>
      <c r="CQ28" s="200">
        <f>(SUMIF(Fonctionnement[Affectation matrice],$AB$3,Fonctionnement[TVA acquittée])+SUMIF(Invest[Affectation matrice],$AB$3,Invest[TVA acquittée]))*BP28</f>
        <v>0</v>
      </c>
      <c r="CR28" s="200">
        <f>(SUMIF(Fonctionnement[Affectation matrice],$AB$3,Fonctionnement[TVA acquittée])+SUMIF(Invest[Affectation matrice],$AB$3,Invest[TVA acquittée]))*BQ28</f>
        <v>0</v>
      </c>
      <c r="CS28" s="200">
        <f>(SUMIF(Fonctionnement[Affectation matrice],$AB$3,Fonctionnement[TVA acquittée])+SUMIF(Invest[Affectation matrice],$AB$3,Invest[TVA acquittée]))*BR28</f>
        <v>0</v>
      </c>
      <c r="CT28" s="200">
        <f>(SUMIF(Fonctionnement[Affectation matrice],$AB$3,Fonctionnement[TVA acquittée])+SUMIF(Invest[Affectation matrice],$AB$3,Invest[TVA acquittée]))*BS28</f>
        <v>0</v>
      </c>
      <c r="CU28" s="200">
        <f>(SUMIF(Fonctionnement[Affectation matrice],$AB$3,Fonctionnement[TVA acquittée])+SUMIF(Invest[Affectation matrice],$AB$3,Invest[TVA acquittée]))*BT28</f>
        <v>0</v>
      </c>
      <c r="CV28" s="200">
        <f>(SUMIF(Fonctionnement[Affectation matrice],$AB$3,Fonctionnement[TVA acquittée])+SUMIF(Invest[Affectation matrice],$AB$3,Invest[TVA acquittée]))*BU28</f>
        <v>0</v>
      </c>
      <c r="CW28" s="200">
        <f>(SUMIF(Fonctionnement[Affectation matrice],$AB$3,Fonctionnement[TVA acquittée])+SUMIF(Invest[Affectation matrice],$AB$3,Invest[TVA acquittée]))*BV28</f>
        <v>0</v>
      </c>
      <c r="CX28" s="200">
        <f>(SUMIF(Fonctionnement[Affectation matrice],$AB$3,Fonctionnement[TVA acquittée])+SUMIF(Invest[Affectation matrice],$AB$3,Invest[TVA acquittée]))*BW28</f>
        <v>0</v>
      </c>
      <c r="CY28" s="200">
        <f>(SUMIF(Fonctionnement[Affectation matrice],$AB$3,Fonctionnement[TVA acquittée])+SUMIF(Invest[Affectation matrice],$AB$3,Invest[TVA acquittée]))*BX28</f>
        <v>0</v>
      </c>
      <c r="CZ28" s="200">
        <f>(SUMIF(Fonctionnement[Affectation matrice],$AB$3,Fonctionnement[TVA acquittée])+SUMIF(Invest[Affectation matrice],$AB$3,Invest[TVA acquittée]))*BY28</f>
        <v>0</v>
      </c>
      <c r="DA28" s="200">
        <f>(SUMIF(Fonctionnement[Affectation matrice],$AB$3,Fonctionnement[TVA acquittée])+SUMIF(Invest[Affectation matrice],$AB$3,Invest[TVA acquittée]))*BZ28</f>
        <v>0</v>
      </c>
      <c r="DB28" s="200">
        <f>(SUMIF(Fonctionnement[Affectation matrice],$AB$3,Fonctionnement[TVA acquittée])+SUMIF(Invest[Affectation matrice],$AB$3,Invest[TVA acquittée]))*CA28</f>
        <v>0</v>
      </c>
    </row>
    <row r="29" spans="1:106" s="22" customFormat="1" ht="12.75" hidden="1" customHeight="1" x14ac:dyDescent="0.25">
      <c r="A29" s="42" t="str">
        <f>Matrice[[#This Row],[Ligne de la matrice]]</f>
        <v>Autres produits</v>
      </c>
      <c r="B29" s="276">
        <f>(SUMIF(Fonctionnement[Affectation matrice],$AB$3,Fonctionnement[Montant (€HT)])+SUMIF(Invest[Affectation matrice],$AB$3,Invest[Amortissement HT + intérêts]))*BC29</f>
        <v>0</v>
      </c>
      <c r="C29" s="276">
        <f>(SUMIF(Fonctionnement[Affectation matrice],$AB$3,Fonctionnement[Montant (€HT)])+SUMIF(Invest[Affectation matrice],$AB$3,Invest[Amortissement HT + intérêts]))*BD29</f>
        <v>0</v>
      </c>
      <c r="D29" s="276">
        <f>(SUMIF(Fonctionnement[Affectation matrice],$AB$3,Fonctionnement[Montant (€HT)])+SUMIF(Invest[Affectation matrice],$AB$3,Invest[Amortissement HT + intérêts]))*BE29</f>
        <v>0</v>
      </c>
      <c r="E29" s="276">
        <f>(SUMIF(Fonctionnement[Affectation matrice],$AB$3,Fonctionnement[Montant (€HT)])+SUMIF(Invest[Affectation matrice],$AB$3,Invest[Amortissement HT + intérêts]))*BF29</f>
        <v>0</v>
      </c>
      <c r="F29" s="276">
        <f>(SUMIF(Fonctionnement[Affectation matrice],$AB$3,Fonctionnement[Montant (€HT)])+SUMIF(Invest[Affectation matrice],$AB$3,Invest[Amortissement HT + intérêts]))*BG29</f>
        <v>0</v>
      </c>
      <c r="G29" s="276">
        <f>(SUMIF(Fonctionnement[Affectation matrice],$AB$3,Fonctionnement[Montant (€HT)])+SUMIF(Invest[Affectation matrice],$AB$3,Invest[Amortissement HT + intérêts]))*BH29</f>
        <v>0</v>
      </c>
      <c r="H29" s="276">
        <f>(SUMIF(Fonctionnement[Affectation matrice],$AB$3,Fonctionnement[Montant (€HT)])+SUMIF(Invest[Affectation matrice],$AB$3,Invest[Amortissement HT + intérêts]))*BI29</f>
        <v>0</v>
      </c>
      <c r="I29" s="276">
        <f>(SUMIF(Fonctionnement[Affectation matrice],$AB$3,Fonctionnement[Montant (€HT)])+SUMIF(Invest[Affectation matrice],$AB$3,Invest[Amortissement HT + intérêts]))*BJ29</f>
        <v>0</v>
      </c>
      <c r="J29" s="276">
        <f>(SUMIF(Fonctionnement[Affectation matrice],$AB$3,Fonctionnement[Montant (€HT)])+SUMIF(Invest[Affectation matrice],$AB$3,Invest[Amortissement HT + intérêts]))*BK29</f>
        <v>0</v>
      </c>
      <c r="K29" s="276">
        <f>(SUMIF(Fonctionnement[Affectation matrice],$AB$3,Fonctionnement[Montant (€HT)])+SUMIF(Invest[Affectation matrice],$AB$3,Invest[Amortissement HT + intérêts]))*BL29</f>
        <v>0</v>
      </c>
      <c r="L29" s="276">
        <f>(SUMIF(Fonctionnement[Affectation matrice],$AB$3,Fonctionnement[Montant (€HT)])+SUMIF(Invest[Affectation matrice],$AB$3,Invest[Amortissement HT + intérêts]))*BM29</f>
        <v>0</v>
      </c>
      <c r="M29" s="276">
        <f>(SUMIF(Fonctionnement[Affectation matrice],$AB$3,Fonctionnement[Montant (€HT)])+SUMIF(Invest[Affectation matrice],$AB$3,Invest[Amortissement HT + intérêts]))*BN29</f>
        <v>0</v>
      </c>
      <c r="N29" s="276">
        <f>(SUMIF(Fonctionnement[Affectation matrice],$AB$3,Fonctionnement[Montant (€HT)])+SUMIF(Invest[Affectation matrice],$AB$3,Invest[Amortissement HT + intérêts]))*BO29</f>
        <v>0</v>
      </c>
      <c r="O29" s="276">
        <f>(SUMIF(Fonctionnement[Affectation matrice],$AB$3,Fonctionnement[Montant (€HT)])+SUMIF(Invest[Affectation matrice],$AB$3,Invest[Amortissement HT + intérêts]))*BP29</f>
        <v>0</v>
      </c>
      <c r="P29" s="276">
        <f>(SUMIF(Fonctionnement[Affectation matrice],$AB$3,Fonctionnement[Montant (€HT)])+SUMIF(Invest[Affectation matrice],$AB$3,Invest[Amortissement HT + intérêts]))*BQ29</f>
        <v>0</v>
      </c>
      <c r="Q29" s="276">
        <f>(SUMIF(Fonctionnement[Affectation matrice],$AB$3,Fonctionnement[Montant (€HT)])+SUMIF(Invest[Affectation matrice],$AB$3,Invest[Amortissement HT + intérêts]))*BR29</f>
        <v>0</v>
      </c>
      <c r="R29" s="276">
        <f>(SUMIF(Fonctionnement[Affectation matrice],$AB$3,Fonctionnement[Montant (€HT)])+SUMIF(Invest[Affectation matrice],$AB$3,Invest[Amortissement HT + intérêts]))*BS29</f>
        <v>0</v>
      </c>
      <c r="S29" s="276">
        <f>(SUMIF(Fonctionnement[Affectation matrice],$AB$3,Fonctionnement[Montant (€HT)])+SUMIF(Invest[Affectation matrice],$AB$3,Invest[Amortissement HT + intérêts]))*BT29</f>
        <v>0</v>
      </c>
      <c r="T29" s="276">
        <f>(SUMIF(Fonctionnement[Affectation matrice],$AB$3,Fonctionnement[Montant (€HT)])+SUMIF(Invest[Affectation matrice],$AB$3,Invest[Amortissement HT + intérêts]))*BU29</f>
        <v>0</v>
      </c>
      <c r="U29" s="276">
        <f>(SUMIF(Fonctionnement[Affectation matrice],$AB$3,Fonctionnement[Montant (€HT)])+SUMIF(Invest[Affectation matrice],$AB$3,Invest[Amortissement HT + intérêts]))*BV29</f>
        <v>0</v>
      </c>
      <c r="V29" s="276">
        <f>(SUMIF(Fonctionnement[Affectation matrice],$AB$3,Fonctionnement[Montant (€HT)])+SUMIF(Invest[Affectation matrice],$AB$3,Invest[Amortissement HT + intérêts]))*BW29</f>
        <v>0</v>
      </c>
      <c r="W29" s="276">
        <f>(SUMIF(Fonctionnement[Affectation matrice],$AB$3,Fonctionnement[Montant (€HT)])+SUMIF(Invest[Affectation matrice],$AB$3,Invest[Amortissement HT + intérêts]))*BX29</f>
        <v>0</v>
      </c>
      <c r="X29" s="276">
        <f>(SUMIF(Fonctionnement[Affectation matrice],$AB$3,Fonctionnement[Montant (€HT)])+SUMIF(Invest[Affectation matrice],$AB$3,Invest[Amortissement HT + intérêts]))*BY29</f>
        <v>0</v>
      </c>
      <c r="Y29" s="276">
        <f>(SUMIF(Fonctionnement[Affectation matrice],$AB$3,Fonctionnement[Montant (€HT)])+SUMIF(Invest[Affectation matrice],$AB$3,Invest[Amortissement HT + intérêts]))*BZ29</f>
        <v>0</v>
      </c>
      <c r="Z29" s="276">
        <f>(SUMIF(Fonctionnement[Affectation matrice],$AB$3,Fonctionnement[Montant (€HT)])+SUMIF(Invest[Affectation matrice],$AB$3,Invest[Amortissement HT + intérêts]))*CA29</f>
        <v>0</v>
      </c>
      <c r="AA29" s="199"/>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283">
        <f t="shared" si="4"/>
        <v>0</v>
      </c>
      <c r="BB29" s="7"/>
      <c r="BC29" s="61">
        <f t="shared" si="8"/>
        <v>0</v>
      </c>
      <c r="BD29" s="61">
        <f t="shared" si="8"/>
        <v>0</v>
      </c>
      <c r="BE29" s="61">
        <f t="shared" si="8"/>
        <v>0</v>
      </c>
      <c r="BF29" s="61">
        <f t="shared" si="8"/>
        <v>0</v>
      </c>
      <c r="BG29" s="61">
        <f t="shared" si="8"/>
        <v>0</v>
      </c>
      <c r="BH29" s="61">
        <f t="shared" si="8"/>
        <v>0</v>
      </c>
      <c r="BI29" s="61">
        <f t="shared" si="8"/>
        <v>0</v>
      </c>
      <c r="BJ29" s="61">
        <f t="shared" si="8"/>
        <v>0</v>
      </c>
      <c r="BK29" s="61">
        <f t="shared" si="8"/>
        <v>0</v>
      </c>
      <c r="BL29" s="61">
        <f t="shared" si="8"/>
        <v>0</v>
      </c>
      <c r="BM29" s="61">
        <f t="shared" si="8"/>
        <v>0</v>
      </c>
      <c r="BN29" s="61">
        <f t="shared" si="8"/>
        <v>0</v>
      </c>
      <c r="BO29" s="61">
        <f t="shared" si="8"/>
        <v>0</v>
      </c>
      <c r="BP29" s="61">
        <f t="shared" si="8"/>
        <v>0</v>
      </c>
      <c r="BQ29" s="61">
        <f t="shared" si="8"/>
        <v>0</v>
      </c>
      <c r="BR29" s="61">
        <f t="shared" si="8"/>
        <v>0</v>
      </c>
      <c r="BS29" s="61">
        <f t="shared" si="9"/>
        <v>0</v>
      </c>
      <c r="BT29" s="61">
        <f t="shared" si="9"/>
        <v>0</v>
      </c>
      <c r="BU29" s="61">
        <f t="shared" si="9"/>
        <v>0</v>
      </c>
      <c r="BV29" s="61">
        <f t="shared" si="9"/>
        <v>0</v>
      </c>
      <c r="BW29" s="61">
        <f t="shared" si="9"/>
        <v>0</v>
      </c>
      <c r="BX29" s="61">
        <f t="shared" si="9"/>
        <v>0</v>
      </c>
      <c r="BY29" s="61">
        <f t="shared" si="9"/>
        <v>0</v>
      </c>
      <c r="BZ29" s="61">
        <f t="shared" si="9"/>
        <v>0</v>
      </c>
      <c r="CA29" s="61">
        <f t="shared" si="9"/>
        <v>0</v>
      </c>
      <c r="CB29" s="61">
        <f t="shared" si="5"/>
        <v>0</v>
      </c>
      <c r="CD29" s="200">
        <f>(SUMIF(Fonctionnement[Affectation matrice],$AB$3,Fonctionnement[TVA acquittée])+SUMIF(Invest[Affectation matrice],$AB$3,Invest[TVA acquittée]))*BC29</f>
        <v>0</v>
      </c>
      <c r="CE29" s="200">
        <f>(SUMIF(Fonctionnement[Affectation matrice],$AB$3,Fonctionnement[TVA acquittée])+SUMIF(Invest[Affectation matrice],$AB$3,Invest[TVA acquittée]))*BD29</f>
        <v>0</v>
      </c>
      <c r="CF29" s="200">
        <f>(SUMIF(Fonctionnement[Affectation matrice],$AB$3,Fonctionnement[TVA acquittée])+SUMIF(Invest[Affectation matrice],$AB$3,Invest[TVA acquittée]))*BE29</f>
        <v>0</v>
      </c>
      <c r="CG29" s="200">
        <f>(SUMIF(Fonctionnement[Affectation matrice],$AB$3,Fonctionnement[TVA acquittée])+SUMIF(Invest[Affectation matrice],$AB$3,Invest[TVA acquittée]))*BF29</f>
        <v>0</v>
      </c>
      <c r="CH29" s="200">
        <f>(SUMIF(Fonctionnement[Affectation matrice],$AB$3,Fonctionnement[TVA acquittée])+SUMIF(Invest[Affectation matrice],$AB$3,Invest[TVA acquittée]))*BG29</f>
        <v>0</v>
      </c>
      <c r="CI29" s="200">
        <f>(SUMIF(Fonctionnement[Affectation matrice],$AB$3,Fonctionnement[TVA acquittée])+SUMIF(Invest[Affectation matrice],$AB$3,Invest[TVA acquittée]))*BH29</f>
        <v>0</v>
      </c>
      <c r="CJ29" s="200">
        <f>(SUMIF(Fonctionnement[Affectation matrice],$AB$3,Fonctionnement[TVA acquittée])+SUMIF(Invest[Affectation matrice],$AB$3,Invest[TVA acquittée]))*BI29</f>
        <v>0</v>
      </c>
      <c r="CK29" s="200">
        <f>(SUMIF(Fonctionnement[Affectation matrice],$AB$3,Fonctionnement[TVA acquittée])+SUMIF(Invest[Affectation matrice],$AB$3,Invest[TVA acquittée]))*BJ29</f>
        <v>0</v>
      </c>
      <c r="CL29" s="200">
        <f>(SUMIF(Fonctionnement[Affectation matrice],$AB$3,Fonctionnement[TVA acquittée])+SUMIF(Invest[Affectation matrice],$AB$3,Invest[TVA acquittée]))*BK29</f>
        <v>0</v>
      </c>
      <c r="CM29" s="200">
        <f>(SUMIF(Fonctionnement[Affectation matrice],$AB$3,Fonctionnement[TVA acquittée])+SUMIF(Invest[Affectation matrice],$AB$3,Invest[TVA acquittée]))*BL29</f>
        <v>0</v>
      </c>
      <c r="CN29" s="200">
        <f>(SUMIF(Fonctionnement[Affectation matrice],$AB$3,Fonctionnement[TVA acquittée])+SUMIF(Invest[Affectation matrice],$AB$3,Invest[TVA acquittée]))*BM29</f>
        <v>0</v>
      </c>
      <c r="CO29" s="200">
        <f>(SUMIF(Fonctionnement[Affectation matrice],$AB$3,Fonctionnement[TVA acquittée])+SUMIF(Invest[Affectation matrice],$AB$3,Invest[TVA acquittée]))*BN29</f>
        <v>0</v>
      </c>
      <c r="CP29" s="200">
        <f>(SUMIF(Fonctionnement[Affectation matrice],$AB$3,Fonctionnement[TVA acquittée])+SUMIF(Invest[Affectation matrice],$AB$3,Invest[TVA acquittée]))*BO29</f>
        <v>0</v>
      </c>
      <c r="CQ29" s="200">
        <f>(SUMIF(Fonctionnement[Affectation matrice],$AB$3,Fonctionnement[TVA acquittée])+SUMIF(Invest[Affectation matrice],$AB$3,Invest[TVA acquittée]))*BP29</f>
        <v>0</v>
      </c>
      <c r="CR29" s="200">
        <f>(SUMIF(Fonctionnement[Affectation matrice],$AB$3,Fonctionnement[TVA acquittée])+SUMIF(Invest[Affectation matrice],$AB$3,Invest[TVA acquittée]))*BQ29</f>
        <v>0</v>
      </c>
      <c r="CS29" s="200">
        <f>(SUMIF(Fonctionnement[Affectation matrice],$AB$3,Fonctionnement[TVA acquittée])+SUMIF(Invest[Affectation matrice],$AB$3,Invest[TVA acquittée]))*BR29</f>
        <v>0</v>
      </c>
      <c r="CT29" s="200">
        <f>(SUMIF(Fonctionnement[Affectation matrice],$AB$3,Fonctionnement[TVA acquittée])+SUMIF(Invest[Affectation matrice],$AB$3,Invest[TVA acquittée]))*BS29</f>
        <v>0</v>
      </c>
      <c r="CU29" s="200">
        <f>(SUMIF(Fonctionnement[Affectation matrice],$AB$3,Fonctionnement[TVA acquittée])+SUMIF(Invest[Affectation matrice],$AB$3,Invest[TVA acquittée]))*BT29</f>
        <v>0</v>
      </c>
      <c r="CV29" s="200">
        <f>(SUMIF(Fonctionnement[Affectation matrice],$AB$3,Fonctionnement[TVA acquittée])+SUMIF(Invest[Affectation matrice],$AB$3,Invest[TVA acquittée]))*BU29</f>
        <v>0</v>
      </c>
      <c r="CW29" s="200">
        <f>(SUMIF(Fonctionnement[Affectation matrice],$AB$3,Fonctionnement[TVA acquittée])+SUMIF(Invest[Affectation matrice],$AB$3,Invest[TVA acquittée]))*BV29</f>
        <v>0</v>
      </c>
      <c r="CX29" s="200">
        <f>(SUMIF(Fonctionnement[Affectation matrice],$AB$3,Fonctionnement[TVA acquittée])+SUMIF(Invest[Affectation matrice],$AB$3,Invest[TVA acquittée]))*BW29</f>
        <v>0</v>
      </c>
      <c r="CY29" s="200">
        <f>(SUMIF(Fonctionnement[Affectation matrice],$AB$3,Fonctionnement[TVA acquittée])+SUMIF(Invest[Affectation matrice],$AB$3,Invest[TVA acquittée]))*BX29</f>
        <v>0</v>
      </c>
      <c r="CZ29" s="200">
        <f>(SUMIF(Fonctionnement[Affectation matrice],$AB$3,Fonctionnement[TVA acquittée])+SUMIF(Invest[Affectation matrice],$AB$3,Invest[TVA acquittée]))*BY29</f>
        <v>0</v>
      </c>
      <c r="DA29" s="200">
        <f>(SUMIF(Fonctionnement[Affectation matrice],$AB$3,Fonctionnement[TVA acquittée])+SUMIF(Invest[Affectation matrice],$AB$3,Invest[TVA acquittée]))*BZ29</f>
        <v>0</v>
      </c>
      <c r="DB29" s="200">
        <f>(SUMIF(Fonctionnement[Affectation matrice],$AB$3,Fonctionnement[TVA acquittée])+SUMIF(Invest[Affectation matrice],$AB$3,Invest[TVA acquittée]))*CA29</f>
        <v>0</v>
      </c>
    </row>
    <row r="30" spans="1:106" s="22" customFormat="1" ht="12.75" hidden="1" customHeight="1" x14ac:dyDescent="0.25">
      <c r="A30" s="42" t="str">
        <f>Matrice[[#This Row],[Ligne de la matrice]]</f>
        <v>Tous soutiens des sociétés agréées</v>
      </c>
      <c r="B30" s="276">
        <f>(SUMIF(Fonctionnement[Affectation matrice],$AB$3,Fonctionnement[Montant (€HT)])+SUMIF(Invest[Affectation matrice],$AB$3,Invest[Amortissement HT + intérêts]))*BC30</f>
        <v>0</v>
      </c>
      <c r="C30" s="276">
        <f>(SUMIF(Fonctionnement[Affectation matrice],$AB$3,Fonctionnement[Montant (€HT)])+SUMIF(Invest[Affectation matrice],$AB$3,Invest[Amortissement HT + intérêts]))*BD30</f>
        <v>0</v>
      </c>
      <c r="D30" s="276">
        <f>(SUMIF(Fonctionnement[Affectation matrice],$AB$3,Fonctionnement[Montant (€HT)])+SUMIF(Invest[Affectation matrice],$AB$3,Invest[Amortissement HT + intérêts]))*BE30</f>
        <v>0</v>
      </c>
      <c r="E30" s="276">
        <f>(SUMIF(Fonctionnement[Affectation matrice],$AB$3,Fonctionnement[Montant (€HT)])+SUMIF(Invest[Affectation matrice],$AB$3,Invest[Amortissement HT + intérêts]))*BF30</f>
        <v>0</v>
      </c>
      <c r="F30" s="276">
        <f>(SUMIF(Fonctionnement[Affectation matrice],$AB$3,Fonctionnement[Montant (€HT)])+SUMIF(Invest[Affectation matrice],$AB$3,Invest[Amortissement HT + intérêts]))*BG30</f>
        <v>0</v>
      </c>
      <c r="G30" s="276">
        <f>(SUMIF(Fonctionnement[Affectation matrice],$AB$3,Fonctionnement[Montant (€HT)])+SUMIF(Invest[Affectation matrice],$AB$3,Invest[Amortissement HT + intérêts]))*BH30</f>
        <v>0</v>
      </c>
      <c r="H30" s="276">
        <f>(SUMIF(Fonctionnement[Affectation matrice],$AB$3,Fonctionnement[Montant (€HT)])+SUMIF(Invest[Affectation matrice],$AB$3,Invest[Amortissement HT + intérêts]))*BI30</f>
        <v>0</v>
      </c>
      <c r="I30" s="276">
        <f>(SUMIF(Fonctionnement[Affectation matrice],$AB$3,Fonctionnement[Montant (€HT)])+SUMIF(Invest[Affectation matrice],$AB$3,Invest[Amortissement HT + intérêts]))*BJ30</f>
        <v>0</v>
      </c>
      <c r="J30" s="276">
        <f>(SUMIF(Fonctionnement[Affectation matrice],$AB$3,Fonctionnement[Montant (€HT)])+SUMIF(Invest[Affectation matrice],$AB$3,Invest[Amortissement HT + intérêts]))*BK30</f>
        <v>0</v>
      </c>
      <c r="K30" s="276">
        <f>(SUMIF(Fonctionnement[Affectation matrice],$AB$3,Fonctionnement[Montant (€HT)])+SUMIF(Invest[Affectation matrice],$AB$3,Invest[Amortissement HT + intérêts]))*BL30</f>
        <v>0</v>
      </c>
      <c r="L30" s="276">
        <f>(SUMIF(Fonctionnement[Affectation matrice],$AB$3,Fonctionnement[Montant (€HT)])+SUMIF(Invest[Affectation matrice],$AB$3,Invest[Amortissement HT + intérêts]))*BM30</f>
        <v>0</v>
      </c>
      <c r="M30" s="276">
        <f>(SUMIF(Fonctionnement[Affectation matrice],$AB$3,Fonctionnement[Montant (€HT)])+SUMIF(Invest[Affectation matrice],$AB$3,Invest[Amortissement HT + intérêts]))*BN30</f>
        <v>0</v>
      </c>
      <c r="N30" s="276">
        <f>(SUMIF(Fonctionnement[Affectation matrice],$AB$3,Fonctionnement[Montant (€HT)])+SUMIF(Invest[Affectation matrice],$AB$3,Invest[Amortissement HT + intérêts]))*BO30</f>
        <v>0</v>
      </c>
      <c r="O30" s="276">
        <f>(SUMIF(Fonctionnement[Affectation matrice],$AB$3,Fonctionnement[Montant (€HT)])+SUMIF(Invest[Affectation matrice],$AB$3,Invest[Amortissement HT + intérêts]))*BP30</f>
        <v>0</v>
      </c>
      <c r="P30" s="276">
        <f>(SUMIF(Fonctionnement[Affectation matrice],$AB$3,Fonctionnement[Montant (€HT)])+SUMIF(Invest[Affectation matrice],$AB$3,Invest[Amortissement HT + intérêts]))*BQ30</f>
        <v>0</v>
      </c>
      <c r="Q30" s="276">
        <f>(SUMIF(Fonctionnement[Affectation matrice],$AB$3,Fonctionnement[Montant (€HT)])+SUMIF(Invest[Affectation matrice],$AB$3,Invest[Amortissement HT + intérêts]))*BR30</f>
        <v>0</v>
      </c>
      <c r="R30" s="276">
        <f>(SUMIF(Fonctionnement[Affectation matrice],$AB$3,Fonctionnement[Montant (€HT)])+SUMIF(Invest[Affectation matrice],$AB$3,Invest[Amortissement HT + intérêts]))*BS30</f>
        <v>0</v>
      </c>
      <c r="S30" s="276">
        <f>(SUMIF(Fonctionnement[Affectation matrice],$AB$3,Fonctionnement[Montant (€HT)])+SUMIF(Invest[Affectation matrice],$AB$3,Invest[Amortissement HT + intérêts]))*BT30</f>
        <v>0</v>
      </c>
      <c r="T30" s="276">
        <f>(SUMIF(Fonctionnement[Affectation matrice],$AB$3,Fonctionnement[Montant (€HT)])+SUMIF(Invest[Affectation matrice],$AB$3,Invest[Amortissement HT + intérêts]))*BU30</f>
        <v>0</v>
      </c>
      <c r="U30" s="276">
        <f>(SUMIF(Fonctionnement[Affectation matrice],$AB$3,Fonctionnement[Montant (€HT)])+SUMIF(Invest[Affectation matrice],$AB$3,Invest[Amortissement HT + intérêts]))*BV30</f>
        <v>0</v>
      </c>
      <c r="V30" s="276">
        <f>(SUMIF(Fonctionnement[Affectation matrice],$AB$3,Fonctionnement[Montant (€HT)])+SUMIF(Invest[Affectation matrice],$AB$3,Invest[Amortissement HT + intérêts]))*BW30</f>
        <v>0</v>
      </c>
      <c r="W30" s="276">
        <f>(SUMIF(Fonctionnement[Affectation matrice],$AB$3,Fonctionnement[Montant (€HT)])+SUMIF(Invest[Affectation matrice],$AB$3,Invest[Amortissement HT + intérêts]))*BX30</f>
        <v>0</v>
      </c>
      <c r="X30" s="276">
        <f>(SUMIF(Fonctionnement[Affectation matrice],$AB$3,Fonctionnement[Montant (€HT)])+SUMIF(Invest[Affectation matrice],$AB$3,Invest[Amortissement HT + intérêts]))*BY30</f>
        <v>0</v>
      </c>
      <c r="Y30" s="276">
        <f>(SUMIF(Fonctionnement[Affectation matrice],$AB$3,Fonctionnement[Montant (€HT)])+SUMIF(Invest[Affectation matrice],$AB$3,Invest[Amortissement HT + intérêts]))*BZ30</f>
        <v>0</v>
      </c>
      <c r="Z30" s="276">
        <f>(SUMIF(Fonctionnement[Affectation matrice],$AB$3,Fonctionnement[Montant (€HT)])+SUMIF(Invest[Affectation matrice],$AB$3,Invest[Amortissement HT + intérêts]))*CA30</f>
        <v>0</v>
      </c>
      <c r="AA30" s="199"/>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283">
        <f t="shared" si="4"/>
        <v>0</v>
      </c>
      <c r="BB30" s="7"/>
      <c r="BC30" s="61">
        <f t="shared" si="8"/>
        <v>0</v>
      </c>
      <c r="BD30" s="61">
        <f t="shared" si="8"/>
        <v>0</v>
      </c>
      <c r="BE30" s="61">
        <f t="shared" si="8"/>
        <v>0</v>
      </c>
      <c r="BF30" s="61">
        <f t="shared" si="8"/>
        <v>0</v>
      </c>
      <c r="BG30" s="61">
        <f t="shared" si="8"/>
        <v>0</v>
      </c>
      <c r="BH30" s="61">
        <f t="shared" si="8"/>
        <v>0</v>
      </c>
      <c r="BI30" s="61">
        <f t="shared" si="8"/>
        <v>0</v>
      </c>
      <c r="BJ30" s="61">
        <f t="shared" si="8"/>
        <v>0</v>
      </c>
      <c r="BK30" s="61">
        <f t="shared" si="8"/>
        <v>0</v>
      </c>
      <c r="BL30" s="61">
        <f t="shared" si="8"/>
        <v>0</v>
      </c>
      <c r="BM30" s="61">
        <f t="shared" si="8"/>
        <v>0</v>
      </c>
      <c r="BN30" s="61">
        <f t="shared" si="8"/>
        <v>0</v>
      </c>
      <c r="BO30" s="61">
        <f t="shared" si="8"/>
        <v>0</v>
      </c>
      <c r="BP30" s="61">
        <f t="shared" si="8"/>
        <v>0</v>
      </c>
      <c r="BQ30" s="61">
        <f t="shared" si="8"/>
        <v>0</v>
      </c>
      <c r="BR30" s="61">
        <f t="shared" si="8"/>
        <v>0</v>
      </c>
      <c r="BS30" s="61">
        <f t="shared" si="9"/>
        <v>0</v>
      </c>
      <c r="BT30" s="61">
        <f t="shared" si="9"/>
        <v>0</v>
      </c>
      <c r="BU30" s="61">
        <f t="shared" si="9"/>
        <v>0</v>
      </c>
      <c r="BV30" s="61">
        <f t="shared" si="9"/>
        <v>0</v>
      </c>
      <c r="BW30" s="61">
        <f t="shared" si="9"/>
        <v>0</v>
      </c>
      <c r="BX30" s="61">
        <f t="shared" si="9"/>
        <v>0</v>
      </c>
      <c r="BY30" s="61">
        <f t="shared" si="9"/>
        <v>0</v>
      </c>
      <c r="BZ30" s="61">
        <f t="shared" si="9"/>
        <v>0</v>
      </c>
      <c r="CA30" s="61">
        <f t="shared" si="9"/>
        <v>0</v>
      </c>
      <c r="CB30" s="61">
        <f t="shared" si="5"/>
        <v>0</v>
      </c>
      <c r="CD30" s="200">
        <f>(SUMIF(Fonctionnement[Affectation matrice],$AB$3,Fonctionnement[TVA acquittée])+SUMIF(Invest[Affectation matrice],$AB$3,Invest[TVA acquittée]))*BC30</f>
        <v>0</v>
      </c>
      <c r="CE30" s="200">
        <f>(SUMIF(Fonctionnement[Affectation matrice],$AB$3,Fonctionnement[TVA acquittée])+SUMIF(Invest[Affectation matrice],$AB$3,Invest[TVA acquittée]))*BD30</f>
        <v>0</v>
      </c>
      <c r="CF30" s="200">
        <f>(SUMIF(Fonctionnement[Affectation matrice],$AB$3,Fonctionnement[TVA acquittée])+SUMIF(Invest[Affectation matrice],$AB$3,Invest[TVA acquittée]))*BE30</f>
        <v>0</v>
      </c>
      <c r="CG30" s="200">
        <f>(SUMIF(Fonctionnement[Affectation matrice],$AB$3,Fonctionnement[TVA acquittée])+SUMIF(Invest[Affectation matrice],$AB$3,Invest[TVA acquittée]))*BF30</f>
        <v>0</v>
      </c>
      <c r="CH30" s="200">
        <f>(SUMIF(Fonctionnement[Affectation matrice],$AB$3,Fonctionnement[TVA acquittée])+SUMIF(Invest[Affectation matrice],$AB$3,Invest[TVA acquittée]))*BG30</f>
        <v>0</v>
      </c>
      <c r="CI30" s="200">
        <f>(SUMIF(Fonctionnement[Affectation matrice],$AB$3,Fonctionnement[TVA acquittée])+SUMIF(Invest[Affectation matrice],$AB$3,Invest[TVA acquittée]))*BH30</f>
        <v>0</v>
      </c>
      <c r="CJ30" s="200">
        <f>(SUMIF(Fonctionnement[Affectation matrice],$AB$3,Fonctionnement[TVA acquittée])+SUMIF(Invest[Affectation matrice],$AB$3,Invest[TVA acquittée]))*BI30</f>
        <v>0</v>
      </c>
      <c r="CK30" s="200">
        <f>(SUMIF(Fonctionnement[Affectation matrice],$AB$3,Fonctionnement[TVA acquittée])+SUMIF(Invest[Affectation matrice],$AB$3,Invest[TVA acquittée]))*BJ30</f>
        <v>0</v>
      </c>
      <c r="CL30" s="200">
        <f>(SUMIF(Fonctionnement[Affectation matrice],$AB$3,Fonctionnement[TVA acquittée])+SUMIF(Invest[Affectation matrice],$AB$3,Invest[TVA acquittée]))*BK30</f>
        <v>0</v>
      </c>
      <c r="CM30" s="200">
        <f>(SUMIF(Fonctionnement[Affectation matrice],$AB$3,Fonctionnement[TVA acquittée])+SUMIF(Invest[Affectation matrice],$AB$3,Invest[TVA acquittée]))*BL30</f>
        <v>0</v>
      </c>
      <c r="CN30" s="200">
        <f>(SUMIF(Fonctionnement[Affectation matrice],$AB$3,Fonctionnement[TVA acquittée])+SUMIF(Invest[Affectation matrice],$AB$3,Invest[TVA acquittée]))*BM30</f>
        <v>0</v>
      </c>
      <c r="CO30" s="200">
        <f>(SUMIF(Fonctionnement[Affectation matrice],$AB$3,Fonctionnement[TVA acquittée])+SUMIF(Invest[Affectation matrice],$AB$3,Invest[TVA acquittée]))*BN30</f>
        <v>0</v>
      </c>
      <c r="CP30" s="200">
        <f>(SUMIF(Fonctionnement[Affectation matrice],$AB$3,Fonctionnement[TVA acquittée])+SUMIF(Invest[Affectation matrice],$AB$3,Invest[TVA acquittée]))*BO30</f>
        <v>0</v>
      </c>
      <c r="CQ30" s="200">
        <f>(SUMIF(Fonctionnement[Affectation matrice],$AB$3,Fonctionnement[TVA acquittée])+SUMIF(Invest[Affectation matrice],$AB$3,Invest[TVA acquittée]))*BP30</f>
        <v>0</v>
      </c>
      <c r="CR30" s="200">
        <f>(SUMIF(Fonctionnement[Affectation matrice],$AB$3,Fonctionnement[TVA acquittée])+SUMIF(Invest[Affectation matrice],$AB$3,Invest[TVA acquittée]))*BQ30</f>
        <v>0</v>
      </c>
      <c r="CS30" s="200">
        <f>(SUMIF(Fonctionnement[Affectation matrice],$AB$3,Fonctionnement[TVA acquittée])+SUMIF(Invest[Affectation matrice],$AB$3,Invest[TVA acquittée]))*BR30</f>
        <v>0</v>
      </c>
      <c r="CT30" s="200">
        <f>(SUMIF(Fonctionnement[Affectation matrice],$AB$3,Fonctionnement[TVA acquittée])+SUMIF(Invest[Affectation matrice],$AB$3,Invest[TVA acquittée]))*BS30</f>
        <v>0</v>
      </c>
      <c r="CU30" s="200">
        <f>(SUMIF(Fonctionnement[Affectation matrice],$AB$3,Fonctionnement[TVA acquittée])+SUMIF(Invest[Affectation matrice],$AB$3,Invest[TVA acquittée]))*BT30</f>
        <v>0</v>
      </c>
      <c r="CV30" s="200">
        <f>(SUMIF(Fonctionnement[Affectation matrice],$AB$3,Fonctionnement[TVA acquittée])+SUMIF(Invest[Affectation matrice],$AB$3,Invest[TVA acquittée]))*BU30</f>
        <v>0</v>
      </c>
      <c r="CW30" s="200">
        <f>(SUMIF(Fonctionnement[Affectation matrice],$AB$3,Fonctionnement[TVA acquittée])+SUMIF(Invest[Affectation matrice],$AB$3,Invest[TVA acquittée]))*BV30</f>
        <v>0</v>
      </c>
      <c r="CX30" s="200">
        <f>(SUMIF(Fonctionnement[Affectation matrice],$AB$3,Fonctionnement[TVA acquittée])+SUMIF(Invest[Affectation matrice],$AB$3,Invest[TVA acquittée]))*BW30</f>
        <v>0</v>
      </c>
      <c r="CY30" s="200">
        <f>(SUMIF(Fonctionnement[Affectation matrice],$AB$3,Fonctionnement[TVA acquittée])+SUMIF(Invest[Affectation matrice],$AB$3,Invest[TVA acquittée]))*BX30</f>
        <v>0</v>
      </c>
      <c r="CZ30" s="200">
        <f>(SUMIF(Fonctionnement[Affectation matrice],$AB$3,Fonctionnement[TVA acquittée])+SUMIF(Invest[Affectation matrice],$AB$3,Invest[TVA acquittée]))*BY30</f>
        <v>0</v>
      </c>
      <c r="DA30" s="200">
        <f>(SUMIF(Fonctionnement[Affectation matrice],$AB$3,Fonctionnement[TVA acquittée])+SUMIF(Invest[Affectation matrice],$AB$3,Invest[TVA acquittée]))*BZ30</f>
        <v>0</v>
      </c>
      <c r="DB30" s="200">
        <f>(SUMIF(Fonctionnement[Affectation matrice],$AB$3,Fonctionnement[TVA acquittée])+SUMIF(Invest[Affectation matrice],$AB$3,Invest[TVA acquittée]))*CA30</f>
        <v>0</v>
      </c>
    </row>
    <row r="31" spans="1:106" s="22" customFormat="1" ht="12.75" hidden="1" customHeight="1" x14ac:dyDescent="0.25">
      <c r="A31" s="42" t="str">
        <f>Matrice[[#This Row],[Ligne de la matrice]]</f>
        <v>Reprises des subventions d'investissement</v>
      </c>
      <c r="B31" s="276">
        <f>(SUMIF(Fonctionnement[Affectation matrice],$AB$3,Fonctionnement[Montant (€HT)])+SUMIF(Invest[Affectation matrice],$AB$3,Invest[Amortissement HT + intérêts]))*BC31</f>
        <v>0</v>
      </c>
      <c r="C31" s="276">
        <f>(SUMIF(Fonctionnement[Affectation matrice],$AB$3,Fonctionnement[Montant (€HT)])+SUMIF(Invest[Affectation matrice],$AB$3,Invest[Amortissement HT + intérêts]))*BD31</f>
        <v>0</v>
      </c>
      <c r="D31" s="276">
        <f>(SUMIF(Fonctionnement[Affectation matrice],$AB$3,Fonctionnement[Montant (€HT)])+SUMIF(Invest[Affectation matrice],$AB$3,Invest[Amortissement HT + intérêts]))*BE31</f>
        <v>0</v>
      </c>
      <c r="E31" s="276">
        <f>(SUMIF(Fonctionnement[Affectation matrice],$AB$3,Fonctionnement[Montant (€HT)])+SUMIF(Invest[Affectation matrice],$AB$3,Invest[Amortissement HT + intérêts]))*BF31</f>
        <v>0</v>
      </c>
      <c r="F31" s="276">
        <f>(SUMIF(Fonctionnement[Affectation matrice],$AB$3,Fonctionnement[Montant (€HT)])+SUMIF(Invest[Affectation matrice],$AB$3,Invest[Amortissement HT + intérêts]))*BG31</f>
        <v>0</v>
      </c>
      <c r="G31" s="276">
        <f>(SUMIF(Fonctionnement[Affectation matrice],$AB$3,Fonctionnement[Montant (€HT)])+SUMIF(Invest[Affectation matrice],$AB$3,Invest[Amortissement HT + intérêts]))*BH31</f>
        <v>0</v>
      </c>
      <c r="H31" s="276">
        <f>(SUMIF(Fonctionnement[Affectation matrice],$AB$3,Fonctionnement[Montant (€HT)])+SUMIF(Invest[Affectation matrice],$AB$3,Invest[Amortissement HT + intérêts]))*BI31</f>
        <v>0</v>
      </c>
      <c r="I31" s="276">
        <f>(SUMIF(Fonctionnement[Affectation matrice],$AB$3,Fonctionnement[Montant (€HT)])+SUMIF(Invest[Affectation matrice],$AB$3,Invest[Amortissement HT + intérêts]))*BJ31</f>
        <v>0</v>
      </c>
      <c r="J31" s="276">
        <f>(SUMIF(Fonctionnement[Affectation matrice],$AB$3,Fonctionnement[Montant (€HT)])+SUMIF(Invest[Affectation matrice],$AB$3,Invest[Amortissement HT + intérêts]))*BK31</f>
        <v>0</v>
      </c>
      <c r="K31" s="276">
        <f>(SUMIF(Fonctionnement[Affectation matrice],$AB$3,Fonctionnement[Montant (€HT)])+SUMIF(Invest[Affectation matrice],$AB$3,Invest[Amortissement HT + intérêts]))*BL31</f>
        <v>0</v>
      </c>
      <c r="L31" s="276">
        <f>(SUMIF(Fonctionnement[Affectation matrice],$AB$3,Fonctionnement[Montant (€HT)])+SUMIF(Invest[Affectation matrice],$AB$3,Invest[Amortissement HT + intérêts]))*BM31</f>
        <v>0</v>
      </c>
      <c r="M31" s="276">
        <f>(SUMIF(Fonctionnement[Affectation matrice],$AB$3,Fonctionnement[Montant (€HT)])+SUMIF(Invest[Affectation matrice],$AB$3,Invest[Amortissement HT + intérêts]))*BN31</f>
        <v>0</v>
      </c>
      <c r="N31" s="276">
        <f>(SUMIF(Fonctionnement[Affectation matrice],$AB$3,Fonctionnement[Montant (€HT)])+SUMIF(Invest[Affectation matrice],$AB$3,Invest[Amortissement HT + intérêts]))*BO31</f>
        <v>0</v>
      </c>
      <c r="O31" s="276">
        <f>(SUMIF(Fonctionnement[Affectation matrice],$AB$3,Fonctionnement[Montant (€HT)])+SUMIF(Invest[Affectation matrice],$AB$3,Invest[Amortissement HT + intérêts]))*BP31</f>
        <v>0</v>
      </c>
      <c r="P31" s="276">
        <f>(SUMIF(Fonctionnement[Affectation matrice],$AB$3,Fonctionnement[Montant (€HT)])+SUMIF(Invest[Affectation matrice],$AB$3,Invest[Amortissement HT + intérêts]))*BQ31</f>
        <v>0</v>
      </c>
      <c r="Q31" s="276">
        <f>(SUMIF(Fonctionnement[Affectation matrice],$AB$3,Fonctionnement[Montant (€HT)])+SUMIF(Invest[Affectation matrice],$AB$3,Invest[Amortissement HT + intérêts]))*BR31</f>
        <v>0</v>
      </c>
      <c r="R31" s="276">
        <f>(SUMIF(Fonctionnement[Affectation matrice],$AB$3,Fonctionnement[Montant (€HT)])+SUMIF(Invest[Affectation matrice],$AB$3,Invest[Amortissement HT + intérêts]))*BS31</f>
        <v>0</v>
      </c>
      <c r="S31" s="276">
        <f>(SUMIF(Fonctionnement[Affectation matrice],$AB$3,Fonctionnement[Montant (€HT)])+SUMIF(Invest[Affectation matrice],$AB$3,Invest[Amortissement HT + intérêts]))*BT31</f>
        <v>0</v>
      </c>
      <c r="T31" s="276">
        <f>(SUMIF(Fonctionnement[Affectation matrice],$AB$3,Fonctionnement[Montant (€HT)])+SUMIF(Invest[Affectation matrice],$AB$3,Invest[Amortissement HT + intérêts]))*BU31</f>
        <v>0</v>
      </c>
      <c r="U31" s="276">
        <f>(SUMIF(Fonctionnement[Affectation matrice],$AB$3,Fonctionnement[Montant (€HT)])+SUMIF(Invest[Affectation matrice],$AB$3,Invest[Amortissement HT + intérêts]))*BV31</f>
        <v>0</v>
      </c>
      <c r="V31" s="276">
        <f>(SUMIF(Fonctionnement[Affectation matrice],$AB$3,Fonctionnement[Montant (€HT)])+SUMIF(Invest[Affectation matrice],$AB$3,Invest[Amortissement HT + intérêts]))*BW31</f>
        <v>0</v>
      </c>
      <c r="W31" s="276">
        <f>(SUMIF(Fonctionnement[Affectation matrice],$AB$3,Fonctionnement[Montant (€HT)])+SUMIF(Invest[Affectation matrice],$AB$3,Invest[Amortissement HT + intérêts]))*BX31</f>
        <v>0</v>
      </c>
      <c r="X31" s="276">
        <f>(SUMIF(Fonctionnement[Affectation matrice],$AB$3,Fonctionnement[Montant (€HT)])+SUMIF(Invest[Affectation matrice],$AB$3,Invest[Amortissement HT + intérêts]))*BY31</f>
        <v>0</v>
      </c>
      <c r="Y31" s="276">
        <f>(SUMIF(Fonctionnement[Affectation matrice],$AB$3,Fonctionnement[Montant (€HT)])+SUMIF(Invest[Affectation matrice],$AB$3,Invest[Amortissement HT + intérêts]))*BZ31</f>
        <v>0</v>
      </c>
      <c r="Z31" s="276">
        <f>(SUMIF(Fonctionnement[Affectation matrice],$AB$3,Fonctionnement[Montant (€HT)])+SUMIF(Invest[Affectation matrice],$AB$3,Invest[Amortissement HT + intérêts]))*CA31</f>
        <v>0</v>
      </c>
      <c r="AA31" s="199"/>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283">
        <f t="shared" si="4"/>
        <v>0</v>
      </c>
      <c r="BB31" s="7"/>
      <c r="BC31" s="61">
        <f t="shared" si="8"/>
        <v>0</v>
      </c>
      <c r="BD31" s="61">
        <f t="shared" si="8"/>
        <v>0</v>
      </c>
      <c r="BE31" s="61">
        <f t="shared" si="8"/>
        <v>0</v>
      </c>
      <c r="BF31" s="61">
        <f t="shared" si="8"/>
        <v>0</v>
      </c>
      <c r="BG31" s="61">
        <f t="shared" si="8"/>
        <v>0</v>
      </c>
      <c r="BH31" s="61">
        <f t="shared" si="8"/>
        <v>0</v>
      </c>
      <c r="BI31" s="61">
        <f t="shared" si="8"/>
        <v>0</v>
      </c>
      <c r="BJ31" s="61">
        <f t="shared" si="8"/>
        <v>0</v>
      </c>
      <c r="BK31" s="61">
        <f t="shared" si="8"/>
        <v>0</v>
      </c>
      <c r="BL31" s="61">
        <f t="shared" si="8"/>
        <v>0</v>
      </c>
      <c r="BM31" s="61">
        <f t="shared" si="8"/>
        <v>0</v>
      </c>
      <c r="BN31" s="61">
        <f t="shared" si="8"/>
        <v>0</v>
      </c>
      <c r="BO31" s="61">
        <f t="shared" si="8"/>
        <v>0</v>
      </c>
      <c r="BP31" s="61">
        <f t="shared" si="8"/>
        <v>0</v>
      </c>
      <c r="BQ31" s="61">
        <f t="shared" si="8"/>
        <v>0</v>
      </c>
      <c r="BR31" s="61">
        <f t="shared" si="8"/>
        <v>0</v>
      </c>
      <c r="BS31" s="61">
        <f t="shared" si="9"/>
        <v>0</v>
      </c>
      <c r="BT31" s="61">
        <f t="shared" si="9"/>
        <v>0</v>
      </c>
      <c r="BU31" s="61">
        <f t="shared" si="9"/>
        <v>0</v>
      </c>
      <c r="BV31" s="61">
        <f t="shared" si="9"/>
        <v>0</v>
      </c>
      <c r="BW31" s="61">
        <f t="shared" si="9"/>
        <v>0</v>
      </c>
      <c r="BX31" s="61">
        <f t="shared" si="9"/>
        <v>0</v>
      </c>
      <c r="BY31" s="61">
        <f t="shared" si="9"/>
        <v>0</v>
      </c>
      <c r="BZ31" s="61">
        <f t="shared" si="9"/>
        <v>0</v>
      </c>
      <c r="CA31" s="61">
        <f t="shared" si="9"/>
        <v>0</v>
      </c>
      <c r="CB31" s="61">
        <f t="shared" si="5"/>
        <v>0</v>
      </c>
      <c r="CD31" s="200">
        <f>(SUMIF(Fonctionnement[Affectation matrice],$AB$3,Fonctionnement[TVA acquittée])+SUMIF(Invest[Affectation matrice],$AB$3,Invest[TVA acquittée]))*BC31</f>
        <v>0</v>
      </c>
      <c r="CE31" s="200">
        <f>(SUMIF(Fonctionnement[Affectation matrice],$AB$3,Fonctionnement[TVA acquittée])+SUMIF(Invest[Affectation matrice],$AB$3,Invest[TVA acquittée]))*BD31</f>
        <v>0</v>
      </c>
      <c r="CF31" s="200">
        <f>(SUMIF(Fonctionnement[Affectation matrice],$AB$3,Fonctionnement[TVA acquittée])+SUMIF(Invest[Affectation matrice],$AB$3,Invest[TVA acquittée]))*BE31</f>
        <v>0</v>
      </c>
      <c r="CG31" s="200">
        <f>(SUMIF(Fonctionnement[Affectation matrice],$AB$3,Fonctionnement[TVA acquittée])+SUMIF(Invest[Affectation matrice],$AB$3,Invest[TVA acquittée]))*BF31</f>
        <v>0</v>
      </c>
      <c r="CH31" s="200">
        <f>(SUMIF(Fonctionnement[Affectation matrice],$AB$3,Fonctionnement[TVA acquittée])+SUMIF(Invest[Affectation matrice],$AB$3,Invest[TVA acquittée]))*BG31</f>
        <v>0</v>
      </c>
      <c r="CI31" s="200">
        <f>(SUMIF(Fonctionnement[Affectation matrice],$AB$3,Fonctionnement[TVA acquittée])+SUMIF(Invest[Affectation matrice],$AB$3,Invest[TVA acquittée]))*BH31</f>
        <v>0</v>
      </c>
      <c r="CJ31" s="200">
        <f>(SUMIF(Fonctionnement[Affectation matrice],$AB$3,Fonctionnement[TVA acquittée])+SUMIF(Invest[Affectation matrice],$AB$3,Invest[TVA acquittée]))*BI31</f>
        <v>0</v>
      </c>
      <c r="CK31" s="200">
        <f>(SUMIF(Fonctionnement[Affectation matrice],$AB$3,Fonctionnement[TVA acquittée])+SUMIF(Invest[Affectation matrice],$AB$3,Invest[TVA acquittée]))*BJ31</f>
        <v>0</v>
      </c>
      <c r="CL31" s="200">
        <f>(SUMIF(Fonctionnement[Affectation matrice],$AB$3,Fonctionnement[TVA acquittée])+SUMIF(Invest[Affectation matrice],$AB$3,Invest[TVA acquittée]))*BK31</f>
        <v>0</v>
      </c>
      <c r="CM31" s="200">
        <f>(SUMIF(Fonctionnement[Affectation matrice],$AB$3,Fonctionnement[TVA acquittée])+SUMIF(Invest[Affectation matrice],$AB$3,Invest[TVA acquittée]))*BL31</f>
        <v>0</v>
      </c>
      <c r="CN31" s="200">
        <f>(SUMIF(Fonctionnement[Affectation matrice],$AB$3,Fonctionnement[TVA acquittée])+SUMIF(Invest[Affectation matrice],$AB$3,Invest[TVA acquittée]))*BM31</f>
        <v>0</v>
      </c>
      <c r="CO31" s="200">
        <f>(SUMIF(Fonctionnement[Affectation matrice],$AB$3,Fonctionnement[TVA acquittée])+SUMIF(Invest[Affectation matrice],$AB$3,Invest[TVA acquittée]))*BN31</f>
        <v>0</v>
      </c>
      <c r="CP31" s="200">
        <f>(SUMIF(Fonctionnement[Affectation matrice],$AB$3,Fonctionnement[TVA acquittée])+SUMIF(Invest[Affectation matrice],$AB$3,Invest[TVA acquittée]))*BO31</f>
        <v>0</v>
      </c>
      <c r="CQ31" s="200">
        <f>(SUMIF(Fonctionnement[Affectation matrice],$AB$3,Fonctionnement[TVA acquittée])+SUMIF(Invest[Affectation matrice],$AB$3,Invest[TVA acquittée]))*BP31</f>
        <v>0</v>
      </c>
      <c r="CR31" s="200">
        <f>(SUMIF(Fonctionnement[Affectation matrice],$AB$3,Fonctionnement[TVA acquittée])+SUMIF(Invest[Affectation matrice],$AB$3,Invest[TVA acquittée]))*BQ31</f>
        <v>0</v>
      </c>
      <c r="CS31" s="200">
        <f>(SUMIF(Fonctionnement[Affectation matrice],$AB$3,Fonctionnement[TVA acquittée])+SUMIF(Invest[Affectation matrice],$AB$3,Invest[TVA acquittée]))*BR31</f>
        <v>0</v>
      </c>
      <c r="CT31" s="200">
        <f>(SUMIF(Fonctionnement[Affectation matrice],$AB$3,Fonctionnement[TVA acquittée])+SUMIF(Invest[Affectation matrice],$AB$3,Invest[TVA acquittée]))*BS31</f>
        <v>0</v>
      </c>
      <c r="CU31" s="200">
        <f>(SUMIF(Fonctionnement[Affectation matrice],$AB$3,Fonctionnement[TVA acquittée])+SUMIF(Invest[Affectation matrice],$AB$3,Invest[TVA acquittée]))*BT31</f>
        <v>0</v>
      </c>
      <c r="CV31" s="200">
        <f>(SUMIF(Fonctionnement[Affectation matrice],$AB$3,Fonctionnement[TVA acquittée])+SUMIF(Invest[Affectation matrice],$AB$3,Invest[TVA acquittée]))*BU31</f>
        <v>0</v>
      </c>
      <c r="CW31" s="200">
        <f>(SUMIF(Fonctionnement[Affectation matrice],$AB$3,Fonctionnement[TVA acquittée])+SUMIF(Invest[Affectation matrice],$AB$3,Invest[TVA acquittée]))*BV31</f>
        <v>0</v>
      </c>
      <c r="CX31" s="200">
        <f>(SUMIF(Fonctionnement[Affectation matrice],$AB$3,Fonctionnement[TVA acquittée])+SUMIF(Invest[Affectation matrice],$AB$3,Invest[TVA acquittée]))*BW31</f>
        <v>0</v>
      </c>
      <c r="CY31" s="200">
        <f>(SUMIF(Fonctionnement[Affectation matrice],$AB$3,Fonctionnement[TVA acquittée])+SUMIF(Invest[Affectation matrice],$AB$3,Invest[TVA acquittée]))*BX31</f>
        <v>0</v>
      </c>
      <c r="CZ31" s="200">
        <f>(SUMIF(Fonctionnement[Affectation matrice],$AB$3,Fonctionnement[TVA acquittée])+SUMIF(Invest[Affectation matrice],$AB$3,Invest[TVA acquittée]))*BY31</f>
        <v>0</v>
      </c>
      <c r="DA31" s="200">
        <f>(SUMIF(Fonctionnement[Affectation matrice],$AB$3,Fonctionnement[TVA acquittée])+SUMIF(Invest[Affectation matrice],$AB$3,Invest[TVA acquittée]))*BZ31</f>
        <v>0</v>
      </c>
      <c r="DB31" s="200">
        <f>(SUMIF(Fonctionnement[Affectation matrice],$AB$3,Fonctionnement[TVA acquittée])+SUMIF(Invest[Affectation matrice],$AB$3,Invest[TVA acquittée]))*CA31</f>
        <v>0</v>
      </c>
    </row>
    <row r="32" spans="1:106" s="22" customFormat="1" ht="12.75" hidden="1" customHeight="1" x14ac:dyDescent="0.25">
      <c r="A32" s="42" t="str">
        <f>Matrice[[#This Row],[Ligne de la matrice]]</f>
        <v>Subventions de fonctionnement</v>
      </c>
      <c r="B32" s="276">
        <f>(SUMIF(Fonctionnement[Affectation matrice],$AB$3,Fonctionnement[Montant (€HT)])+SUMIF(Invest[Affectation matrice],$AB$3,Invest[Amortissement HT + intérêts]))*BC32</f>
        <v>0</v>
      </c>
      <c r="C32" s="276">
        <f>(SUMIF(Fonctionnement[Affectation matrice],$AB$3,Fonctionnement[Montant (€HT)])+SUMIF(Invest[Affectation matrice],$AB$3,Invest[Amortissement HT + intérêts]))*BD32</f>
        <v>0</v>
      </c>
      <c r="D32" s="276">
        <f>(SUMIF(Fonctionnement[Affectation matrice],$AB$3,Fonctionnement[Montant (€HT)])+SUMIF(Invest[Affectation matrice],$AB$3,Invest[Amortissement HT + intérêts]))*BE32</f>
        <v>0</v>
      </c>
      <c r="E32" s="276">
        <f>(SUMIF(Fonctionnement[Affectation matrice],$AB$3,Fonctionnement[Montant (€HT)])+SUMIF(Invest[Affectation matrice],$AB$3,Invest[Amortissement HT + intérêts]))*BF32</f>
        <v>0</v>
      </c>
      <c r="F32" s="276">
        <f>(SUMIF(Fonctionnement[Affectation matrice],$AB$3,Fonctionnement[Montant (€HT)])+SUMIF(Invest[Affectation matrice],$AB$3,Invest[Amortissement HT + intérêts]))*BG32</f>
        <v>0</v>
      </c>
      <c r="G32" s="276">
        <f>(SUMIF(Fonctionnement[Affectation matrice],$AB$3,Fonctionnement[Montant (€HT)])+SUMIF(Invest[Affectation matrice],$AB$3,Invest[Amortissement HT + intérêts]))*BH32</f>
        <v>0</v>
      </c>
      <c r="H32" s="276">
        <f>(SUMIF(Fonctionnement[Affectation matrice],$AB$3,Fonctionnement[Montant (€HT)])+SUMIF(Invest[Affectation matrice],$AB$3,Invest[Amortissement HT + intérêts]))*BI32</f>
        <v>0</v>
      </c>
      <c r="I32" s="276">
        <f>(SUMIF(Fonctionnement[Affectation matrice],$AB$3,Fonctionnement[Montant (€HT)])+SUMIF(Invest[Affectation matrice],$AB$3,Invest[Amortissement HT + intérêts]))*BJ32</f>
        <v>0</v>
      </c>
      <c r="J32" s="276">
        <f>(SUMIF(Fonctionnement[Affectation matrice],$AB$3,Fonctionnement[Montant (€HT)])+SUMIF(Invest[Affectation matrice],$AB$3,Invest[Amortissement HT + intérêts]))*BK32</f>
        <v>0</v>
      </c>
      <c r="K32" s="276">
        <f>(SUMIF(Fonctionnement[Affectation matrice],$AB$3,Fonctionnement[Montant (€HT)])+SUMIF(Invest[Affectation matrice],$AB$3,Invest[Amortissement HT + intérêts]))*BL32</f>
        <v>0</v>
      </c>
      <c r="L32" s="276">
        <f>(SUMIF(Fonctionnement[Affectation matrice],$AB$3,Fonctionnement[Montant (€HT)])+SUMIF(Invest[Affectation matrice],$AB$3,Invest[Amortissement HT + intérêts]))*BM32</f>
        <v>0</v>
      </c>
      <c r="M32" s="276">
        <f>(SUMIF(Fonctionnement[Affectation matrice],$AB$3,Fonctionnement[Montant (€HT)])+SUMIF(Invest[Affectation matrice],$AB$3,Invest[Amortissement HT + intérêts]))*BN32</f>
        <v>0</v>
      </c>
      <c r="N32" s="276">
        <f>(SUMIF(Fonctionnement[Affectation matrice],$AB$3,Fonctionnement[Montant (€HT)])+SUMIF(Invest[Affectation matrice],$AB$3,Invest[Amortissement HT + intérêts]))*BO32</f>
        <v>0</v>
      </c>
      <c r="O32" s="276">
        <f>(SUMIF(Fonctionnement[Affectation matrice],$AB$3,Fonctionnement[Montant (€HT)])+SUMIF(Invest[Affectation matrice],$AB$3,Invest[Amortissement HT + intérêts]))*BP32</f>
        <v>0</v>
      </c>
      <c r="P32" s="276">
        <f>(SUMIF(Fonctionnement[Affectation matrice],$AB$3,Fonctionnement[Montant (€HT)])+SUMIF(Invest[Affectation matrice],$AB$3,Invest[Amortissement HT + intérêts]))*BQ32</f>
        <v>0</v>
      </c>
      <c r="Q32" s="276">
        <f>(SUMIF(Fonctionnement[Affectation matrice],$AB$3,Fonctionnement[Montant (€HT)])+SUMIF(Invest[Affectation matrice],$AB$3,Invest[Amortissement HT + intérêts]))*BR32</f>
        <v>0</v>
      </c>
      <c r="R32" s="276">
        <f>(SUMIF(Fonctionnement[Affectation matrice],$AB$3,Fonctionnement[Montant (€HT)])+SUMIF(Invest[Affectation matrice],$AB$3,Invest[Amortissement HT + intérêts]))*BS32</f>
        <v>0</v>
      </c>
      <c r="S32" s="276">
        <f>(SUMIF(Fonctionnement[Affectation matrice],$AB$3,Fonctionnement[Montant (€HT)])+SUMIF(Invest[Affectation matrice],$AB$3,Invest[Amortissement HT + intérêts]))*BT32</f>
        <v>0</v>
      </c>
      <c r="T32" s="276">
        <f>(SUMIF(Fonctionnement[Affectation matrice],$AB$3,Fonctionnement[Montant (€HT)])+SUMIF(Invest[Affectation matrice],$AB$3,Invest[Amortissement HT + intérêts]))*BU32</f>
        <v>0</v>
      </c>
      <c r="U32" s="276">
        <f>(SUMIF(Fonctionnement[Affectation matrice],$AB$3,Fonctionnement[Montant (€HT)])+SUMIF(Invest[Affectation matrice],$AB$3,Invest[Amortissement HT + intérêts]))*BV32</f>
        <v>0</v>
      </c>
      <c r="V32" s="276">
        <f>(SUMIF(Fonctionnement[Affectation matrice],$AB$3,Fonctionnement[Montant (€HT)])+SUMIF(Invest[Affectation matrice],$AB$3,Invest[Amortissement HT + intérêts]))*BW32</f>
        <v>0</v>
      </c>
      <c r="W32" s="276">
        <f>(SUMIF(Fonctionnement[Affectation matrice],$AB$3,Fonctionnement[Montant (€HT)])+SUMIF(Invest[Affectation matrice],$AB$3,Invest[Amortissement HT + intérêts]))*BX32</f>
        <v>0</v>
      </c>
      <c r="X32" s="276">
        <f>(SUMIF(Fonctionnement[Affectation matrice],$AB$3,Fonctionnement[Montant (€HT)])+SUMIF(Invest[Affectation matrice],$AB$3,Invest[Amortissement HT + intérêts]))*BY32</f>
        <v>0</v>
      </c>
      <c r="Y32" s="276">
        <f>(SUMIF(Fonctionnement[Affectation matrice],$AB$3,Fonctionnement[Montant (€HT)])+SUMIF(Invest[Affectation matrice],$AB$3,Invest[Amortissement HT + intérêts]))*BZ32</f>
        <v>0</v>
      </c>
      <c r="Z32" s="276">
        <f>(SUMIF(Fonctionnement[Affectation matrice],$AB$3,Fonctionnement[Montant (€HT)])+SUMIF(Invest[Affectation matrice],$AB$3,Invest[Amortissement HT + intérêts]))*CA32</f>
        <v>0</v>
      </c>
      <c r="AA32" s="199"/>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283">
        <f t="shared" si="4"/>
        <v>0</v>
      </c>
      <c r="BB32" s="7"/>
      <c r="BC32" s="61">
        <f t="shared" si="8"/>
        <v>0</v>
      </c>
      <c r="BD32" s="61">
        <f t="shared" si="8"/>
        <v>0</v>
      </c>
      <c r="BE32" s="61">
        <f t="shared" si="8"/>
        <v>0</v>
      </c>
      <c r="BF32" s="61">
        <f t="shared" si="8"/>
        <v>0</v>
      </c>
      <c r="BG32" s="61">
        <f t="shared" si="8"/>
        <v>0</v>
      </c>
      <c r="BH32" s="61">
        <f t="shared" si="8"/>
        <v>0</v>
      </c>
      <c r="BI32" s="61">
        <f t="shared" si="8"/>
        <v>0</v>
      </c>
      <c r="BJ32" s="61">
        <f t="shared" si="8"/>
        <v>0</v>
      </c>
      <c r="BK32" s="61">
        <f t="shared" si="8"/>
        <v>0</v>
      </c>
      <c r="BL32" s="61">
        <f t="shared" si="8"/>
        <v>0</v>
      </c>
      <c r="BM32" s="61">
        <f t="shared" si="8"/>
        <v>0</v>
      </c>
      <c r="BN32" s="61">
        <f t="shared" si="8"/>
        <v>0</v>
      </c>
      <c r="BO32" s="61">
        <f t="shared" si="8"/>
        <v>0</v>
      </c>
      <c r="BP32" s="61">
        <f t="shared" si="8"/>
        <v>0</v>
      </c>
      <c r="BQ32" s="61">
        <f t="shared" si="8"/>
        <v>0</v>
      </c>
      <c r="BR32" s="61">
        <f t="shared" si="8"/>
        <v>0</v>
      </c>
      <c r="BS32" s="61">
        <f t="shared" si="9"/>
        <v>0</v>
      </c>
      <c r="BT32" s="61">
        <f t="shared" si="9"/>
        <v>0</v>
      </c>
      <c r="BU32" s="61">
        <f t="shared" si="9"/>
        <v>0</v>
      </c>
      <c r="BV32" s="61">
        <f t="shared" si="9"/>
        <v>0</v>
      </c>
      <c r="BW32" s="61">
        <f t="shared" si="9"/>
        <v>0</v>
      </c>
      <c r="BX32" s="61">
        <f t="shared" si="9"/>
        <v>0</v>
      </c>
      <c r="BY32" s="61">
        <f t="shared" si="9"/>
        <v>0</v>
      </c>
      <c r="BZ32" s="61">
        <f t="shared" si="9"/>
        <v>0</v>
      </c>
      <c r="CA32" s="61">
        <f t="shared" si="9"/>
        <v>0</v>
      </c>
      <c r="CB32" s="61">
        <f t="shared" si="5"/>
        <v>0</v>
      </c>
      <c r="CD32" s="200">
        <f>(SUMIF(Fonctionnement[Affectation matrice],$AB$3,Fonctionnement[TVA acquittée])+SUMIF(Invest[Affectation matrice],$AB$3,Invest[TVA acquittée]))*BC32</f>
        <v>0</v>
      </c>
      <c r="CE32" s="200">
        <f>(SUMIF(Fonctionnement[Affectation matrice],$AB$3,Fonctionnement[TVA acquittée])+SUMIF(Invest[Affectation matrice],$AB$3,Invest[TVA acquittée]))*BD32</f>
        <v>0</v>
      </c>
      <c r="CF32" s="200">
        <f>(SUMIF(Fonctionnement[Affectation matrice],$AB$3,Fonctionnement[TVA acquittée])+SUMIF(Invest[Affectation matrice],$AB$3,Invest[TVA acquittée]))*BE32</f>
        <v>0</v>
      </c>
      <c r="CG32" s="200">
        <f>(SUMIF(Fonctionnement[Affectation matrice],$AB$3,Fonctionnement[TVA acquittée])+SUMIF(Invest[Affectation matrice],$AB$3,Invest[TVA acquittée]))*BF32</f>
        <v>0</v>
      </c>
      <c r="CH32" s="200">
        <f>(SUMIF(Fonctionnement[Affectation matrice],$AB$3,Fonctionnement[TVA acquittée])+SUMIF(Invest[Affectation matrice],$AB$3,Invest[TVA acquittée]))*BG32</f>
        <v>0</v>
      </c>
      <c r="CI32" s="200">
        <f>(SUMIF(Fonctionnement[Affectation matrice],$AB$3,Fonctionnement[TVA acquittée])+SUMIF(Invest[Affectation matrice],$AB$3,Invest[TVA acquittée]))*BH32</f>
        <v>0</v>
      </c>
      <c r="CJ32" s="200">
        <f>(SUMIF(Fonctionnement[Affectation matrice],$AB$3,Fonctionnement[TVA acquittée])+SUMIF(Invest[Affectation matrice],$AB$3,Invest[TVA acquittée]))*BI32</f>
        <v>0</v>
      </c>
      <c r="CK32" s="200">
        <f>(SUMIF(Fonctionnement[Affectation matrice],$AB$3,Fonctionnement[TVA acquittée])+SUMIF(Invest[Affectation matrice],$AB$3,Invest[TVA acquittée]))*BJ32</f>
        <v>0</v>
      </c>
      <c r="CL32" s="200">
        <f>(SUMIF(Fonctionnement[Affectation matrice],$AB$3,Fonctionnement[TVA acquittée])+SUMIF(Invest[Affectation matrice],$AB$3,Invest[TVA acquittée]))*BK32</f>
        <v>0</v>
      </c>
      <c r="CM32" s="200">
        <f>(SUMIF(Fonctionnement[Affectation matrice],$AB$3,Fonctionnement[TVA acquittée])+SUMIF(Invest[Affectation matrice],$AB$3,Invest[TVA acquittée]))*BL32</f>
        <v>0</v>
      </c>
      <c r="CN32" s="200">
        <f>(SUMIF(Fonctionnement[Affectation matrice],$AB$3,Fonctionnement[TVA acquittée])+SUMIF(Invest[Affectation matrice],$AB$3,Invest[TVA acquittée]))*BM32</f>
        <v>0</v>
      </c>
      <c r="CO32" s="200">
        <f>(SUMIF(Fonctionnement[Affectation matrice],$AB$3,Fonctionnement[TVA acquittée])+SUMIF(Invest[Affectation matrice],$AB$3,Invest[TVA acquittée]))*BN32</f>
        <v>0</v>
      </c>
      <c r="CP32" s="200">
        <f>(SUMIF(Fonctionnement[Affectation matrice],$AB$3,Fonctionnement[TVA acquittée])+SUMIF(Invest[Affectation matrice],$AB$3,Invest[TVA acquittée]))*BO32</f>
        <v>0</v>
      </c>
      <c r="CQ32" s="200">
        <f>(SUMIF(Fonctionnement[Affectation matrice],$AB$3,Fonctionnement[TVA acquittée])+SUMIF(Invest[Affectation matrice],$AB$3,Invest[TVA acquittée]))*BP32</f>
        <v>0</v>
      </c>
      <c r="CR32" s="200">
        <f>(SUMIF(Fonctionnement[Affectation matrice],$AB$3,Fonctionnement[TVA acquittée])+SUMIF(Invest[Affectation matrice],$AB$3,Invest[TVA acquittée]))*BQ32</f>
        <v>0</v>
      </c>
      <c r="CS32" s="200">
        <f>(SUMIF(Fonctionnement[Affectation matrice],$AB$3,Fonctionnement[TVA acquittée])+SUMIF(Invest[Affectation matrice],$AB$3,Invest[TVA acquittée]))*BR32</f>
        <v>0</v>
      </c>
      <c r="CT32" s="200">
        <f>(SUMIF(Fonctionnement[Affectation matrice],$AB$3,Fonctionnement[TVA acquittée])+SUMIF(Invest[Affectation matrice],$AB$3,Invest[TVA acquittée]))*BS32</f>
        <v>0</v>
      </c>
      <c r="CU32" s="200">
        <f>(SUMIF(Fonctionnement[Affectation matrice],$AB$3,Fonctionnement[TVA acquittée])+SUMIF(Invest[Affectation matrice],$AB$3,Invest[TVA acquittée]))*BT32</f>
        <v>0</v>
      </c>
      <c r="CV32" s="200">
        <f>(SUMIF(Fonctionnement[Affectation matrice],$AB$3,Fonctionnement[TVA acquittée])+SUMIF(Invest[Affectation matrice],$AB$3,Invest[TVA acquittée]))*BU32</f>
        <v>0</v>
      </c>
      <c r="CW32" s="200">
        <f>(SUMIF(Fonctionnement[Affectation matrice],$AB$3,Fonctionnement[TVA acquittée])+SUMIF(Invest[Affectation matrice],$AB$3,Invest[TVA acquittée]))*BV32</f>
        <v>0</v>
      </c>
      <c r="CX32" s="200">
        <f>(SUMIF(Fonctionnement[Affectation matrice],$AB$3,Fonctionnement[TVA acquittée])+SUMIF(Invest[Affectation matrice],$AB$3,Invest[TVA acquittée]))*BW32</f>
        <v>0</v>
      </c>
      <c r="CY32" s="200">
        <f>(SUMIF(Fonctionnement[Affectation matrice],$AB$3,Fonctionnement[TVA acquittée])+SUMIF(Invest[Affectation matrice],$AB$3,Invest[TVA acquittée]))*BX32</f>
        <v>0</v>
      </c>
      <c r="CZ32" s="200">
        <f>(SUMIF(Fonctionnement[Affectation matrice],$AB$3,Fonctionnement[TVA acquittée])+SUMIF(Invest[Affectation matrice],$AB$3,Invest[TVA acquittée]))*BY32</f>
        <v>0</v>
      </c>
      <c r="DA32" s="200">
        <f>(SUMIF(Fonctionnement[Affectation matrice],$AB$3,Fonctionnement[TVA acquittée])+SUMIF(Invest[Affectation matrice],$AB$3,Invest[TVA acquittée]))*BZ32</f>
        <v>0</v>
      </c>
      <c r="DB32" s="200">
        <f>(SUMIF(Fonctionnement[Affectation matrice],$AB$3,Fonctionnement[TVA acquittée])+SUMIF(Invest[Affectation matrice],$AB$3,Invest[TVA acquittée]))*CA32</f>
        <v>0</v>
      </c>
    </row>
    <row r="33" spans="1:106" s="22" customFormat="1" ht="12.75" hidden="1" customHeight="1" x14ac:dyDescent="0.25">
      <c r="A33" s="42" t="str">
        <f>Matrice[[#This Row],[Ligne de la matrice]]</f>
        <v>Aides à l'emploi</v>
      </c>
      <c r="B33" s="276">
        <f>(SUMIF(Fonctionnement[Affectation matrice],$AB$3,Fonctionnement[Montant (€HT)])+SUMIF(Invest[Affectation matrice],$AB$3,Invest[Amortissement HT + intérêts]))*BC33</f>
        <v>0</v>
      </c>
      <c r="C33" s="276">
        <f>(SUMIF(Fonctionnement[Affectation matrice],$AB$3,Fonctionnement[Montant (€HT)])+SUMIF(Invest[Affectation matrice],$AB$3,Invest[Amortissement HT + intérêts]))*BD33</f>
        <v>0</v>
      </c>
      <c r="D33" s="276">
        <f>(SUMIF(Fonctionnement[Affectation matrice],$AB$3,Fonctionnement[Montant (€HT)])+SUMIF(Invest[Affectation matrice],$AB$3,Invest[Amortissement HT + intérêts]))*BE33</f>
        <v>0</v>
      </c>
      <c r="E33" s="276">
        <f>(SUMIF(Fonctionnement[Affectation matrice],$AB$3,Fonctionnement[Montant (€HT)])+SUMIF(Invest[Affectation matrice],$AB$3,Invest[Amortissement HT + intérêts]))*BF33</f>
        <v>0</v>
      </c>
      <c r="F33" s="276">
        <f>(SUMIF(Fonctionnement[Affectation matrice],$AB$3,Fonctionnement[Montant (€HT)])+SUMIF(Invest[Affectation matrice],$AB$3,Invest[Amortissement HT + intérêts]))*BG33</f>
        <v>0</v>
      </c>
      <c r="G33" s="276">
        <f>(SUMIF(Fonctionnement[Affectation matrice],$AB$3,Fonctionnement[Montant (€HT)])+SUMIF(Invest[Affectation matrice],$AB$3,Invest[Amortissement HT + intérêts]))*BH33</f>
        <v>0</v>
      </c>
      <c r="H33" s="276">
        <f>(SUMIF(Fonctionnement[Affectation matrice],$AB$3,Fonctionnement[Montant (€HT)])+SUMIF(Invest[Affectation matrice],$AB$3,Invest[Amortissement HT + intérêts]))*BI33</f>
        <v>0</v>
      </c>
      <c r="I33" s="276">
        <f>(SUMIF(Fonctionnement[Affectation matrice],$AB$3,Fonctionnement[Montant (€HT)])+SUMIF(Invest[Affectation matrice],$AB$3,Invest[Amortissement HT + intérêts]))*BJ33</f>
        <v>0</v>
      </c>
      <c r="J33" s="276">
        <f>(SUMIF(Fonctionnement[Affectation matrice],$AB$3,Fonctionnement[Montant (€HT)])+SUMIF(Invest[Affectation matrice],$AB$3,Invest[Amortissement HT + intérêts]))*BK33</f>
        <v>0</v>
      </c>
      <c r="K33" s="276">
        <f>(SUMIF(Fonctionnement[Affectation matrice],$AB$3,Fonctionnement[Montant (€HT)])+SUMIF(Invest[Affectation matrice],$AB$3,Invest[Amortissement HT + intérêts]))*BL33</f>
        <v>0</v>
      </c>
      <c r="L33" s="276">
        <f>(SUMIF(Fonctionnement[Affectation matrice],$AB$3,Fonctionnement[Montant (€HT)])+SUMIF(Invest[Affectation matrice],$AB$3,Invest[Amortissement HT + intérêts]))*BM33</f>
        <v>0</v>
      </c>
      <c r="M33" s="276">
        <f>(SUMIF(Fonctionnement[Affectation matrice],$AB$3,Fonctionnement[Montant (€HT)])+SUMIF(Invest[Affectation matrice],$AB$3,Invest[Amortissement HT + intérêts]))*BN33</f>
        <v>0</v>
      </c>
      <c r="N33" s="276">
        <f>(SUMIF(Fonctionnement[Affectation matrice],$AB$3,Fonctionnement[Montant (€HT)])+SUMIF(Invest[Affectation matrice],$AB$3,Invest[Amortissement HT + intérêts]))*BO33</f>
        <v>0</v>
      </c>
      <c r="O33" s="276">
        <f>(SUMIF(Fonctionnement[Affectation matrice],$AB$3,Fonctionnement[Montant (€HT)])+SUMIF(Invest[Affectation matrice],$AB$3,Invest[Amortissement HT + intérêts]))*BP33</f>
        <v>0</v>
      </c>
      <c r="P33" s="276">
        <f>(SUMIF(Fonctionnement[Affectation matrice],$AB$3,Fonctionnement[Montant (€HT)])+SUMIF(Invest[Affectation matrice],$AB$3,Invest[Amortissement HT + intérêts]))*BQ33</f>
        <v>0</v>
      </c>
      <c r="Q33" s="276">
        <f>(SUMIF(Fonctionnement[Affectation matrice],$AB$3,Fonctionnement[Montant (€HT)])+SUMIF(Invest[Affectation matrice],$AB$3,Invest[Amortissement HT + intérêts]))*BR33</f>
        <v>0</v>
      </c>
      <c r="R33" s="276">
        <f>(SUMIF(Fonctionnement[Affectation matrice],$AB$3,Fonctionnement[Montant (€HT)])+SUMIF(Invest[Affectation matrice],$AB$3,Invest[Amortissement HT + intérêts]))*BS33</f>
        <v>0</v>
      </c>
      <c r="S33" s="276">
        <f>(SUMIF(Fonctionnement[Affectation matrice],$AB$3,Fonctionnement[Montant (€HT)])+SUMIF(Invest[Affectation matrice],$AB$3,Invest[Amortissement HT + intérêts]))*BT33</f>
        <v>0</v>
      </c>
      <c r="T33" s="276">
        <f>(SUMIF(Fonctionnement[Affectation matrice],$AB$3,Fonctionnement[Montant (€HT)])+SUMIF(Invest[Affectation matrice],$AB$3,Invest[Amortissement HT + intérêts]))*BU33</f>
        <v>0</v>
      </c>
      <c r="U33" s="276">
        <f>(SUMIF(Fonctionnement[Affectation matrice],$AB$3,Fonctionnement[Montant (€HT)])+SUMIF(Invest[Affectation matrice],$AB$3,Invest[Amortissement HT + intérêts]))*BV33</f>
        <v>0</v>
      </c>
      <c r="V33" s="276">
        <f>(SUMIF(Fonctionnement[Affectation matrice],$AB$3,Fonctionnement[Montant (€HT)])+SUMIF(Invest[Affectation matrice],$AB$3,Invest[Amortissement HT + intérêts]))*BW33</f>
        <v>0</v>
      </c>
      <c r="W33" s="276">
        <f>(SUMIF(Fonctionnement[Affectation matrice],$AB$3,Fonctionnement[Montant (€HT)])+SUMIF(Invest[Affectation matrice],$AB$3,Invest[Amortissement HT + intérêts]))*BX33</f>
        <v>0</v>
      </c>
      <c r="X33" s="276">
        <f>(SUMIF(Fonctionnement[Affectation matrice],$AB$3,Fonctionnement[Montant (€HT)])+SUMIF(Invest[Affectation matrice],$AB$3,Invest[Amortissement HT + intérêts]))*BY33</f>
        <v>0</v>
      </c>
      <c r="Y33" s="276">
        <f>(SUMIF(Fonctionnement[Affectation matrice],$AB$3,Fonctionnement[Montant (€HT)])+SUMIF(Invest[Affectation matrice],$AB$3,Invest[Amortissement HT + intérêts]))*BZ33</f>
        <v>0</v>
      </c>
      <c r="Z33" s="276">
        <f>(SUMIF(Fonctionnement[Affectation matrice],$AB$3,Fonctionnement[Montant (€HT)])+SUMIF(Invest[Affectation matrice],$AB$3,Invest[Amortissement HT + intérêts]))*CA33</f>
        <v>0</v>
      </c>
      <c r="AA33" s="199"/>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283">
        <f t="shared" si="4"/>
        <v>0</v>
      </c>
      <c r="BB33" s="7"/>
      <c r="BC33" s="61">
        <f t="shared" si="8"/>
        <v>0</v>
      </c>
      <c r="BD33" s="61">
        <f t="shared" si="8"/>
        <v>0</v>
      </c>
      <c r="BE33" s="61">
        <f t="shared" si="8"/>
        <v>0</v>
      </c>
      <c r="BF33" s="61">
        <f t="shared" si="8"/>
        <v>0</v>
      </c>
      <c r="BG33" s="61">
        <f t="shared" si="8"/>
        <v>0</v>
      </c>
      <c r="BH33" s="61">
        <f t="shared" si="8"/>
        <v>0</v>
      </c>
      <c r="BI33" s="61">
        <f t="shared" si="8"/>
        <v>0</v>
      </c>
      <c r="BJ33" s="61">
        <f t="shared" si="8"/>
        <v>0</v>
      </c>
      <c r="BK33" s="61">
        <f t="shared" si="8"/>
        <v>0</v>
      </c>
      <c r="BL33" s="61">
        <f t="shared" si="8"/>
        <v>0</v>
      </c>
      <c r="BM33" s="61">
        <f t="shared" si="8"/>
        <v>0</v>
      </c>
      <c r="BN33" s="61">
        <f t="shared" si="8"/>
        <v>0</v>
      </c>
      <c r="BO33" s="61">
        <f t="shared" si="8"/>
        <v>0</v>
      </c>
      <c r="BP33" s="61">
        <f t="shared" si="8"/>
        <v>0</v>
      </c>
      <c r="BQ33" s="61">
        <f t="shared" si="8"/>
        <v>0</v>
      </c>
      <c r="BR33" s="61">
        <f t="shared" si="8"/>
        <v>0</v>
      </c>
      <c r="BS33" s="61">
        <f t="shared" si="9"/>
        <v>0</v>
      </c>
      <c r="BT33" s="61">
        <f t="shared" si="9"/>
        <v>0</v>
      </c>
      <c r="BU33" s="61">
        <f t="shared" si="9"/>
        <v>0</v>
      </c>
      <c r="BV33" s="61">
        <f t="shared" si="9"/>
        <v>0</v>
      </c>
      <c r="BW33" s="61">
        <f t="shared" si="9"/>
        <v>0</v>
      </c>
      <c r="BX33" s="61">
        <f t="shared" si="9"/>
        <v>0</v>
      </c>
      <c r="BY33" s="61">
        <f t="shared" si="9"/>
        <v>0</v>
      </c>
      <c r="BZ33" s="61">
        <f t="shared" si="9"/>
        <v>0</v>
      </c>
      <c r="CA33" s="61">
        <f t="shared" si="9"/>
        <v>0</v>
      </c>
      <c r="CB33" s="61">
        <f t="shared" si="5"/>
        <v>0</v>
      </c>
      <c r="CD33" s="200">
        <f>(SUMIF(Fonctionnement[Affectation matrice],$AB$3,Fonctionnement[TVA acquittée])+SUMIF(Invest[Affectation matrice],$AB$3,Invest[TVA acquittée]))*BC33</f>
        <v>0</v>
      </c>
      <c r="CE33" s="200">
        <f>(SUMIF(Fonctionnement[Affectation matrice],$AB$3,Fonctionnement[TVA acquittée])+SUMIF(Invest[Affectation matrice],$AB$3,Invest[TVA acquittée]))*BD33</f>
        <v>0</v>
      </c>
      <c r="CF33" s="200">
        <f>(SUMIF(Fonctionnement[Affectation matrice],$AB$3,Fonctionnement[TVA acquittée])+SUMIF(Invest[Affectation matrice],$AB$3,Invest[TVA acquittée]))*BE33</f>
        <v>0</v>
      </c>
      <c r="CG33" s="200">
        <f>(SUMIF(Fonctionnement[Affectation matrice],$AB$3,Fonctionnement[TVA acquittée])+SUMIF(Invest[Affectation matrice],$AB$3,Invest[TVA acquittée]))*BF33</f>
        <v>0</v>
      </c>
      <c r="CH33" s="200">
        <f>(SUMIF(Fonctionnement[Affectation matrice],$AB$3,Fonctionnement[TVA acquittée])+SUMIF(Invest[Affectation matrice],$AB$3,Invest[TVA acquittée]))*BG33</f>
        <v>0</v>
      </c>
      <c r="CI33" s="200">
        <f>(SUMIF(Fonctionnement[Affectation matrice],$AB$3,Fonctionnement[TVA acquittée])+SUMIF(Invest[Affectation matrice],$AB$3,Invest[TVA acquittée]))*BH33</f>
        <v>0</v>
      </c>
      <c r="CJ33" s="200">
        <f>(SUMIF(Fonctionnement[Affectation matrice],$AB$3,Fonctionnement[TVA acquittée])+SUMIF(Invest[Affectation matrice],$AB$3,Invest[TVA acquittée]))*BI33</f>
        <v>0</v>
      </c>
      <c r="CK33" s="200">
        <f>(SUMIF(Fonctionnement[Affectation matrice],$AB$3,Fonctionnement[TVA acquittée])+SUMIF(Invest[Affectation matrice],$AB$3,Invest[TVA acquittée]))*BJ33</f>
        <v>0</v>
      </c>
      <c r="CL33" s="200">
        <f>(SUMIF(Fonctionnement[Affectation matrice],$AB$3,Fonctionnement[TVA acquittée])+SUMIF(Invest[Affectation matrice],$AB$3,Invest[TVA acquittée]))*BK33</f>
        <v>0</v>
      </c>
      <c r="CM33" s="200">
        <f>(SUMIF(Fonctionnement[Affectation matrice],$AB$3,Fonctionnement[TVA acquittée])+SUMIF(Invest[Affectation matrice],$AB$3,Invest[TVA acquittée]))*BL33</f>
        <v>0</v>
      </c>
      <c r="CN33" s="200">
        <f>(SUMIF(Fonctionnement[Affectation matrice],$AB$3,Fonctionnement[TVA acquittée])+SUMIF(Invest[Affectation matrice],$AB$3,Invest[TVA acquittée]))*BM33</f>
        <v>0</v>
      </c>
      <c r="CO33" s="200">
        <f>(SUMIF(Fonctionnement[Affectation matrice],$AB$3,Fonctionnement[TVA acquittée])+SUMIF(Invest[Affectation matrice],$AB$3,Invest[TVA acquittée]))*BN33</f>
        <v>0</v>
      </c>
      <c r="CP33" s="200">
        <f>(SUMIF(Fonctionnement[Affectation matrice],$AB$3,Fonctionnement[TVA acquittée])+SUMIF(Invest[Affectation matrice],$AB$3,Invest[TVA acquittée]))*BO33</f>
        <v>0</v>
      </c>
      <c r="CQ33" s="200">
        <f>(SUMIF(Fonctionnement[Affectation matrice],$AB$3,Fonctionnement[TVA acquittée])+SUMIF(Invest[Affectation matrice],$AB$3,Invest[TVA acquittée]))*BP33</f>
        <v>0</v>
      </c>
      <c r="CR33" s="200">
        <f>(SUMIF(Fonctionnement[Affectation matrice],$AB$3,Fonctionnement[TVA acquittée])+SUMIF(Invest[Affectation matrice],$AB$3,Invest[TVA acquittée]))*BQ33</f>
        <v>0</v>
      </c>
      <c r="CS33" s="200">
        <f>(SUMIF(Fonctionnement[Affectation matrice],$AB$3,Fonctionnement[TVA acquittée])+SUMIF(Invest[Affectation matrice],$AB$3,Invest[TVA acquittée]))*BR33</f>
        <v>0</v>
      </c>
      <c r="CT33" s="200">
        <f>(SUMIF(Fonctionnement[Affectation matrice],$AB$3,Fonctionnement[TVA acquittée])+SUMIF(Invest[Affectation matrice],$AB$3,Invest[TVA acquittée]))*BS33</f>
        <v>0</v>
      </c>
      <c r="CU33" s="200">
        <f>(SUMIF(Fonctionnement[Affectation matrice],$AB$3,Fonctionnement[TVA acquittée])+SUMIF(Invest[Affectation matrice],$AB$3,Invest[TVA acquittée]))*BT33</f>
        <v>0</v>
      </c>
      <c r="CV33" s="200">
        <f>(SUMIF(Fonctionnement[Affectation matrice],$AB$3,Fonctionnement[TVA acquittée])+SUMIF(Invest[Affectation matrice],$AB$3,Invest[TVA acquittée]))*BU33</f>
        <v>0</v>
      </c>
      <c r="CW33" s="200">
        <f>(SUMIF(Fonctionnement[Affectation matrice],$AB$3,Fonctionnement[TVA acquittée])+SUMIF(Invest[Affectation matrice],$AB$3,Invest[TVA acquittée]))*BV33</f>
        <v>0</v>
      </c>
      <c r="CX33" s="200">
        <f>(SUMIF(Fonctionnement[Affectation matrice],$AB$3,Fonctionnement[TVA acquittée])+SUMIF(Invest[Affectation matrice],$AB$3,Invest[TVA acquittée]))*BW33</f>
        <v>0</v>
      </c>
      <c r="CY33" s="200">
        <f>(SUMIF(Fonctionnement[Affectation matrice],$AB$3,Fonctionnement[TVA acquittée])+SUMIF(Invest[Affectation matrice],$AB$3,Invest[TVA acquittée]))*BX33</f>
        <v>0</v>
      </c>
      <c r="CZ33" s="200">
        <f>(SUMIF(Fonctionnement[Affectation matrice],$AB$3,Fonctionnement[TVA acquittée])+SUMIF(Invest[Affectation matrice],$AB$3,Invest[TVA acquittée]))*BY33</f>
        <v>0</v>
      </c>
      <c r="DA33" s="200">
        <f>(SUMIF(Fonctionnement[Affectation matrice],$AB$3,Fonctionnement[TVA acquittée])+SUMIF(Invest[Affectation matrice],$AB$3,Invest[TVA acquittée]))*BZ33</f>
        <v>0</v>
      </c>
      <c r="DB33" s="200">
        <f>(SUMIF(Fonctionnement[Affectation matrice],$AB$3,Fonctionnement[TVA acquittée])+SUMIF(Invest[Affectation matrice],$AB$3,Invest[TVA acquittée]))*CA33</f>
        <v>0</v>
      </c>
    </row>
    <row r="34" spans="1:106" s="205" customFormat="1" ht="12.75" hidden="1" customHeight="1" x14ac:dyDescent="0.25">
      <c r="A34" s="186"/>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02"/>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03"/>
      <c r="BB34" s="204"/>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row>
    <row r="35" spans="1:106" s="22" customFormat="1" ht="12.75" hidden="1" customHeight="1" x14ac:dyDescent="0.25">
      <c r="A35" s="42" t="str">
        <f>Matrice[[#This Row],[Ligne de la matrice]]</f>
        <v>TVA acquittée</v>
      </c>
      <c r="B35" s="276">
        <f>(SUMIF(Fonctionnement[Affectation matrice],$AB$3,Fonctionnement[Montant (€HT)])+SUMIF(Invest[Affectation matrice],$AB$3,Invest[Amortissement HT + intérêts]))*BC35</f>
        <v>0</v>
      </c>
      <c r="C35" s="276">
        <f>(SUMIF(Fonctionnement[Affectation matrice],$AB$3,Fonctionnement[Montant (€HT)])+SUMIF(Invest[Affectation matrice],$AB$3,Invest[Amortissement HT + intérêts]))*BD35</f>
        <v>0</v>
      </c>
      <c r="D35" s="276">
        <f>(SUMIF(Fonctionnement[Affectation matrice],$AB$3,Fonctionnement[Montant (€HT)])+SUMIF(Invest[Affectation matrice],$AB$3,Invest[Amortissement HT + intérêts]))*BE35</f>
        <v>0</v>
      </c>
      <c r="E35" s="276">
        <f>(SUMIF(Fonctionnement[Affectation matrice],$AB$3,Fonctionnement[Montant (€HT)])+SUMIF(Invest[Affectation matrice],$AB$3,Invest[Amortissement HT + intérêts]))*BF35</f>
        <v>0</v>
      </c>
      <c r="F35" s="276">
        <f>(SUMIF(Fonctionnement[Affectation matrice],$AB$3,Fonctionnement[Montant (€HT)])+SUMIF(Invest[Affectation matrice],$AB$3,Invest[Amortissement HT + intérêts]))*BG35</f>
        <v>0</v>
      </c>
      <c r="G35" s="276">
        <f>(SUMIF(Fonctionnement[Affectation matrice],$AB$3,Fonctionnement[Montant (€HT)])+SUMIF(Invest[Affectation matrice],$AB$3,Invest[Amortissement HT + intérêts]))*BH35</f>
        <v>0</v>
      </c>
      <c r="H35" s="276">
        <f>(SUMIF(Fonctionnement[Affectation matrice],$AB$3,Fonctionnement[Montant (€HT)])+SUMIF(Invest[Affectation matrice],$AB$3,Invest[Amortissement HT + intérêts]))*BI35</f>
        <v>0</v>
      </c>
      <c r="I35" s="276">
        <f>(SUMIF(Fonctionnement[Affectation matrice],$AB$3,Fonctionnement[Montant (€HT)])+SUMIF(Invest[Affectation matrice],$AB$3,Invest[Amortissement HT + intérêts]))*BJ35</f>
        <v>0</v>
      </c>
      <c r="J35" s="276">
        <f>(SUMIF(Fonctionnement[Affectation matrice],$AB$3,Fonctionnement[Montant (€HT)])+SUMIF(Invest[Affectation matrice],$AB$3,Invest[Amortissement HT + intérêts]))*BK35</f>
        <v>0</v>
      </c>
      <c r="K35" s="276">
        <f>(SUMIF(Fonctionnement[Affectation matrice],$AB$3,Fonctionnement[Montant (€HT)])+SUMIF(Invest[Affectation matrice],$AB$3,Invest[Amortissement HT + intérêts]))*BL35</f>
        <v>0</v>
      </c>
      <c r="L35" s="276">
        <f>(SUMIF(Fonctionnement[Affectation matrice],$AB$3,Fonctionnement[Montant (€HT)])+SUMIF(Invest[Affectation matrice],$AB$3,Invest[Amortissement HT + intérêts]))*BM35</f>
        <v>0</v>
      </c>
      <c r="M35" s="276">
        <f>(SUMIF(Fonctionnement[Affectation matrice],$AB$3,Fonctionnement[Montant (€HT)])+SUMIF(Invest[Affectation matrice],$AB$3,Invest[Amortissement HT + intérêts]))*BN35</f>
        <v>0</v>
      </c>
      <c r="N35" s="276">
        <f>(SUMIF(Fonctionnement[Affectation matrice],$AB$3,Fonctionnement[Montant (€HT)])+SUMIF(Invest[Affectation matrice],$AB$3,Invest[Amortissement HT + intérêts]))*BO35</f>
        <v>0</v>
      </c>
      <c r="O35" s="276">
        <f>(SUMIF(Fonctionnement[Affectation matrice],$AB$3,Fonctionnement[Montant (€HT)])+SUMIF(Invest[Affectation matrice],$AB$3,Invest[Amortissement HT + intérêts]))*BP35</f>
        <v>0</v>
      </c>
      <c r="P35" s="276">
        <f>(SUMIF(Fonctionnement[Affectation matrice],$AB$3,Fonctionnement[Montant (€HT)])+SUMIF(Invest[Affectation matrice],$AB$3,Invest[Amortissement HT + intérêts]))*BQ35</f>
        <v>0</v>
      </c>
      <c r="Q35" s="276">
        <f>(SUMIF(Fonctionnement[Affectation matrice],$AB$3,Fonctionnement[Montant (€HT)])+SUMIF(Invest[Affectation matrice],$AB$3,Invest[Amortissement HT + intérêts]))*BR35</f>
        <v>0</v>
      </c>
      <c r="R35" s="276">
        <f>(SUMIF(Fonctionnement[Affectation matrice],$AB$3,Fonctionnement[Montant (€HT)])+SUMIF(Invest[Affectation matrice],$AB$3,Invest[Amortissement HT + intérêts]))*BS35</f>
        <v>0</v>
      </c>
      <c r="S35" s="276">
        <f>(SUMIF(Fonctionnement[Affectation matrice],$AB$3,Fonctionnement[Montant (€HT)])+SUMIF(Invest[Affectation matrice],$AB$3,Invest[Amortissement HT + intérêts]))*BT35</f>
        <v>0</v>
      </c>
      <c r="T35" s="276">
        <f>(SUMIF(Fonctionnement[Affectation matrice],$AB$3,Fonctionnement[Montant (€HT)])+SUMIF(Invest[Affectation matrice],$AB$3,Invest[Amortissement HT + intérêts]))*BU35</f>
        <v>0</v>
      </c>
      <c r="U35" s="276">
        <f>(SUMIF(Fonctionnement[Affectation matrice],$AB$3,Fonctionnement[Montant (€HT)])+SUMIF(Invest[Affectation matrice],$AB$3,Invest[Amortissement HT + intérêts]))*BV35</f>
        <v>0</v>
      </c>
      <c r="V35" s="276">
        <f>(SUMIF(Fonctionnement[Affectation matrice],$AB$3,Fonctionnement[Montant (€HT)])+SUMIF(Invest[Affectation matrice],$AB$3,Invest[Amortissement HT + intérêts]))*BW35</f>
        <v>0</v>
      </c>
      <c r="W35" s="276">
        <f>(SUMIF(Fonctionnement[Affectation matrice],$AB$3,Fonctionnement[Montant (€HT)])+SUMIF(Invest[Affectation matrice],$AB$3,Invest[Amortissement HT + intérêts]))*BX35</f>
        <v>0</v>
      </c>
      <c r="X35" s="276">
        <f>(SUMIF(Fonctionnement[Affectation matrice],$AB$3,Fonctionnement[Montant (€HT)])+SUMIF(Invest[Affectation matrice],$AB$3,Invest[Amortissement HT + intérêts]))*BY35</f>
        <v>0</v>
      </c>
      <c r="Y35" s="276">
        <f>(SUMIF(Fonctionnement[Affectation matrice],$AB$3,Fonctionnement[Montant (€HT)])+SUMIF(Invest[Affectation matrice],$AB$3,Invest[Amortissement HT + intérêts]))*BZ35</f>
        <v>0</v>
      </c>
      <c r="Z35" s="276">
        <f>(SUMIF(Fonctionnement[Affectation matrice],$AB$3,Fonctionnement[Montant (€HT)])+SUMIF(Invest[Affectation matrice],$AB$3,Invest[Amortissement HT + intérêts]))*CA35</f>
        <v>0</v>
      </c>
      <c r="AA35" s="199"/>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283">
        <f t="shared" si="4"/>
        <v>0</v>
      </c>
      <c r="BB35" s="7"/>
      <c r="BC35" s="61">
        <f t="shared" ref="BC35:BR41" si="10">IF($BA$53=0,0,AB35/$BA$53)</f>
        <v>0</v>
      </c>
      <c r="BD35" s="61">
        <f t="shared" si="10"/>
        <v>0</v>
      </c>
      <c r="BE35" s="61">
        <f t="shared" si="10"/>
        <v>0</v>
      </c>
      <c r="BF35" s="61">
        <f t="shared" si="10"/>
        <v>0</v>
      </c>
      <c r="BG35" s="61">
        <f t="shared" si="10"/>
        <v>0</v>
      </c>
      <c r="BH35" s="61">
        <f t="shared" si="10"/>
        <v>0</v>
      </c>
      <c r="BI35" s="61">
        <f t="shared" si="10"/>
        <v>0</v>
      </c>
      <c r="BJ35" s="61">
        <f t="shared" si="10"/>
        <v>0</v>
      </c>
      <c r="BK35" s="61">
        <f t="shared" si="10"/>
        <v>0</v>
      </c>
      <c r="BL35" s="61">
        <f t="shared" si="10"/>
        <v>0</v>
      </c>
      <c r="BM35" s="61">
        <f t="shared" si="10"/>
        <v>0</v>
      </c>
      <c r="BN35" s="61">
        <f t="shared" si="10"/>
        <v>0</v>
      </c>
      <c r="BO35" s="61">
        <f t="shared" si="10"/>
        <v>0</v>
      </c>
      <c r="BP35" s="61">
        <f t="shared" si="10"/>
        <v>0</v>
      </c>
      <c r="BQ35" s="61">
        <f t="shared" si="10"/>
        <v>0</v>
      </c>
      <c r="BR35" s="61">
        <f t="shared" si="10"/>
        <v>0</v>
      </c>
      <c r="BS35" s="61">
        <f t="shared" ref="BM35:CA41" si="11">IF($BA$53=0,0,AR35/$BA$53)</f>
        <v>0</v>
      </c>
      <c r="BT35" s="61">
        <f t="shared" si="11"/>
        <v>0</v>
      </c>
      <c r="BU35" s="61">
        <f t="shared" si="11"/>
        <v>0</v>
      </c>
      <c r="BV35" s="61">
        <f t="shared" si="11"/>
        <v>0</v>
      </c>
      <c r="BW35" s="61">
        <f t="shared" si="11"/>
        <v>0</v>
      </c>
      <c r="BX35" s="61">
        <f t="shared" si="11"/>
        <v>0</v>
      </c>
      <c r="BY35" s="61">
        <f t="shared" si="11"/>
        <v>0</v>
      </c>
      <c r="BZ35" s="61">
        <f t="shared" si="11"/>
        <v>0</v>
      </c>
      <c r="CA35" s="61">
        <f t="shared" si="11"/>
        <v>0</v>
      </c>
      <c r="CB35" s="61">
        <f t="shared" si="5"/>
        <v>0</v>
      </c>
      <c r="CD35" s="200">
        <f>(SUMIF(Fonctionnement[Affectation matrice],$AB$3,Fonctionnement[TVA acquittée])+SUMIF(Invest[Affectation matrice],$AB$3,Invest[TVA acquittée]))*BC35</f>
        <v>0</v>
      </c>
      <c r="CE35" s="200">
        <f>(SUMIF(Fonctionnement[Affectation matrice],$AB$3,Fonctionnement[TVA acquittée])+SUMIF(Invest[Affectation matrice],$AB$3,Invest[TVA acquittée]))*BD35</f>
        <v>0</v>
      </c>
      <c r="CF35" s="200">
        <f>(SUMIF(Fonctionnement[Affectation matrice],$AB$3,Fonctionnement[TVA acquittée])+SUMIF(Invest[Affectation matrice],$AB$3,Invest[TVA acquittée]))*BE35</f>
        <v>0</v>
      </c>
      <c r="CG35" s="200">
        <f>(SUMIF(Fonctionnement[Affectation matrice],$AB$3,Fonctionnement[TVA acquittée])+SUMIF(Invest[Affectation matrice],$AB$3,Invest[TVA acquittée]))*BF35</f>
        <v>0</v>
      </c>
      <c r="CH35" s="200">
        <f>(SUMIF(Fonctionnement[Affectation matrice],$AB$3,Fonctionnement[TVA acquittée])+SUMIF(Invest[Affectation matrice],$AB$3,Invest[TVA acquittée]))*BG35</f>
        <v>0</v>
      </c>
      <c r="CI35" s="200">
        <f>(SUMIF(Fonctionnement[Affectation matrice],$AB$3,Fonctionnement[TVA acquittée])+SUMIF(Invest[Affectation matrice],$AB$3,Invest[TVA acquittée]))*BH35</f>
        <v>0</v>
      </c>
      <c r="CJ35" s="200">
        <f>(SUMIF(Fonctionnement[Affectation matrice],$AB$3,Fonctionnement[TVA acquittée])+SUMIF(Invest[Affectation matrice],$AB$3,Invest[TVA acquittée]))*BI35</f>
        <v>0</v>
      </c>
      <c r="CK35" s="200">
        <f>(SUMIF(Fonctionnement[Affectation matrice],$AB$3,Fonctionnement[TVA acquittée])+SUMIF(Invest[Affectation matrice],$AB$3,Invest[TVA acquittée]))*BJ35</f>
        <v>0</v>
      </c>
      <c r="CL35" s="200">
        <f>(SUMIF(Fonctionnement[Affectation matrice],$AB$3,Fonctionnement[TVA acquittée])+SUMIF(Invest[Affectation matrice],$AB$3,Invest[TVA acquittée]))*BK35</f>
        <v>0</v>
      </c>
      <c r="CM35" s="200">
        <f>(SUMIF(Fonctionnement[Affectation matrice],$AB$3,Fonctionnement[TVA acquittée])+SUMIF(Invest[Affectation matrice],$AB$3,Invest[TVA acquittée]))*BL35</f>
        <v>0</v>
      </c>
      <c r="CN35" s="200">
        <f>(SUMIF(Fonctionnement[Affectation matrice],$AB$3,Fonctionnement[TVA acquittée])+SUMIF(Invest[Affectation matrice],$AB$3,Invest[TVA acquittée]))*BM35</f>
        <v>0</v>
      </c>
      <c r="CO35" s="200">
        <f>(SUMIF(Fonctionnement[Affectation matrice],$AB$3,Fonctionnement[TVA acquittée])+SUMIF(Invest[Affectation matrice],$AB$3,Invest[TVA acquittée]))*BN35</f>
        <v>0</v>
      </c>
      <c r="CP35" s="200">
        <f>(SUMIF(Fonctionnement[Affectation matrice],$AB$3,Fonctionnement[TVA acquittée])+SUMIF(Invest[Affectation matrice],$AB$3,Invest[TVA acquittée]))*BO35</f>
        <v>0</v>
      </c>
      <c r="CQ35" s="200">
        <f>(SUMIF(Fonctionnement[Affectation matrice],$AB$3,Fonctionnement[TVA acquittée])+SUMIF(Invest[Affectation matrice],$AB$3,Invest[TVA acquittée]))*BP35</f>
        <v>0</v>
      </c>
      <c r="CR35" s="200">
        <f>(SUMIF(Fonctionnement[Affectation matrice],$AB$3,Fonctionnement[TVA acquittée])+SUMIF(Invest[Affectation matrice],$AB$3,Invest[TVA acquittée]))*BQ35</f>
        <v>0</v>
      </c>
      <c r="CS35" s="200">
        <f>(SUMIF(Fonctionnement[Affectation matrice],$AB$3,Fonctionnement[TVA acquittée])+SUMIF(Invest[Affectation matrice],$AB$3,Invest[TVA acquittée]))*BR35</f>
        <v>0</v>
      </c>
      <c r="CT35" s="200">
        <f>(SUMIF(Fonctionnement[Affectation matrice],$AB$3,Fonctionnement[TVA acquittée])+SUMIF(Invest[Affectation matrice],$AB$3,Invest[TVA acquittée]))*BS35</f>
        <v>0</v>
      </c>
      <c r="CU35" s="200">
        <f>(SUMIF(Fonctionnement[Affectation matrice],$AB$3,Fonctionnement[TVA acquittée])+SUMIF(Invest[Affectation matrice],$AB$3,Invest[TVA acquittée]))*BT35</f>
        <v>0</v>
      </c>
      <c r="CV35" s="200">
        <f>(SUMIF(Fonctionnement[Affectation matrice],$AB$3,Fonctionnement[TVA acquittée])+SUMIF(Invest[Affectation matrice],$AB$3,Invest[TVA acquittée]))*BU35</f>
        <v>0</v>
      </c>
      <c r="CW35" s="200">
        <f>(SUMIF(Fonctionnement[Affectation matrice],$AB$3,Fonctionnement[TVA acquittée])+SUMIF(Invest[Affectation matrice],$AB$3,Invest[TVA acquittée]))*BV35</f>
        <v>0</v>
      </c>
      <c r="CX35" s="200">
        <f>(SUMIF(Fonctionnement[Affectation matrice],$AB$3,Fonctionnement[TVA acquittée])+SUMIF(Invest[Affectation matrice],$AB$3,Invest[TVA acquittée]))*BW35</f>
        <v>0</v>
      </c>
      <c r="CY35" s="200">
        <f>(SUMIF(Fonctionnement[Affectation matrice],$AB$3,Fonctionnement[TVA acquittée])+SUMIF(Invest[Affectation matrice],$AB$3,Invest[TVA acquittée]))*BX35</f>
        <v>0</v>
      </c>
      <c r="CZ35" s="200">
        <f>(SUMIF(Fonctionnement[Affectation matrice],$AB$3,Fonctionnement[TVA acquittée])+SUMIF(Invest[Affectation matrice],$AB$3,Invest[TVA acquittée]))*BY35</f>
        <v>0</v>
      </c>
      <c r="DA35" s="200">
        <f>(SUMIF(Fonctionnement[Affectation matrice],$AB$3,Fonctionnement[TVA acquittée])+SUMIF(Invest[Affectation matrice],$AB$3,Invest[TVA acquittée]))*BZ35</f>
        <v>0</v>
      </c>
      <c r="DB35" s="200">
        <f>(SUMIF(Fonctionnement[Affectation matrice],$AB$3,Fonctionnement[TVA acquittée])+SUMIF(Invest[Affectation matrice],$AB$3,Invest[TVA acquittée]))*CA35</f>
        <v>0</v>
      </c>
    </row>
    <row r="36" spans="1:106" s="22" customFormat="1" ht="12.75" hidden="1" customHeight="1" x14ac:dyDescent="0.25">
      <c r="A36" s="42" t="str">
        <f>Matrice[[#This Row],[Ligne de la matrice]]</f>
        <v>TEOM</v>
      </c>
      <c r="B36" s="276">
        <f>(SUMIF(Fonctionnement[Affectation matrice],$AB$3,Fonctionnement[Montant (€HT)])+SUMIF(Invest[Affectation matrice],$AB$3,Invest[Amortissement HT + intérêts]))*BC36</f>
        <v>0</v>
      </c>
      <c r="C36" s="276">
        <f>(SUMIF(Fonctionnement[Affectation matrice],$AB$3,Fonctionnement[Montant (€HT)])+SUMIF(Invest[Affectation matrice],$AB$3,Invest[Amortissement HT + intérêts]))*BD36</f>
        <v>0</v>
      </c>
      <c r="D36" s="276">
        <f>(SUMIF(Fonctionnement[Affectation matrice],$AB$3,Fonctionnement[Montant (€HT)])+SUMIF(Invest[Affectation matrice],$AB$3,Invest[Amortissement HT + intérêts]))*BE36</f>
        <v>0</v>
      </c>
      <c r="E36" s="276">
        <f>(SUMIF(Fonctionnement[Affectation matrice],$AB$3,Fonctionnement[Montant (€HT)])+SUMIF(Invest[Affectation matrice],$AB$3,Invest[Amortissement HT + intérêts]))*BF36</f>
        <v>0</v>
      </c>
      <c r="F36" s="276">
        <f>(SUMIF(Fonctionnement[Affectation matrice],$AB$3,Fonctionnement[Montant (€HT)])+SUMIF(Invest[Affectation matrice],$AB$3,Invest[Amortissement HT + intérêts]))*BG36</f>
        <v>0</v>
      </c>
      <c r="G36" s="276">
        <f>(SUMIF(Fonctionnement[Affectation matrice],$AB$3,Fonctionnement[Montant (€HT)])+SUMIF(Invest[Affectation matrice],$AB$3,Invest[Amortissement HT + intérêts]))*BH36</f>
        <v>0</v>
      </c>
      <c r="H36" s="276">
        <f>(SUMIF(Fonctionnement[Affectation matrice],$AB$3,Fonctionnement[Montant (€HT)])+SUMIF(Invest[Affectation matrice],$AB$3,Invest[Amortissement HT + intérêts]))*BI36</f>
        <v>0</v>
      </c>
      <c r="I36" s="276">
        <f>(SUMIF(Fonctionnement[Affectation matrice],$AB$3,Fonctionnement[Montant (€HT)])+SUMIF(Invest[Affectation matrice],$AB$3,Invest[Amortissement HT + intérêts]))*BJ36</f>
        <v>0</v>
      </c>
      <c r="J36" s="276">
        <f>(SUMIF(Fonctionnement[Affectation matrice],$AB$3,Fonctionnement[Montant (€HT)])+SUMIF(Invest[Affectation matrice],$AB$3,Invest[Amortissement HT + intérêts]))*BK36</f>
        <v>0</v>
      </c>
      <c r="K36" s="276">
        <f>(SUMIF(Fonctionnement[Affectation matrice],$AB$3,Fonctionnement[Montant (€HT)])+SUMIF(Invest[Affectation matrice],$AB$3,Invest[Amortissement HT + intérêts]))*BL36</f>
        <v>0</v>
      </c>
      <c r="L36" s="276">
        <f>(SUMIF(Fonctionnement[Affectation matrice],$AB$3,Fonctionnement[Montant (€HT)])+SUMIF(Invest[Affectation matrice],$AB$3,Invest[Amortissement HT + intérêts]))*BM36</f>
        <v>0</v>
      </c>
      <c r="M36" s="276">
        <f>(SUMIF(Fonctionnement[Affectation matrice],$AB$3,Fonctionnement[Montant (€HT)])+SUMIF(Invest[Affectation matrice],$AB$3,Invest[Amortissement HT + intérêts]))*BN36</f>
        <v>0</v>
      </c>
      <c r="N36" s="276">
        <f>(SUMIF(Fonctionnement[Affectation matrice],$AB$3,Fonctionnement[Montant (€HT)])+SUMIF(Invest[Affectation matrice],$AB$3,Invest[Amortissement HT + intérêts]))*BO36</f>
        <v>0</v>
      </c>
      <c r="O36" s="276">
        <f>(SUMIF(Fonctionnement[Affectation matrice],$AB$3,Fonctionnement[Montant (€HT)])+SUMIF(Invest[Affectation matrice],$AB$3,Invest[Amortissement HT + intérêts]))*BP36</f>
        <v>0</v>
      </c>
      <c r="P36" s="276">
        <f>(SUMIF(Fonctionnement[Affectation matrice],$AB$3,Fonctionnement[Montant (€HT)])+SUMIF(Invest[Affectation matrice],$AB$3,Invest[Amortissement HT + intérêts]))*BQ36</f>
        <v>0</v>
      </c>
      <c r="Q36" s="276">
        <f>(SUMIF(Fonctionnement[Affectation matrice],$AB$3,Fonctionnement[Montant (€HT)])+SUMIF(Invest[Affectation matrice],$AB$3,Invest[Amortissement HT + intérêts]))*BR36</f>
        <v>0</v>
      </c>
      <c r="R36" s="276">
        <f>(SUMIF(Fonctionnement[Affectation matrice],$AB$3,Fonctionnement[Montant (€HT)])+SUMIF(Invest[Affectation matrice],$AB$3,Invest[Amortissement HT + intérêts]))*BS36</f>
        <v>0</v>
      </c>
      <c r="S36" s="276">
        <f>(SUMIF(Fonctionnement[Affectation matrice],$AB$3,Fonctionnement[Montant (€HT)])+SUMIF(Invest[Affectation matrice],$AB$3,Invest[Amortissement HT + intérêts]))*BT36</f>
        <v>0</v>
      </c>
      <c r="T36" s="276">
        <f>(SUMIF(Fonctionnement[Affectation matrice],$AB$3,Fonctionnement[Montant (€HT)])+SUMIF(Invest[Affectation matrice],$AB$3,Invest[Amortissement HT + intérêts]))*BU36</f>
        <v>0</v>
      </c>
      <c r="U36" s="276">
        <f>(SUMIF(Fonctionnement[Affectation matrice],$AB$3,Fonctionnement[Montant (€HT)])+SUMIF(Invest[Affectation matrice],$AB$3,Invest[Amortissement HT + intérêts]))*BV36</f>
        <v>0</v>
      </c>
      <c r="V36" s="276">
        <f>(SUMIF(Fonctionnement[Affectation matrice],$AB$3,Fonctionnement[Montant (€HT)])+SUMIF(Invest[Affectation matrice],$AB$3,Invest[Amortissement HT + intérêts]))*BW36</f>
        <v>0</v>
      </c>
      <c r="W36" s="276">
        <f>(SUMIF(Fonctionnement[Affectation matrice],$AB$3,Fonctionnement[Montant (€HT)])+SUMIF(Invest[Affectation matrice],$AB$3,Invest[Amortissement HT + intérêts]))*BX36</f>
        <v>0</v>
      </c>
      <c r="X36" s="276">
        <f>(SUMIF(Fonctionnement[Affectation matrice],$AB$3,Fonctionnement[Montant (€HT)])+SUMIF(Invest[Affectation matrice],$AB$3,Invest[Amortissement HT + intérêts]))*BY36</f>
        <v>0</v>
      </c>
      <c r="Y36" s="276">
        <f>(SUMIF(Fonctionnement[Affectation matrice],$AB$3,Fonctionnement[Montant (€HT)])+SUMIF(Invest[Affectation matrice],$AB$3,Invest[Amortissement HT + intérêts]))*BZ36</f>
        <v>0</v>
      </c>
      <c r="Z36" s="276">
        <f>(SUMIF(Fonctionnement[Affectation matrice],$AB$3,Fonctionnement[Montant (€HT)])+SUMIF(Invest[Affectation matrice],$AB$3,Invest[Amortissement HT + intérêts]))*CA36</f>
        <v>0</v>
      </c>
      <c r="AA36" s="199"/>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283">
        <f t="shared" si="4"/>
        <v>0</v>
      </c>
      <c r="BB36" s="7"/>
      <c r="BC36" s="61">
        <f t="shared" si="10"/>
        <v>0</v>
      </c>
      <c r="BD36" s="61">
        <f t="shared" si="10"/>
        <v>0</v>
      </c>
      <c r="BE36" s="61">
        <f t="shared" si="10"/>
        <v>0</v>
      </c>
      <c r="BF36" s="61">
        <f t="shared" si="10"/>
        <v>0</v>
      </c>
      <c r="BG36" s="61">
        <f t="shared" si="10"/>
        <v>0</v>
      </c>
      <c r="BH36" s="61">
        <f t="shared" si="10"/>
        <v>0</v>
      </c>
      <c r="BI36" s="61">
        <f t="shared" si="10"/>
        <v>0</v>
      </c>
      <c r="BJ36" s="61">
        <f t="shared" si="10"/>
        <v>0</v>
      </c>
      <c r="BK36" s="61">
        <f t="shared" si="10"/>
        <v>0</v>
      </c>
      <c r="BL36" s="61">
        <f t="shared" si="10"/>
        <v>0</v>
      </c>
      <c r="BM36" s="61">
        <f t="shared" si="11"/>
        <v>0</v>
      </c>
      <c r="BN36" s="61">
        <f t="shared" si="11"/>
        <v>0</v>
      </c>
      <c r="BO36" s="61">
        <f t="shared" si="11"/>
        <v>0</v>
      </c>
      <c r="BP36" s="61">
        <f t="shared" si="11"/>
        <v>0</v>
      </c>
      <c r="BQ36" s="61">
        <f t="shared" si="11"/>
        <v>0</v>
      </c>
      <c r="BR36" s="61">
        <f t="shared" si="11"/>
        <v>0</v>
      </c>
      <c r="BS36" s="61">
        <f t="shared" si="11"/>
        <v>0</v>
      </c>
      <c r="BT36" s="61">
        <f t="shared" si="11"/>
        <v>0</v>
      </c>
      <c r="BU36" s="61">
        <f t="shared" si="11"/>
        <v>0</v>
      </c>
      <c r="BV36" s="61">
        <f t="shared" si="11"/>
        <v>0</v>
      </c>
      <c r="BW36" s="61">
        <f t="shared" si="11"/>
        <v>0</v>
      </c>
      <c r="BX36" s="61">
        <f t="shared" si="11"/>
        <v>0</v>
      </c>
      <c r="BY36" s="61">
        <f t="shared" si="11"/>
        <v>0</v>
      </c>
      <c r="BZ36" s="61">
        <f t="shared" si="11"/>
        <v>0</v>
      </c>
      <c r="CA36" s="61">
        <f t="shared" si="11"/>
        <v>0</v>
      </c>
      <c r="CB36" s="61">
        <f t="shared" si="5"/>
        <v>0</v>
      </c>
      <c r="CD36" s="200">
        <f>(SUMIF(Fonctionnement[Affectation matrice],$AB$3,Fonctionnement[TVA acquittée])+SUMIF(Invest[Affectation matrice],$AB$3,Invest[TVA acquittée]))*BC36</f>
        <v>0</v>
      </c>
      <c r="CE36" s="200">
        <f>(SUMIF(Fonctionnement[Affectation matrice],$AB$3,Fonctionnement[TVA acquittée])+SUMIF(Invest[Affectation matrice],$AB$3,Invest[TVA acquittée]))*BD36</f>
        <v>0</v>
      </c>
      <c r="CF36" s="200">
        <f>(SUMIF(Fonctionnement[Affectation matrice],$AB$3,Fonctionnement[TVA acquittée])+SUMIF(Invest[Affectation matrice],$AB$3,Invest[TVA acquittée]))*BE36</f>
        <v>0</v>
      </c>
      <c r="CG36" s="200">
        <f>(SUMIF(Fonctionnement[Affectation matrice],$AB$3,Fonctionnement[TVA acquittée])+SUMIF(Invest[Affectation matrice],$AB$3,Invest[TVA acquittée]))*BF36</f>
        <v>0</v>
      </c>
      <c r="CH36" s="200">
        <f>(SUMIF(Fonctionnement[Affectation matrice],$AB$3,Fonctionnement[TVA acquittée])+SUMIF(Invest[Affectation matrice],$AB$3,Invest[TVA acquittée]))*BG36</f>
        <v>0</v>
      </c>
      <c r="CI36" s="200">
        <f>(SUMIF(Fonctionnement[Affectation matrice],$AB$3,Fonctionnement[TVA acquittée])+SUMIF(Invest[Affectation matrice],$AB$3,Invest[TVA acquittée]))*BH36</f>
        <v>0</v>
      </c>
      <c r="CJ36" s="200">
        <f>(SUMIF(Fonctionnement[Affectation matrice],$AB$3,Fonctionnement[TVA acquittée])+SUMIF(Invest[Affectation matrice],$AB$3,Invest[TVA acquittée]))*BI36</f>
        <v>0</v>
      </c>
      <c r="CK36" s="200">
        <f>(SUMIF(Fonctionnement[Affectation matrice],$AB$3,Fonctionnement[TVA acquittée])+SUMIF(Invest[Affectation matrice],$AB$3,Invest[TVA acquittée]))*BJ36</f>
        <v>0</v>
      </c>
      <c r="CL36" s="200">
        <f>(SUMIF(Fonctionnement[Affectation matrice],$AB$3,Fonctionnement[TVA acquittée])+SUMIF(Invest[Affectation matrice],$AB$3,Invest[TVA acquittée]))*BK36</f>
        <v>0</v>
      </c>
      <c r="CM36" s="200">
        <f>(SUMIF(Fonctionnement[Affectation matrice],$AB$3,Fonctionnement[TVA acquittée])+SUMIF(Invest[Affectation matrice],$AB$3,Invest[TVA acquittée]))*BL36</f>
        <v>0</v>
      </c>
      <c r="CN36" s="200">
        <f>(SUMIF(Fonctionnement[Affectation matrice],$AB$3,Fonctionnement[TVA acquittée])+SUMIF(Invest[Affectation matrice],$AB$3,Invest[TVA acquittée]))*BM36</f>
        <v>0</v>
      </c>
      <c r="CO36" s="200">
        <f>(SUMIF(Fonctionnement[Affectation matrice],$AB$3,Fonctionnement[TVA acquittée])+SUMIF(Invest[Affectation matrice],$AB$3,Invest[TVA acquittée]))*BN36</f>
        <v>0</v>
      </c>
      <c r="CP36" s="200">
        <f>(SUMIF(Fonctionnement[Affectation matrice],$AB$3,Fonctionnement[TVA acquittée])+SUMIF(Invest[Affectation matrice],$AB$3,Invest[TVA acquittée]))*BO36</f>
        <v>0</v>
      </c>
      <c r="CQ36" s="200">
        <f>(SUMIF(Fonctionnement[Affectation matrice],$AB$3,Fonctionnement[TVA acquittée])+SUMIF(Invest[Affectation matrice],$AB$3,Invest[TVA acquittée]))*BP36</f>
        <v>0</v>
      </c>
      <c r="CR36" s="200">
        <f>(SUMIF(Fonctionnement[Affectation matrice],$AB$3,Fonctionnement[TVA acquittée])+SUMIF(Invest[Affectation matrice],$AB$3,Invest[TVA acquittée]))*BQ36</f>
        <v>0</v>
      </c>
      <c r="CS36" s="200">
        <f>(SUMIF(Fonctionnement[Affectation matrice],$AB$3,Fonctionnement[TVA acquittée])+SUMIF(Invest[Affectation matrice],$AB$3,Invest[TVA acquittée]))*BR36</f>
        <v>0</v>
      </c>
      <c r="CT36" s="200">
        <f>(SUMIF(Fonctionnement[Affectation matrice],$AB$3,Fonctionnement[TVA acquittée])+SUMIF(Invest[Affectation matrice],$AB$3,Invest[TVA acquittée]))*BS36</f>
        <v>0</v>
      </c>
      <c r="CU36" s="200">
        <f>(SUMIF(Fonctionnement[Affectation matrice],$AB$3,Fonctionnement[TVA acquittée])+SUMIF(Invest[Affectation matrice],$AB$3,Invest[TVA acquittée]))*BT36</f>
        <v>0</v>
      </c>
      <c r="CV36" s="200">
        <f>(SUMIF(Fonctionnement[Affectation matrice],$AB$3,Fonctionnement[TVA acquittée])+SUMIF(Invest[Affectation matrice],$AB$3,Invest[TVA acquittée]))*BU36</f>
        <v>0</v>
      </c>
      <c r="CW36" s="200">
        <f>(SUMIF(Fonctionnement[Affectation matrice],$AB$3,Fonctionnement[TVA acquittée])+SUMIF(Invest[Affectation matrice],$AB$3,Invest[TVA acquittée]))*BV36</f>
        <v>0</v>
      </c>
      <c r="CX36" s="200">
        <f>(SUMIF(Fonctionnement[Affectation matrice],$AB$3,Fonctionnement[TVA acquittée])+SUMIF(Invest[Affectation matrice],$AB$3,Invest[TVA acquittée]))*BW36</f>
        <v>0</v>
      </c>
      <c r="CY36" s="200">
        <f>(SUMIF(Fonctionnement[Affectation matrice],$AB$3,Fonctionnement[TVA acquittée])+SUMIF(Invest[Affectation matrice],$AB$3,Invest[TVA acquittée]))*BX36</f>
        <v>0</v>
      </c>
      <c r="CZ36" s="200">
        <f>(SUMIF(Fonctionnement[Affectation matrice],$AB$3,Fonctionnement[TVA acquittée])+SUMIF(Invest[Affectation matrice],$AB$3,Invest[TVA acquittée]))*BY36</f>
        <v>0</v>
      </c>
      <c r="DA36" s="200">
        <f>(SUMIF(Fonctionnement[Affectation matrice],$AB$3,Fonctionnement[TVA acquittée])+SUMIF(Invest[Affectation matrice],$AB$3,Invest[TVA acquittée]))*BZ36</f>
        <v>0</v>
      </c>
      <c r="DB36" s="200">
        <f>(SUMIF(Fonctionnement[Affectation matrice],$AB$3,Fonctionnement[TVA acquittée])+SUMIF(Invest[Affectation matrice],$AB$3,Invest[TVA acquittée]))*CA36</f>
        <v>0</v>
      </c>
    </row>
    <row r="37" spans="1:106" s="22" customFormat="1" ht="12.75" hidden="1" customHeight="1" x14ac:dyDescent="0.25">
      <c r="A37" s="42" t="str">
        <f>Matrice[[#This Row],[Ligne de la matrice]]</f>
        <v>REOM</v>
      </c>
      <c r="B37" s="276">
        <f>(SUMIF(Fonctionnement[Affectation matrice],$AB$3,Fonctionnement[Montant (€HT)])+SUMIF(Invest[Affectation matrice],$AB$3,Invest[Amortissement HT + intérêts]))*BC37</f>
        <v>0</v>
      </c>
      <c r="C37" s="276">
        <f>(SUMIF(Fonctionnement[Affectation matrice],$AB$3,Fonctionnement[Montant (€HT)])+SUMIF(Invest[Affectation matrice],$AB$3,Invest[Amortissement HT + intérêts]))*BD37</f>
        <v>0</v>
      </c>
      <c r="D37" s="276">
        <f>(SUMIF(Fonctionnement[Affectation matrice],$AB$3,Fonctionnement[Montant (€HT)])+SUMIF(Invest[Affectation matrice],$AB$3,Invest[Amortissement HT + intérêts]))*BE37</f>
        <v>0</v>
      </c>
      <c r="E37" s="276">
        <f>(SUMIF(Fonctionnement[Affectation matrice],$AB$3,Fonctionnement[Montant (€HT)])+SUMIF(Invest[Affectation matrice],$AB$3,Invest[Amortissement HT + intérêts]))*BF37</f>
        <v>0</v>
      </c>
      <c r="F37" s="276">
        <f>(SUMIF(Fonctionnement[Affectation matrice],$AB$3,Fonctionnement[Montant (€HT)])+SUMIF(Invest[Affectation matrice],$AB$3,Invest[Amortissement HT + intérêts]))*BG37</f>
        <v>0</v>
      </c>
      <c r="G37" s="276">
        <f>(SUMIF(Fonctionnement[Affectation matrice],$AB$3,Fonctionnement[Montant (€HT)])+SUMIF(Invest[Affectation matrice],$AB$3,Invest[Amortissement HT + intérêts]))*BH37</f>
        <v>0</v>
      </c>
      <c r="H37" s="276">
        <f>(SUMIF(Fonctionnement[Affectation matrice],$AB$3,Fonctionnement[Montant (€HT)])+SUMIF(Invest[Affectation matrice],$AB$3,Invest[Amortissement HT + intérêts]))*BI37</f>
        <v>0</v>
      </c>
      <c r="I37" s="276">
        <f>(SUMIF(Fonctionnement[Affectation matrice],$AB$3,Fonctionnement[Montant (€HT)])+SUMIF(Invest[Affectation matrice],$AB$3,Invest[Amortissement HT + intérêts]))*BJ37</f>
        <v>0</v>
      </c>
      <c r="J37" s="276">
        <f>(SUMIF(Fonctionnement[Affectation matrice],$AB$3,Fonctionnement[Montant (€HT)])+SUMIF(Invest[Affectation matrice],$AB$3,Invest[Amortissement HT + intérêts]))*BK37</f>
        <v>0</v>
      </c>
      <c r="K37" s="276">
        <f>(SUMIF(Fonctionnement[Affectation matrice],$AB$3,Fonctionnement[Montant (€HT)])+SUMIF(Invest[Affectation matrice],$AB$3,Invest[Amortissement HT + intérêts]))*BL37</f>
        <v>0</v>
      </c>
      <c r="L37" s="276">
        <f>(SUMIF(Fonctionnement[Affectation matrice],$AB$3,Fonctionnement[Montant (€HT)])+SUMIF(Invest[Affectation matrice],$AB$3,Invest[Amortissement HT + intérêts]))*BM37</f>
        <v>0</v>
      </c>
      <c r="M37" s="276">
        <f>(SUMIF(Fonctionnement[Affectation matrice],$AB$3,Fonctionnement[Montant (€HT)])+SUMIF(Invest[Affectation matrice],$AB$3,Invest[Amortissement HT + intérêts]))*BN37</f>
        <v>0</v>
      </c>
      <c r="N37" s="276">
        <f>(SUMIF(Fonctionnement[Affectation matrice],$AB$3,Fonctionnement[Montant (€HT)])+SUMIF(Invest[Affectation matrice],$AB$3,Invest[Amortissement HT + intérêts]))*BO37</f>
        <v>0</v>
      </c>
      <c r="O37" s="276">
        <f>(SUMIF(Fonctionnement[Affectation matrice],$AB$3,Fonctionnement[Montant (€HT)])+SUMIF(Invest[Affectation matrice],$AB$3,Invest[Amortissement HT + intérêts]))*BP37</f>
        <v>0</v>
      </c>
      <c r="P37" s="276">
        <f>(SUMIF(Fonctionnement[Affectation matrice],$AB$3,Fonctionnement[Montant (€HT)])+SUMIF(Invest[Affectation matrice],$AB$3,Invest[Amortissement HT + intérêts]))*BQ37</f>
        <v>0</v>
      </c>
      <c r="Q37" s="276">
        <f>(SUMIF(Fonctionnement[Affectation matrice],$AB$3,Fonctionnement[Montant (€HT)])+SUMIF(Invest[Affectation matrice],$AB$3,Invest[Amortissement HT + intérêts]))*BR37</f>
        <v>0</v>
      </c>
      <c r="R37" s="276">
        <f>(SUMIF(Fonctionnement[Affectation matrice],$AB$3,Fonctionnement[Montant (€HT)])+SUMIF(Invest[Affectation matrice],$AB$3,Invest[Amortissement HT + intérêts]))*BS37</f>
        <v>0</v>
      </c>
      <c r="S37" s="276">
        <f>(SUMIF(Fonctionnement[Affectation matrice],$AB$3,Fonctionnement[Montant (€HT)])+SUMIF(Invest[Affectation matrice],$AB$3,Invest[Amortissement HT + intérêts]))*BT37</f>
        <v>0</v>
      </c>
      <c r="T37" s="276">
        <f>(SUMIF(Fonctionnement[Affectation matrice],$AB$3,Fonctionnement[Montant (€HT)])+SUMIF(Invest[Affectation matrice],$AB$3,Invest[Amortissement HT + intérêts]))*BU37</f>
        <v>0</v>
      </c>
      <c r="U37" s="276">
        <f>(SUMIF(Fonctionnement[Affectation matrice],$AB$3,Fonctionnement[Montant (€HT)])+SUMIF(Invest[Affectation matrice],$AB$3,Invest[Amortissement HT + intérêts]))*BV37</f>
        <v>0</v>
      </c>
      <c r="V37" s="276">
        <f>(SUMIF(Fonctionnement[Affectation matrice],$AB$3,Fonctionnement[Montant (€HT)])+SUMIF(Invest[Affectation matrice],$AB$3,Invest[Amortissement HT + intérêts]))*BW37</f>
        <v>0</v>
      </c>
      <c r="W37" s="276">
        <f>(SUMIF(Fonctionnement[Affectation matrice],$AB$3,Fonctionnement[Montant (€HT)])+SUMIF(Invest[Affectation matrice],$AB$3,Invest[Amortissement HT + intérêts]))*BX37</f>
        <v>0</v>
      </c>
      <c r="X37" s="276">
        <f>(SUMIF(Fonctionnement[Affectation matrice],$AB$3,Fonctionnement[Montant (€HT)])+SUMIF(Invest[Affectation matrice],$AB$3,Invest[Amortissement HT + intérêts]))*BY37</f>
        <v>0</v>
      </c>
      <c r="Y37" s="276">
        <f>(SUMIF(Fonctionnement[Affectation matrice],$AB$3,Fonctionnement[Montant (€HT)])+SUMIF(Invest[Affectation matrice],$AB$3,Invest[Amortissement HT + intérêts]))*BZ37</f>
        <v>0</v>
      </c>
      <c r="Z37" s="276">
        <f>(SUMIF(Fonctionnement[Affectation matrice],$AB$3,Fonctionnement[Montant (€HT)])+SUMIF(Invest[Affectation matrice],$AB$3,Invest[Amortissement HT + intérêts]))*CA37</f>
        <v>0</v>
      </c>
      <c r="AA37" s="199"/>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283">
        <f t="shared" si="4"/>
        <v>0</v>
      </c>
      <c r="BB37" s="7"/>
      <c r="BC37" s="61">
        <f t="shared" si="10"/>
        <v>0</v>
      </c>
      <c r="BD37" s="61">
        <f t="shared" si="10"/>
        <v>0</v>
      </c>
      <c r="BE37" s="61">
        <f t="shared" si="10"/>
        <v>0</v>
      </c>
      <c r="BF37" s="61">
        <f t="shared" si="10"/>
        <v>0</v>
      </c>
      <c r="BG37" s="61">
        <f t="shared" si="10"/>
        <v>0</v>
      </c>
      <c r="BH37" s="61">
        <f t="shared" si="10"/>
        <v>0</v>
      </c>
      <c r="BI37" s="61">
        <f t="shared" si="10"/>
        <v>0</v>
      </c>
      <c r="BJ37" s="61">
        <f t="shared" si="10"/>
        <v>0</v>
      </c>
      <c r="BK37" s="61">
        <f t="shared" si="10"/>
        <v>0</v>
      </c>
      <c r="BL37" s="61">
        <f t="shared" si="10"/>
        <v>0</v>
      </c>
      <c r="BM37" s="61">
        <f t="shared" si="11"/>
        <v>0</v>
      </c>
      <c r="BN37" s="61">
        <f t="shared" si="11"/>
        <v>0</v>
      </c>
      <c r="BO37" s="61">
        <f t="shared" si="11"/>
        <v>0</v>
      </c>
      <c r="BP37" s="61">
        <f t="shared" si="11"/>
        <v>0</v>
      </c>
      <c r="BQ37" s="61">
        <f t="shared" si="11"/>
        <v>0</v>
      </c>
      <c r="BR37" s="61">
        <f t="shared" si="11"/>
        <v>0</v>
      </c>
      <c r="BS37" s="61">
        <f t="shared" si="11"/>
        <v>0</v>
      </c>
      <c r="BT37" s="61">
        <f t="shared" si="11"/>
        <v>0</v>
      </c>
      <c r="BU37" s="61">
        <f t="shared" si="11"/>
        <v>0</v>
      </c>
      <c r="BV37" s="61">
        <f t="shared" si="11"/>
        <v>0</v>
      </c>
      <c r="BW37" s="61">
        <f t="shared" si="11"/>
        <v>0</v>
      </c>
      <c r="BX37" s="61">
        <f t="shared" si="11"/>
        <v>0</v>
      </c>
      <c r="BY37" s="61">
        <f t="shared" si="11"/>
        <v>0</v>
      </c>
      <c r="BZ37" s="61">
        <f t="shared" si="11"/>
        <v>0</v>
      </c>
      <c r="CA37" s="61">
        <f t="shared" si="11"/>
        <v>0</v>
      </c>
      <c r="CB37" s="61">
        <f t="shared" si="5"/>
        <v>0</v>
      </c>
      <c r="CD37" s="200">
        <f>(SUMIF(Fonctionnement[Affectation matrice],$AB$3,Fonctionnement[TVA acquittée])+SUMIF(Invest[Affectation matrice],$AB$3,Invest[TVA acquittée]))*BC37</f>
        <v>0</v>
      </c>
      <c r="CE37" s="200">
        <f>(SUMIF(Fonctionnement[Affectation matrice],$AB$3,Fonctionnement[TVA acquittée])+SUMIF(Invest[Affectation matrice],$AB$3,Invest[TVA acquittée]))*BD37</f>
        <v>0</v>
      </c>
      <c r="CF37" s="200">
        <f>(SUMIF(Fonctionnement[Affectation matrice],$AB$3,Fonctionnement[TVA acquittée])+SUMIF(Invest[Affectation matrice],$AB$3,Invest[TVA acquittée]))*BE37</f>
        <v>0</v>
      </c>
      <c r="CG37" s="200">
        <f>(SUMIF(Fonctionnement[Affectation matrice],$AB$3,Fonctionnement[TVA acquittée])+SUMIF(Invest[Affectation matrice],$AB$3,Invest[TVA acquittée]))*BF37</f>
        <v>0</v>
      </c>
      <c r="CH37" s="200">
        <f>(SUMIF(Fonctionnement[Affectation matrice],$AB$3,Fonctionnement[TVA acquittée])+SUMIF(Invest[Affectation matrice],$AB$3,Invest[TVA acquittée]))*BG37</f>
        <v>0</v>
      </c>
      <c r="CI37" s="200">
        <f>(SUMIF(Fonctionnement[Affectation matrice],$AB$3,Fonctionnement[TVA acquittée])+SUMIF(Invest[Affectation matrice],$AB$3,Invest[TVA acquittée]))*BH37</f>
        <v>0</v>
      </c>
      <c r="CJ37" s="200">
        <f>(SUMIF(Fonctionnement[Affectation matrice],$AB$3,Fonctionnement[TVA acquittée])+SUMIF(Invest[Affectation matrice],$AB$3,Invest[TVA acquittée]))*BI37</f>
        <v>0</v>
      </c>
      <c r="CK37" s="200">
        <f>(SUMIF(Fonctionnement[Affectation matrice],$AB$3,Fonctionnement[TVA acquittée])+SUMIF(Invest[Affectation matrice],$AB$3,Invest[TVA acquittée]))*BJ37</f>
        <v>0</v>
      </c>
      <c r="CL37" s="200">
        <f>(SUMIF(Fonctionnement[Affectation matrice],$AB$3,Fonctionnement[TVA acquittée])+SUMIF(Invest[Affectation matrice],$AB$3,Invest[TVA acquittée]))*BK37</f>
        <v>0</v>
      </c>
      <c r="CM37" s="200">
        <f>(SUMIF(Fonctionnement[Affectation matrice],$AB$3,Fonctionnement[TVA acquittée])+SUMIF(Invest[Affectation matrice],$AB$3,Invest[TVA acquittée]))*BL37</f>
        <v>0</v>
      </c>
      <c r="CN37" s="200">
        <f>(SUMIF(Fonctionnement[Affectation matrice],$AB$3,Fonctionnement[TVA acquittée])+SUMIF(Invest[Affectation matrice],$AB$3,Invest[TVA acquittée]))*BM37</f>
        <v>0</v>
      </c>
      <c r="CO37" s="200">
        <f>(SUMIF(Fonctionnement[Affectation matrice],$AB$3,Fonctionnement[TVA acquittée])+SUMIF(Invest[Affectation matrice],$AB$3,Invest[TVA acquittée]))*BN37</f>
        <v>0</v>
      </c>
      <c r="CP37" s="200">
        <f>(SUMIF(Fonctionnement[Affectation matrice],$AB$3,Fonctionnement[TVA acquittée])+SUMIF(Invest[Affectation matrice],$AB$3,Invest[TVA acquittée]))*BO37</f>
        <v>0</v>
      </c>
      <c r="CQ37" s="200">
        <f>(SUMIF(Fonctionnement[Affectation matrice],$AB$3,Fonctionnement[TVA acquittée])+SUMIF(Invest[Affectation matrice],$AB$3,Invest[TVA acquittée]))*BP37</f>
        <v>0</v>
      </c>
      <c r="CR37" s="200">
        <f>(SUMIF(Fonctionnement[Affectation matrice],$AB$3,Fonctionnement[TVA acquittée])+SUMIF(Invest[Affectation matrice],$AB$3,Invest[TVA acquittée]))*BQ37</f>
        <v>0</v>
      </c>
      <c r="CS37" s="200">
        <f>(SUMIF(Fonctionnement[Affectation matrice],$AB$3,Fonctionnement[TVA acquittée])+SUMIF(Invest[Affectation matrice],$AB$3,Invest[TVA acquittée]))*BR37</f>
        <v>0</v>
      </c>
      <c r="CT37" s="200">
        <f>(SUMIF(Fonctionnement[Affectation matrice],$AB$3,Fonctionnement[TVA acquittée])+SUMIF(Invest[Affectation matrice],$AB$3,Invest[TVA acquittée]))*BS37</f>
        <v>0</v>
      </c>
      <c r="CU37" s="200">
        <f>(SUMIF(Fonctionnement[Affectation matrice],$AB$3,Fonctionnement[TVA acquittée])+SUMIF(Invest[Affectation matrice],$AB$3,Invest[TVA acquittée]))*BT37</f>
        <v>0</v>
      </c>
      <c r="CV37" s="200">
        <f>(SUMIF(Fonctionnement[Affectation matrice],$AB$3,Fonctionnement[TVA acquittée])+SUMIF(Invest[Affectation matrice],$AB$3,Invest[TVA acquittée]))*BU37</f>
        <v>0</v>
      </c>
      <c r="CW37" s="200">
        <f>(SUMIF(Fonctionnement[Affectation matrice],$AB$3,Fonctionnement[TVA acquittée])+SUMIF(Invest[Affectation matrice],$AB$3,Invest[TVA acquittée]))*BV37</f>
        <v>0</v>
      </c>
      <c r="CX37" s="200">
        <f>(SUMIF(Fonctionnement[Affectation matrice],$AB$3,Fonctionnement[TVA acquittée])+SUMIF(Invest[Affectation matrice],$AB$3,Invest[TVA acquittée]))*BW37</f>
        <v>0</v>
      </c>
      <c r="CY37" s="200">
        <f>(SUMIF(Fonctionnement[Affectation matrice],$AB$3,Fonctionnement[TVA acquittée])+SUMIF(Invest[Affectation matrice],$AB$3,Invest[TVA acquittée]))*BX37</f>
        <v>0</v>
      </c>
      <c r="CZ37" s="200">
        <f>(SUMIF(Fonctionnement[Affectation matrice],$AB$3,Fonctionnement[TVA acquittée])+SUMIF(Invest[Affectation matrice],$AB$3,Invest[TVA acquittée]))*BY37</f>
        <v>0</v>
      </c>
      <c r="DA37" s="200">
        <f>(SUMIF(Fonctionnement[Affectation matrice],$AB$3,Fonctionnement[TVA acquittée])+SUMIF(Invest[Affectation matrice],$AB$3,Invest[TVA acquittée]))*BZ37</f>
        <v>0</v>
      </c>
      <c r="DB37" s="200">
        <f>(SUMIF(Fonctionnement[Affectation matrice],$AB$3,Fonctionnement[TVA acquittée])+SUMIF(Invest[Affectation matrice],$AB$3,Invest[TVA acquittée]))*CA37</f>
        <v>0</v>
      </c>
    </row>
    <row r="38" spans="1:106" s="22" customFormat="1" ht="12.75" hidden="1" customHeight="1" x14ac:dyDescent="0.25">
      <c r="A38" s="42" t="str">
        <f>Matrice[[#This Row],[Ligne de la matrice]]</f>
        <v>Redevance spéciale et facturation à l'usager</v>
      </c>
      <c r="B38" s="276">
        <f>(SUMIF(Fonctionnement[Affectation matrice],$AB$3,Fonctionnement[Montant (€HT)])+SUMIF(Invest[Affectation matrice],$AB$3,Invest[Amortissement HT + intérêts]))*BC38</f>
        <v>0</v>
      </c>
      <c r="C38" s="276">
        <f>(SUMIF(Fonctionnement[Affectation matrice],$AB$3,Fonctionnement[Montant (€HT)])+SUMIF(Invest[Affectation matrice],$AB$3,Invest[Amortissement HT + intérêts]))*BD38</f>
        <v>0</v>
      </c>
      <c r="D38" s="276">
        <f>(SUMIF(Fonctionnement[Affectation matrice],$AB$3,Fonctionnement[Montant (€HT)])+SUMIF(Invest[Affectation matrice],$AB$3,Invest[Amortissement HT + intérêts]))*BE38</f>
        <v>0</v>
      </c>
      <c r="E38" s="276">
        <f>(SUMIF(Fonctionnement[Affectation matrice],$AB$3,Fonctionnement[Montant (€HT)])+SUMIF(Invest[Affectation matrice],$AB$3,Invest[Amortissement HT + intérêts]))*BF38</f>
        <v>0</v>
      </c>
      <c r="F38" s="276">
        <f>(SUMIF(Fonctionnement[Affectation matrice],$AB$3,Fonctionnement[Montant (€HT)])+SUMIF(Invest[Affectation matrice],$AB$3,Invest[Amortissement HT + intérêts]))*BG38</f>
        <v>0</v>
      </c>
      <c r="G38" s="276">
        <f>(SUMIF(Fonctionnement[Affectation matrice],$AB$3,Fonctionnement[Montant (€HT)])+SUMIF(Invest[Affectation matrice],$AB$3,Invest[Amortissement HT + intérêts]))*BH38</f>
        <v>0</v>
      </c>
      <c r="H38" s="276">
        <f>(SUMIF(Fonctionnement[Affectation matrice],$AB$3,Fonctionnement[Montant (€HT)])+SUMIF(Invest[Affectation matrice],$AB$3,Invest[Amortissement HT + intérêts]))*BI38</f>
        <v>0</v>
      </c>
      <c r="I38" s="276">
        <f>(SUMIF(Fonctionnement[Affectation matrice],$AB$3,Fonctionnement[Montant (€HT)])+SUMIF(Invest[Affectation matrice],$AB$3,Invest[Amortissement HT + intérêts]))*BJ38</f>
        <v>0</v>
      </c>
      <c r="J38" s="276">
        <f>(SUMIF(Fonctionnement[Affectation matrice],$AB$3,Fonctionnement[Montant (€HT)])+SUMIF(Invest[Affectation matrice],$AB$3,Invest[Amortissement HT + intérêts]))*BK38</f>
        <v>0</v>
      </c>
      <c r="K38" s="276">
        <f>(SUMIF(Fonctionnement[Affectation matrice],$AB$3,Fonctionnement[Montant (€HT)])+SUMIF(Invest[Affectation matrice],$AB$3,Invest[Amortissement HT + intérêts]))*BL38</f>
        <v>0</v>
      </c>
      <c r="L38" s="276">
        <f>(SUMIF(Fonctionnement[Affectation matrice],$AB$3,Fonctionnement[Montant (€HT)])+SUMIF(Invest[Affectation matrice],$AB$3,Invest[Amortissement HT + intérêts]))*BM38</f>
        <v>0</v>
      </c>
      <c r="M38" s="276">
        <f>(SUMIF(Fonctionnement[Affectation matrice],$AB$3,Fonctionnement[Montant (€HT)])+SUMIF(Invest[Affectation matrice],$AB$3,Invest[Amortissement HT + intérêts]))*BN38</f>
        <v>0</v>
      </c>
      <c r="N38" s="276">
        <f>(SUMIF(Fonctionnement[Affectation matrice],$AB$3,Fonctionnement[Montant (€HT)])+SUMIF(Invest[Affectation matrice],$AB$3,Invest[Amortissement HT + intérêts]))*BO38</f>
        <v>0</v>
      </c>
      <c r="O38" s="276">
        <f>(SUMIF(Fonctionnement[Affectation matrice],$AB$3,Fonctionnement[Montant (€HT)])+SUMIF(Invest[Affectation matrice],$AB$3,Invest[Amortissement HT + intérêts]))*BP38</f>
        <v>0</v>
      </c>
      <c r="P38" s="276">
        <f>(SUMIF(Fonctionnement[Affectation matrice],$AB$3,Fonctionnement[Montant (€HT)])+SUMIF(Invest[Affectation matrice],$AB$3,Invest[Amortissement HT + intérêts]))*BQ38</f>
        <v>0</v>
      </c>
      <c r="Q38" s="276">
        <f>(SUMIF(Fonctionnement[Affectation matrice],$AB$3,Fonctionnement[Montant (€HT)])+SUMIF(Invest[Affectation matrice],$AB$3,Invest[Amortissement HT + intérêts]))*BR38</f>
        <v>0</v>
      </c>
      <c r="R38" s="276">
        <f>(SUMIF(Fonctionnement[Affectation matrice],$AB$3,Fonctionnement[Montant (€HT)])+SUMIF(Invest[Affectation matrice],$AB$3,Invest[Amortissement HT + intérêts]))*BS38</f>
        <v>0</v>
      </c>
      <c r="S38" s="276">
        <f>(SUMIF(Fonctionnement[Affectation matrice],$AB$3,Fonctionnement[Montant (€HT)])+SUMIF(Invest[Affectation matrice],$AB$3,Invest[Amortissement HT + intérêts]))*BT38</f>
        <v>0</v>
      </c>
      <c r="T38" s="276">
        <f>(SUMIF(Fonctionnement[Affectation matrice],$AB$3,Fonctionnement[Montant (€HT)])+SUMIF(Invest[Affectation matrice],$AB$3,Invest[Amortissement HT + intérêts]))*BU38</f>
        <v>0</v>
      </c>
      <c r="U38" s="276">
        <f>(SUMIF(Fonctionnement[Affectation matrice],$AB$3,Fonctionnement[Montant (€HT)])+SUMIF(Invest[Affectation matrice],$AB$3,Invest[Amortissement HT + intérêts]))*BV38</f>
        <v>0</v>
      </c>
      <c r="V38" s="276">
        <f>(SUMIF(Fonctionnement[Affectation matrice],$AB$3,Fonctionnement[Montant (€HT)])+SUMIF(Invest[Affectation matrice],$AB$3,Invest[Amortissement HT + intérêts]))*BW38</f>
        <v>0</v>
      </c>
      <c r="W38" s="276">
        <f>(SUMIF(Fonctionnement[Affectation matrice],$AB$3,Fonctionnement[Montant (€HT)])+SUMIF(Invest[Affectation matrice],$AB$3,Invest[Amortissement HT + intérêts]))*BX38</f>
        <v>0</v>
      </c>
      <c r="X38" s="276">
        <f>(SUMIF(Fonctionnement[Affectation matrice],$AB$3,Fonctionnement[Montant (€HT)])+SUMIF(Invest[Affectation matrice],$AB$3,Invest[Amortissement HT + intérêts]))*BY38</f>
        <v>0</v>
      </c>
      <c r="Y38" s="276">
        <f>(SUMIF(Fonctionnement[Affectation matrice],$AB$3,Fonctionnement[Montant (€HT)])+SUMIF(Invest[Affectation matrice],$AB$3,Invest[Amortissement HT + intérêts]))*BZ38</f>
        <v>0</v>
      </c>
      <c r="Z38" s="276">
        <f>(SUMIF(Fonctionnement[Affectation matrice],$AB$3,Fonctionnement[Montant (€HT)])+SUMIF(Invest[Affectation matrice],$AB$3,Invest[Amortissement HT + intérêts]))*CA38</f>
        <v>0</v>
      </c>
      <c r="AA38" s="199"/>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283">
        <f t="shared" si="4"/>
        <v>0</v>
      </c>
      <c r="BB38" s="7"/>
      <c r="BC38" s="61">
        <f t="shared" si="10"/>
        <v>0</v>
      </c>
      <c r="BD38" s="61">
        <f t="shared" si="10"/>
        <v>0</v>
      </c>
      <c r="BE38" s="61">
        <f t="shared" si="10"/>
        <v>0</v>
      </c>
      <c r="BF38" s="61">
        <f t="shared" si="10"/>
        <v>0</v>
      </c>
      <c r="BG38" s="61">
        <f t="shared" si="10"/>
        <v>0</v>
      </c>
      <c r="BH38" s="61">
        <f t="shared" si="10"/>
        <v>0</v>
      </c>
      <c r="BI38" s="61">
        <f t="shared" si="10"/>
        <v>0</v>
      </c>
      <c r="BJ38" s="61">
        <f t="shared" si="10"/>
        <v>0</v>
      </c>
      <c r="BK38" s="61">
        <f t="shared" si="10"/>
        <v>0</v>
      </c>
      <c r="BL38" s="61">
        <f t="shared" si="10"/>
        <v>0</v>
      </c>
      <c r="BM38" s="61">
        <f t="shared" si="11"/>
        <v>0</v>
      </c>
      <c r="BN38" s="61">
        <f t="shared" si="11"/>
        <v>0</v>
      </c>
      <c r="BO38" s="61">
        <f t="shared" si="11"/>
        <v>0</v>
      </c>
      <c r="BP38" s="61">
        <f t="shared" si="11"/>
        <v>0</v>
      </c>
      <c r="BQ38" s="61">
        <f t="shared" si="11"/>
        <v>0</v>
      </c>
      <c r="BR38" s="61">
        <f t="shared" si="11"/>
        <v>0</v>
      </c>
      <c r="BS38" s="61">
        <f t="shared" si="11"/>
        <v>0</v>
      </c>
      <c r="BT38" s="61">
        <f t="shared" si="11"/>
        <v>0</v>
      </c>
      <c r="BU38" s="61">
        <f t="shared" si="11"/>
        <v>0</v>
      </c>
      <c r="BV38" s="61">
        <f t="shared" si="11"/>
        <v>0</v>
      </c>
      <c r="BW38" s="61">
        <f t="shared" si="11"/>
        <v>0</v>
      </c>
      <c r="BX38" s="61">
        <f t="shared" si="11"/>
        <v>0</v>
      </c>
      <c r="BY38" s="61">
        <f t="shared" si="11"/>
        <v>0</v>
      </c>
      <c r="BZ38" s="61">
        <f t="shared" si="11"/>
        <v>0</v>
      </c>
      <c r="CA38" s="61">
        <f t="shared" si="11"/>
        <v>0</v>
      </c>
      <c r="CB38" s="61">
        <f t="shared" si="5"/>
        <v>0</v>
      </c>
      <c r="CD38" s="200">
        <f>(SUMIF(Fonctionnement[Affectation matrice],$AB$3,Fonctionnement[TVA acquittée])+SUMIF(Invest[Affectation matrice],$AB$3,Invest[TVA acquittée]))*BC38</f>
        <v>0</v>
      </c>
      <c r="CE38" s="200">
        <f>(SUMIF(Fonctionnement[Affectation matrice],$AB$3,Fonctionnement[TVA acquittée])+SUMIF(Invest[Affectation matrice],$AB$3,Invest[TVA acquittée]))*BD38</f>
        <v>0</v>
      </c>
      <c r="CF38" s="200">
        <f>(SUMIF(Fonctionnement[Affectation matrice],$AB$3,Fonctionnement[TVA acquittée])+SUMIF(Invest[Affectation matrice],$AB$3,Invest[TVA acquittée]))*BE38</f>
        <v>0</v>
      </c>
      <c r="CG38" s="200">
        <f>(SUMIF(Fonctionnement[Affectation matrice],$AB$3,Fonctionnement[TVA acquittée])+SUMIF(Invest[Affectation matrice],$AB$3,Invest[TVA acquittée]))*BF38</f>
        <v>0</v>
      </c>
      <c r="CH38" s="200">
        <f>(SUMIF(Fonctionnement[Affectation matrice],$AB$3,Fonctionnement[TVA acquittée])+SUMIF(Invest[Affectation matrice],$AB$3,Invest[TVA acquittée]))*BG38</f>
        <v>0</v>
      </c>
      <c r="CI38" s="200">
        <f>(SUMIF(Fonctionnement[Affectation matrice],$AB$3,Fonctionnement[TVA acquittée])+SUMIF(Invest[Affectation matrice],$AB$3,Invest[TVA acquittée]))*BH38</f>
        <v>0</v>
      </c>
      <c r="CJ38" s="200">
        <f>(SUMIF(Fonctionnement[Affectation matrice],$AB$3,Fonctionnement[TVA acquittée])+SUMIF(Invest[Affectation matrice],$AB$3,Invest[TVA acquittée]))*BI38</f>
        <v>0</v>
      </c>
      <c r="CK38" s="200">
        <f>(SUMIF(Fonctionnement[Affectation matrice],$AB$3,Fonctionnement[TVA acquittée])+SUMIF(Invest[Affectation matrice],$AB$3,Invest[TVA acquittée]))*BJ38</f>
        <v>0</v>
      </c>
      <c r="CL38" s="200">
        <f>(SUMIF(Fonctionnement[Affectation matrice],$AB$3,Fonctionnement[TVA acquittée])+SUMIF(Invest[Affectation matrice],$AB$3,Invest[TVA acquittée]))*BK38</f>
        <v>0</v>
      </c>
      <c r="CM38" s="200">
        <f>(SUMIF(Fonctionnement[Affectation matrice],$AB$3,Fonctionnement[TVA acquittée])+SUMIF(Invest[Affectation matrice],$AB$3,Invest[TVA acquittée]))*BL38</f>
        <v>0</v>
      </c>
      <c r="CN38" s="200">
        <f>(SUMIF(Fonctionnement[Affectation matrice],$AB$3,Fonctionnement[TVA acquittée])+SUMIF(Invest[Affectation matrice],$AB$3,Invest[TVA acquittée]))*BM38</f>
        <v>0</v>
      </c>
      <c r="CO38" s="200">
        <f>(SUMIF(Fonctionnement[Affectation matrice],$AB$3,Fonctionnement[TVA acquittée])+SUMIF(Invest[Affectation matrice],$AB$3,Invest[TVA acquittée]))*BN38</f>
        <v>0</v>
      </c>
      <c r="CP38" s="200">
        <f>(SUMIF(Fonctionnement[Affectation matrice],$AB$3,Fonctionnement[TVA acquittée])+SUMIF(Invest[Affectation matrice],$AB$3,Invest[TVA acquittée]))*BO38</f>
        <v>0</v>
      </c>
      <c r="CQ38" s="200">
        <f>(SUMIF(Fonctionnement[Affectation matrice],$AB$3,Fonctionnement[TVA acquittée])+SUMIF(Invest[Affectation matrice],$AB$3,Invest[TVA acquittée]))*BP38</f>
        <v>0</v>
      </c>
      <c r="CR38" s="200">
        <f>(SUMIF(Fonctionnement[Affectation matrice],$AB$3,Fonctionnement[TVA acquittée])+SUMIF(Invest[Affectation matrice],$AB$3,Invest[TVA acquittée]))*BQ38</f>
        <v>0</v>
      </c>
      <c r="CS38" s="200">
        <f>(SUMIF(Fonctionnement[Affectation matrice],$AB$3,Fonctionnement[TVA acquittée])+SUMIF(Invest[Affectation matrice],$AB$3,Invest[TVA acquittée]))*BR38</f>
        <v>0</v>
      </c>
      <c r="CT38" s="200">
        <f>(SUMIF(Fonctionnement[Affectation matrice],$AB$3,Fonctionnement[TVA acquittée])+SUMIF(Invest[Affectation matrice],$AB$3,Invest[TVA acquittée]))*BS38</f>
        <v>0</v>
      </c>
      <c r="CU38" s="200">
        <f>(SUMIF(Fonctionnement[Affectation matrice],$AB$3,Fonctionnement[TVA acquittée])+SUMIF(Invest[Affectation matrice],$AB$3,Invest[TVA acquittée]))*BT38</f>
        <v>0</v>
      </c>
      <c r="CV38" s="200">
        <f>(SUMIF(Fonctionnement[Affectation matrice],$AB$3,Fonctionnement[TVA acquittée])+SUMIF(Invest[Affectation matrice],$AB$3,Invest[TVA acquittée]))*BU38</f>
        <v>0</v>
      </c>
      <c r="CW38" s="200">
        <f>(SUMIF(Fonctionnement[Affectation matrice],$AB$3,Fonctionnement[TVA acquittée])+SUMIF(Invest[Affectation matrice],$AB$3,Invest[TVA acquittée]))*BV38</f>
        <v>0</v>
      </c>
      <c r="CX38" s="200">
        <f>(SUMIF(Fonctionnement[Affectation matrice],$AB$3,Fonctionnement[TVA acquittée])+SUMIF(Invest[Affectation matrice],$AB$3,Invest[TVA acquittée]))*BW38</f>
        <v>0</v>
      </c>
      <c r="CY38" s="200">
        <f>(SUMIF(Fonctionnement[Affectation matrice],$AB$3,Fonctionnement[TVA acquittée])+SUMIF(Invest[Affectation matrice],$AB$3,Invest[TVA acquittée]))*BX38</f>
        <v>0</v>
      </c>
      <c r="CZ38" s="200">
        <f>(SUMIF(Fonctionnement[Affectation matrice],$AB$3,Fonctionnement[TVA acquittée])+SUMIF(Invest[Affectation matrice],$AB$3,Invest[TVA acquittée]))*BY38</f>
        <v>0</v>
      </c>
      <c r="DA38" s="200">
        <f>(SUMIF(Fonctionnement[Affectation matrice],$AB$3,Fonctionnement[TVA acquittée])+SUMIF(Invest[Affectation matrice],$AB$3,Invest[TVA acquittée]))*BZ38</f>
        <v>0</v>
      </c>
      <c r="DB38" s="200">
        <f>(SUMIF(Fonctionnement[Affectation matrice],$AB$3,Fonctionnement[TVA acquittée])+SUMIF(Invest[Affectation matrice],$AB$3,Invest[TVA acquittée]))*CA38</f>
        <v>0</v>
      </c>
    </row>
    <row r="39" spans="1:106" s="22" customFormat="1" ht="12.75" hidden="1" customHeight="1" x14ac:dyDescent="0.25">
      <c r="A39" s="42" t="str">
        <f>Matrice[[#This Row],[Ligne de la matrice]]</f>
        <v>Redevance spéciale</v>
      </c>
      <c r="B39" s="276">
        <f>(SUMIF(Fonctionnement[Affectation matrice],$AB$3,Fonctionnement[Montant (€HT)])+SUMIF(Invest[Affectation matrice],$AB$3,Invest[Amortissement HT + intérêts]))*BC39</f>
        <v>0</v>
      </c>
      <c r="C39" s="276">
        <f>(SUMIF(Fonctionnement[Affectation matrice],$AB$3,Fonctionnement[Montant (€HT)])+SUMIF(Invest[Affectation matrice],$AB$3,Invest[Amortissement HT + intérêts]))*BD39</f>
        <v>0</v>
      </c>
      <c r="D39" s="276">
        <f>(SUMIF(Fonctionnement[Affectation matrice],$AB$3,Fonctionnement[Montant (€HT)])+SUMIF(Invest[Affectation matrice],$AB$3,Invest[Amortissement HT + intérêts]))*BE39</f>
        <v>0</v>
      </c>
      <c r="E39" s="276">
        <f>(SUMIF(Fonctionnement[Affectation matrice],$AB$3,Fonctionnement[Montant (€HT)])+SUMIF(Invest[Affectation matrice],$AB$3,Invest[Amortissement HT + intérêts]))*BF39</f>
        <v>0</v>
      </c>
      <c r="F39" s="276">
        <f>(SUMIF(Fonctionnement[Affectation matrice],$AB$3,Fonctionnement[Montant (€HT)])+SUMIF(Invest[Affectation matrice],$AB$3,Invest[Amortissement HT + intérêts]))*BG39</f>
        <v>0</v>
      </c>
      <c r="G39" s="276">
        <f>(SUMIF(Fonctionnement[Affectation matrice],$AB$3,Fonctionnement[Montant (€HT)])+SUMIF(Invest[Affectation matrice],$AB$3,Invest[Amortissement HT + intérêts]))*BH39</f>
        <v>0</v>
      </c>
      <c r="H39" s="276">
        <f>(SUMIF(Fonctionnement[Affectation matrice],$AB$3,Fonctionnement[Montant (€HT)])+SUMIF(Invest[Affectation matrice],$AB$3,Invest[Amortissement HT + intérêts]))*BI39</f>
        <v>0</v>
      </c>
      <c r="I39" s="276">
        <f>(SUMIF(Fonctionnement[Affectation matrice],$AB$3,Fonctionnement[Montant (€HT)])+SUMIF(Invest[Affectation matrice],$AB$3,Invest[Amortissement HT + intérêts]))*BJ39</f>
        <v>0</v>
      </c>
      <c r="J39" s="276">
        <f>(SUMIF(Fonctionnement[Affectation matrice],$AB$3,Fonctionnement[Montant (€HT)])+SUMIF(Invest[Affectation matrice],$AB$3,Invest[Amortissement HT + intérêts]))*BK39</f>
        <v>0</v>
      </c>
      <c r="K39" s="276">
        <f>(SUMIF(Fonctionnement[Affectation matrice],$AB$3,Fonctionnement[Montant (€HT)])+SUMIF(Invest[Affectation matrice],$AB$3,Invest[Amortissement HT + intérêts]))*BL39</f>
        <v>0</v>
      </c>
      <c r="L39" s="276">
        <f>(SUMIF(Fonctionnement[Affectation matrice],$AB$3,Fonctionnement[Montant (€HT)])+SUMIF(Invest[Affectation matrice],$AB$3,Invest[Amortissement HT + intérêts]))*BM39</f>
        <v>0</v>
      </c>
      <c r="M39" s="276">
        <f>(SUMIF(Fonctionnement[Affectation matrice],$AB$3,Fonctionnement[Montant (€HT)])+SUMIF(Invest[Affectation matrice],$AB$3,Invest[Amortissement HT + intérêts]))*BN39</f>
        <v>0</v>
      </c>
      <c r="N39" s="276">
        <f>(SUMIF(Fonctionnement[Affectation matrice],$AB$3,Fonctionnement[Montant (€HT)])+SUMIF(Invest[Affectation matrice],$AB$3,Invest[Amortissement HT + intérêts]))*BO39</f>
        <v>0</v>
      </c>
      <c r="O39" s="276">
        <f>(SUMIF(Fonctionnement[Affectation matrice],$AB$3,Fonctionnement[Montant (€HT)])+SUMIF(Invest[Affectation matrice],$AB$3,Invest[Amortissement HT + intérêts]))*BP39</f>
        <v>0</v>
      </c>
      <c r="P39" s="276">
        <f>(SUMIF(Fonctionnement[Affectation matrice],$AB$3,Fonctionnement[Montant (€HT)])+SUMIF(Invest[Affectation matrice],$AB$3,Invest[Amortissement HT + intérêts]))*BQ39</f>
        <v>0</v>
      </c>
      <c r="Q39" s="276">
        <f>(SUMIF(Fonctionnement[Affectation matrice],$AB$3,Fonctionnement[Montant (€HT)])+SUMIF(Invest[Affectation matrice],$AB$3,Invest[Amortissement HT + intérêts]))*BR39</f>
        <v>0</v>
      </c>
      <c r="R39" s="276">
        <f>(SUMIF(Fonctionnement[Affectation matrice],$AB$3,Fonctionnement[Montant (€HT)])+SUMIF(Invest[Affectation matrice],$AB$3,Invest[Amortissement HT + intérêts]))*BS39</f>
        <v>0</v>
      </c>
      <c r="S39" s="276">
        <f>(SUMIF(Fonctionnement[Affectation matrice],$AB$3,Fonctionnement[Montant (€HT)])+SUMIF(Invest[Affectation matrice],$AB$3,Invest[Amortissement HT + intérêts]))*BT39</f>
        <v>0</v>
      </c>
      <c r="T39" s="276">
        <f>(SUMIF(Fonctionnement[Affectation matrice],$AB$3,Fonctionnement[Montant (€HT)])+SUMIF(Invest[Affectation matrice],$AB$3,Invest[Amortissement HT + intérêts]))*BU39</f>
        <v>0</v>
      </c>
      <c r="U39" s="276">
        <f>(SUMIF(Fonctionnement[Affectation matrice],$AB$3,Fonctionnement[Montant (€HT)])+SUMIF(Invest[Affectation matrice],$AB$3,Invest[Amortissement HT + intérêts]))*BV39</f>
        <v>0</v>
      </c>
      <c r="V39" s="276">
        <f>(SUMIF(Fonctionnement[Affectation matrice],$AB$3,Fonctionnement[Montant (€HT)])+SUMIF(Invest[Affectation matrice],$AB$3,Invest[Amortissement HT + intérêts]))*BW39</f>
        <v>0</v>
      </c>
      <c r="W39" s="276">
        <f>(SUMIF(Fonctionnement[Affectation matrice],$AB$3,Fonctionnement[Montant (€HT)])+SUMIF(Invest[Affectation matrice],$AB$3,Invest[Amortissement HT + intérêts]))*BX39</f>
        <v>0</v>
      </c>
      <c r="X39" s="276">
        <f>(SUMIF(Fonctionnement[Affectation matrice],$AB$3,Fonctionnement[Montant (€HT)])+SUMIF(Invest[Affectation matrice],$AB$3,Invest[Amortissement HT + intérêts]))*BY39</f>
        <v>0</v>
      </c>
      <c r="Y39" s="276">
        <f>(SUMIF(Fonctionnement[Affectation matrice],$AB$3,Fonctionnement[Montant (€HT)])+SUMIF(Invest[Affectation matrice],$AB$3,Invest[Amortissement HT + intérêts]))*BZ39</f>
        <v>0</v>
      </c>
      <c r="Z39" s="276">
        <f>(SUMIF(Fonctionnement[Affectation matrice],$AB$3,Fonctionnement[Montant (€HT)])+SUMIF(Invest[Affectation matrice],$AB$3,Invest[Amortissement HT + intérêts]))*CA39</f>
        <v>0</v>
      </c>
      <c r="AA39" s="199"/>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283">
        <f t="shared" si="4"/>
        <v>0</v>
      </c>
      <c r="BB39" s="7"/>
      <c r="BC39" s="61">
        <f t="shared" si="10"/>
        <v>0</v>
      </c>
      <c r="BD39" s="61">
        <f t="shared" si="10"/>
        <v>0</v>
      </c>
      <c r="BE39" s="61">
        <f t="shared" si="10"/>
        <v>0</v>
      </c>
      <c r="BF39" s="61">
        <f t="shared" si="10"/>
        <v>0</v>
      </c>
      <c r="BG39" s="61">
        <f t="shared" si="10"/>
        <v>0</v>
      </c>
      <c r="BH39" s="61">
        <f t="shared" si="10"/>
        <v>0</v>
      </c>
      <c r="BI39" s="61">
        <f t="shared" si="10"/>
        <v>0</v>
      </c>
      <c r="BJ39" s="61">
        <f t="shared" si="10"/>
        <v>0</v>
      </c>
      <c r="BK39" s="61">
        <f t="shared" si="10"/>
        <v>0</v>
      </c>
      <c r="BL39" s="61">
        <f t="shared" si="10"/>
        <v>0</v>
      </c>
      <c r="BM39" s="61">
        <f t="shared" si="11"/>
        <v>0</v>
      </c>
      <c r="BN39" s="61">
        <f t="shared" si="11"/>
        <v>0</v>
      </c>
      <c r="BO39" s="61">
        <f t="shared" si="11"/>
        <v>0</v>
      </c>
      <c r="BP39" s="61">
        <f t="shared" si="11"/>
        <v>0</v>
      </c>
      <c r="BQ39" s="61">
        <f t="shared" si="11"/>
        <v>0</v>
      </c>
      <c r="BR39" s="61">
        <f t="shared" si="11"/>
        <v>0</v>
      </c>
      <c r="BS39" s="61">
        <f t="shared" si="11"/>
        <v>0</v>
      </c>
      <c r="BT39" s="61">
        <f t="shared" si="11"/>
        <v>0</v>
      </c>
      <c r="BU39" s="61">
        <f t="shared" si="11"/>
        <v>0</v>
      </c>
      <c r="BV39" s="61">
        <f t="shared" si="11"/>
        <v>0</v>
      </c>
      <c r="BW39" s="61">
        <f t="shared" si="11"/>
        <v>0</v>
      </c>
      <c r="BX39" s="61">
        <f t="shared" si="11"/>
        <v>0</v>
      </c>
      <c r="BY39" s="61">
        <f t="shared" si="11"/>
        <v>0</v>
      </c>
      <c r="BZ39" s="61">
        <f t="shared" si="11"/>
        <v>0</v>
      </c>
      <c r="CA39" s="61">
        <f t="shared" si="11"/>
        <v>0</v>
      </c>
      <c r="CB39" s="61">
        <f t="shared" si="5"/>
        <v>0</v>
      </c>
      <c r="CD39" s="200">
        <f>(SUMIF(Fonctionnement[Affectation matrice],$AB$3,Fonctionnement[TVA acquittée])+SUMIF(Invest[Affectation matrice],$AB$3,Invest[TVA acquittée]))*BC39</f>
        <v>0</v>
      </c>
      <c r="CE39" s="200">
        <f>(SUMIF(Fonctionnement[Affectation matrice],$AB$3,Fonctionnement[TVA acquittée])+SUMIF(Invest[Affectation matrice],$AB$3,Invest[TVA acquittée]))*BD39</f>
        <v>0</v>
      </c>
      <c r="CF39" s="200">
        <f>(SUMIF(Fonctionnement[Affectation matrice],$AB$3,Fonctionnement[TVA acquittée])+SUMIF(Invest[Affectation matrice],$AB$3,Invest[TVA acquittée]))*BE39</f>
        <v>0</v>
      </c>
      <c r="CG39" s="200">
        <f>(SUMIF(Fonctionnement[Affectation matrice],$AB$3,Fonctionnement[TVA acquittée])+SUMIF(Invest[Affectation matrice],$AB$3,Invest[TVA acquittée]))*BF39</f>
        <v>0</v>
      </c>
      <c r="CH39" s="200">
        <f>(SUMIF(Fonctionnement[Affectation matrice],$AB$3,Fonctionnement[TVA acquittée])+SUMIF(Invest[Affectation matrice],$AB$3,Invest[TVA acquittée]))*BG39</f>
        <v>0</v>
      </c>
      <c r="CI39" s="200">
        <f>(SUMIF(Fonctionnement[Affectation matrice],$AB$3,Fonctionnement[TVA acquittée])+SUMIF(Invest[Affectation matrice],$AB$3,Invest[TVA acquittée]))*BH39</f>
        <v>0</v>
      </c>
      <c r="CJ39" s="200">
        <f>(SUMIF(Fonctionnement[Affectation matrice],$AB$3,Fonctionnement[TVA acquittée])+SUMIF(Invest[Affectation matrice],$AB$3,Invest[TVA acquittée]))*BI39</f>
        <v>0</v>
      </c>
      <c r="CK39" s="200">
        <f>(SUMIF(Fonctionnement[Affectation matrice],$AB$3,Fonctionnement[TVA acquittée])+SUMIF(Invest[Affectation matrice],$AB$3,Invest[TVA acquittée]))*BJ39</f>
        <v>0</v>
      </c>
      <c r="CL39" s="200">
        <f>(SUMIF(Fonctionnement[Affectation matrice],$AB$3,Fonctionnement[TVA acquittée])+SUMIF(Invest[Affectation matrice],$AB$3,Invest[TVA acquittée]))*BK39</f>
        <v>0</v>
      </c>
      <c r="CM39" s="200">
        <f>(SUMIF(Fonctionnement[Affectation matrice],$AB$3,Fonctionnement[TVA acquittée])+SUMIF(Invest[Affectation matrice],$AB$3,Invest[TVA acquittée]))*BL39</f>
        <v>0</v>
      </c>
      <c r="CN39" s="200">
        <f>(SUMIF(Fonctionnement[Affectation matrice],$AB$3,Fonctionnement[TVA acquittée])+SUMIF(Invest[Affectation matrice],$AB$3,Invest[TVA acquittée]))*BM39</f>
        <v>0</v>
      </c>
      <c r="CO39" s="200">
        <f>(SUMIF(Fonctionnement[Affectation matrice],$AB$3,Fonctionnement[TVA acquittée])+SUMIF(Invest[Affectation matrice],$AB$3,Invest[TVA acquittée]))*BN39</f>
        <v>0</v>
      </c>
      <c r="CP39" s="200">
        <f>(SUMIF(Fonctionnement[Affectation matrice],$AB$3,Fonctionnement[TVA acquittée])+SUMIF(Invest[Affectation matrice],$AB$3,Invest[TVA acquittée]))*BO39</f>
        <v>0</v>
      </c>
      <c r="CQ39" s="200">
        <f>(SUMIF(Fonctionnement[Affectation matrice],$AB$3,Fonctionnement[TVA acquittée])+SUMIF(Invest[Affectation matrice],$AB$3,Invest[TVA acquittée]))*BP39</f>
        <v>0</v>
      </c>
      <c r="CR39" s="200">
        <f>(SUMIF(Fonctionnement[Affectation matrice],$AB$3,Fonctionnement[TVA acquittée])+SUMIF(Invest[Affectation matrice],$AB$3,Invest[TVA acquittée]))*BQ39</f>
        <v>0</v>
      </c>
      <c r="CS39" s="200">
        <f>(SUMIF(Fonctionnement[Affectation matrice],$AB$3,Fonctionnement[TVA acquittée])+SUMIF(Invest[Affectation matrice],$AB$3,Invest[TVA acquittée]))*BR39</f>
        <v>0</v>
      </c>
      <c r="CT39" s="200">
        <f>(SUMIF(Fonctionnement[Affectation matrice],$AB$3,Fonctionnement[TVA acquittée])+SUMIF(Invest[Affectation matrice],$AB$3,Invest[TVA acquittée]))*BS39</f>
        <v>0</v>
      </c>
      <c r="CU39" s="200">
        <f>(SUMIF(Fonctionnement[Affectation matrice],$AB$3,Fonctionnement[TVA acquittée])+SUMIF(Invest[Affectation matrice],$AB$3,Invest[TVA acquittée]))*BT39</f>
        <v>0</v>
      </c>
      <c r="CV39" s="200">
        <f>(SUMIF(Fonctionnement[Affectation matrice],$AB$3,Fonctionnement[TVA acquittée])+SUMIF(Invest[Affectation matrice],$AB$3,Invest[TVA acquittée]))*BU39</f>
        <v>0</v>
      </c>
      <c r="CW39" s="200">
        <f>(SUMIF(Fonctionnement[Affectation matrice],$AB$3,Fonctionnement[TVA acquittée])+SUMIF(Invest[Affectation matrice],$AB$3,Invest[TVA acquittée]))*BV39</f>
        <v>0</v>
      </c>
      <c r="CX39" s="200">
        <f>(SUMIF(Fonctionnement[Affectation matrice],$AB$3,Fonctionnement[TVA acquittée])+SUMIF(Invest[Affectation matrice],$AB$3,Invest[TVA acquittée]))*BW39</f>
        <v>0</v>
      </c>
      <c r="CY39" s="200">
        <f>(SUMIF(Fonctionnement[Affectation matrice],$AB$3,Fonctionnement[TVA acquittée])+SUMIF(Invest[Affectation matrice],$AB$3,Invest[TVA acquittée]))*BX39</f>
        <v>0</v>
      </c>
      <c r="CZ39" s="200">
        <f>(SUMIF(Fonctionnement[Affectation matrice],$AB$3,Fonctionnement[TVA acquittée])+SUMIF(Invest[Affectation matrice],$AB$3,Invest[TVA acquittée]))*BY39</f>
        <v>0</v>
      </c>
      <c r="DA39" s="200">
        <f>(SUMIF(Fonctionnement[Affectation matrice],$AB$3,Fonctionnement[TVA acquittée])+SUMIF(Invest[Affectation matrice],$AB$3,Invest[TVA acquittée]))*BZ39</f>
        <v>0</v>
      </c>
      <c r="DB39" s="200">
        <f>(SUMIF(Fonctionnement[Affectation matrice],$AB$3,Fonctionnement[TVA acquittée])+SUMIF(Invest[Affectation matrice],$AB$3,Invest[TVA acquittée]))*CA39</f>
        <v>0</v>
      </c>
    </row>
    <row r="40" spans="1:106" s="22" customFormat="1" ht="12.75" hidden="1" customHeight="1" x14ac:dyDescent="0.25">
      <c r="A40" s="42" t="str">
        <f>Matrice[[#This Row],[Ligne de la matrice]]</f>
        <v>Facturation à l'usager</v>
      </c>
      <c r="B40" s="276">
        <f>(SUMIF(Fonctionnement[Affectation matrice],$AB$3,Fonctionnement[Montant (€HT)])+SUMIF(Invest[Affectation matrice],$AB$3,Invest[Amortissement HT + intérêts]))*BC40</f>
        <v>0</v>
      </c>
      <c r="C40" s="276">
        <f>(SUMIF(Fonctionnement[Affectation matrice],$AB$3,Fonctionnement[Montant (€HT)])+SUMIF(Invest[Affectation matrice],$AB$3,Invest[Amortissement HT + intérêts]))*BD40</f>
        <v>0</v>
      </c>
      <c r="D40" s="276">
        <f>(SUMIF(Fonctionnement[Affectation matrice],$AB$3,Fonctionnement[Montant (€HT)])+SUMIF(Invest[Affectation matrice],$AB$3,Invest[Amortissement HT + intérêts]))*BE40</f>
        <v>0</v>
      </c>
      <c r="E40" s="276">
        <f>(SUMIF(Fonctionnement[Affectation matrice],$AB$3,Fonctionnement[Montant (€HT)])+SUMIF(Invest[Affectation matrice],$AB$3,Invest[Amortissement HT + intérêts]))*BF40</f>
        <v>0</v>
      </c>
      <c r="F40" s="276">
        <f>(SUMIF(Fonctionnement[Affectation matrice],$AB$3,Fonctionnement[Montant (€HT)])+SUMIF(Invest[Affectation matrice],$AB$3,Invest[Amortissement HT + intérêts]))*BG40</f>
        <v>0</v>
      </c>
      <c r="G40" s="276">
        <f>(SUMIF(Fonctionnement[Affectation matrice],$AB$3,Fonctionnement[Montant (€HT)])+SUMIF(Invest[Affectation matrice],$AB$3,Invest[Amortissement HT + intérêts]))*BH40</f>
        <v>0</v>
      </c>
      <c r="H40" s="276">
        <f>(SUMIF(Fonctionnement[Affectation matrice],$AB$3,Fonctionnement[Montant (€HT)])+SUMIF(Invest[Affectation matrice],$AB$3,Invest[Amortissement HT + intérêts]))*BI40</f>
        <v>0</v>
      </c>
      <c r="I40" s="276">
        <f>(SUMIF(Fonctionnement[Affectation matrice],$AB$3,Fonctionnement[Montant (€HT)])+SUMIF(Invest[Affectation matrice],$AB$3,Invest[Amortissement HT + intérêts]))*BJ40</f>
        <v>0</v>
      </c>
      <c r="J40" s="276">
        <f>(SUMIF(Fonctionnement[Affectation matrice],$AB$3,Fonctionnement[Montant (€HT)])+SUMIF(Invest[Affectation matrice],$AB$3,Invest[Amortissement HT + intérêts]))*BK40</f>
        <v>0</v>
      </c>
      <c r="K40" s="276">
        <f>(SUMIF(Fonctionnement[Affectation matrice],$AB$3,Fonctionnement[Montant (€HT)])+SUMIF(Invest[Affectation matrice],$AB$3,Invest[Amortissement HT + intérêts]))*BL40</f>
        <v>0</v>
      </c>
      <c r="L40" s="276">
        <f>(SUMIF(Fonctionnement[Affectation matrice],$AB$3,Fonctionnement[Montant (€HT)])+SUMIF(Invest[Affectation matrice],$AB$3,Invest[Amortissement HT + intérêts]))*BM40</f>
        <v>0</v>
      </c>
      <c r="M40" s="276">
        <f>(SUMIF(Fonctionnement[Affectation matrice],$AB$3,Fonctionnement[Montant (€HT)])+SUMIF(Invest[Affectation matrice],$AB$3,Invest[Amortissement HT + intérêts]))*BN40</f>
        <v>0</v>
      </c>
      <c r="N40" s="276">
        <f>(SUMIF(Fonctionnement[Affectation matrice],$AB$3,Fonctionnement[Montant (€HT)])+SUMIF(Invest[Affectation matrice],$AB$3,Invest[Amortissement HT + intérêts]))*BO40</f>
        <v>0</v>
      </c>
      <c r="O40" s="276">
        <f>(SUMIF(Fonctionnement[Affectation matrice],$AB$3,Fonctionnement[Montant (€HT)])+SUMIF(Invest[Affectation matrice],$AB$3,Invest[Amortissement HT + intérêts]))*BP40</f>
        <v>0</v>
      </c>
      <c r="P40" s="276">
        <f>(SUMIF(Fonctionnement[Affectation matrice],$AB$3,Fonctionnement[Montant (€HT)])+SUMIF(Invest[Affectation matrice],$AB$3,Invest[Amortissement HT + intérêts]))*BQ40</f>
        <v>0</v>
      </c>
      <c r="Q40" s="276">
        <f>(SUMIF(Fonctionnement[Affectation matrice],$AB$3,Fonctionnement[Montant (€HT)])+SUMIF(Invest[Affectation matrice],$AB$3,Invest[Amortissement HT + intérêts]))*BR40</f>
        <v>0</v>
      </c>
      <c r="R40" s="276">
        <f>(SUMIF(Fonctionnement[Affectation matrice],$AB$3,Fonctionnement[Montant (€HT)])+SUMIF(Invest[Affectation matrice],$AB$3,Invest[Amortissement HT + intérêts]))*BS40</f>
        <v>0</v>
      </c>
      <c r="S40" s="276">
        <f>(SUMIF(Fonctionnement[Affectation matrice],$AB$3,Fonctionnement[Montant (€HT)])+SUMIF(Invest[Affectation matrice],$AB$3,Invest[Amortissement HT + intérêts]))*BT40</f>
        <v>0</v>
      </c>
      <c r="T40" s="276">
        <f>(SUMIF(Fonctionnement[Affectation matrice],$AB$3,Fonctionnement[Montant (€HT)])+SUMIF(Invest[Affectation matrice],$AB$3,Invest[Amortissement HT + intérêts]))*BU40</f>
        <v>0</v>
      </c>
      <c r="U40" s="276">
        <f>(SUMIF(Fonctionnement[Affectation matrice],$AB$3,Fonctionnement[Montant (€HT)])+SUMIF(Invest[Affectation matrice],$AB$3,Invest[Amortissement HT + intérêts]))*BV40</f>
        <v>0</v>
      </c>
      <c r="V40" s="276">
        <f>(SUMIF(Fonctionnement[Affectation matrice],$AB$3,Fonctionnement[Montant (€HT)])+SUMIF(Invest[Affectation matrice],$AB$3,Invest[Amortissement HT + intérêts]))*BW40</f>
        <v>0</v>
      </c>
      <c r="W40" s="276">
        <f>(SUMIF(Fonctionnement[Affectation matrice],$AB$3,Fonctionnement[Montant (€HT)])+SUMIF(Invest[Affectation matrice],$AB$3,Invest[Amortissement HT + intérêts]))*BX40</f>
        <v>0</v>
      </c>
      <c r="X40" s="276">
        <f>(SUMIF(Fonctionnement[Affectation matrice],$AB$3,Fonctionnement[Montant (€HT)])+SUMIF(Invest[Affectation matrice],$AB$3,Invest[Amortissement HT + intérêts]))*BY40</f>
        <v>0</v>
      </c>
      <c r="Y40" s="276">
        <f>(SUMIF(Fonctionnement[Affectation matrice],$AB$3,Fonctionnement[Montant (€HT)])+SUMIF(Invest[Affectation matrice],$AB$3,Invest[Amortissement HT + intérêts]))*BZ40</f>
        <v>0</v>
      </c>
      <c r="Z40" s="276">
        <f>(SUMIF(Fonctionnement[Affectation matrice],$AB$3,Fonctionnement[Montant (€HT)])+SUMIF(Invest[Affectation matrice],$AB$3,Invest[Amortissement HT + intérêts]))*CA40</f>
        <v>0</v>
      </c>
      <c r="AA40" s="199"/>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283">
        <f t="shared" si="4"/>
        <v>0</v>
      </c>
      <c r="BB40" s="7"/>
      <c r="BC40" s="61">
        <f t="shared" si="10"/>
        <v>0</v>
      </c>
      <c r="BD40" s="61">
        <f t="shared" si="10"/>
        <v>0</v>
      </c>
      <c r="BE40" s="61">
        <f t="shared" si="10"/>
        <v>0</v>
      </c>
      <c r="BF40" s="61">
        <f t="shared" si="10"/>
        <v>0</v>
      </c>
      <c r="BG40" s="61">
        <f t="shared" si="10"/>
        <v>0</v>
      </c>
      <c r="BH40" s="61">
        <f t="shared" si="10"/>
        <v>0</v>
      </c>
      <c r="BI40" s="61">
        <f t="shared" si="10"/>
        <v>0</v>
      </c>
      <c r="BJ40" s="61">
        <f t="shared" si="10"/>
        <v>0</v>
      </c>
      <c r="BK40" s="61">
        <f t="shared" si="10"/>
        <v>0</v>
      </c>
      <c r="BL40" s="61">
        <f t="shared" si="10"/>
        <v>0</v>
      </c>
      <c r="BM40" s="61">
        <f t="shared" si="11"/>
        <v>0</v>
      </c>
      <c r="BN40" s="61">
        <f t="shared" si="11"/>
        <v>0</v>
      </c>
      <c r="BO40" s="61">
        <f t="shared" si="11"/>
        <v>0</v>
      </c>
      <c r="BP40" s="61">
        <f t="shared" si="11"/>
        <v>0</v>
      </c>
      <c r="BQ40" s="61">
        <f t="shared" si="11"/>
        <v>0</v>
      </c>
      <c r="BR40" s="61">
        <f t="shared" si="11"/>
        <v>0</v>
      </c>
      <c r="BS40" s="61">
        <f t="shared" si="11"/>
        <v>0</v>
      </c>
      <c r="BT40" s="61">
        <f t="shared" si="11"/>
        <v>0</v>
      </c>
      <c r="BU40" s="61">
        <f t="shared" si="11"/>
        <v>0</v>
      </c>
      <c r="BV40" s="61">
        <f t="shared" si="11"/>
        <v>0</v>
      </c>
      <c r="BW40" s="61">
        <f t="shared" si="11"/>
        <v>0</v>
      </c>
      <c r="BX40" s="61">
        <f t="shared" si="11"/>
        <v>0</v>
      </c>
      <c r="BY40" s="61">
        <f t="shared" si="11"/>
        <v>0</v>
      </c>
      <c r="BZ40" s="61">
        <f t="shared" si="11"/>
        <v>0</v>
      </c>
      <c r="CA40" s="61">
        <f t="shared" si="11"/>
        <v>0</v>
      </c>
      <c r="CB40" s="61">
        <f t="shared" si="5"/>
        <v>0</v>
      </c>
      <c r="CD40" s="200">
        <f>(SUMIF(Fonctionnement[Affectation matrice],$AB$3,Fonctionnement[TVA acquittée])+SUMIF(Invest[Affectation matrice],$AB$3,Invest[TVA acquittée]))*BC40</f>
        <v>0</v>
      </c>
      <c r="CE40" s="200">
        <f>(SUMIF(Fonctionnement[Affectation matrice],$AB$3,Fonctionnement[TVA acquittée])+SUMIF(Invest[Affectation matrice],$AB$3,Invest[TVA acquittée]))*BD40</f>
        <v>0</v>
      </c>
      <c r="CF40" s="200">
        <f>(SUMIF(Fonctionnement[Affectation matrice],$AB$3,Fonctionnement[TVA acquittée])+SUMIF(Invest[Affectation matrice],$AB$3,Invest[TVA acquittée]))*BE40</f>
        <v>0</v>
      </c>
      <c r="CG40" s="200">
        <f>(SUMIF(Fonctionnement[Affectation matrice],$AB$3,Fonctionnement[TVA acquittée])+SUMIF(Invest[Affectation matrice],$AB$3,Invest[TVA acquittée]))*BF40</f>
        <v>0</v>
      </c>
      <c r="CH40" s="200">
        <f>(SUMIF(Fonctionnement[Affectation matrice],$AB$3,Fonctionnement[TVA acquittée])+SUMIF(Invest[Affectation matrice],$AB$3,Invest[TVA acquittée]))*BG40</f>
        <v>0</v>
      </c>
      <c r="CI40" s="200">
        <f>(SUMIF(Fonctionnement[Affectation matrice],$AB$3,Fonctionnement[TVA acquittée])+SUMIF(Invest[Affectation matrice],$AB$3,Invest[TVA acquittée]))*BH40</f>
        <v>0</v>
      </c>
      <c r="CJ40" s="200">
        <f>(SUMIF(Fonctionnement[Affectation matrice],$AB$3,Fonctionnement[TVA acquittée])+SUMIF(Invest[Affectation matrice],$AB$3,Invest[TVA acquittée]))*BI40</f>
        <v>0</v>
      </c>
      <c r="CK40" s="200">
        <f>(SUMIF(Fonctionnement[Affectation matrice],$AB$3,Fonctionnement[TVA acquittée])+SUMIF(Invest[Affectation matrice],$AB$3,Invest[TVA acquittée]))*BJ40</f>
        <v>0</v>
      </c>
      <c r="CL40" s="200">
        <f>(SUMIF(Fonctionnement[Affectation matrice],$AB$3,Fonctionnement[TVA acquittée])+SUMIF(Invest[Affectation matrice],$AB$3,Invest[TVA acquittée]))*BK40</f>
        <v>0</v>
      </c>
      <c r="CM40" s="200">
        <f>(SUMIF(Fonctionnement[Affectation matrice],$AB$3,Fonctionnement[TVA acquittée])+SUMIF(Invest[Affectation matrice],$AB$3,Invest[TVA acquittée]))*BL40</f>
        <v>0</v>
      </c>
      <c r="CN40" s="200">
        <f>(SUMIF(Fonctionnement[Affectation matrice],$AB$3,Fonctionnement[TVA acquittée])+SUMIF(Invest[Affectation matrice],$AB$3,Invest[TVA acquittée]))*BM40</f>
        <v>0</v>
      </c>
      <c r="CO40" s="200">
        <f>(SUMIF(Fonctionnement[Affectation matrice],$AB$3,Fonctionnement[TVA acquittée])+SUMIF(Invest[Affectation matrice],$AB$3,Invest[TVA acquittée]))*BN40</f>
        <v>0</v>
      </c>
      <c r="CP40" s="200">
        <f>(SUMIF(Fonctionnement[Affectation matrice],$AB$3,Fonctionnement[TVA acquittée])+SUMIF(Invest[Affectation matrice],$AB$3,Invest[TVA acquittée]))*BO40</f>
        <v>0</v>
      </c>
      <c r="CQ40" s="200">
        <f>(SUMIF(Fonctionnement[Affectation matrice],$AB$3,Fonctionnement[TVA acquittée])+SUMIF(Invest[Affectation matrice],$AB$3,Invest[TVA acquittée]))*BP40</f>
        <v>0</v>
      </c>
      <c r="CR40" s="200">
        <f>(SUMIF(Fonctionnement[Affectation matrice],$AB$3,Fonctionnement[TVA acquittée])+SUMIF(Invest[Affectation matrice],$AB$3,Invest[TVA acquittée]))*BQ40</f>
        <v>0</v>
      </c>
      <c r="CS40" s="200">
        <f>(SUMIF(Fonctionnement[Affectation matrice],$AB$3,Fonctionnement[TVA acquittée])+SUMIF(Invest[Affectation matrice],$AB$3,Invest[TVA acquittée]))*BR40</f>
        <v>0</v>
      </c>
      <c r="CT40" s="200">
        <f>(SUMIF(Fonctionnement[Affectation matrice],$AB$3,Fonctionnement[TVA acquittée])+SUMIF(Invest[Affectation matrice],$AB$3,Invest[TVA acquittée]))*BS40</f>
        <v>0</v>
      </c>
      <c r="CU40" s="200">
        <f>(SUMIF(Fonctionnement[Affectation matrice],$AB$3,Fonctionnement[TVA acquittée])+SUMIF(Invest[Affectation matrice],$AB$3,Invest[TVA acquittée]))*BT40</f>
        <v>0</v>
      </c>
      <c r="CV40" s="200">
        <f>(SUMIF(Fonctionnement[Affectation matrice],$AB$3,Fonctionnement[TVA acquittée])+SUMIF(Invest[Affectation matrice],$AB$3,Invest[TVA acquittée]))*BU40</f>
        <v>0</v>
      </c>
      <c r="CW40" s="200">
        <f>(SUMIF(Fonctionnement[Affectation matrice],$AB$3,Fonctionnement[TVA acquittée])+SUMIF(Invest[Affectation matrice],$AB$3,Invest[TVA acquittée]))*BV40</f>
        <v>0</v>
      </c>
      <c r="CX40" s="200">
        <f>(SUMIF(Fonctionnement[Affectation matrice],$AB$3,Fonctionnement[TVA acquittée])+SUMIF(Invest[Affectation matrice],$AB$3,Invest[TVA acquittée]))*BW40</f>
        <v>0</v>
      </c>
      <c r="CY40" s="200">
        <f>(SUMIF(Fonctionnement[Affectation matrice],$AB$3,Fonctionnement[TVA acquittée])+SUMIF(Invest[Affectation matrice],$AB$3,Invest[TVA acquittée]))*BX40</f>
        <v>0</v>
      </c>
      <c r="CZ40" s="200">
        <f>(SUMIF(Fonctionnement[Affectation matrice],$AB$3,Fonctionnement[TVA acquittée])+SUMIF(Invest[Affectation matrice],$AB$3,Invest[TVA acquittée]))*BY40</f>
        <v>0</v>
      </c>
      <c r="DA40" s="200">
        <f>(SUMIF(Fonctionnement[Affectation matrice],$AB$3,Fonctionnement[TVA acquittée])+SUMIF(Invest[Affectation matrice],$AB$3,Invest[TVA acquittée]))*BZ40</f>
        <v>0</v>
      </c>
      <c r="DB40" s="200">
        <f>(SUMIF(Fonctionnement[Affectation matrice],$AB$3,Fonctionnement[TVA acquittée])+SUMIF(Invest[Affectation matrice],$AB$3,Invest[TVA acquittée]))*CA40</f>
        <v>0</v>
      </c>
    </row>
    <row r="41" spans="1:106" s="22" customFormat="1" ht="12.75" hidden="1" customHeight="1" x14ac:dyDescent="0.25">
      <c r="A41" s="42" t="str">
        <f>Matrice[[#This Row],[Ligne de la matrice]]</f>
        <v>Contribution des collectivités</v>
      </c>
      <c r="B41" s="276">
        <f>(SUMIF(Fonctionnement[Affectation matrice],$AB$3,Fonctionnement[Montant (€HT)])+SUMIF(Invest[Affectation matrice],$AB$3,Invest[Amortissement HT + intérêts]))*BC41</f>
        <v>0</v>
      </c>
      <c r="C41" s="276">
        <f>(SUMIF(Fonctionnement[Affectation matrice],$AB$3,Fonctionnement[Montant (€HT)])+SUMIF(Invest[Affectation matrice],$AB$3,Invest[Amortissement HT + intérêts]))*BD41</f>
        <v>0</v>
      </c>
      <c r="D41" s="276">
        <f>(SUMIF(Fonctionnement[Affectation matrice],$AB$3,Fonctionnement[Montant (€HT)])+SUMIF(Invest[Affectation matrice],$AB$3,Invest[Amortissement HT + intérêts]))*BE41</f>
        <v>0</v>
      </c>
      <c r="E41" s="276">
        <f>(SUMIF(Fonctionnement[Affectation matrice],$AB$3,Fonctionnement[Montant (€HT)])+SUMIF(Invest[Affectation matrice],$AB$3,Invest[Amortissement HT + intérêts]))*BF41</f>
        <v>0</v>
      </c>
      <c r="F41" s="276">
        <f>(SUMIF(Fonctionnement[Affectation matrice],$AB$3,Fonctionnement[Montant (€HT)])+SUMIF(Invest[Affectation matrice],$AB$3,Invest[Amortissement HT + intérêts]))*BG41</f>
        <v>0</v>
      </c>
      <c r="G41" s="276">
        <f>(SUMIF(Fonctionnement[Affectation matrice],$AB$3,Fonctionnement[Montant (€HT)])+SUMIF(Invest[Affectation matrice],$AB$3,Invest[Amortissement HT + intérêts]))*BH41</f>
        <v>0</v>
      </c>
      <c r="H41" s="276">
        <f>(SUMIF(Fonctionnement[Affectation matrice],$AB$3,Fonctionnement[Montant (€HT)])+SUMIF(Invest[Affectation matrice],$AB$3,Invest[Amortissement HT + intérêts]))*BI41</f>
        <v>0</v>
      </c>
      <c r="I41" s="276">
        <f>(SUMIF(Fonctionnement[Affectation matrice],$AB$3,Fonctionnement[Montant (€HT)])+SUMIF(Invest[Affectation matrice],$AB$3,Invest[Amortissement HT + intérêts]))*BJ41</f>
        <v>0</v>
      </c>
      <c r="J41" s="276">
        <f>(SUMIF(Fonctionnement[Affectation matrice],$AB$3,Fonctionnement[Montant (€HT)])+SUMIF(Invest[Affectation matrice],$AB$3,Invest[Amortissement HT + intérêts]))*BK41</f>
        <v>0</v>
      </c>
      <c r="K41" s="276">
        <f>(SUMIF(Fonctionnement[Affectation matrice],$AB$3,Fonctionnement[Montant (€HT)])+SUMIF(Invest[Affectation matrice],$AB$3,Invest[Amortissement HT + intérêts]))*BL41</f>
        <v>0</v>
      </c>
      <c r="L41" s="276">
        <f>(SUMIF(Fonctionnement[Affectation matrice],$AB$3,Fonctionnement[Montant (€HT)])+SUMIF(Invest[Affectation matrice],$AB$3,Invest[Amortissement HT + intérêts]))*BM41</f>
        <v>0</v>
      </c>
      <c r="M41" s="276">
        <f>(SUMIF(Fonctionnement[Affectation matrice],$AB$3,Fonctionnement[Montant (€HT)])+SUMIF(Invest[Affectation matrice],$AB$3,Invest[Amortissement HT + intérêts]))*BN41</f>
        <v>0</v>
      </c>
      <c r="N41" s="276">
        <f>(SUMIF(Fonctionnement[Affectation matrice],$AB$3,Fonctionnement[Montant (€HT)])+SUMIF(Invest[Affectation matrice],$AB$3,Invest[Amortissement HT + intérêts]))*BO41</f>
        <v>0</v>
      </c>
      <c r="O41" s="276">
        <f>(SUMIF(Fonctionnement[Affectation matrice],$AB$3,Fonctionnement[Montant (€HT)])+SUMIF(Invest[Affectation matrice],$AB$3,Invest[Amortissement HT + intérêts]))*BP41</f>
        <v>0</v>
      </c>
      <c r="P41" s="276">
        <f>(SUMIF(Fonctionnement[Affectation matrice],$AB$3,Fonctionnement[Montant (€HT)])+SUMIF(Invest[Affectation matrice],$AB$3,Invest[Amortissement HT + intérêts]))*BQ41</f>
        <v>0</v>
      </c>
      <c r="Q41" s="276">
        <f>(SUMIF(Fonctionnement[Affectation matrice],$AB$3,Fonctionnement[Montant (€HT)])+SUMIF(Invest[Affectation matrice],$AB$3,Invest[Amortissement HT + intérêts]))*BR41</f>
        <v>0</v>
      </c>
      <c r="R41" s="276">
        <f>(SUMIF(Fonctionnement[Affectation matrice],$AB$3,Fonctionnement[Montant (€HT)])+SUMIF(Invest[Affectation matrice],$AB$3,Invest[Amortissement HT + intérêts]))*BS41</f>
        <v>0</v>
      </c>
      <c r="S41" s="276">
        <f>(SUMIF(Fonctionnement[Affectation matrice],$AB$3,Fonctionnement[Montant (€HT)])+SUMIF(Invest[Affectation matrice],$AB$3,Invest[Amortissement HT + intérêts]))*BT41</f>
        <v>0</v>
      </c>
      <c r="T41" s="276">
        <f>(SUMIF(Fonctionnement[Affectation matrice],$AB$3,Fonctionnement[Montant (€HT)])+SUMIF(Invest[Affectation matrice],$AB$3,Invest[Amortissement HT + intérêts]))*BU41</f>
        <v>0</v>
      </c>
      <c r="U41" s="276">
        <f>(SUMIF(Fonctionnement[Affectation matrice],$AB$3,Fonctionnement[Montant (€HT)])+SUMIF(Invest[Affectation matrice],$AB$3,Invest[Amortissement HT + intérêts]))*BV41</f>
        <v>0</v>
      </c>
      <c r="V41" s="276">
        <f>(SUMIF(Fonctionnement[Affectation matrice],$AB$3,Fonctionnement[Montant (€HT)])+SUMIF(Invest[Affectation matrice],$AB$3,Invest[Amortissement HT + intérêts]))*BW41</f>
        <v>0</v>
      </c>
      <c r="W41" s="276">
        <f>(SUMIF(Fonctionnement[Affectation matrice],$AB$3,Fonctionnement[Montant (€HT)])+SUMIF(Invest[Affectation matrice],$AB$3,Invest[Amortissement HT + intérêts]))*BX41</f>
        <v>0</v>
      </c>
      <c r="X41" s="276">
        <f>(SUMIF(Fonctionnement[Affectation matrice],$AB$3,Fonctionnement[Montant (€HT)])+SUMIF(Invest[Affectation matrice],$AB$3,Invest[Amortissement HT + intérêts]))*BY41</f>
        <v>0</v>
      </c>
      <c r="Y41" s="276">
        <f>(SUMIF(Fonctionnement[Affectation matrice],$AB$3,Fonctionnement[Montant (€HT)])+SUMIF(Invest[Affectation matrice],$AB$3,Invest[Amortissement HT + intérêts]))*BZ41</f>
        <v>0</v>
      </c>
      <c r="Z41" s="276">
        <f>(SUMIF(Fonctionnement[Affectation matrice],$AB$3,Fonctionnement[Montant (€HT)])+SUMIF(Invest[Affectation matrice],$AB$3,Invest[Amortissement HT + intérêts]))*CA41</f>
        <v>0</v>
      </c>
      <c r="AA41" s="199"/>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283">
        <f t="shared" si="4"/>
        <v>0</v>
      </c>
      <c r="BB41" s="7"/>
      <c r="BC41" s="61">
        <f t="shared" si="10"/>
        <v>0</v>
      </c>
      <c r="BD41" s="61">
        <f t="shared" si="10"/>
        <v>0</v>
      </c>
      <c r="BE41" s="61">
        <f t="shared" si="10"/>
        <v>0</v>
      </c>
      <c r="BF41" s="61">
        <f t="shared" si="10"/>
        <v>0</v>
      </c>
      <c r="BG41" s="61">
        <f t="shared" si="10"/>
        <v>0</v>
      </c>
      <c r="BH41" s="61">
        <f t="shared" si="10"/>
        <v>0</v>
      </c>
      <c r="BI41" s="61">
        <f t="shared" si="10"/>
        <v>0</v>
      </c>
      <c r="BJ41" s="61">
        <f t="shared" si="10"/>
        <v>0</v>
      </c>
      <c r="BK41" s="61">
        <f t="shared" si="10"/>
        <v>0</v>
      </c>
      <c r="BL41" s="61">
        <f t="shared" si="10"/>
        <v>0</v>
      </c>
      <c r="BM41" s="61">
        <f t="shared" si="11"/>
        <v>0</v>
      </c>
      <c r="BN41" s="61">
        <f t="shared" si="11"/>
        <v>0</v>
      </c>
      <c r="BO41" s="61">
        <f t="shared" si="11"/>
        <v>0</v>
      </c>
      <c r="BP41" s="61">
        <f t="shared" si="11"/>
        <v>0</v>
      </c>
      <c r="BQ41" s="61">
        <f t="shared" si="11"/>
        <v>0</v>
      </c>
      <c r="BR41" s="61">
        <f t="shared" si="11"/>
        <v>0</v>
      </c>
      <c r="BS41" s="61">
        <f t="shared" si="11"/>
        <v>0</v>
      </c>
      <c r="BT41" s="61">
        <f t="shared" si="11"/>
        <v>0</v>
      </c>
      <c r="BU41" s="61">
        <f t="shared" si="11"/>
        <v>0</v>
      </c>
      <c r="BV41" s="61">
        <f t="shared" si="11"/>
        <v>0</v>
      </c>
      <c r="BW41" s="61">
        <f t="shared" si="11"/>
        <v>0</v>
      </c>
      <c r="BX41" s="61">
        <f t="shared" si="11"/>
        <v>0</v>
      </c>
      <c r="BY41" s="61">
        <f t="shared" si="11"/>
        <v>0</v>
      </c>
      <c r="BZ41" s="61">
        <f t="shared" si="11"/>
        <v>0</v>
      </c>
      <c r="CA41" s="61">
        <f t="shared" si="11"/>
        <v>0</v>
      </c>
      <c r="CB41" s="61">
        <f t="shared" si="5"/>
        <v>0</v>
      </c>
      <c r="CD41" s="200">
        <f>(SUMIF(Fonctionnement[Affectation matrice],$AB$3,Fonctionnement[TVA acquittée])+SUMIF(Invest[Affectation matrice],$AB$3,Invest[TVA acquittée]))*BC41</f>
        <v>0</v>
      </c>
      <c r="CE41" s="200">
        <f>(SUMIF(Fonctionnement[Affectation matrice],$AB$3,Fonctionnement[TVA acquittée])+SUMIF(Invest[Affectation matrice],$AB$3,Invest[TVA acquittée]))*BD41</f>
        <v>0</v>
      </c>
      <c r="CF41" s="200">
        <f>(SUMIF(Fonctionnement[Affectation matrice],$AB$3,Fonctionnement[TVA acquittée])+SUMIF(Invest[Affectation matrice],$AB$3,Invest[TVA acquittée]))*BE41</f>
        <v>0</v>
      </c>
      <c r="CG41" s="200">
        <f>(SUMIF(Fonctionnement[Affectation matrice],$AB$3,Fonctionnement[TVA acquittée])+SUMIF(Invest[Affectation matrice],$AB$3,Invest[TVA acquittée]))*BF41</f>
        <v>0</v>
      </c>
      <c r="CH41" s="200">
        <f>(SUMIF(Fonctionnement[Affectation matrice],$AB$3,Fonctionnement[TVA acquittée])+SUMIF(Invest[Affectation matrice],$AB$3,Invest[TVA acquittée]))*BG41</f>
        <v>0</v>
      </c>
      <c r="CI41" s="200">
        <f>(SUMIF(Fonctionnement[Affectation matrice],$AB$3,Fonctionnement[TVA acquittée])+SUMIF(Invest[Affectation matrice],$AB$3,Invest[TVA acquittée]))*BH41</f>
        <v>0</v>
      </c>
      <c r="CJ41" s="200">
        <f>(SUMIF(Fonctionnement[Affectation matrice],$AB$3,Fonctionnement[TVA acquittée])+SUMIF(Invest[Affectation matrice],$AB$3,Invest[TVA acquittée]))*BI41</f>
        <v>0</v>
      </c>
      <c r="CK41" s="200">
        <f>(SUMIF(Fonctionnement[Affectation matrice],$AB$3,Fonctionnement[TVA acquittée])+SUMIF(Invest[Affectation matrice],$AB$3,Invest[TVA acquittée]))*BJ41</f>
        <v>0</v>
      </c>
      <c r="CL41" s="200">
        <f>(SUMIF(Fonctionnement[Affectation matrice],$AB$3,Fonctionnement[TVA acquittée])+SUMIF(Invest[Affectation matrice],$AB$3,Invest[TVA acquittée]))*BK41</f>
        <v>0</v>
      </c>
      <c r="CM41" s="200">
        <f>(SUMIF(Fonctionnement[Affectation matrice],$AB$3,Fonctionnement[TVA acquittée])+SUMIF(Invest[Affectation matrice],$AB$3,Invest[TVA acquittée]))*BL41</f>
        <v>0</v>
      </c>
      <c r="CN41" s="200">
        <f>(SUMIF(Fonctionnement[Affectation matrice],$AB$3,Fonctionnement[TVA acquittée])+SUMIF(Invest[Affectation matrice],$AB$3,Invest[TVA acquittée]))*BM41</f>
        <v>0</v>
      </c>
      <c r="CO41" s="200">
        <f>(SUMIF(Fonctionnement[Affectation matrice],$AB$3,Fonctionnement[TVA acquittée])+SUMIF(Invest[Affectation matrice],$AB$3,Invest[TVA acquittée]))*BN41</f>
        <v>0</v>
      </c>
      <c r="CP41" s="200">
        <f>(SUMIF(Fonctionnement[Affectation matrice],$AB$3,Fonctionnement[TVA acquittée])+SUMIF(Invest[Affectation matrice],$AB$3,Invest[TVA acquittée]))*BO41</f>
        <v>0</v>
      </c>
      <c r="CQ41" s="200">
        <f>(SUMIF(Fonctionnement[Affectation matrice],$AB$3,Fonctionnement[TVA acquittée])+SUMIF(Invest[Affectation matrice],$AB$3,Invest[TVA acquittée]))*BP41</f>
        <v>0</v>
      </c>
      <c r="CR41" s="200">
        <f>(SUMIF(Fonctionnement[Affectation matrice],$AB$3,Fonctionnement[TVA acquittée])+SUMIF(Invest[Affectation matrice],$AB$3,Invest[TVA acquittée]))*BQ41</f>
        <v>0</v>
      </c>
      <c r="CS41" s="200">
        <f>(SUMIF(Fonctionnement[Affectation matrice],$AB$3,Fonctionnement[TVA acquittée])+SUMIF(Invest[Affectation matrice],$AB$3,Invest[TVA acquittée]))*BR41</f>
        <v>0</v>
      </c>
      <c r="CT41" s="200">
        <f>(SUMIF(Fonctionnement[Affectation matrice],$AB$3,Fonctionnement[TVA acquittée])+SUMIF(Invest[Affectation matrice],$AB$3,Invest[TVA acquittée]))*BS41</f>
        <v>0</v>
      </c>
      <c r="CU41" s="200">
        <f>(SUMIF(Fonctionnement[Affectation matrice],$AB$3,Fonctionnement[TVA acquittée])+SUMIF(Invest[Affectation matrice],$AB$3,Invest[TVA acquittée]))*BT41</f>
        <v>0</v>
      </c>
      <c r="CV41" s="200">
        <f>(SUMIF(Fonctionnement[Affectation matrice],$AB$3,Fonctionnement[TVA acquittée])+SUMIF(Invest[Affectation matrice],$AB$3,Invest[TVA acquittée]))*BU41</f>
        <v>0</v>
      </c>
      <c r="CW41" s="200">
        <f>(SUMIF(Fonctionnement[Affectation matrice],$AB$3,Fonctionnement[TVA acquittée])+SUMIF(Invest[Affectation matrice],$AB$3,Invest[TVA acquittée]))*BV41</f>
        <v>0</v>
      </c>
      <c r="CX41" s="200">
        <f>(SUMIF(Fonctionnement[Affectation matrice],$AB$3,Fonctionnement[TVA acquittée])+SUMIF(Invest[Affectation matrice],$AB$3,Invest[TVA acquittée]))*BW41</f>
        <v>0</v>
      </c>
      <c r="CY41" s="200">
        <f>(SUMIF(Fonctionnement[Affectation matrice],$AB$3,Fonctionnement[TVA acquittée])+SUMIF(Invest[Affectation matrice],$AB$3,Invest[TVA acquittée]))*BX41</f>
        <v>0</v>
      </c>
      <c r="CZ41" s="200">
        <f>(SUMIF(Fonctionnement[Affectation matrice],$AB$3,Fonctionnement[TVA acquittée])+SUMIF(Invest[Affectation matrice],$AB$3,Invest[TVA acquittée]))*BY41</f>
        <v>0</v>
      </c>
      <c r="DA41" s="200">
        <f>(SUMIF(Fonctionnement[Affectation matrice],$AB$3,Fonctionnement[TVA acquittée])+SUMIF(Invest[Affectation matrice],$AB$3,Invest[TVA acquittée]))*BZ41</f>
        <v>0</v>
      </c>
      <c r="DB41" s="200">
        <f>(SUMIF(Fonctionnement[Affectation matrice],$AB$3,Fonctionnement[TVA acquittée])+SUMIF(Invest[Affectation matrice],$AB$3,Invest[TVA acquittée]))*CA41</f>
        <v>0</v>
      </c>
    </row>
    <row r="42" spans="1:106" s="204" customFormat="1" hidden="1" x14ac:dyDescent="0.25">
      <c r="A42" s="186"/>
      <c r="B42" s="277"/>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02"/>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row>
    <row r="43" spans="1:106" s="204" customFormat="1" ht="12.75" hidden="1" customHeight="1" x14ac:dyDescent="0.25">
      <c r="A43" s="186"/>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02"/>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row>
    <row r="44" spans="1:106" hidden="1" x14ac:dyDescent="0.25">
      <c r="A44" s="42" t="str">
        <f>Matrice[[#This Row],[Ligne de la matrice]]</f>
        <v>Exemple : REG incinération / énergie</v>
      </c>
      <c r="B44" s="276">
        <f>(SUMIF(Fonctionnement[Affectation matrice],$AB$3,Fonctionnement[Montant (€HT)])+SUMIF(Invest[Affectation matrice],$AB$3,Invest[Amortissement HT + intérêts]))*BC44</f>
        <v>0</v>
      </c>
      <c r="C44" s="276">
        <f>(SUMIF(Fonctionnement[Affectation matrice],$AB$3,Fonctionnement[Montant (€HT)])+SUMIF(Invest[Affectation matrice],$AB$3,Invest[Amortissement HT + intérêts]))*BD44</f>
        <v>0</v>
      </c>
      <c r="D44" s="276">
        <f>(SUMIF(Fonctionnement[Affectation matrice],$AB$3,Fonctionnement[Montant (€HT)])+SUMIF(Invest[Affectation matrice],$AB$3,Invest[Amortissement HT + intérêts]))*BE44</f>
        <v>0</v>
      </c>
      <c r="E44" s="276">
        <f>(SUMIF(Fonctionnement[Affectation matrice],$AB$3,Fonctionnement[Montant (€HT)])+SUMIF(Invest[Affectation matrice],$AB$3,Invest[Amortissement HT + intérêts]))*BF44</f>
        <v>0</v>
      </c>
      <c r="F44" s="276">
        <f>(SUMIF(Fonctionnement[Affectation matrice],$AB$3,Fonctionnement[Montant (€HT)])+SUMIF(Invest[Affectation matrice],$AB$3,Invest[Amortissement HT + intérêts]))*BG44</f>
        <v>0</v>
      </c>
      <c r="G44" s="276">
        <f>(SUMIF(Fonctionnement[Affectation matrice],$AB$3,Fonctionnement[Montant (€HT)])+SUMIF(Invest[Affectation matrice],$AB$3,Invest[Amortissement HT + intérêts]))*BH44</f>
        <v>0</v>
      </c>
      <c r="H44" s="276">
        <f>(SUMIF(Fonctionnement[Affectation matrice],$AB$3,Fonctionnement[Montant (€HT)])+SUMIF(Invest[Affectation matrice],$AB$3,Invest[Amortissement HT + intérêts]))*BI44</f>
        <v>0</v>
      </c>
      <c r="I44" s="276">
        <f>(SUMIF(Fonctionnement[Affectation matrice],$AB$3,Fonctionnement[Montant (€HT)])+SUMIF(Invest[Affectation matrice],$AB$3,Invest[Amortissement HT + intérêts]))*BJ44</f>
        <v>0</v>
      </c>
      <c r="J44" s="276">
        <f>(SUMIF(Fonctionnement[Affectation matrice],$AB$3,Fonctionnement[Montant (€HT)])+SUMIF(Invest[Affectation matrice],$AB$3,Invest[Amortissement HT + intérêts]))*BK44</f>
        <v>0</v>
      </c>
      <c r="K44" s="276">
        <f>(SUMIF(Fonctionnement[Affectation matrice],$AB$3,Fonctionnement[Montant (€HT)])+SUMIF(Invest[Affectation matrice],$AB$3,Invest[Amortissement HT + intérêts]))*BL44</f>
        <v>0</v>
      </c>
      <c r="L44" s="276">
        <f>(SUMIF(Fonctionnement[Affectation matrice],$AB$3,Fonctionnement[Montant (€HT)])+SUMIF(Invest[Affectation matrice],$AB$3,Invest[Amortissement HT + intérêts]))*BM44</f>
        <v>0</v>
      </c>
      <c r="M44" s="276">
        <f>(SUMIF(Fonctionnement[Affectation matrice],$AB$3,Fonctionnement[Montant (€HT)])+SUMIF(Invest[Affectation matrice],$AB$3,Invest[Amortissement HT + intérêts]))*BN44</f>
        <v>0</v>
      </c>
      <c r="N44" s="276">
        <f>(SUMIF(Fonctionnement[Affectation matrice],$AB$3,Fonctionnement[Montant (€HT)])+SUMIF(Invest[Affectation matrice],$AB$3,Invest[Amortissement HT + intérêts]))*BO44</f>
        <v>0</v>
      </c>
      <c r="O44" s="276">
        <f>(SUMIF(Fonctionnement[Affectation matrice],$AB$3,Fonctionnement[Montant (€HT)])+SUMIF(Invest[Affectation matrice],$AB$3,Invest[Amortissement HT + intérêts]))*BP44</f>
        <v>0</v>
      </c>
      <c r="P44" s="276">
        <f>(SUMIF(Fonctionnement[Affectation matrice],$AB$3,Fonctionnement[Montant (€HT)])+SUMIF(Invest[Affectation matrice],$AB$3,Invest[Amortissement HT + intérêts]))*BQ44</f>
        <v>0</v>
      </c>
      <c r="Q44" s="276">
        <f>(SUMIF(Fonctionnement[Affectation matrice],$AB$3,Fonctionnement[Montant (€HT)])+SUMIF(Invest[Affectation matrice],$AB$3,Invest[Amortissement HT + intérêts]))*BR44</f>
        <v>0</v>
      </c>
      <c r="R44" s="276">
        <f>(SUMIF(Fonctionnement[Affectation matrice],$AB$3,Fonctionnement[Montant (€HT)])+SUMIF(Invest[Affectation matrice],$AB$3,Invest[Amortissement HT + intérêts]))*BS44</f>
        <v>0</v>
      </c>
      <c r="S44" s="276">
        <f>(SUMIF(Fonctionnement[Affectation matrice],$AB$3,Fonctionnement[Montant (€HT)])+SUMIF(Invest[Affectation matrice],$AB$3,Invest[Amortissement HT + intérêts]))*BT44</f>
        <v>0</v>
      </c>
      <c r="T44" s="276">
        <f>(SUMIF(Fonctionnement[Affectation matrice],$AB$3,Fonctionnement[Montant (€HT)])+SUMIF(Invest[Affectation matrice],$AB$3,Invest[Amortissement HT + intérêts]))*BU44</f>
        <v>0</v>
      </c>
      <c r="U44" s="276">
        <f>(SUMIF(Fonctionnement[Affectation matrice],$AB$3,Fonctionnement[Montant (€HT)])+SUMIF(Invest[Affectation matrice],$AB$3,Invest[Amortissement HT + intérêts]))*BV44</f>
        <v>0</v>
      </c>
      <c r="V44" s="276">
        <f>(SUMIF(Fonctionnement[Affectation matrice],$AB$3,Fonctionnement[Montant (€HT)])+SUMIF(Invest[Affectation matrice],$AB$3,Invest[Amortissement HT + intérêts]))*BW44</f>
        <v>0</v>
      </c>
      <c r="W44" s="276">
        <f>(SUMIF(Fonctionnement[Affectation matrice],$AB$3,Fonctionnement[Montant (€HT)])+SUMIF(Invest[Affectation matrice],$AB$3,Invest[Amortissement HT + intérêts]))*BX44</f>
        <v>0</v>
      </c>
      <c r="X44" s="276">
        <f>(SUMIF(Fonctionnement[Affectation matrice],$AB$3,Fonctionnement[Montant (€HT)])+SUMIF(Invest[Affectation matrice],$AB$3,Invest[Amortissement HT + intérêts]))*BY44</f>
        <v>0</v>
      </c>
      <c r="Y44" s="276">
        <f>(SUMIF(Fonctionnement[Affectation matrice],$AB$3,Fonctionnement[Montant (€HT)])+SUMIF(Invest[Affectation matrice],$AB$3,Invest[Amortissement HT + intérêts]))*BZ44</f>
        <v>0</v>
      </c>
      <c r="Z44" s="276">
        <f>(SUMIF(Fonctionnement[Affectation matrice],$AB$3,Fonctionnement[Montant (€HT)])+SUMIF(Invest[Affectation matrice],$AB$3,Invest[Amortissement HT + intérêts]))*CA44</f>
        <v>0</v>
      </c>
      <c r="AA44" s="199"/>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283">
        <f t="shared" si="4"/>
        <v>0</v>
      </c>
      <c r="BC44" s="61">
        <f t="shared" ref="BC44:BR52" si="12">IF($BA$53=0,0,AB44/$BA$53)</f>
        <v>0</v>
      </c>
      <c r="BD44" s="61">
        <f t="shared" si="12"/>
        <v>0</v>
      </c>
      <c r="BE44" s="61">
        <f t="shared" si="12"/>
        <v>0</v>
      </c>
      <c r="BF44" s="61">
        <f t="shared" si="12"/>
        <v>0</v>
      </c>
      <c r="BG44" s="61">
        <f t="shared" si="12"/>
        <v>0</v>
      </c>
      <c r="BH44" s="61">
        <f t="shared" si="12"/>
        <v>0</v>
      </c>
      <c r="BI44" s="61">
        <f t="shared" si="12"/>
        <v>0</v>
      </c>
      <c r="BJ44" s="61">
        <f t="shared" si="12"/>
        <v>0</v>
      </c>
      <c r="BK44" s="61">
        <f t="shared" si="12"/>
        <v>0</v>
      </c>
      <c r="BL44" s="61">
        <f t="shared" si="12"/>
        <v>0</v>
      </c>
      <c r="BM44" s="61">
        <f t="shared" si="12"/>
        <v>0</v>
      </c>
      <c r="BN44" s="61">
        <f t="shared" si="12"/>
        <v>0</v>
      </c>
      <c r="BO44" s="61">
        <f t="shared" si="12"/>
        <v>0</v>
      </c>
      <c r="BP44" s="61">
        <f t="shared" si="12"/>
        <v>0</v>
      </c>
      <c r="BQ44" s="61">
        <f t="shared" si="12"/>
        <v>0</v>
      </c>
      <c r="BR44" s="61">
        <f t="shared" si="12"/>
        <v>0</v>
      </c>
      <c r="BS44" s="61">
        <f t="shared" ref="BS44:CA52" si="13">IF($BA$53=0,0,AR44/$BA$53)</f>
        <v>0</v>
      </c>
      <c r="BT44" s="61">
        <f t="shared" si="13"/>
        <v>0</v>
      </c>
      <c r="BU44" s="61">
        <f t="shared" si="13"/>
        <v>0</v>
      </c>
      <c r="BV44" s="61">
        <f t="shared" si="13"/>
        <v>0</v>
      </c>
      <c r="BW44" s="61">
        <f t="shared" si="13"/>
        <v>0</v>
      </c>
      <c r="BX44" s="61">
        <f t="shared" si="13"/>
        <v>0</v>
      </c>
      <c r="BY44" s="61">
        <f t="shared" si="13"/>
        <v>0</v>
      </c>
      <c r="BZ44" s="61">
        <f t="shared" si="13"/>
        <v>0</v>
      </c>
      <c r="CA44" s="61">
        <f t="shared" si="13"/>
        <v>0</v>
      </c>
      <c r="CB44" s="61">
        <f t="shared" si="5"/>
        <v>0</v>
      </c>
      <c r="CD44" s="200">
        <f>(SUMIF(Fonctionnement[Affectation matrice],$AB$3,Fonctionnement[TVA acquittée])+SUMIF(Invest[Affectation matrice],$AB$3,Invest[TVA acquittée]))*BC44</f>
        <v>0</v>
      </c>
      <c r="CE44" s="200">
        <f>(SUMIF(Fonctionnement[Affectation matrice],$AB$3,Fonctionnement[TVA acquittée])+SUMIF(Invest[Affectation matrice],$AB$3,Invest[TVA acquittée]))*BD44</f>
        <v>0</v>
      </c>
      <c r="CF44" s="200">
        <f>(SUMIF(Fonctionnement[Affectation matrice],$AB$3,Fonctionnement[TVA acquittée])+SUMIF(Invest[Affectation matrice],$AB$3,Invest[TVA acquittée]))*BE44</f>
        <v>0</v>
      </c>
      <c r="CG44" s="200">
        <f>(SUMIF(Fonctionnement[Affectation matrice],$AB$3,Fonctionnement[TVA acquittée])+SUMIF(Invest[Affectation matrice],$AB$3,Invest[TVA acquittée]))*BF44</f>
        <v>0</v>
      </c>
      <c r="CH44" s="200">
        <f>(SUMIF(Fonctionnement[Affectation matrice],$AB$3,Fonctionnement[TVA acquittée])+SUMIF(Invest[Affectation matrice],$AB$3,Invest[TVA acquittée]))*BG44</f>
        <v>0</v>
      </c>
      <c r="CI44" s="200">
        <f>(SUMIF(Fonctionnement[Affectation matrice],$AB$3,Fonctionnement[TVA acquittée])+SUMIF(Invest[Affectation matrice],$AB$3,Invest[TVA acquittée]))*BH44</f>
        <v>0</v>
      </c>
      <c r="CJ44" s="200">
        <f>(SUMIF(Fonctionnement[Affectation matrice],$AB$3,Fonctionnement[TVA acquittée])+SUMIF(Invest[Affectation matrice],$AB$3,Invest[TVA acquittée]))*BI44</f>
        <v>0</v>
      </c>
      <c r="CK44" s="200">
        <f>(SUMIF(Fonctionnement[Affectation matrice],$AB$3,Fonctionnement[TVA acquittée])+SUMIF(Invest[Affectation matrice],$AB$3,Invest[TVA acquittée]))*BJ44</f>
        <v>0</v>
      </c>
      <c r="CL44" s="200">
        <f>(SUMIF(Fonctionnement[Affectation matrice],$AB$3,Fonctionnement[TVA acquittée])+SUMIF(Invest[Affectation matrice],$AB$3,Invest[TVA acquittée]))*BK44</f>
        <v>0</v>
      </c>
      <c r="CM44" s="200">
        <f>(SUMIF(Fonctionnement[Affectation matrice],$AB$3,Fonctionnement[TVA acquittée])+SUMIF(Invest[Affectation matrice],$AB$3,Invest[TVA acquittée]))*BL44</f>
        <v>0</v>
      </c>
      <c r="CN44" s="200">
        <f>(SUMIF(Fonctionnement[Affectation matrice],$AB$3,Fonctionnement[TVA acquittée])+SUMIF(Invest[Affectation matrice],$AB$3,Invest[TVA acquittée]))*BM44</f>
        <v>0</v>
      </c>
      <c r="CO44" s="200">
        <f>(SUMIF(Fonctionnement[Affectation matrice],$AB$3,Fonctionnement[TVA acquittée])+SUMIF(Invest[Affectation matrice],$AB$3,Invest[TVA acquittée]))*BN44</f>
        <v>0</v>
      </c>
      <c r="CP44" s="200">
        <f>(SUMIF(Fonctionnement[Affectation matrice],$AB$3,Fonctionnement[TVA acquittée])+SUMIF(Invest[Affectation matrice],$AB$3,Invest[TVA acquittée]))*BO44</f>
        <v>0</v>
      </c>
      <c r="CQ44" s="200">
        <f>(SUMIF(Fonctionnement[Affectation matrice],$AB$3,Fonctionnement[TVA acquittée])+SUMIF(Invest[Affectation matrice],$AB$3,Invest[TVA acquittée]))*BP44</f>
        <v>0</v>
      </c>
      <c r="CR44" s="200">
        <f>(SUMIF(Fonctionnement[Affectation matrice],$AB$3,Fonctionnement[TVA acquittée])+SUMIF(Invest[Affectation matrice],$AB$3,Invest[TVA acquittée]))*BQ44</f>
        <v>0</v>
      </c>
      <c r="CS44" s="200">
        <f>(SUMIF(Fonctionnement[Affectation matrice],$AB$3,Fonctionnement[TVA acquittée])+SUMIF(Invest[Affectation matrice],$AB$3,Invest[TVA acquittée]))*BR44</f>
        <v>0</v>
      </c>
      <c r="CT44" s="200">
        <f>(SUMIF(Fonctionnement[Affectation matrice],$AB$3,Fonctionnement[TVA acquittée])+SUMIF(Invest[Affectation matrice],$AB$3,Invest[TVA acquittée]))*BS44</f>
        <v>0</v>
      </c>
      <c r="CU44" s="200">
        <f>(SUMIF(Fonctionnement[Affectation matrice],$AB$3,Fonctionnement[TVA acquittée])+SUMIF(Invest[Affectation matrice],$AB$3,Invest[TVA acquittée]))*BT44</f>
        <v>0</v>
      </c>
      <c r="CV44" s="200">
        <f>(SUMIF(Fonctionnement[Affectation matrice],$AB$3,Fonctionnement[TVA acquittée])+SUMIF(Invest[Affectation matrice],$AB$3,Invest[TVA acquittée]))*BU44</f>
        <v>0</v>
      </c>
      <c r="CW44" s="200">
        <f>(SUMIF(Fonctionnement[Affectation matrice],$AB$3,Fonctionnement[TVA acquittée])+SUMIF(Invest[Affectation matrice],$AB$3,Invest[TVA acquittée]))*BV44</f>
        <v>0</v>
      </c>
      <c r="CX44" s="200">
        <f>(SUMIF(Fonctionnement[Affectation matrice],$AB$3,Fonctionnement[TVA acquittée])+SUMIF(Invest[Affectation matrice],$AB$3,Invest[TVA acquittée]))*BW44</f>
        <v>0</v>
      </c>
      <c r="CY44" s="200">
        <f>(SUMIF(Fonctionnement[Affectation matrice],$AB$3,Fonctionnement[TVA acquittée])+SUMIF(Invest[Affectation matrice],$AB$3,Invest[TVA acquittée]))*BX44</f>
        <v>0</v>
      </c>
      <c r="CZ44" s="200">
        <f>(SUMIF(Fonctionnement[Affectation matrice],$AB$3,Fonctionnement[TVA acquittée])+SUMIF(Invest[Affectation matrice],$AB$3,Invest[TVA acquittée]))*BY44</f>
        <v>0</v>
      </c>
      <c r="DA44" s="200">
        <f>(SUMIF(Fonctionnement[Affectation matrice],$AB$3,Fonctionnement[TVA acquittée])+SUMIF(Invest[Affectation matrice],$AB$3,Invest[TVA acquittée]))*BZ44</f>
        <v>0</v>
      </c>
      <c r="DB44" s="200">
        <f>(SUMIF(Fonctionnement[Affectation matrice],$AB$3,Fonctionnement[TVA acquittée])+SUMIF(Invest[Affectation matrice],$AB$3,Invest[TVA acquittée]))*CA44</f>
        <v>0</v>
      </c>
    </row>
    <row r="45" spans="1:106" hidden="1" x14ac:dyDescent="0.25">
      <c r="A45" s="42">
        <f>Matrice[[#This Row],[Ligne de la matrice]]</f>
        <v>0</v>
      </c>
      <c r="B45" s="276">
        <f>(SUMIF(Fonctionnement[Affectation matrice],$AB$3,Fonctionnement[Montant (€HT)])+SUMIF(Invest[Affectation matrice],$AB$3,Invest[Amortissement HT + intérêts]))*BC45</f>
        <v>0</v>
      </c>
      <c r="C45" s="276">
        <f>(SUMIF(Fonctionnement[Affectation matrice],$AB$3,Fonctionnement[Montant (€HT)])+SUMIF(Invest[Affectation matrice],$AB$3,Invest[Amortissement HT + intérêts]))*BD45</f>
        <v>0</v>
      </c>
      <c r="D45" s="276">
        <f>(SUMIF(Fonctionnement[Affectation matrice],$AB$3,Fonctionnement[Montant (€HT)])+SUMIF(Invest[Affectation matrice],$AB$3,Invest[Amortissement HT + intérêts]))*BE45</f>
        <v>0</v>
      </c>
      <c r="E45" s="276">
        <f>(SUMIF(Fonctionnement[Affectation matrice],$AB$3,Fonctionnement[Montant (€HT)])+SUMIF(Invest[Affectation matrice],$AB$3,Invest[Amortissement HT + intérêts]))*BF45</f>
        <v>0</v>
      </c>
      <c r="F45" s="276">
        <f>(SUMIF(Fonctionnement[Affectation matrice],$AB$3,Fonctionnement[Montant (€HT)])+SUMIF(Invest[Affectation matrice],$AB$3,Invest[Amortissement HT + intérêts]))*BG45</f>
        <v>0</v>
      </c>
      <c r="G45" s="276">
        <f>(SUMIF(Fonctionnement[Affectation matrice],$AB$3,Fonctionnement[Montant (€HT)])+SUMIF(Invest[Affectation matrice],$AB$3,Invest[Amortissement HT + intérêts]))*BH45</f>
        <v>0</v>
      </c>
      <c r="H45" s="276">
        <f>(SUMIF(Fonctionnement[Affectation matrice],$AB$3,Fonctionnement[Montant (€HT)])+SUMIF(Invest[Affectation matrice],$AB$3,Invest[Amortissement HT + intérêts]))*BI45</f>
        <v>0</v>
      </c>
      <c r="I45" s="276">
        <f>(SUMIF(Fonctionnement[Affectation matrice],$AB$3,Fonctionnement[Montant (€HT)])+SUMIF(Invest[Affectation matrice],$AB$3,Invest[Amortissement HT + intérêts]))*BJ45</f>
        <v>0</v>
      </c>
      <c r="J45" s="276">
        <f>(SUMIF(Fonctionnement[Affectation matrice],$AB$3,Fonctionnement[Montant (€HT)])+SUMIF(Invest[Affectation matrice],$AB$3,Invest[Amortissement HT + intérêts]))*BK45</f>
        <v>0</v>
      </c>
      <c r="K45" s="276">
        <f>(SUMIF(Fonctionnement[Affectation matrice],$AB$3,Fonctionnement[Montant (€HT)])+SUMIF(Invest[Affectation matrice],$AB$3,Invest[Amortissement HT + intérêts]))*BL45</f>
        <v>0</v>
      </c>
      <c r="L45" s="276">
        <f>(SUMIF(Fonctionnement[Affectation matrice],$AB$3,Fonctionnement[Montant (€HT)])+SUMIF(Invest[Affectation matrice],$AB$3,Invest[Amortissement HT + intérêts]))*BM45</f>
        <v>0</v>
      </c>
      <c r="M45" s="276">
        <f>(SUMIF(Fonctionnement[Affectation matrice],$AB$3,Fonctionnement[Montant (€HT)])+SUMIF(Invest[Affectation matrice],$AB$3,Invest[Amortissement HT + intérêts]))*BN45</f>
        <v>0</v>
      </c>
      <c r="N45" s="276">
        <f>(SUMIF(Fonctionnement[Affectation matrice],$AB$3,Fonctionnement[Montant (€HT)])+SUMIF(Invest[Affectation matrice],$AB$3,Invest[Amortissement HT + intérêts]))*BO45</f>
        <v>0</v>
      </c>
      <c r="O45" s="276">
        <f>(SUMIF(Fonctionnement[Affectation matrice],$AB$3,Fonctionnement[Montant (€HT)])+SUMIF(Invest[Affectation matrice],$AB$3,Invest[Amortissement HT + intérêts]))*BP45</f>
        <v>0</v>
      </c>
      <c r="P45" s="276">
        <f>(SUMIF(Fonctionnement[Affectation matrice],$AB$3,Fonctionnement[Montant (€HT)])+SUMIF(Invest[Affectation matrice],$AB$3,Invest[Amortissement HT + intérêts]))*BQ45</f>
        <v>0</v>
      </c>
      <c r="Q45" s="276">
        <f>(SUMIF(Fonctionnement[Affectation matrice],$AB$3,Fonctionnement[Montant (€HT)])+SUMIF(Invest[Affectation matrice],$AB$3,Invest[Amortissement HT + intérêts]))*BR45</f>
        <v>0</v>
      </c>
      <c r="R45" s="276">
        <f>(SUMIF(Fonctionnement[Affectation matrice],$AB$3,Fonctionnement[Montant (€HT)])+SUMIF(Invest[Affectation matrice],$AB$3,Invest[Amortissement HT + intérêts]))*BS45</f>
        <v>0</v>
      </c>
      <c r="S45" s="276">
        <f>(SUMIF(Fonctionnement[Affectation matrice],$AB$3,Fonctionnement[Montant (€HT)])+SUMIF(Invest[Affectation matrice],$AB$3,Invest[Amortissement HT + intérêts]))*BT45</f>
        <v>0</v>
      </c>
      <c r="T45" s="276">
        <f>(SUMIF(Fonctionnement[Affectation matrice],$AB$3,Fonctionnement[Montant (€HT)])+SUMIF(Invest[Affectation matrice],$AB$3,Invest[Amortissement HT + intérêts]))*BU45</f>
        <v>0</v>
      </c>
      <c r="U45" s="276">
        <f>(SUMIF(Fonctionnement[Affectation matrice],$AB$3,Fonctionnement[Montant (€HT)])+SUMIF(Invest[Affectation matrice],$AB$3,Invest[Amortissement HT + intérêts]))*BV45</f>
        <v>0</v>
      </c>
      <c r="V45" s="276">
        <f>(SUMIF(Fonctionnement[Affectation matrice],$AB$3,Fonctionnement[Montant (€HT)])+SUMIF(Invest[Affectation matrice],$AB$3,Invest[Amortissement HT + intérêts]))*BW45</f>
        <v>0</v>
      </c>
      <c r="W45" s="276">
        <f>(SUMIF(Fonctionnement[Affectation matrice],$AB$3,Fonctionnement[Montant (€HT)])+SUMIF(Invest[Affectation matrice],$AB$3,Invest[Amortissement HT + intérêts]))*BX45</f>
        <v>0</v>
      </c>
      <c r="X45" s="276">
        <f>(SUMIF(Fonctionnement[Affectation matrice],$AB$3,Fonctionnement[Montant (€HT)])+SUMIF(Invest[Affectation matrice],$AB$3,Invest[Amortissement HT + intérêts]))*BY45</f>
        <v>0</v>
      </c>
      <c r="Y45" s="276">
        <f>(SUMIF(Fonctionnement[Affectation matrice],$AB$3,Fonctionnement[Montant (€HT)])+SUMIF(Invest[Affectation matrice],$AB$3,Invest[Amortissement HT + intérêts]))*BZ45</f>
        <v>0</v>
      </c>
      <c r="Z45" s="276">
        <f>(SUMIF(Fonctionnement[Affectation matrice],$AB$3,Fonctionnement[Montant (€HT)])+SUMIF(Invest[Affectation matrice],$AB$3,Invest[Amortissement HT + intérêts]))*CA45</f>
        <v>0</v>
      </c>
      <c r="AA45" s="199"/>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283">
        <f t="shared" si="4"/>
        <v>0</v>
      </c>
      <c r="BC45" s="61">
        <f t="shared" si="12"/>
        <v>0</v>
      </c>
      <c r="BD45" s="61">
        <f t="shared" si="12"/>
        <v>0</v>
      </c>
      <c r="BE45" s="61">
        <f t="shared" si="12"/>
        <v>0</v>
      </c>
      <c r="BF45" s="61">
        <f t="shared" si="12"/>
        <v>0</v>
      </c>
      <c r="BG45" s="61">
        <f t="shared" si="12"/>
        <v>0</v>
      </c>
      <c r="BH45" s="61">
        <f t="shared" si="12"/>
        <v>0</v>
      </c>
      <c r="BI45" s="61">
        <f t="shared" si="12"/>
        <v>0</v>
      </c>
      <c r="BJ45" s="61">
        <f t="shared" si="12"/>
        <v>0</v>
      </c>
      <c r="BK45" s="61">
        <f t="shared" si="12"/>
        <v>0</v>
      </c>
      <c r="BL45" s="61">
        <f t="shared" si="12"/>
        <v>0</v>
      </c>
      <c r="BM45" s="61">
        <f t="shared" si="12"/>
        <v>0</v>
      </c>
      <c r="BN45" s="61">
        <f t="shared" si="12"/>
        <v>0</v>
      </c>
      <c r="BO45" s="61">
        <f t="shared" si="12"/>
        <v>0</v>
      </c>
      <c r="BP45" s="61">
        <f t="shared" si="12"/>
        <v>0</v>
      </c>
      <c r="BQ45" s="61">
        <f t="shared" si="12"/>
        <v>0</v>
      </c>
      <c r="BR45" s="61">
        <f t="shared" si="12"/>
        <v>0</v>
      </c>
      <c r="BS45" s="61">
        <f t="shared" si="13"/>
        <v>0</v>
      </c>
      <c r="BT45" s="61">
        <f t="shared" si="13"/>
        <v>0</v>
      </c>
      <c r="BU45" s="61">
        <f t="shared" si="13"/>
        <v>0</v>
      </c>
      <c r="BV45" s="61">
        <f t="shared" si="13"/>
        <v>0</v>
      </c>
      <c r="BW45" s="61">
        <f t="shared" si="13"/>
        <v>0</v>
      </c>
      <c r="BX45" s="61">
        <f t="shared" si="13"/>
        <v>0</v>
      </c>
      <c r="BY45" s="61">
        <f t="shared" si="13"/>
        <v>0</v>
      </c>
      <c r="BZ45" s="61">
        <f t="shared" si="13"/>
        <v>0</v>
      </c>
      <c r="CA45" s="61">
        <f t="shared" si="13"/>
        <v>0</v>
      </c>
      <c r="CB45" s="61">
        <f t="shared" si="5"/>
        <v>0</v>
      </c>
      <c r="CD45" s="200">
        <f>(SUMIF(Fonctionnement[Affectation matrice],$AB$3,Fonctionnement[TVA acquittée])+SUMIF(Invest[Affectation matrice],$AB$3,Invest[TVA acquittée]))*BC45</f>
        <v>0</v>
      </c>
      <c r="CE45" s="200">
        <f>(SUMIF(Fonctionnement[Affectation matrice],$AB$3,Fonctionnement[TVA acquittée])+SUMIF(Invest[Affectation matrice],$AB$3,Invest[TVA acquittée]))*BD45</f>
        <v>0</v>
      </c>
      <c r="CF45" s="200">
        <f>(SUMIF(Fonctionnement[Affectation matrice],$AB$3,Fonctionnement[TVA acquittée])+SUMIF(Invest[Affectation matrice],$AB$3,Invest[TVA acquittée]))*BE45</f>
        <v>0</v>
      </c>
      <c r="CG45" s="200">
        <f>(SUMIF(Fonctionnement[Affectation matrice],$AB$3,Fonctionnement[TVA acquittée])+SUMIF(Invest[Affectation matrice],$AB$3,Invest[TVA acquittée]))*BF45</f>
        <v>0</v>
      </c>
      <c r="CH45" s="200">
        <f>(SUMIF(Fonctionnement[Affectation matrice],$AB$3,Fonctionnement[TVA acquittée])+SUMIF(Invest[Affectation matrice],$AB$3,Invest[TVA acquittée]))*BG45</f>
        <v>0</v>
      </c>
      <c r="CI45" s="200">
        <f>(SUMIF(Fonctionnement[Affectation matrice],$AB$3,Fonctionnement[TVA acquittée])+SUMIF(Invest[Affectation matrice],$AB$3,Invest[TVA acquittée]))*BH45</f>
        <v>0</v>
      </c>
      <c r="CJ45" s="200">
        <f>(SUMIF(Fonctionnement[Affectation matrice],$AB$3,Fonctionnement[TVA acquittée])+SUMIF(Invest[Affectation matrice],$AB$3,Invest[TVA acquittée]))*BI45</f>
        <v>0</v>
      </c>
      <c r="CK45" s="200">
        <f>(SUMIF(Fonctionnement[Affectation matrice],$AB$3,Fonctionnement[TVA acquittée])+SUMIF(Invest[Affectation matrice],$AB$3,Invest[TVA acquittée]))*BJ45</f>
        <v>0</v>
      </c>
      <c r="CL45" s="200">
        <f>(SUMIF(Fonctionnement[Affectation matrice],$AB$3,Fonctionnement[TVA acquittée])+SUMIF(Invest[Affectation matrice],$AB$3,Invest[TVA acquittée]))*BK45</f>
        <v>0</v>
      </c>
      <c r="CM45" s="200">
        <f>(SUMIF(Fonctionnement[Affectation matrice],$AB$3,Fonctionnement[TVA acquittée])+SUMIF(Invest[Affectation matrice],$AB$3,Invest[TVA acquittée]))*BL45</f>
        <v>0</v>
      </c>
      <c r="CN45" s="200">
        <f>(SUMIF(Fonctionnement[Affectation matrice],$AB$3,Fonctionnement[TVA acquittée])+SUMIF(Invest[Affectation matrice],$AB$3,Invest[TVA acquittée]))*BM45</f>
        <v>0</v>
      </c>
      <c r="CO45" s="200">
        <f>(SUMIF(Fonctionnement[Affectation matrice],$AB$3,Fonctionnement[TVA acquittée])+SUMIF(Invest[Affectation matrice],$AB$3,Invest[TVA acquittée]))*BN45</f>
        <v>0</v>
      </c>
      <c r="CP45" s="200">
        <f>(SUMIF(Fonctionnement[Affectation matrice],$AB$3,Fonctionnement[TVA acquittée])+SUMIF(Invest[Affectation matrice],$AB$3,Invest[TVA acquittée]))*BO45</f>
        <v>0</v>
      </c>
      <c r="CQ45" s="200">
        <f>(SUMIF(Fonctionnement[Affectation matrice],$AB$3,Fonctionnement[TVA acquittée])+SUMIF(Invest[Affectation matrice],$AB$3,Invest[TVA acquittée]))*BP45</f>
        <v>0</v>
      </c>
      <c r="CR45" s="200">
        <f>(SUMIF(Fonctionnement[Affectation matrice],$AB$3,Fonctionnement[TVA acquittée])+SUMIF(Invest[Affectation matrice],$AB$3,Invest[TVA acquittée]))*BQ45</f>
        <v>0</v>
      </c>
      <c r="CS45" s="200">
        <f>(SUMIF(Fonctionnement[Affectation matrice],$AB$3,Fonctionnement[TVA acquittée])+SUMIF(Invest[Affectation matrice],$AB$3,Invest[TVA acquittée]))*BR45</f>
        <v>0</v>
      </c>
      <c r="CT45" s="200">
        <f>(SUMIF(Fonctionnement[Affectation matrice],$AB$3,Fonctionnement[TVA acquittée])+SUMIF(Invest[Affectation matrice],$AB$3,Invest[TVA acquittée]))*BS45</f>
        <v>0</v>
      </c>
      <c r="CU45" s="200">
        <f>(SUMIF(Fonctionnement[Affectation matrice],$AB$3,Fonctionnement[TVA acquittée])+SUMIF(Invest[Affectation matrice],$AB$3,Invest[TVA acquittée]))*BT45</f>
        <v>0</v>
      </c>
      <c r="CV45" s="200">
        <f>(SUMIF(Fonctionnement[Affectation matrice],$AB$3,Fonctionnement[TVA acquittée])+SUMIF(Invest[Affectation matrice],$AB$3,Invest[TVA acquittée]))*BU45</f>
        <v>0</v>
      </c>
      <c r="CW45" s="200">
        <f>(SUMIF(Fonctionnement[Affectation matrice],$AB$3,Fonctionnement[TVA acquittée])+SUMIF(Invest[Affectation matrice],$AB$3,Invest[TVA acquittée]))*BV45</f>
        <v>0</v>
      </c>
      <c r="CX45" s="200">
        <f>(SUMIF(Fonctionnement[Affectation matrice],$AB$3,Fonctionnement[TVA acquittée])+SUMIF(Invest[Affectation matrice],$AB$3,Invest[TVA acquittée]))*BW45</f>
        <v>0</v>
      </c>
      <c r="CY45" s="200">
        <f>(SUMIF(Fonctionnement[Affectation matrice],$AB$3,Fonctionnement[TVA acquittée])+SUMIF(Invest[Affectation matrice],$AB$3,Invest[TVA acquittée]))*BX45</f>
        <v>0</v>
      </c>
      <c r="CZ45" s="200">
        <f>(SUMIF(Fonctionnement[Affectation matrice],$AB$3,Fonctionnement[TVA acquittée])+SUMIF(Invest[Affectation matrice],$AB$3,Invest[TVA acquittée]))*BY45</f>
        <v>0</v>
      </c>
      <c r="DA45" s="200">
        <f>(SUMIF(Fonctionnement[Affectation matrice],$AB$3,Fonctionnement[TVA acquittée])+SUMIF(Invest[Affectation matrice],$AB$3,Invest[TVA acquittée]))*BZ45</f>
        <v>0</v>
      </c>
      <c r="DB45" s="200">
        <f>(SUMIF(Fonctionnement[Affectation matrice],$AB$3,Fonctionnement[TVA acquittée])+SUMIF(Invest[Affectation matrice],$AB$3,Invest[TVA acquittée]))*CA45</f>
        <v>0</v>
      </c>
    </row>
    <row r="46" spans="1:106" ht="12.75" hidden="1" customHeight="1" x14ac:dyDescent="0.25">
      <c r="A46" s="42">
        <f>Matrice[[#This Row],[Ligne de la matrice]]</f>
        <v>0</v>
      </c>
      <c r="B46" s="276">
        <f>(SUMIF(Fonctionnement[Affectation matrice],$AB$3,Fonctionnement[Montant (€HT)])+SUMIF(Invest[Affectation matrice],$AB$3,Invest[Amortissement HT + intérêts]))*BC46</f>
        <v>0</v>
      </c>
      <c r="C46" s="276">
        <f>(SUMIF(Fonctionnement[Affectation matrice],$AB$3,Fonctionnement[Montant (€HT)])+SUMIF(Invest[Affectation matrice],$AB$3,Invest[Amortissement HT + intérêts]))*BD46</f>
        <v>0</v>
      </c>
      <c r="D46" s="276">
        <f>(SUMIF(Fonctionnement[Affectation matrice],$AB$3,Fonctionnement[Montant (€HT)])+SUMIF(Invest[Affectation matrice],$AB$3,Invest[Amortissement HT + intérêts]))*BE46</f>
        <v>0</v>
      </c>
      <c r="E46" s="276">
        <f>(SUMIF(Fonctionnement[Affectation matrice],$AB$3,Fonctionnement[Montant (€HT)])+SUMIF(Invest[Affectation matrice],$AB$3,Invest[Amortissement HT + intérêts]))*BF46</f>
        <v>0</v>
      </c>
      <c r="F46" s="276">
        <f>(SUMIF(Fonctionnement[Affectation matrice],$AB$3,Fonctionnement[Montant (€HT)])+SUMIF(Invest[Affectation matrice],$AB$3,Invest[Amortissement HT + intérêts]))*BG46</f>
        <v>0</v>
      </c>
      <c r="G46" s="276">
        <f>(SUMIF(Fonctionnement[Affectation matrice],$AB$3,Fonctionnement[Montant (€HT)])+SUMIF(Invest[Affectation matrice],$AB$3,Invest[Amortissement HT + intérêts]))*BH46</f>
        <v>0</v>
      </c>
      <c r="H46" s="276">
        <f>(SUMIF(Fonctionnement[Affectation matrice],$AB$3,Fonctionnement[Montant (€HT)])+SUMIF(Invest[Affectation matrice],$AB$3,Invest[Amortissement HT + intérêts]))*BI46</f>
        <v>0</v>
      </c>
      <c r="I46" s="276">
        <f>(SUMIF(Fonctionnement[Affectation matrice],$AB$3,Fonctionnement[Montant (€HT)])+SUMIF(Invest[Affectation matrice],$AB$3,Invest[Amortissement HT + intérêts]))*BJ46</f>
        <v>0</v>
      </c>
      <c r="J46" s="276">
        <f>(SUMIF(Fonctionnement[Affectation matrice],$AB$3,Fonctionnement[Montant (€HT)])+SUMIF(Invest[Affectation matrice],$AB$3,Invest[Amortissement HT + intérêts]))*BK46</f>
        <v>0</v>
      </c>
      <c r="K46" s="276">
        <f>(SUMIF(Fonctionnement[Affectation matrice],$AB$3,Fonctionnement[Montant (€HT)])+SUMIF(Invest[Affectation matrice],$AB$3,Invest[Amortissement HT + intérêts]))*BL46</f>
        <v>0</v>
      </c>
      <c r="L46" s="276">
        <f>(SUMIF(Fonctionnement[Affectation matrice],$AB$3,Fonctionnement[Montant (€HT)])+SUMIF(Invest[Affectation matrice],$AB$3,Invest[Amortissement HT + intérêts]))*BM46</f>
        <v>0</v>
      </c>
      <c r="M46" s="276">
        <f>(SUMIF(Fonctionnement[Affectation matrice],$AB$3,Fonctionnement[Montant (€HT)])+SUMIF(Invest[Affectation matrice],$AB$3,Invest[Amortissement HT + intérêts]))*BN46</f>
        <v>0</v>
      </c>
      <c r="N46" s="276">
        <f>(SUMIF(Fonctionnement[Affectation matrice],$AB$3,Fonctionnement[Montant (€HT)])+SUMIF(Invest[Affectation matrice],$AB$3,Invest[Amortissement HT + intérêts]))*BO46</f>
        <v>0</v>
      </c>
      <c r="O46" s="276">
        <f>(SUMIF(Fonctionnement[Affectation matrice],$AB$3,Fonctionnement[Montant (€HT)])+SUMIF(Invest[Affectation matrice],$AB$3,Invest[Amortissement HT + intérêts]))*BP46</f>
        <v>0</v>
      </c>
      <c r="P46" s="276">
        <f>(SUMIF(Fonctionnement[Affectation matrice],$AB$3,Fonctionnement[Montant (€HT)])+SUMIF(Invest[Affectation matrice],$AB$3,Invest[Amortissement HT + intérêts]))*BQ46</f>
        <v>0</v>
      </c>
      <c r="Q46" s="276">
        <f>(SUMIF(Fonctionnement[Affectation matrice],$AB$3,Fonctionnement[Montant (€HT)])+SUMIF(Invest[Affectation matrice],$AB$3,Invest[Amortissement HT + intérêts]))*BR46</f>
        <v>0</v>
      </c>
      <c r="R46" s="276">
        <f>(SUMIF(Fonctionnement[Affectation matrice],$AB$3,Fonctionnement[Montant (€HT)])+SUMIF(Invest[Affectation matrice],$AB$3,Invest[Amortissement HT + intérêts]))*BS46</f>
        <v>0</v>
      </c>
      <c r="S46" s="276">
        <f>(SUMIF(Fonctionnement[Affectation matrice],$AB$3,Fonctionnement[Montant (€HT)])+SUMIF(Invest[Affectation matrice],$AB$3,Invest[Amortissement HT + intérêts]))*BT46</f>
        <v>0</v>
      </c>
      <c r="T46" s="276">
        <f>(SUMIF(Fonctionnement[Affectation matrice],$AB$3,Fonctionnement[Montant (€HT)])+SUMIF(Invest[Affectation matrice],$AB$3,Invest[Amortissement HT + intérêts]))*BU46</f>
        <v>0</v>
      </c>
      <c r="U46" s="276">
        <f>(SUMIF(Fonctionnement[Affectation matrice],$AB$3,Fonctionnement[Montant (€HT)])+SUMIF(Invest[Affectation matrice],$AB$3,Invest[Amortissement HT + intérêts]))*BV46</f>
        <v>0</v>
      </c>
      <c r="V46" s="276">
        <f>(SUMIF(Fonctionnement[Affectation matrice],$AB$3,Fonctionnement[Montant (€HT)])+SUMIF(Invest[Affectation matrice],$AB$3,Invest[Amortissement HT + intérêts]))*BW46</f>
        <v>0</v>
      </c>
      <c r="W46" s="276">
        <f>(SUMIF(Fonctionnement[Affectation matrice],$AB$3,Fonctionnement[Montant (€HT)])+SUMIF(Invest[Affectation matrice],$AB$3,Invest[Amortissement HT + intérêts]))*BX46</f>
        <v>0</v>
      </c>
      <c r="X46" s="276">
        <f>(SUMIF(Fonctionnement[Affectation matrice],$AB$3,Fonctionnement[Montant (€HT)])+SUMIF(Invest[Affectation matrice],$AB$3,Invest[Amortissement HT + intérêts]))*BY46</f>
        <v>0</v>
      </c>
      <c r="Y46" s="276">
        <f>(SUMIF(Fonctionnement[Affectation matrice],$AB$3,Fonctionnement[Montant (€HT)])+SUMIF(Invest[Affectation matrice],$AB$3,Invest[Amortissement HT + intérêts]))*BZ46</f>
        <v>0</v>
      </c>
      <c r="Z46" s="276">
        <f>(SUMIF(Fonctionnement[Affectation matrice],$AB$3,Fonctionnement[Montant (€HT)])+SUMIF(Invest[Affectation matrice],$AB$3,Invest[Amortissement HT + intérêts]))*CA46</f>
        <v>0</v>
      </c>
      <c r="AA46" s="199"/>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283">
        <f t="shared" si="4"/>
        <v>0</v>
      </c>
      <c r="BC46" s="61">
        <f t="shared" si="12"/>
        <v>0</v>
      </c>
      <c r="BD46" s="61">
        <f t="shared" si="12"/>
        <v>0</v>
      </c>
      <c r="BE46" s="61">
        <f t="shared" si="12"/>
        <v>0</v>
      </c>
      <c r="BF46" s="61">
        <f t="shared" si="12"/>
        <v>0</v>
      </c>
      <c r="BG46" s="61">
        <f t="shared" si="12"/>
        <v>0</v>
      </c>
      <c r="BH46" s="61">
        <f t="shared" si="12"/>
        <v>0</v>
      </c>
      <c r="BI46" s="61">
        <f t="shared" si="12"/>
        <v>0</v>
      </c>
      <c r="BJ46" s="61">
        <f t="shared" si="12"/>
        <v>0</v>
      </c>
      <c r="BK46" s="61">
        <f t="shared" si="12"/>
        <v>0</v>
      </c>
      <c r="BL46" s="61">
        <f t="shared" si="12"/>
        <v>0</v>
      </c>
      <c r="BM46" s="61">
        <f t="shared" si="12"/>
        <v>0</v>
      </c>
      <c r="BN46" s="61">
        <f t="shared" si="12"/>
        <v>0</v>
      </c>
      <c r="BO46" s="61">
        <f t="shared" si="12"/>
        <v>0</v>
      </c>
      <c r="BP46" s="61">
        <f t="shared" si="12"/>
        <v>0</v>
      </c>
      <c r="BQ46" s="61">
        <f t="shared" si="12"/>
        <v>0</v>
      </c>
      <c r="BR46" s="61">
        <f t="shared" si="12"/>
        <v>0</v>
      </c>
      <c r="BS46" s="61">
        <f t="shared" si="13"/>
        <v>0</v>
      </c>
      <c r="BT46" s="61">
        <f t="shared" si="13"/>
        <v>0</v>
      </c>
      <c r="BU46" s="61">
        <f t="shared" si="13"/>
        <v>0</v>
      </c>
      <c r="BV46" s="61">
        <f t="shared" si="13"/>
        <v>0</v>
      </c>
      <c r="BW46" s="61">
        <f t="shared" si="13"/>
        <v>0</v>
      </c>
      <c r="BX46" s="61">
        <f t="shared" si="13"/>
        <v>0</v>
      </c>
      <c r="BY46" s="61">
        <f t="shared" si="13"/>
        <v>0</v>
      </c>
      <c r="BZ46" s="61">
        <f t="shared" si="13"/>
        <v>0</v>
      </c>
      <c r="CA46" s="61">
        <f t="shared" si="13"/>
        <v>0</v>
      </c>
      <c r="CB46" s="61">
        <f t="shared" si="5"/>
        <v>0</v>
      </c>
      <c r="CD46" s="200">
        <f>(SUMIF(Fonctionnement[Affectation matrice],$AB$3,Fonctionnement[TVA acquittée])+SUMIF(Invest[Affectation matrice],$AB$3,Invest[TVA acquittée]))*BC46</f>
        <v>0</v>
      </c>
      <c r="CE46" s="200">
        <f>(SUMIF(Fonctionnement[Affectation matrice],$AB$3,Fonctionnement[TVA acquittée])+SUMIF(Invest[Affectation matrice],$AB$3,Invest[TVA acquittée]))*BD46</f>
        <v>0</v>
      </c>
      <c r="CF46" s="200">
        <f>(SUMIF(Fonctionnement[Affectation matrice],$AB$3,Fonctionnement[TVA acquittée])+SUMIF(Invest[Affectation matrice],$AB$3,Invest[TVA acquittée]))*BE46</f>
        <v>0</v>
      </c>
      <c r="CG46" s="200">
        <f>(SUMIF(Fonctionnement[Affectation matrice],$AB$3,Fonctionnement[TVA acquittée])+SUMIF(Invest[Affectation matrice],$AB$3,Invest[TVA acquittée]))*BF46</f>
        <v>0</v>
      </c>
      <c r="CH46" s="200">
        <f>(SUMIF(Fonctionnement[Affectation matrice],$AB$3,Fonctionnement[TVA acquittée])+SUMIF(Invest[Affectation matrice],$AB$3,Invest[TVA acquittée]))*BG46</f>
        <v>0</v>
      </c>
      <c r="CI46" s="200">
        <f>(SUMIF(Fonctionnement[Affectation matrice],$AB$3,Fonctionnement[TVA acquittée])+SUMIF(Invest[Affectation matrice],$AB$3,Invest[TVA acquittée]))*BH46</f>
        <v>0</v>
      </c>
      <c r="CJ46" s="200">
        <f>(SUMIF(Fonctionnement[Affectation matrice],$AB$3,Fonctionnement[TVA acquittée])+SUMIF(Invest[Affectation matrice],$AB$3,Invest[TVA acquittée]))*BI46</f>
        <v>0</v>
      </c>
      <c r="CK46" s="200">
        <f>(SUMIF(Fonctionnement[Affectation matrice],$AB$3,Fonctionnement[TVA acquittée])+SUMIF(Invest[Affectation matrice],$AB$3,Invest[TVA acquittée]))*BJ46</f>
        <v>0</v>
      </c>
      <c r="CL46" s="200">
        <f>(SUMIF(Fonctionnement[Affectation matrice],$AB$3,Fonctionnement[TVA acquittée])+SUMIF(Invest[Affectation matrice],$AB$3,Invest[TVA acquittée]))*BK46</f>
        <v>0</v>
      </c>
      <c r="CM46" s="200">
        <f>(SUMIF(Fonctionnement[Affectation matrice],$AB$3,Fonctionnement[TVA acquittée])+SUMIF(Invest[Affectation matrice],$AB$3,Invest[TVA acquittée]))*BL46</f>
        <v>0</v>
      </c>
      <c r="CN46" s="200">
        <f>(SUMIF(Fonctionnement[Affectation matrice],$AB$3,Fonctionnement[TVA acquittée])+SUMIF(Invest[Affectation matrice],$AB$3,Invest[TVA acquittée]))*BM46</f>
        <v>0</v>
      </c>
      <c r="CO46" s="200">
        <f>(SUMIF(Fonctionnement[Affectation matrice],$AB$3,Fonctionnement[TVA acquittée])+SUMIF(Invest[Affectation matrice],$AB$3,Invest[TVA acquittée]))*BN46</f>
        <v>0</v>
      </c>
      <c r="CP46" s="200">
        <f>(SUMIF(Fonctionnement[Affectation matrice],$AB$3,Fonctionnement[TVA acquittée])+SUMIF(Invest[Affectation matrice],$AB$3,Invest[TVA acquittée]))*BO46</f>
        <v>0</v>
      </c>
      <c r="CQ46" s="200">
        <f>(SUMIF(Fonctionnement[Affectation matrice],$AB$3,Fonctionnement[TVA acquittée])+SUMIF(Invest[Affectation matrice],$AB$3,Invest[TVA acquittée]))*BP46</f>
        <v>0</v>
      </c>
      <c r="CR46" s="200">
        <f>(SUMIF(Fonctionnement[Affectation matrice],$AB$3,Fonctionnement[TVA acquittée])+SUMIF(Invest[Affectation matrice],$AB$3,Invest[TVA acquittée]))*BQ46</f>
        <v>0</v>
      </c>
      <c r="CS46" s="200">
        <f>(SUMIF(Fonctionnement[Affectation matrice],$AB$3,Fonctionnement[TVA acquittée])+SUMIF(Invest[Affectation matrice],$AB$3,Invest[TVA acquittée]))*BR46</f>
        <v>0</v>
      </c>
      <c r="CT46" s="200">
        <f>(SUMIF(Fonctionnement[Affectation matrice],$AB$3,Fonctionnement[TVA acquittée])+SUMIF(Invest[Affectation matrice],$AB$3,Invest[TVA acquittée]))*BS46</f>
        <v>0</v>
      </c>
      <c r="CU46" s="200">
        <f>(SUMIF(Fonctionnement[Affectation matrice],$AB$3,Fonctionnement[TVA acquittée])+SUMIF(Invest[Affectation matrice],$AB$3,Invest[TVA acquittée]))*BT46</f>
        <v>0</v>
      </c>
      <c r="CV46" s="200">
        <f>(SUMIF(Fonctionnement[Affectation matrice],$AB$3,Fonctionnement[TVA acquittée])+SUMIF(Invest[Affectation matrice],$AB$3,Invest[TVA acquittée]))*BU46</f>
        <v>0</v>
      </c>
      <c r="CW46" s="200">
        <f>(SUMIF(Fonctionnement[Affectation matrice],$AB$3,Fonctionnement[TVA acquittée])+SUMIF(Invest[Affectation matrice],$AB$3,Invest[TVA acquittée]))*BV46</f>
        <v>0</v>
      </c>
      <c r="CX46" s="200">
        <f>(SUMIF(Fonctionnement[Affectation matrice],$AB$3,Fonctionnement[TVA acquittée])+SUMIF(Invest[Affectation matrice],$AB$3,Invest[TVA acquittée]))*BW46</f>
        <v>0</v>
      </c>
      <c r="CY46" s="200">
        <f>(SUMIF(Fonctionnement[Affectation matrice],$AB$3,Fonctionnement[TVA acquittée])+SUMIF(Invest[Affectation matrice],$AB$3,Invest[TVA acquittée]))*BX46</f>
        <v>0</v>
      </c>
      <c r="CZ46" s="200">
        <f>(SUMIF(Fonctionnement[Affectation matrice],$AB$3,Fonctionnement[TVA acquittée])+SUMIF(Invest[Affectation matrice],$AB$3,Invest[TVA acquittée]))*BY46</f>
        <v>0</v>
      </c>
      <c r="DA46" s="200">
        <f>(SUMIF(Fonctionnement[Affectation matrice],$AB$3,Fonctionnement[TVA acquittée])+SUMIF(Invest[Affectation matrice],$AB$3,Invest[TVA acquittée]))*BZ46</f>
        <v>0</v>
      </c>
      <c r="DB46" s="200">
        <f>(SUMIF(Fonctionnement[Affectation matrice],$AB$3,Fonctionnement[TVA acquittée])+SUMIF(Invest[Affectation matrice],$AB$3,Invest[TVA acquittée]))*CA46</f>
        <v>0</v>
      </c>
    </row>
    <row r="47" spans="1:106" ht="12.75" hidden="1" customHeight="1" x14ac:dyDescent="0.25">
      <c r="A47" s="42">
        <f>Matrice[[#This Row],[Ligne de la matrice]]</f>
        <v>0</v>
      </c>
      <c r="B47" s="276">
        <f>(SUMIF(Fonctionnement[Affectation matrice],$AB$3,Fonctionnement[Montant (€HT)])+SUMIF(Invest[Affectation matrice],$AB$3,Invest[Amortissement HT + intérêts]))*BC47</f>
        <v>0</v>
      </c>
      <c r="C47" s="276">
        <f>(SUMIF(Fonctionnement[Affectation matrice],$AB$3,Fonctionnement[Montant (€HT)])+SUMIF(Invest[Affectation matrice],$AB$3,Invest[Amortissement HT + intérêts]))*BD47</f>
        <v>0</v>
      </c>
      <c r="D47" s="276">
        <f>(SUMIF(Fonctionnement[Affectation matrice],$AB$3,Fonctionnement[Montant (€HT)])+SUMIF(Invest[Affectation matrice],$AB$3,Invest[Amortissement HT + intérêts]))*BE47</f>
        <v>0</v>
      </c>
      <c r="E47" s="276">
        <f>(SUMIF(Fonctionnement[Affectation matrice],$AB$3,Fonctionnement[Montant (€HT)])+SUMIF(Invest[Affectation matrice],$AB$3,Invest[Amortissement HT + intérêts]))*BF47</f>
        <v>0</v>
      </c>
      <c r="F47" s="276">
        <f>(SUMIF(Fonctionnement[Affectation matrice],$AB$3,Fonctionnement[Montant (€HT)])+SUMIF(Invest[Affectation matrice],$AB$3,Invest[Amortissement HT + intérêts]))*BG47</f>
        <v>0</v>
      </c>
      <c r="G47" s="276">
        <f>(SUMIF(Fonctionnement[Affectation matrice],$AB$3,Fonctionnement[Montant (€HT)])+SUMIF(Invest[Affectation matrice],$AB$3,Invest[Amortissement HT + intérêts]))*BH47</f>
        <v>0</v>
      </c>
      <c r="H47" s="276">
        <f>(SUMIF(Fonctionnement[Affectation matrice],$AB$3,Fonctionnement[Montant (€HT)])+SUMIF(Invest[Affectation matrice],$AB$3,Invest[Amortissement HT + intérêts]))*BI47</f>
        <v>0</v>
      </c>
      <c r="I47" s="276">
        <f>(SUMIF(Fonctionnement[Affectation matrice],$AB$3,Fonctionnement[Montant (€HT)])+SUMIF(Invest[Affectation matrice],$AB$3,Invest[Amortissement HT + intérêts]))*BJ47</f>
        <v>0</v>
      </c>
      <c r="J47" s="276">
        <f>(SUMIF(Fonctionnement[Affectation matrice],$AB$3,Fonctionnement[Montant (€HT)])+SUMIF(Invest[Affectation matrice],$AB$3,Invest[Amortissement HT + intérêts]))*BK47</f>
        <v>0</v>
      </c>
      <c r="K47" s="276">
        <f>(SUMIF(Fonctionnement[Affectation matrice],$AB$3,Fonctionnement[Montant (€HT)])+SUMIF(Invest[Affectation matrice],$AB$3,Invest[Amortissement HT + intérêts]))*BL47</f>
        <v>0</v>
      </c>
      <c r="L47" s="276">
        <f>(SUMIF(Fonctionnement[Affectation matrice],$AB$3,Fonctionnement[Montant (€HT)])+SUMIF(Invest[Affectation matrice],$AB$3,Invest[Amortissement HT + intérêts]))*BM47</f>
        <v>0</v>
      </c>
      <c r="M47" s="276">
        <f>(SUMIF(Fonctionnement[Affectation matrice],$AB$3,Fonctionnement[Montant (€HT)])+SUMIF(Invest[Affectation matrice],$AB$3,Invest[Amortissement HT + intérêts]))*BN47</f>
        <v>0</v>
      </c>
      <c r="N47" s="276">
        <f>(SUMIF(Fonctionnement[Affectation matrice],$AB$3,Fonctionnement[Montant (€HT)])+SUMIF(Invest[Affectation matrice],$AB$3,Invest[Amortissement HT + intérêts]))*BO47</f>
        <v>0</v>
      </c>
      <c r="O47" s="276">
        <f>(SUMIF(Fonctionnement[Affectation matrice],$AB$3,Fonctionnement[Montant (€HT)])+SUMIF(Invest[Affectation matrice],$AB$3,Invest[Amortissement HT + intérêts]))*BP47</f>
        <v>0</v>
      </c>
      <c r="P47" s="276">
        <f>(SUMIF(Fonctionnement[Affectation matrice],$AB$3,Fonctionnement[Montant (€HT)])+SUMIF(Invest[Affectation matrice],$AB$3,Invest[Amortissement HT + intérêts]))*BQ47</f>
        <v>0</v>
      </c>
      <c r="Q47" s="276">
        <f>(SUMIF(Fonctionnement[Affectation matrice],$AB$3,Fonctionnement[Montant (€HT)])+SUMIF(Invest[Affectation matrice],$AB$3,Invest[Amortissement HT + intérêts]))*BR47</f>
        <v>0</v>
      </c>
      <c r="R47" s="276">
        <f>(SUMIF(Fonctionnement[Affectation matrice],$AB$3,Fonctionnement[Montant (€HT)])+SUMIF(Invest[Affectation matrice],$AB$3,Invest[Amortissement HT + intérêts]))*BS47</f>
        <v>0</v>
      </c>
      <c r="S47" s="276">
        <f>(SUMIF(Fonctionnement[Affectation matrice],$AB$3,Fonctionnement[Montant (€HT)])+SUMIF(Invest[Affectation matrice],$AB$3,Invest[Amortissement HT + intérêts]))*BT47</f>
        <v>0</v>
      </c>
      <c r="T47" s="276">
        <f>(SUMIF(Fonctionnement[Affectation matrice],$AB$3,Fonctionnement[Montant (€HT)])+SUMIF(Invest[Affectation matrice],$AB$3,Invest[Amortissement HT + intérêts]))*BU47</f>
        <v>0</v>
      </c>
      <c r="U47" s="276">
        <f>(SUMIF(Fonctionnement[Affectation matrice],$AB$3,Fonctionnement[Montant (€HT)])+SUMIF(Invest[Affectation matrice],$AB$3,Invest[Amortissement HT + intérêts]))*BV47</f>
        <v>0</v>
      </c>
      <c r="V47" s="276">
        <f>(SUMIF(Fonctionnement[Affectation matrice],$AB$3,Fonctionnement[Montant (€HT)])+SUMIF(Invest[Affectation matrice],$AB$3,Invest[Amortissement HT + intérêts]))*BW47</f>
        <v>0</v>
      </c>
      <c r="W47" s="276">
        <f>(SUMIF(Fonctionnement[Affectation matrice],$AB$3,Fonctionnement[Montant (€HT)])+SUMIF(Invest[Affectation matrice],$AB$3,Invest[Amortissement HT + intérêts]))*BX47</f>
        <v>0</v>
      </c>
      <c r="X47" s="276">
        <f>(SUMIF(Fonctionnement[Affectation matrice],$AB$3,Fonctionnement[Montant (€HT)])+SUMIF(Invest[Affectation matrice],$AB$3,Invest[Amortissement HT + intérêts]))*BY47</f>
        <v>0</v>
      </c>
      <c r="Y47" s="276">
        <f>(SUMIF(Fonctionnement[Affectation matrice],$AB$3,Fonctionnement[Montant (€HT)])+SUMIF(Invest[Affectation matrice],$AB$3,Invest[Amortissement HT + intérêts]))*BZ47</f>
        <v>0</v>
      </c>
      <c r="Z47" s="276">
        <f>(SUMIF(Fonctionnement[Affectation matrice],$AB$3,Fonctionnement[Montant (€HT)])+SUMIF(Invest[Affectation matrice],$AB$3,Invest[Amortissement HT + intérêts]))*CA47</f>
        <v>0</v>
      </c>
      <c r="AA47" s="199"/>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283">
        <f t="shared" si="4"/>
        <v>0</v>
      </c>
      <c r="BC47" s="61">
        <f t="shared" si="12"/>
        <v>0</v>
      </c>
      <c r="BD47" s="61">
        <f t="shared" si="12"/>
        <v>0</v>
      </c>
      <c r="BE47" s="61">
        <f t="shared" si="12"/>
        <v>0</v>
      </c>
      <c r="BF47" s="61">
        <f t="shared" si="12"/>
        <v>0</v>
      </c>
      <c r="BG47" s="61">
        <f t="shared" si="12"/>
        <v>0</v>
      </c>
      <c r="BH47" s="61">
        <f t="shared" si="12"/>
        <v>0</v>
      </c>
      <c r="BI47" s="61">
        <f t="shared" si="12"/>
        <v>0</v>
      </c>
      <c r="BJ47" s="61">
        <f t="shared" si="12"/>
        <v>0</v>
      </c>
      <c r="BK47" s="61">
        <f t="shared" si="12"/>
        <v>0</v>
      </c>
      <c r="BL47" s="61">
        <f t="shared" si="12"/>
        <v>0</v>
      </c>
      <c r="BM47" s="61">
        <f t="shared" si="12"/>
        <v>0</v>
      </c>
      <c r="BN47" s="61">
        <f t="shared" si="12"/>
        <v>0</v>
      </c>
      <c r="BO47" s="61">
        <f t="shared" si="12"/>
        <v>0</v>
      </c>
      <c r="BP47" s="61">
        <f t="shared" si="12"/>
        <v>0</v>
      </c>
      <c r="BQ47" s="61">
        <f t="shared" si="12"/>
        <v>0</v>
      </c>
      <c r="BR47" s="61">
        <f t="shared" si="12"/>
        <v>0</v>
      </c>
      <c r="BS47" s="61">
        <f t="shared" si="13"/>
        <v>0</v>
      </c>
      <c r="BT47" s="61">
        <f t="shared" si="13"/>
        <v>0</v>
      </c>
      <c r="BU47" s="61">
        <f t="shared" si="13"/>
        <v>0</v>
      </c>
      <c r="BV47" s="61">
        <f t="shared" si="13"/>
        <v>0</v>
      </c>
      <c r="BW47" s="61">
        <f t="shared" si="13"/>
        <v>0</v>
      </c>
      <c r="BX47" s="61">
        <f t="shared" si="13"/>
        <v>0</v>
      </c>
      <c r="BY47" s="61">
        <f t="shared" si="13"/>
        <v>0</v>
      </c>
      <c r="BZ47" s="61">
        <f t="shared" si="13"/>
        <v>0</v>
      </c>
      <c r="CA47" s="61">
        <f t="shared" si="13"/>
        <v>0</v>
      </c>
      <c r="CB47" s="61">
        <f t="shared" si="5"/>
        <v>0</v>
      </c>
      <c r="CD47" s="200">
        <f>(SUMIF(Fonctionnement[Affectation matrice],$AB$3,Fonctionnement[TVA acquittée])+SUMIF(Invest[Affectation matrice],$AB$3,Invest[TVA acquittée]))*BC47</f>
        <v>0</v>
      </c>
      <c r="CE47" s="200">
        <f>(SUMIF(Fonctionnement[Affectation matrice],$AB$3,Fonctionnement[TVA acquittée])+SUMIF(Invest[Affectation matrice],$AB$3,Invest[TVA acquittée]))*BD47</f>
        <v>0</v>
      </c>
      <c r="CF47" s="200">
        <f>(SUMIF(Fonctionnement[Affectation matrice],$AB$3,Fonctionnement[TVA acquittée])+SUMIF(Invest[Affectation matrice],$AB$3,Invest[TVA acquittée]))*BE47</f>
        <v>0</v>
      </c>
      <c r="CG47" s="200">
        <f>(SUMIF(Fonctionnement[Affectation matrice],$AB$3,Fonctionnement[TVA acquittée])+SUMIF(Invest[Affectation matrice],$AB$3,Invest[TVA acquittée]))*BF47</f>
        <v>0</v>
      </c>
      <c r="CH47" s="200">
        <f>(SUMIF(Fonctionnement[Affectation matrice],$AB$3,Fonctionnement[TVA acquittée])+SUMIF(Invest[Affectation matrice],$AB$3,Invest[TVA acquittée]))*BG47</f>
        <v>0</v>
      </c>
      <c r="CI47" s="200">
        <f>(SUMIF(Fonctionnement[Affectation matrice],$AB$3,Fonctionnement[TVA acquittée])+SUMIF(Invest[Affectation matrice],$AB$3,Invest[TVA acquittée]))*BH47</f>
        <v>0</v>
      </c>
      <c r="CJ47" s="200">
        <f>(SUMIF(Fonctionnement[Affectation matrice],$AB$3,Fonctionnement[TVA acquittée])+SUMIF(Invest[Affectation matrice],$AB$3,Invest[TVA acquittée]))*BI47</f>
        <v>0</v>
      </c>
      <c r="CK47" s="200">
        <f>(SUMIF(Fonctionnement[Affectation matrice],$AB$3,Fonctionnement[TVA acquittée])+SUMIF(Invest[Affectation matrice],$AB$3,Invest[TVA acquittée]))*BJ47</f>
        <v>0</v>
      </c>
      <c r="CL47" s="200">
        <f>(SUMIF(Fonctionnement[Affectation matrice],$AB$3,Fonctionnement[TVA acquittée])+SUMIF(Invest[Affectation matrice],$AB$3,Invest[TVA acquittée]))*BK47</f>
        <v>0</v>
      </c>
      <c r="CM47" s="200">
        <f>(SUMIF(Fonctionnement[Affectation matrice],$AB$3,Fonctionnement[TVA acquittée])+SUMIF(Invest[Affectation matrice],$AB$3,Invest[TVA acquittée]))*BL47</f>
        <v>0</v>
      </c>
      <c r="CN47" s="200">
        <f>(SUMIF(Fonctionnement[Affectation matrice],$AB$3,Fonctionnement[TVA acquittée])+SUMIF(Invest[Affectation matrice],$AB$3,Invest[TVA acquittée]))*BM47</f>
        <v>0</v>
      </c>
      <c r="CO47" s="200">
        <f>(SUMIF(Fonctionnement[Affectation matrice],$AB$3,Fonctionnement[TVA acquittée])+SUMIF(Invest[Affectation matrice],$AB$3,Invest[TVA acquittée]))*BN47</f>
        <v>0</v>
      </c>
      <c r="CP47" s="200">
        <f>(SUMIF(Fonctionnement[Affectation matrice],$AB$3,Fonctionnement[TVA acquittée])+SUMIF(Invest[Affectation matrice],$AB$3,Invest[TVA acquittée]))*BO47</f>
        <v>0</v>
      </c>
      <c r="CQ47" s="200">
        <f>(SUMIF(Fonctionnement[Affectation matrice],$AB$3,Fonctionnement[TVA acquittée])+SUMIF(Invest[Affectation matrice],$AB$3,Invest[TVA acquittée]))*BP47</f>
        <v>0</v>
      </c>
      <c r="CR47" s="200">
        <f>(SUMIF(Fonctionnement[Affectation matrice],$AB$3,Fonctionnement[TVA acquittée])+SUMIF(Invest[Affectation matrice],$AB$3,Invest[TVA acquittée]))*BQ47</f>
        <v>0</v>
      </c>
      <c r="CS47" s="200">
        <f>(SUMIF(Fonctionnement[Affectation matrice],$AB$3,Fonctionnement[TVA acquittée])+SUMIF(Invest[Affectation matrice],$AB$3,Invest[TVA acquittée]))*BR47</f>
        <v>0</v>
      </c>
      <c r="CT47" s="200">
        <f>(SUMIF(Fonctionnement[Affectation matrice],$AB$3,Fonctionnement[TVA acquittée])+SUMIF(Invest[Affectation matrice],$AB$3,Invest[TVA acquittée]))*BS47</f>
        <v>0</v>
      </c>
      <c r="CU47" s="200">
        <f>(SUMIF(Fonctionnement[Affectation matrice],$AB$3,Fonctionnement[TVA acquittée])+SUMIF(Invest[Affectation matrice],$AB$3,Invest[TVA acquittée]))*BT47</f>
        <v>0</v>
      </c>
      <c r="CV47" s="200">
        <f>(SUMIF(Fonctionnement[Affectation matrice],$AB$3,Fonctionnement[TVA acquittée])+SUMIF(Invest[Affectation matrice],$AB$3,Invest[TVA acquittée]))*BU47</f>
        <v>0</v>
      </c>
      <c r="CW47" s="200">
        <f>(SUMIF(Fonctionnement[Affectation matrice],$AB$3,Fonctionnement[TVA acquittée])+SUMIF(Invest[Affectation matrice],$AB$3,Invest[TVA acquittée]))*BV47</f>
        <v>0</v>
      </c>
      <c r="CX47" s="200">
        <f>(SUMIF(Fonctionnement[Affectation matrice],$AB$3,Fonctionnement[TVA acquittée])+SUMIF(Invest[Affectation matrice],$AB$3,Invest[TVA acquittée]))*BW47</f>
        <v>0</v>
      </c>
      <c r="CY47" s="200">
        <f>(SUMIF(Fonctionnement[Affectation matrice],$AB$3,Fonctionnement[TVA acquittée])+SUMIF(Invest[Affectation matrice],$AB$3,Invest[TVA acquittée]))*BX47</f>
        <v>0</v>
      </c>
      <c r="CZ47" s="200">
        <f>(SUMIF(Fonctionnement[Affectation matrice],$AB$3,Fonctionnement[TVA acquittée])+SUMIF(Invest[Affectation matrice],$AB$3,Invest[TVA acquittée]))*BY47</f>
        <v>0</v>
      </c>
      <c r="DA47" s="200">
        <f>(SUMIF(Fonctionnement[Affectation matrice],$AB$3,Fonctionnement[TVA acquittée])+SUMIF(Invest[Affectation matrice],$AB$3,Invest[TVA acquittée]))*BZ47</f>
        <v>0</v>
      </c>
      <c r="DB47" s="200">
        <f>(SUMIF(Fonctionnement[Affectation matrice],$AB$3,Fonctionnement[TVA acquittée])+SUMIF(Invest[Affectation matrice],$AB$3,Invest[TVA acquittée]))*CA47</f>
        <v>0</v>
      </c>
    </row>
    <row r="48" spans="1:106" ht="12.75" hidden="1" customHeight="1" x14ac:dyDescent="0.25">
      <c r="A48" s="42">
        <f>Matrice[[#This Row],[Ligne de la matrice]]</f>
        <v>0</v>
      </c>
      <c r="B48" s="276">
        <f>(SUMIF(Fonctionnement[Affectation matrice],$AB$3,Fonctionnement[Montant (€HT)])+SUMIF(Invest[Affectation matrice],$AB$3,Invest[Amortissement HT + intérêts]))*BC48</f>
        <v>0</v>
      </c>
      <c r="C48" s="276">
        <f>(SUMIF(Fonctionnement[Affectation matrice],$AB$3,Fonctionnement[Montant (€HT)])+SUMIF(Invest[Affectation matrice],$AB$3,Invest[Amortissement HT + intérêts]))*BD48</f>
        <v>0</v>
      </c>
      <c r="D48" s="276">
        <f>(SUMIF(Fonctionnement[Affectation matrice],$AB$3,Fonctionnement[Montant (€HT)])+SUMIF(Invest[Affectation matrice],$AB$3,Invest[Amortissement HT + intérêts]))*BE48</f>
        <v>0</v>
      </c>
      <c r="E48" s="276">
        <f>(SUMIF(Fonctionnement[Affectation matrice],$AB$3,Fonctionnement[Montant (€HT)])+SUMIF(Invest[Affectation matrice],$AB$3,Invest[Amortissement HT + intérêts]))*BF48</f>
        <v>0</v>
      </c>
      <c r="F48" s="276">
        <f>(SUMIF(Fonctionnement[Affectation matrice],$AB$3,Fonctionnement[Montant (€HT)])+SUMIF(Invest[Affectation matrice],$AB$3,Invest[Amortissement HT + intérêts]))*BG48</f>
        <v>0</v>
      </c>
      <c r="G48" s="276">
        <f>(SUMIF(Fonctionnement[Affectation matrice],$AB$3,Fonctionnement[Montant (€HT)])+SUMIF(Invest[Affectation matrice],$AB$3,Invest[Amortissement HT + intérêts]))*BH48</f>
        <v>0</v>
      </c>
      <c r="H48" s="276">
        <f>(SUMIF(Fonctionnement[Affectation matrice],$AB$3,Fonctionnement[Montant (€HT)])+SUMIF(Invest[Affectation matrice],$AB$3,Invest[Amortissement HT + intérêts]))*BI48</f>
        <v>0</v>
      </c>
      <c r="I48" s="276">
        <f>(SUMIF(Fonctionnement[Affectation matrice],$AB$3,Fonctionnement[Montant (€HT)])+SUMIF(Invest[Affectation matrice],$AB$3,Invest[Amortissement HT + intérêts]))*BJ48</f>
        <v>0</v>
      </c>
      <c r="J48" s="276">
        <f>(SUMIF(Fonctionnement[Affectation matrice],$AB$3,Fonctionnement[Montant (€HT)])+SUMIF(Invest[Affectation matrice],$AB$3,Invest[Amortissement HT + intérêts]))*BK48</f>
        <v>0</v>
      </c>
      <c r="K48" s="276">
        <f>(SUMIF(Fonctionnement[Affectation matrice],$AB$3,Fonctionnement[Montant (€HT)])+SUMIF(Invest[Affectation matrice],$AB$3,Invest[Amortissement HT + intérêts]))*BL48</f>
        <v>0</v>
      </c>
      <c r="L48" s="276">
        <f>(SUMIF(Fonctionnement[Affectation matrice],$AB$3,Fonctionnement[Montant (€HT)])+SUMIF(Invest[Affectation matrice],$AB$3,Invest[Amortissement HT + intérêts]))*BM48</f>
        <v>0</v>
      </c>
      <c r="M48" s="276">
        <f>(SUMIF(Fonctionnement[Affectation matrice],$AB$3,Fonctionnement[Montant (€HT)])+SUMIF(Invest[Affectation matrice],$AB$3,Invest[Amortissement HT + intérêts]))*BN48</f>
        <v>0</v>
      </c>
      <c r="N48" s="276">
        <f>(SUMIF(Fonctionnement[Affectation matrice],$AB$3,Fonctionnement[Montant (€HT)])+SUMIF(Invest[Affectation matrice],$AB$3,Invest[Amortissement HT + intérêts]))*BO48</f>
        <v>0</v>
      </c>
      <c r="O48" s="276">
        <f>(SUMIF(Fonctionnement[Affectation matrice],$AB$3,Fonctionnement[Montant (€HT)])+SUMIF(Invest[Affectation matrice],$AB$3,Invest[Amortissement HT + intérêts]))*BP48</f>
        <v>0</v>
      </c>
      <c r="P48" s="276">
        <f>(SUMIF(Fonctionnement[Affectation matrice],$AB$3,Fonctionnement[Montant (€HT)])+SUMIF(Invest[Affectation matrice],$AB$3,Invest[Amortissement HT + intérêts]))*BQ48</f>
        <v>0</v>
      </c>
      <c r="Q48" s="276">
        <f>(SUMIF(Fonctionnement[Affectation matrice],$AB$3,Fonctionnement[Montant (€HT)])+SUMIF(Invest[Affectation matrice],$AB$3,Invest[Amortissement HT + intérêts]))*BR48</f>
        <v>0</v>
      </c>
      <c r="R48" s="276">
        <f>(SUMIF(Fonctionnement[Affectation matrice],$AB$3,Fonctionnement[Montant (€HT)])+SUMIF(Invest[Affectation matrice],$AB$3,Invest[Amortissement HT + intérêts]))*BS48</f>
        <v>0</v>
      </c>
      <c r="S48" s="276">
        <f>(SUMIF(Fonctionnement[Affectation matrice],$AB$3,Fonctionnement[Montant (€HT)])+SUMIF(Invest[Affectation matrice],$AB$3,Invest[Amortissement HT + intérêts]))*BT48</f>
        <v>0</v>
      </c>
      <c r="T48" s="276">
        <f>(SUMIF(Fonctionnement[Affectation matrice],$AB$3,Fonctionnement[Montant (€HT)])+SUMIF(Invest[Affectation matrice],$AB$3,Invest[Amortissement HT + intérêts]))*BU48</f>
        <v>0</v>
      </c>
      <c r="U48" s="276">
        <f>(SUMIF(Fonctionnement[Affectation matrice],$AB$3,Fonctionnement[Montant (€HT)])+SUMIF(Invest[Affectation matrice],$AB$3,Invest[Amortissement HT + intérêts]))*BV48</f>
        <v>0</v>
      </c>
      <c r="V48" s="276">
        <f>(SUMIF(Fonctionnement[Affectation matrice],$AB$3,Fonctionnement[Montant (€HT)])+SUMIF(Invest[Affectation matrice],$AB$3,Invest[Amortissement HT + intérêts]))*BW48</f>
        <v>0</v>
      </c>
      <c r="W48" s="276">
        <f>(SUMIF(Fonctionnement[Affectation matrice],$AB$3,Fonctionnement[Montant (€HT)])+SUMIF(Invest[Affectation matrice],$AB$3,Invest[Amortissement HT + intérêts]))*BX48</f>
        <v>0</v>
      </c>
      <c r="X48" s="276">
        <f>(SUMIF(Fonctionnement[Affectation matrice],$AB$3,Fonctionnement[Montant (€HT)])+SUMIF(Invest[Affectation matrice],$AB$3,Invest[Amortissement HT + intérêts]))*BY48</f>
        <v>0</v>
      </c>
      <c r="Y48" s="276">
        <f>(SUMIF(Fonctionnement[Affectation matrice],$AB$3,Fonctionnement[Montant (€HT)])+SUMIF(Invest[Affectation matrice],$AB$3,Invest[Amortissement HT + intérêts]))*BZ48</f>
        <v>0</v>
      </c>
      <c r="Z48" s="276">
        <f>(SUMIF(Fonctionnement[Affectation matrice],$AB$3,Fonctionnement[Montant (€HT)])+SUMIF(Invest[Affectation matrice],$AB$3,Invest[Amortissement HT + intérêts]))*CA48</f>
        <v>0</v>
      </c>
      <c r="AA48" s="199"/>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283">
        <f t="shared" si="4"/>
        <v>0</v>
      </c>
      <c r="BC48" s="61">
        <f t="shared" si="12"/>
        <v>0</v>
      </c>
      <c r="BD48" s="61">
        <f t="shared" si="12"/>
        <v>0</v>
      </c>
      <c r="BE48" s="61">
        <f t="shared" si="12"/>
        <v>0</v>
      </c>
      <c r="BF48" s="61">
        <f t="shared" si="12"/>
        <v>0</v>
      </c>
      <c r="BG48" s="61">
        <f t="shared" si="12"/>
        <v>0</v>
      </c>
      <c r="BH48" s="61">
        <f t="shared" si="12"/>
        <v>0</v>
      </c>
      <c r="BI48" s="61">
        <f t="shared" si="12"/>
        <v>0</v>
      </c>
      <c r="BJ48" s="61">
        <f t="shared" si="12"/>
        <v>0</v>
      </c>
      <c r="BK48" s="61">
        <f t="shared" si="12"/>
        <v>0</v>
      </c>
      <c r="BL48" s="61">
        <f t="shared" si="12"/>
        <v>0</v>
      </c>
      <c r="BM48" s="61">
        <f t="shared" si="12"/>
        <v>0</v>
      </c>
      <c r="BN48" s="61">
        <f t="shared" si="12"/>
        <v>0</v>
      </c>
      <c r="BO48" s="61">
        <f t="shared" si="12"/>
        <v>0</v>
      </c>
      <c r="BP48" s="61">
        <f t="shared" si="12"/>
        <v>0</v>
      </c>
      <c r="BQ48" s="61">
        <f t="shared" si="12"/>
        <v>0</v>
      </c>
      <c r="BR48" s="61">
        <f t="shared" si="12"/>
        <v>0</v>
      </c>
      <c r="BS48" s="61">
        <f t="shared" si="13"/>
        <v>0</v>
      </c>
      <c r="BT48" s="61">
        <f t="shared" si="13"/>
        <v>0</v>
      </c>
      <c r="BU48" s="61">
        <f t="shared" si="13"/>
        <v>0</v>
      </c>
      <c r="BV48" s="61">
        <f t="shared" si="13"/>
        <v>0</v>
      </c>
      <c r="BW48" s="61">
        <f t="shared" si="13"/>
        <v>0</v>
      </c>
      <c r="BX48" s="61">
        <f t="shared" si="13"/>
        <v>0</v>
      </c>
      <c r="BY48" s="61">
        <f t="shared" si="13"/>
        <v>0</v>
      </c>
      <c r="BZ48" s="61">
        <f t="shared" si="13"/>
        <v>0</v>
      </c>
      <c r="CA48" s="61">
        <f t="shared" si="13"/>
        <v>0</v>
      </c>
      <c r="CB48" s="61">
        <f t="shared" si="5"/>
        <v>0</v>
      </c>
      <c r="CD48" s="200">
        <f>(SUMIF(Fonctionnement[Affectation matrice],$AB$3,Fonctionnement[TVA acquittée])+SUMIF(Invest[Affectation matrice],$AB$3,Invest[TVA acquittée]))*BC48</f>
        <v>0</v>
      </c>
      <c r="CE48" s="200">
        <f>(SUMIF(Fonctionnement[Affectation matrice],$AB$3,Fonctionnement[TVA acquittée])+SUMIF(Invest[Affectation matrice],$AB$3,Invest[TVA acquittée]))*BD48</f>
        <v>0</v>
      </c>
      <c r="CF48" s="200">
        <f>(SUMIF(Fonctionnement[Affectation matrice],$AB$3,Fonctionnement[TVA acquittée])+SUMIF(Invest[Affectation matrice],$AB$3,Invest[TVA acquittée]))*BE48</f>
        <v>0</v>
      </c>
      <c r="CG48" s="200">
        <f>(SUMIF(Fonctionnement[Affectation matrice],$AB$3,Fonctionnement[TVA acquittée])+SUMIF(Invest[Affectation matrice],$AB$3,Invest[TVA acquittée]))*BF48</f>
        <v>0</v>
      </c>
      <c r="CH48" s="200">
        <f>(SUMIF(Fonctionnement[Affectation matrice],$AB$3,Fonctionnement[TVA acquittée])+SUMIF(Invest[Affectation matrice],$AB$3,Invest[TVA acquittée]))*BG48</f>
        <v>0</v>
      </c>
      <c r="CI48" s="200">
        <f>(SUMIF(Fonctionnement[Affectation matrice],$AB$3,Fonctionnement[TVA acquittée])+SUMIF(Invest[Affectation matrice],$AB$3,Invest[TVA acquittée]))*BH48</f>
        <v>0</v>
      </c>
      <c r="CJ48" s="200">
        <f>(SUMIF(Fonctionnement[Affectation matrice],$AB$3,Fonctionnement[TVA acquittée])+SUMIF(Invest[Affectation matrice],$AB$3,Invest[TVA acquittée]))*BI48</f>
        <v>0</v>
      </c>
      <c r="CK48" s="200">
        <f>(SUMIF(Fonctionnement[Affectation matrice],$AB$3,Fonctionnement[TVA acquittée])+SUMIF(Invest[Affectation matrice],$AB$3,Invest[TVA acquittée]))*BJ48</f>
        <v>0</v>
      </c>
      <c r="CL48" s="200">
        <f>(SUMIF(Fonctionnement[Affectation matrice],$AB$3,Fonctionnement[TVA acquittée])+SUMIF(Invest[Affectation matrice],$AB$3,Invest[TVA acquittée]))*BK48</f>
        <v>0</v>
      </c>
      <c r="CM48" s="200">
        <f>(SUMIF(Fonctionnement[Affectation matrice],$AB$3,Fonctionnement[TVA acquittée])+SUMIF(Invest[Affectation matrice],$AB$3,Invest[TVA acquittée]))*BL48</f>
        <v>0</v>
      </c>
      <c r="CN48" s="200">
        <f>(SUMIF(Fonctionnement[Affectation matrice],$AB$3,Fonctionnement[TVA acquittée])+SUMIF(Invest[Affectation matrice],$AB$3,Invest[TVA acquittée]))*BM48</f>
        <v>0</v>
      </c>
      <c r="CO48" s="200">
        <f>(SUMIF(Fonctionnement[Affectation matrice],$AB$3,Fonctionnement[TVA acquittée])+SUMIF(Invest[Affectation matrice],$AB$3,Invest[TVA acquittée]))*BN48</f>
        <v>0</v>
      </c>
      <c r="CP48" s="200">
        <f>(SUMIF(Fonctionnement[Affectation matrice],$AB$3,Fonctionnement[TVA acquittée])+SUMIF(Invest[Affectation matrice],$AB$3,Invest[TVA acquittée]))*BO48</f>
        <v>0</v>
      </c>
      <c r="CQ48" s="200">
        <f>(SUMIF(Fonctionnement[Affectation matrice],$AB$3,Fonctionnement[TVA acquittée])+SUMIF(Invest[Affectation matrice],$AB$3,Invest[TVA acquittée]))*BP48</f>
        <v>0</v>
      </c>
      <c r="CR48" s="200">
        <f>(SUMIF(Fonctionnement[Affectation matrice],$AB$3,Fonctionnement[TVA acquittée])+SUMIF(Invest[Affectation matrice],$AB$3,Invest[TVA acquittée]))*BQ48</f>
        <v>0</v>
      </c>
      <c r="CS48" s="200">
        <f>(SUMIF(Fonctionnement[Affectation matrice],$AB$3,Fonctionnement[TVA acquittée])+SUMIF(Invest[Affectation matrice],$AB$3,Invest[TVA acquittée]))*BR48</f>
        <v>0</v>
      </c>
      <c r="CT48" s="200">
        <f>(SUMIF(Fonctionnement[Affectation matrice],$AB$3,Fonctionnement[TVA acquittée])+SUMIF(Invest[Affectation matrice],$AB$3,Invest[TVA acquittée]))*BS48</f>
        <v>0</v>
      </c>
      <c r="CU48" s="200">
        <f>(SUMIF(Fonctionnement[Affectation matrice],$AB$3,Fonctionnement[TVA acquittée])+SUMIF(Invest[Affectation matrice],$AB$3,Invest[TVA acquittée]))*BT48</f>
        <v>0</v>
      </c>
      <c r="CV48" s="200">
        <f>(SUMIF(Fonctionnement[Affectation matrice],$AB$3,Fonctionnement[TVA acquittée])+SUMIF(Invest[Affectation matrice],$AB$3,Invest[TVA acquittée]))*BU48</f>
        <v>0</v>
      </c>
      <c r="CW48" s="200">
        <f>(SUMIF(Fonctionnement[Affectation matrice],$AB$3,Fonctionnement[TVA acquittée])+SUMIF(Invest[Affectation matrice],$AB$3,Invest[TVA acquittée]))*BV48</f>
        <v>0</v>
      </c>
      <c r="CX48" s="200">
        <f>(SUMIF(Fonctionnement[Affectation matrice],$AB$3,Fonctionnement[TVA acquittée])+SUMIF(Invest[Affectation matrice],$AB$3,Invest[TVA acquittée]))*BW48</f>
        <v>0</v>
      </c>
      <c r="CY48" s="200">
        <f>(SUMIF(Fonctionnement[Affectation matrice],$AB$3,Fonctionnement[TVA acquittée])+SUMIF(Invest[Affectation matrice],$AB$3,Invest[TVA acquittée]))*BX48</f>
        <v>0</v>
      </c>
      <c r="CZ48" s="200">
        <f>(SUMIF(Fonctionnement[Affectation matrice],$AB$3,Fonctionnement[TVA acquittée])+SUMIF(Invest[Affectation matrice],$AB$3,Invest[TVA acquittée]))*BY48</f>
        <v>0</v>
      </c>
      <c r="DA48" s="200">
        <f>(SUMIF(Fonctionnement[Affectation matrice],$AB$3,Fonctionnement[TVA acquittée])+SUMIF(Invest[Affectation matrice],$AB$3,Invest[TVA acquittée]))*BZ48</f>
        <v>0</v>
      </c>
      <c r="DB48" s="200">
        <f>(SUMIF(Fonctionnement[Affectation matrice],$AB$3,Fonctionnement[TVA acquittée])+SUMIF(Invest[Affectation matrice],$AB$3,Invest[TVA acquittée]))*CA48</f>
        <v>0</v>
      </c>
    </row>
    <row r="49" spans="1:107" ht="12.75" hidden="1" customHeight="1" x14ac:dyDescent="0.25">
      <c r="A49" s="42">
        <f>Matrice[[#This Row],[Ligne de la matrice]]</f>
        <v>0</v>
      </c>
      <c r="B49" s="276">
        <f>(SUMIF(Fonctionnement[Affectation matrice],$AB$3,Fonctionnement[Montant (€HT)])+SUMIF(Invest[Affectation matrice],$AB$3,Invest[Amortissement HT + intérêts]))*BC49</f>
        <v>0</v>
      </c>
      <c r="C49" s="276">
        <f>(SUMIF(Fonctionnement[Affectation matrice],$AB$3,Fonctionnement[Montant (€HT)])+SUMIF(Invest[Affectation matrice],$AB$3,Invest[Amortissement HT + intérêts]))*BD49</f>
        <v>0</v>
      </c>
      <c r="D49" s="276">
        <f>(SUMIF(Fonctionnement[Affectation matrice],$AB$3,Fonctionnement[Montant (€HT)])+SUMIF(Invest[Affectation matrice],$AB$3,Invest[Amortissement HT + intérêts]))*BE49</f>
        <v>0</v>
      </c>
      <c r="E49" s="276">
        <f>(SUMIF(Fonctionnement[Affectation matrice],$AB$3,Fonctionnement[Montant (€HT)])+SUMIF(Invest[Affectation matrice],$AB$3,Invest[Amortissement HT + intérêts]))*BF49</f>
        <v>0</v>
      </c>
      <c r="F49" s="276">
        <f>(SUMIF(Fonctionnement[Affectation matrice],$AB$3,Fonctionnement[Montant (€HT)])+SUMIF(Invest[Affectation matrice],$AB$3,Invest[Amortissement HT + intérêts]))*BG49</f>
        <v>0</v>
      </c>
      <c r="G49" s="276">
        <f>(SUMIF(Fonctionnement[Affectation matrice],$AB$3,Fonctionnement[Montant (€HT)])+SUMIF(Invest[Affectation matrice],$AB$3,Invest[Amortissement HT + intérêts]))*BH49</f>
        <v>0</v>
      </c>
      <c r="H49" s="276">
        <f>(SUMIF(Fonctionnement[Affectation matrice],$AB$3,Fonctionnement[Montant (€HT)])+SUMIF(Invest[Affectation matrice],$AB$3,Invest[Amortissement HT + intérêts]))*BI49</f>
        <v>0</v>
      </c>
      <c r="I49" s="276">
        <f>(SUMIF(Fonctionnement[Affectation matrice],$AB$3,Fonctionnement[Montant (€HT)])+SUMIF(Invest[Affectation matrice],$AB$3,Invest[Amortissement HT + intérêts]))*BJ49</f>
        <v>0</v>
      </c>
      <c r="J49" s="276">
        <f>(SUMIF(Fonctionnement[Affectation matrice],$AB$3,Fonctionnement[Montant (€HT)])+SUMIF(Invest[Affectation matrice],$AB$3,Invest[Amortissement HT + intérêts]))*BK49</f>
        <v>0</v>
      </c>
      <c r="K49" s="276">
        <f>(SUMIF(Fonctionnement[Affectation matrice],$AB$3,Fonctionnement[Montant (€HT)])+SUMIF(Invest[Affectation matrice],$AB$3,Invest[Amortissement HT + intérêts]))*BL49</f>
        <v>0</v>
      </c>
      <c r="L49" s="276">
        <f>(SUMIF(Fonctionnement[Affectation matrice],$AB$3,Fonctionnement[Montant (€HT)])+SUMIF(Invest[Affectation matrice],$AB$3,Invest[Amortissement HT + intérêts]))*BM49</f>
        <v>0</v>
      </c>
      <c r="M49" s="276">
        <f>(SUMIF(Fonctionnement[Affectation matrice],$AB$3,Fonctionnement[Montant (€HT)])+SUMIF(Invest[Affectation matrice],$AB$3,Invest[Amortissement HT + intérêts]))*BN49</f>
        <v>0</v>
      </c>
      <c r="N49" s="276">
        <f>(SUMIF(Fonctionnement[Affectation matrice],$AB$3,Fonctionnement[Montant (€HT)])+SUMIF(Invest[Affectation matrice],$AB$3,Invest[Amortissement HT + intérêts]))*BO49</f>
        <v>0</v>
      </c>
      <c r="O49" s="276">
        <f>(SUMIF(Fonctionnement[Affectation matrice],$AB$3,Fonctionnement[Montant (€HT)])+SUMIF(Invest[Affectation matrice],$AB$3,Invest[Amortissement HT + intérêts]))*BP49</f>
        <v>0</v>
      </c>
      <c r="P49" s="276">
        <f>(SUMIF(Fonctionnement[Affectation matrice],$AB$3,Fonctionnement[Montant (€HT)])+SUMIF(Invest[Affectation matrice],$AB$3,Invest[Amortissement HT + intérêts]))*BQ49</f>
        <v>0</v>
      </c>
      <c r="Q49" s="276">
        <f>(SUMIF(Fonctionnement[Affectation matrice],$AB$3,Fonctionnement[Montant (€HT)])+SUMIF(Invest[Affectation matrice],$AB$3,Invest[Amortissement HT + intérêts]))*BR49</f>
        <v>0</v>
      </c>
      <c r="R49" s="276">
        <f>(SUMIF(Fonctionnement[Affectation matrice],$AB$3,Fonctionnement[Montant (€HT)])+SUMIF(Invest[Affectation matrice],$AB$3,Invest[Amortissement HT + intérêts]))*BS49</f>
        <v>0</v>
      </c>
      <c r="S49" s="276">
        <f>(SUMIF(Fonctionnement[Affectation matrice],$AB$3,Fonctionnement[Montant (€HT)])+SUMIF(Invest[Affectation matrice],$AB$3,Invest[Amortissement HT + intérêts]))*BT49</f>
        <v>0</v>
      </c>
      <c r="T49" s="276">
        <f>(SUMIF(Fonctionnement[Affectation matrice],$AB$3,Fonctionnement[Montant (€HT)])+SUMIF(Invest[Affectation matrice],$AB$3,Invest[Amortissement HT + intérêts]))*BU49</f>
        <v>0</v>
      </c>
      <c r="U49" s="276">
        <f>(SUMIF(Fonctionnement[Affectation matrice],$AB$3,Fonctionnement[Montant (€HT)])+SUMIF(Invest[Affectation matrice],$AB$3,Invest[Amortissement HT + intérêts]))*BV49</f>
        <v>0</v>
      </c>
      <c r="V49" s="276">
        <f>(SUMIF(Fonctionnement[Affectation matrice],$AB$3,Fonctionnement[Montant (€HT)])+SUMIF(Invest[Affectation matrice],$AB$3,Invest[Amortissement HT + intérêts]))*BW49</f>
        <v>0</v>
      </c>
      <c r="W49" s="276">
        <f>(SUMIF(Fonctionnement[Affectation matrice],$AB$3,Fonctionnement[Montant (€HT)])+SUMIF(Invest[Affectation matrice],$AB$3,Invest[Amortissement HT + intérêts]))*BX49</f>
        <v>0</v>
      </c>
      <c r="X49" s="276">
        <f>(SUMIF(Fonctionnement[Affectation matrice],$AB$3,Fonctionnement[Montant (€HT)])+SUMIF(Invest[Affectation matrice],$AB$3,Invest[Amortissement HT + intérêts]))*BY49</f>
        <v>0</v>
      </c>
      <c r="Y49" s="276">
        <f>(SUMIF(Fonctionnement[Affectation matrice],$AB$3,Fonctionnement[Montant (€HT)])+SUMIF(Invest[Affectation matrice],$AB$3,Invest[Amortissement HT + intérêts]))*BZ49</f>
        <v>0</v>
      </c>
      <c r="Z49" s="276">
        <f>(SUMIF(Fonctionnement[Affectation matrice],$AB$3,Fonctionnement[Montant (€HT)])+SUMIF(Invest[Affectation matrice],$AB$3,Invest[Amortissement HT + intérêts]))*CA49</f>
        <v>0</v>
      </c>
      <c r="AA49" s="199"/>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283">
        <f t="shared" si="4"/>
        <v>0</v>
      </c>
      <c r="BC49" s="61">
        <f t="shared" si="12"/>
        <v>0</v>
      </c>
      <c r="BD49" s="61">
        <f t="shared" si="12"/>
        <v>0</v>
      </c>
      <c r="BE49" s="61">
        <f t="shared" si="12"/>
        <v>0</v>
      </c>
      <c r="BF49" s="61">
        <f t="shared" si="12"/>
        <v>0</v>
      </c>
      <c r="BG49" s="61">
        <f t="shared" si="12"/>
        <v>0</v>
      </c>
      <c r="BH49" s="61">
        <f t="shared" si="12"/>
        <v>0</v>
      </c>
      <c r="BI49" s="61">
        <f t="shared" si="12"/>
        <v>0</v>
      </c>
      <c r="BJ49" s="61">
        <f t="shared" si="12"/>
        <v>0</v>
      </c>
      <c r="BK49" s="61">
        <f t="shared" si="12"/>
        <v>0</v>
      </c>
      <c r="BL49" s="61">
        <f t="shared" si="12"/>
        <v>0</v>
      </c>
      <c r="BM49" s="61">
        <f t="shared" si="12"/>
        <v>0</v>
      </c>
      <c r="BN49" s="61">
        <f t="shared" si="12"/>
        <v>0</v>
      </c>
      <c r="BO49" s="61">
        <f t="shared" si="12"/>
        <v>0</v>
      </c>
      <c r="BP49" s="61">
        <f t="shared" si="12"/>
        <v>0</v>
      </c>
      <c r="BQ49" s="61">
        <f t="shared" si="12"/>
        <v>0</v>
      </c>
      <c r="BR49" s="61">
        <f t="shared" si="12"/>
        <v>0</v>
      </c>
      <c r="BS49" s="61">
        <f t="shared" si="13"/>
        <v>0</v>
      </c>
      <c r="BT49" s="61">
        <f t="shared" si="13"/>
        <v>0</v>
      </c>
      <c r="BU49" s="61">
        <f t="shared" si="13"/>
        <v>0</v>
      </c>
      <c r="BV49" s="61">
        <f t="shared" si="13"/>
        <v>0</v>
      </c>
      <c r="BW49" s="61">
        <f t="shared" si="13"/>
        <v>0</v>
      </c>
      <c r="BX49" s="61">
        <f t="shared" si="13"/>
        <v>0</v>
      </c>
      <c r="BY49" s="61">
        <f t="shared" si="13"/>
        <v>0</v>
      </c>
      <c r="BZ49" s="61">
        <f t="shared" si="13"/>
        <v>0</v>
      </c>
      <c r="CA49" s="61">
        <f t="shared" si="13"/>
        <v>0</v>
      </c>
      <c r="CB49" s="61">
        <f t="shared" si="5"/>
        <v>0</v>
      </c>
      <c r="CD49" s="200">
        <f>(SUMIF(Fonctionnement[Affectation matrice],$AB$3,Fonctionnement[TVA acquittée])+SUMIF(Invest[Affectation matrice],$AB$3,Invest[TVA acquittée]))*BC49</f>
        <v>0</v>
      </c>
      <c r="CE49" s="200">
        <f>(SUMIF(Fonctionnement[Affectation matrice],$AB$3,Fonctionnement[TVA acquittée])+SUMIF(Invest[Affectation matrice],$AB$3,Invest[TVA acquittée]))*BD49</f>
        <v>0</v>
      </c>
      <c r="CF49" s="200">
        <f>(SUMIF(Fonctionnement[Affectation matrice],$AB$3,Fonctionnement[TVA acquittée])+SUMIF(Invest[Affectation matrice],$AB$3,Invest[TVA acquittée]))*BE49</f>
        <v>0</v>
      </c>
      <c r="CG49" s="200">
        <f>(SUMIF(Fonctionnement[Affectation matrice],$AB$3,Fonctionnement[TVA acquittée])+SUMIF(Invest[Affectation matrice],$AB$3,Invest[TVA acquittée]))*BF49</f>
        <v>0</v>
      </c>
      <c r="CH49" s="200">
        <f>(SUMIF(Fonctionnement[Affectation matrice],$AB$3,Fonctionnement[TVA acquittée])+SUMIF(Invest[Affectation matrice],$AB$3,Invest[TVA acquittée]))*BG49</f>
        <v>0</v>
      </c>
      <c r="CI49" s="200">
        <f>(SUMIF(Fonctionnement[Affectation matrice],$AB$3,Fonctionnement[TVA acquittée])+SUMIF(Invest[Affectation matrice],$AB$3,Invest[TVA acquittée]))*BH49</f>
        <v>0</v>
      </c>
      <c r="CJ49" s="200">
        <f>(SUMIF(Fonctionnement[Affectation matrice],$AB$3,Fonctionnement[TVA acquittée])+SUMIF(Invest[Affectation matrice],$AB$3,Invest[TVA acquittée]))*BI49</f>
        <v>0</v>
      </c>
      <c r="CK49" s="200">
        <f>(SUMIF(Fonctionnement[Affectation matrice],$AB$3,Fonctionnement[TVA acquittée])+SUMIF(Invest[Affectation matrice],$AB$3,Invest[TVA acquittée]))*BJ49</f>
        <v>0</v>
      </c>
      <c r="CL49" s="200">
        <f>(SUMIF(Fonctionnement[Affectation matrice],$AB$3,Fonctionnement[TVA acquittée])+SUMIF(Invest[Affectation matrice],$AB$3,Invest[TVA acquittée]))*BK49</f>
        <v>0</v>
      </c>
      <c r="CM49" s="200">
        <f>(SUMIF(Fonctionnement[Affectation matrice],$AB$3,Fonctionnement[TVA acquittée])+SUMIF(Invest[Affectation matrice],$AB$3,Invest[TVA acquittée]))*BL49</f>
        <v>0</v>
      </c>
      <c r="CN49" s="200">
        <f>(SUMIF(Fonctionnement[Affectation matrice],$AB$3,Fonctionnement[TVA acquittée])+SUMIF(Invest[Affectation matrice],$AB$3,Invest[TVA acquittée]))*BM49</f>
        <v>0</v>
      </c>
      <c r="CO49" s="200">
        <f>(SUMIF(Fonctionnement[Affectation matrice],$AB$3,Fonctionnement[TVA acquittée])+SUMIF(Invest[Affectation matrice],$AB$3,Invest[TVA acquittée]))*BN49</f>
        <v>0</v>
      </c>
      <c r="CP49" s="200">
        <f>(SUMIF(Fonctionnement[Affectation matrice],$AB$3,Fonctionnement[TVA acquittée])+SUMIF(Invest[Affectation matrice],$AB$3,Invest[TVA acquittée]))*BO49</f>
        <v>0</v>
      </c>
      <c r="CQ49" s="200">
        <f>(SUMIF(Fonctionnement[Affectation matrice],$AB$3,Fonctionnement[TVA acquittée])+SUMIF(Invest[Affectation matrice],$AB$3,Invest[TVA acquittée]))*BP49</f>
        <v>0</v>
      </c>
      <c r="CR49" s="200">
        <f>(SUMIF(Fonctionnement[Affectation matrice],$AB$3,Fonctionnement[TVA acquittée])+SUMIF(Invest[Affectation matrice],$AB$3,Invest[TVA acquittée]))*BQ49</f>
        <v>0</v>
      </c>
      <c r="CS49" s="200">
        <f>(SUMIF(Fonctionnement[Affectation matrice],$AB$3,Fonctionnement[TVA acquittée])+SUMIF(Invest[Affectation matrice],$AB$3,Invest[TVA acquittée]))*BR49</f>
        <v>0</v>
      </c>
      <c r="CT49" s="200">
        <f>(SUMIF(Fonctionnement[Affectation matrice],$AB$3,Fonctionnement[TVA acquittée])+SUMIF(Invest[Affectation matrice],$AB$3,Invest[TVA acquittée]))*BS49</f>
        <v>0</v>
      </c>
      <c r="CU49" s="200">
        <f>(SUMIF(Fonctionnement[Affectation matrice],$AB$3,Fonctionnement[TVA acquittée])+SUMIF(Invest[Affectation matrice],$AB$3,Invest[TVA acquittée]))*BT49</f>
        <v>0</v>
      </c>
      <c r="CV49" s="200">
        <f>(SUMIF(Fonctionnement[Affectation matrice],$AB$3,Fonctionnement[TVA acquittée])+SUMIF(Invest[Affectation matrice],$AB$3,Invest[TVA acquittée]))*BU49</f>
        <v>0</v>
      </c>
      <c r="CW49" s="200">
        <f>(SUMIF(Fonctionnement[Affectation matrice],$AB$3,Fonctionnement[TVA acquittée])+SUMIF(Invest[Affectation matrice],$AB$3,Invest[TVA acquittée]))*BV49</f>
        <v>0</v>
      </c>
      <c r="CX49" s="200">
        <f>(SUMIF(Fonctionnement[Affectation matrice],$AB$3,Fonctionnement[TVA acquittée])+SUMIF(Invest[Affectation matrice],$AB$3,Invest[TVA acquittée]))*BW49</f>
        <v>0</v>
      </c>
      <c r="CY49" s="200">
        <f>(SUMIF(Fonctionnement[Affectation matrice],$AB$3,Fonctionnement[TVA acquittée])+SUMIF(Invest[Affectation matrice],$AB$3,Invest[TVA acquittée]))*BX49</f>
        <v>0</v>
      </c>
      <c r="CZ49" s="200">
        <f>(SUMIF(Fonctionnement[Affectation matrice],$AB$3,Fonctionnement[TVA acquittée])+SUMIF(Invest[Affectation matrice],$AB$3,Invest[TVA acquittée]))*BY49</f>
        <v>0</v>
      </c>
      <c r="DA49" s="200">
        <f>(SUMIF(Fonctionnement[Affectation matrice],$AB$3,Fonctionnement[TVA acquittée])+SUMIF(Invest[Affectation matrice],$AB$3,Invest[TVA acquittée]))*BZ49</f>
        <v>0</v>
      </c>
      <c r="DB49" s="200">
        <f>(SUMIF(Fonctionnement[Affectation matrice],$AB$3,Fonctionnement[TVA acquittée])+SUMIF(Invest[Affectation matrice],$AB$3,Invest[TVA acquittée]))*CA49</f>
        <v>0</v>
      </c>
    </row>
    <row r="50" spans="1:107" ht="12.75" hidden="1" customHeight="1" x14ac:dyDescent="0.25">
      <c r="A50" s="42">
        <f>Matrice[[#This Row],[Ligne de la matrice]]</f>
        <v>0</v>
      </c>
      <c r="B50" s="276">
        <f>(SUMIF(Fonctionnement[Affectation matrice],$AB$3,Fonctionnement[Montant (€HT)])+SUMIF(Invest[Affectation matrice],$AB$3,Invest[Amortissement HT + intérêts]))*BC50</f>
        <v>0</v>
      </c>
      <c r="C50" s="276">
        <f>(SUMIF(Fonctionnement[Affectation matrice],$AB$3,Fonctionnement[Montant (€HT)])+SUMIF(Invest[Affectation matrice],$AB$3,Invest[Amortissement HT + intérêts]))*BD50</f>
        <v>0</v>
      </c>
      <c r="D50" s="276">
        <f>(SUMIF(Fonctionnement[Affectation matrice],$AB$3,Fonctionnement[Montant (€HT)])+SUMIF(Invest[Affectation matrice],$AB$3,Invest[Amortissement HT + intérêts]))*BE50</f>
        <v>0</v>
      </c>
      <c r="E50" s="276">
        <f>(SUMIF(Fonctionnement[Affectation matrice],$AB$3,Fonctionnement[Montant (€HT)])+SUMIF(Invest[Affectation matrice],$AB$3,Invest[Amortissement HT + intérêts]))*BF50</f>
        <v>0</v>
      </c>
      <c r="F50" s="276">
        <f>(SUMIF(Fonctionnement[Affectation matrice],$AB$3,Fonctionnement[Montant (€HT)])+SUMIF(Invest[Affectation matrice],$AB$3,Invest[Amortissement HT + intérêts]))*BG50</f>
        <v>0</v>
      </c>
      <c r="G50" s="276">
        <f>(SUMIF(Fonctionnement[Affectation matrice],$AB$3,Fonctionnement[Montant (€HT)])+SUMIF(Invest[Affectation matrice],$AB$3,Invest[Amortissement HT + intérêts]))*BH50</f>
        <v>0</v>
      </c>
      <c r="H50" s="276">
        <f>(SUMIF(Fonctionnement[Affectation matrice],$AB$3,Fonctionnement[Montant (€HT)])+SUMIF(Invest[Affectation matrice],$AB$3,Invest[Amortissement HT + intérêts]))*BI50</f>
        <v>0</v>
      </c>
      <c r="I50" s="276">
        <f>(SUMIF(Fonctionnement[Affectation matrice],$AB$3,Fonctionnement[Montant (€HT)])+SUMIF(Invest[Affectation matrice],$AB$3,Invest[Amortissement HT + intérêts]))*BJ50</f>
        <v>0</v>
      </c>
      <c r="J50" s="276">
        <f>(SUMIF(Fonctionnement[Affectation matrice],$AB$3,Fonctionnement[Montant (€HT)])+SUMIF(Invest[Affectation matrice],$AB$3,Invest[Amortissement HT + intérêts]))*BK50</f>
        <v>0</v>
      </c>
      <c r="K50" s="276">
        <f>(SUMIF(Fonctionnement[Affectation matrice],$AB$3,Fonctionnement[Montant (€HT)])+SUMIF(Invest[Affectation matrice],$AB$3,Invest[Amortissement HT + intérêts]))*BL50</f>
        <v>0</v>
      </c>
      <c r="L50" s="276">
        <f>(SUMIF(Fonctionnement[Affectation matrice],$AB$3,Fonctionnement[Montant (€HT)])+SUMIF(Invest[Affectation matrice],$AB$3,Invest[Amortissement HT + intérêts]))*BM50</f>
        <v>0</v>
      </c>
      <c r="M50" s="276">
        <f>(SUMIF(Fonctionnement[Affectation matrice],$AB$3,Fonctionnement[Montant (€HT)])+SUMIF(Invest[Affectation matrice],$AB$3,Invest[Amortissement HT + intérêts]))*BN50</f>
        <v>0</v>
      </c>
      <c r="N50" s="276">
        <f>(SUMIF(Fonctionnement[Affectation matrice],$AB$3,Fonctionnement[Montant (€HT)])+SUMIF(Invest[Affectation matrice],$AB$3,Invest[Amortissement HT + intérêts]))*BO50</f>
        <v>0</v>
      </c>
      <c r="O50" s="276">
        <f>(SUMIF(Fonctionnement[Affectation matrice],$AB$3,Fonctionnement[Montant (€HT)])+SUMIF(Invest[Affectation matrice],$AB$3,Invest[Amortissement HT + intérêts]))*BP50</f>
        <v>0</v>
      </c>
      <c r="P50" s="276">
        <f>(SUMIF(Fonctionnement[Affectation matrice],$AB$3,Fonctionnement[Montant (€HT)])+SUMIF(Invest[Affectation matrice],$AB$3,Invest[Amortissement HT + intérêts]))*BQ50</f>
        <v>0</v>
      </c>
      <c r="Q50" s="276">
        <f>(SUMIF(Fonctionnement[Affectation matrice],$AB$3,Fonctionnement[Montant (€HT)])+SUMIF(Invest[Affectation matrice],$AB$3,Invest[Amortissement HT + intérêts]))*BR50</f>
        <v>0</v>
      </c>
      <c r="R50" s="276">
        <f>(SUMIF(Fonctionnement[Affectation matrice],$AB$3,Fonctionnement[Montant (€HT)])+SUMIF(Invest[Affectation matrice],$AB$3,Invest[Amortissement HT + intérêts]))*BS50</f>
        <v>0</v>
      </c>
      <c r="S50" s="276">
        <f>(SUMIF(Fonctionnement[Affectation matrice],$AB$3,Fonctionnement[Montant (€HT)])+SUMIF(Invest[Affectation matrice],$AB$3,Invest[Amortissement HT + intérêts]))*BT50</f>
        <v>0</v>
      </c>
      <c r="T50" s="276">
        <f>(SUMIF(Fonctionnement[Affectation matrice],$AB$3,Fonctionnement[Montant (€HT)])+SUMIF(Invest[Affectation matrice],$AB$3,Invest[Amortissement HT + intérêts]))*BU50</f>
        <v>0</v>
      </c>
      <c r="U50" s="276">
        <f>(SUMIF(Fonctionnement[Affectation matrice],$AB$3,Fonctionnement[Montant (€HT)])+SUMIF(Invest[Affectation matrice],$AB$3,Invest[Amortissement HT + intérêts]))*BV50</f>
        <v>0</v>
      </c>
      <c r="V50" s="276">
        <f>(SUMIF(Fonctionnement[Affectation matrice],$AB$3,Fonctionnement[Montant (€HT)])+SUMIF(Invest[Affectation matrice],$AB$3,Invest[Amortissement HT + intérêts]))*BW50</f>
        <v>0</v>
      </c>
      <c r="W50" s="276">
        <f>(SUMIF(Fonctionnement[Affectation matrice],$AB$3,Fonctionnement[Montant (€HT)])+SUMIF(Invest[Affectation matrice],$AB$3,Invest[Amortissement HT + intérêts]))*BX50</f>
        <v>0</v>
      </c>
      <c r="X50" s="276">
        <f>(SUMIF(Fonctionnement[Affectation matrice],$AB$3,Fonctionnement[Montant (€HT)])+SUMIF(Invest[Affectation matrice],$AB$3,Invest[Amortissement HT + intérêts]))*BY50</f>
        <v>0</v>
      </c>
      <c r="Y50" s="276">
        <f>(SUMIF(Fonctionnement[Affectation matrice],$AB$3,Fonctionnement[Montant (€HT)])+SUMIF(Invest[Affectation matrice],$AB$3,Invest[Amortissement HT + intérêts]))*BZ50</f>
        <v>0</v>
      </c>
      <c r="Z50" s="276">
        <f>(SUMIF(Fonctionnement[Affectation matrice],$AB$3,Fonctionnement[Montant (€HT)])+SUMIF(Invest[Affectation matrice],$AB$3,Invest[Amortissement HT + intérêts]))*CA50</f>
        <v>0</v>
      </c>
      <c r="AA50" s="199"/>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283">
        <f t="shared" si="4"/>
        <v>0</v>
      </c>
      <c r="BC50" s="61">
        <f t="shared" si="12"/>
        <v>0</v>
      </c>
      <c r="BD50" s="61">
        <f t="shared" si="12"/>
        <v>0</v>
      </c>
      <c r="BE50" s="61">
        <f t="shared" si="12"/>
        <v>0</v>
      </c>
      <c r="BF50" s="61">
        <f t="shared" si="12"/>
        <v>0</v>
      </c>
      <c r="BG50" s="61">
        <f t="shared" si="12"/>
        <v>0</v>
      </c>
      <c r="BH50" s="61">
        <f t="shared" si="12"/>
        <v>0</v>
      </c>
      <c r="BI50" s="61">
        <f t="shared" si="12"/>
        <v>0</v>
      </c>
      <c r="BJ50" s="61">
        <f t="shared" si="12"/>
        <v>0</v>
      </c>
      <c r="BK50" s="61">
        <f t="shared" si="12"/>
        <v>0</v>
      </c>
      <c r="BL50" s="61">
        <f t="shared" si="12"/>
        <v>0</v>
      </c>
      <c r="BM50" s="61">
        <f t="shared" si="12"/>
        <v>0</v>
      </c>
      <c r="BN50" s="61">
        <f t="shared" si="12"/>
        <v>0</v>
      </c>
      <c r="BO50" s="61">
        <f t="shared" si="12"/>
        <v>0</v>
      </c>
      <c r="BP50" s="61">
        <f t="shared" si="12"/>
        <v>0</v>
      </c>
      <c r="BQ50" s="61">
        <f t="shared" si="12"/>
        <v>0</v>
      </c>
      <c r="BR50" s="61">
        <f t="shared" si="12"/>
        <v>0</v>
      </c>
      <c r="BS50" s="61">
        <f t="shared" si="13"/>
        <v>0</v>
      </c>
      <c r="BT50" s="61">
        <f t="shared" si="13"/>
        <v>0</v>
      </c>
      <c r="BU50" s="61">
        <f t="shared" si="13"/>
        <v>0</v>
      </c>
      <c r="BV50" s="61">
        <f t="shared" si="13"/>
        <v>0</v>
      </c>
      <c r="BW50" s="61">
        <f t="shared" si="13"/>
        <v>0</v>
      </c>
      <c r="BX50" s="61">
        <f t="shared" si="13"/>
        <v>0</v>
      </c>
      <c r="BY50" s="61">
        <f t="shared" si="13"/>
        <v>0</v>
      </c>
      <c r="BZ50" s="61">
        <f t="shared" si="13"/>
        <v>0</v>
      </c>
      <c r="CA50" s="61">
        <f t="shared" si="13"/>
        <v>0</v>
      </c>
      <c r="CB50" s="61">
        <f t="shared" si="5"/>
        <v>0</v>
      </c>
      <c r="CD50" s="200">
        <f>(SUMIF(Fonctionnement[Affectation matrice],$AB$3,Fonctionnement[TVA acquittée])+SUMIF(Invest[Affectation matrice],$AB$3,Invest[TVA acquittée]))*BC50</f>
        <v>0</v>
      </c>
      <c r="CE50" s="200">
        <f>(SUMIF(Fonctionnement[Affectation matrice],$AB$3,Fonctionnement[TVA acquittée])+SUMIF(Invest[Affectation matrice],$AB$3,Invest[TVA acquittée]))*BD50</f>
        <v>0</v>
      </c>
      <c r="CF50" s="200">
        <f>(SUMIF(Fonctionnement[Affectation matrice],$AB$3,Fonctionnement[TVA acquittée])+SUMIF(Invest[Affectation matrice],$AB$3,Invest[TVA acquittée]))*BE50</f>
        <v>0</v>
      </c>
      <c r="CG50" s="200">
        <f>(SUMIF(Fonctionnement[Affectation matrice],$AB$3,Fonctionnement[TVA acquittée])+SUMIF(Invest[Affectation matrice],$AB$3,Invest[TVA acquittée]))*BF50</f>
        <v>0</v>
      </c>
      <c r="CH50" s="200">
        <f>(SUMIF(Fonctionnement[Affectation matrice],$AB$3,Fonctionnement[TVA acquittée])+SUMIF(Invest[Affectation matrice],$AB$3,Invest[TVA acquittée]))*BG50</f>
        <v>0</v>
      </c>
      <c r="CI50" s="200">
        <f>(SUMIF(Fonctionnement[Affectation matrice],$AB$3,Fonctionnement[TVA acquittée])+SUMIF(Invest[Affectation matrice],$AB$3,Invest[TVA acquittée]))*BH50</f>
        <v>0</v>
      </c>
      <c r="CJ50" s="200">
        <f>(SUMIF(Fonctionnement[Affectation matrice],$AB$3,Fonctionnement[TVA acquittée])+SUMIF(Invest[Affectation matrice],$AB$3,Invest[TVA acquittée]))*BI50</f>
        <v>0</v>
      </c>
      <c r="CK50" s="200">
        <f>(SUMIF(Fonctionnement[Affectation matrice],$AB$3,Fonctionnement[TVA acquittée])+SUMIF(Invest[Affectation matrice],$AB$3,Invest[TVA acquittée]))*BJ50</f>
        <v>0</v>
      </c>
      <c r="CL50" s="200">
        <f>(SUMIF(Fonctionnement[Affectation matrice],$AB$3,Fonctionnement[TVA acquittée])+SUMIF(Invest[Affectation matrice],$AB$3,Invest[TVA acquittée]))*BK50</f>
        <v>0</v>
      </c>
      <c r="CM50" s="200">
        <f>(SUMIF(Fonctionnement[Affectation matrice],$AB$3,Fonctionnement[TVA acquittée])+SUMIF(Invest[Affectation matrice],$AB$3,Invest[TVA acquittée]))*BL50</f>
        <v>0</v>
      </c>
      <c r="CN50" s="200">
        <f>(SUMIF(Fonctionnement[Affectation matrice],$AB$3,Fonctionnement[TVA acquittée])+SUMIF(Invest[Affectation matrice],$AB$3,Invest[TVA acquittée]))*BM50</f>
        <v>0</v>
      </c>
      <c r="CO50" s="200">
        <f>(SUMIF(Fonctionnement[Affectation matrice],$AB$3,Fonctionnement[TVA acquittée])+SUMIF(Invest[Affectation matrice],$AB$3,Invest[TVA acquittée]))*BN50</f>
        <v>0</v>
      </c>
      <c r="CP50" s="200">
        <f>(SUMIF(Fonctionnement[Affectation matrice],$AB$3,Fonctionnement[TVA acquittée])+SUMIF(Invest[Affectation matrice],$AB$3,Invest[TVA acquittée]))*BO50</f>
        <v>0</v>
      </c>
      <c r="CQ50" s="200">
        <f>(SUMIF(Fonctionnement[Affectation matrice],$AB$3,Fonctionnement[TVA acquittée])+SUMIF(Invest[Affectation matrice],$AB$3,Invest[TVA acquittée]))*BP50</f>
        <v>0</v>
      </c>
      <c r="CR50" s="200">
        <f>(SUMIF(Fonctionnement[Affectation matrice],$AB$3,Fonctionnement[TVA acquittée])+SUMIF(Invest[Affectation matrice],$AB$3,Invest[TVA acquittée]))*BQ50</f>
        <v>0</v>
      </c>
      <c r="CS50" s="200">
        <f>(SUMIF(Fonctionnement[Affectation matrice],$AB$3,Fonctionnement[TVA acquittée])+SUMIF(Invest[Affectation matrice],$AB$3,Invest[TVA acquittée]))*BR50</f>
        <v>0</v>
      </c>
      <c r="CT50" s="200">
        <f>(SUMIF(Fonctionnement[Affectation matrice],$AB$3,Fonctionnement[TVA acquittée])+SUMIF(Invest[Affectation matrice],$AB$3,Invest[TVA acquittée]))*BS50</f>
        <v>0</v>
      </c>
      <c r="CU50" s="200">
        <f>(SUMIF(Fonctionnement[Affectation matrice],$AB$3,Fonctionnement[TVA acquittée])+SUMIF(Invest[Affectation matrice],$AB$3,Invest[TVA acquittée]))*BT50</f>
        <v>0</v>
      </c>
      <c r="CV50" s="200">
        <f>(SUMIF(Fonctionnement[Affectation matrice],$AB$3,Fonctionnement[TVA acquittée])+SUMIF(Invest[Affectation matrice],$AB$3,Invest[TVA acquittée]))*BU50</f>
        <v>0</v>
      </c>
      <c r="CW50" s="200">
        <f>(SUMIF(Fonctionnement[Affectation matrice],$AB$3,Fonctionnement[TVA acquittée])+SUMIF(Invest[Affectation matrice],$AB$3,Invest[TVA acquittée]))*BV50</f>
        <v>0</v>
      </c>
      <c r="CX50" s="200">
        <f>(SUMIF(Fonctionnement[Affectation matrice],$AB$3,Fonctionnement[TVA acquittée])+SUMIF(Invest[Affectation matrice],$AB$3,Invest[TVA acquittée]))*BW50</f>
        <v>0</v>
      </c>
      <c r="CY50" s="200">
        <f>(SUMIF(Fonctionnement[Affectation matrice],$AB$3,Fonctionnement[TVA acquittée])+SUMIF(Invest[Affectation matrice],$AB$3,Invest[TVA acquittée]))*BX50</f>
        <v>0</v>
      </c>
      <c r="CZ50" s="200">
        <f>(SUMIF(Fonctionnement[Affectation matrice],$AB$3,Fonctionnement[TVA acquittée])+SUMIF(Invest[Affectation matrice],$AB$3,Invest[TVA acquittée]))*BY50</f>
        <v>0</v>
      </c>
      <c r="DA50" s="200">
        <f>(SUMIF(Fonctionnement[Affectation matrice],$AB$3,Fonctionnement[TVA acquittée])+SUMIF(Invest[Affectation matrice],$AB$3,Invest[TVA acquittée]))*BZ50</f>
        <v>0</v>
      </c>
      <c r="DB50" s="200">
        <f>(SUMIF(Fonctionnement[Affectation matrice],$AB$3,Fonctionnement[TVA acquittée])+SUMIF(Invest[Affectation matrice],$AB$3,Invest[TVA acquittée]))*CA50</f>
        <v>0</v>
      </c>
    </row>
    <row r="51" spans="1:107" ht="12.75" hidden="1" customHeight="1" x14ac:dyDescent="0.25">
      <c r="A51" s="42">
        <f>Matrice[[#This Row],[Ligne de la matrice]]</f>
        <v>0</v>
      </c>
      <c r="B51" s="276">
        <f>(SUMIF(Fonctionnement[Affectation matrice],$AB$3,Fonctionnement[Montant (€HT)])+SUMIF(Invest[Affectation matrice],$AB$3,Invest[Amortissement HT + intérêts]))*BC51</f>
        <v>0</v>
      </c>
      <c r="C51" s="276">
        <f>(SUMIF(Fonctionnement[Affectation matrice],$AB$3,Fonctionnement[Montant (€HT)])+SUMIF(Invest[Affectation matrice],$AB$3,Invest[Amortissement HT + intérêts]))*BD51</f>
        <v>0</v>
      </c>
      <c r="D51" s="276">
        <f>(SUMIF(Fonctionnement[Affectation matrice],$AB$3,Fonctionnement[Montant (€HT)])+SUMIF(Invest[Affectation matrice],$AB$3,Invest[Amortissement HT + intérêts]))*BE51</f>
        <v>0</v>
      </c>
      <c r="E51" s="276">
        <f>(SUMIF(Fonctionnement[Affectation matrice],$AB$3,Fonctionnement[Montant (€HT)])+SUMIF(Invest[Affectation matrice],$AB$3,Invest[Amortissement HT + intérêts]))*BF51</f>
        <v>0</v>
      </c>
      <c r="F51" s="276">
        <f>(SUMIF(Fonctionnement[Affectation matrice],$AB$3,Fonctionnement[Montant (€HT)])+SUMIF(Invest[Affectation matrice],$AB$3,Invest[Amortissement HT + intérêts]))*BG51</f>
        <v>0</v>
      </c>
      <c r="G51" s="276">
        <f>(SUMIF(Fonctionnement[Affectation matrice],$AB$3,Fonctionnement[Montant (€HT)])+SUMIF(Invest[Affectation matrice],$AB$3,Invest[Amortissement HT + intérêts]))*BH51</f>
        <v>0</v>
      </c>
      <c r="H51" s="276">
        <f>(SUMIF(Fonctionnement[Affectation matrice],$AB$3,Fonctionnement[Montant (€HT)])+SUMIF(Invest[Affectation matrice],$AB$3,Invest[Amortissement HT + intérêts]))*BI51</f>
        <v>0</v>
      </c>
      <c r="I51" s="276">
        <f>(SUMIF(Fonctionnement[Affectation matrice],$AB$3,Fonctionnement[Montant (€HT)])+SUMIF(Invest[Affectation matrice],$AB$3,Invest[Amortissement HT + intérêts]))*BJ51</f>
        <v>0</v>
      </c>
      <c r="J51" s="276">
        <f>(SUMIF(Fonctionnement[Affectation matrice],$AB$3,Fonctionnement[Montant (€HT)])+SUMIF(Invest[Affectation matrice],$AB$3,Invest[Amortissement HT + intérêts]))*BK51</f>
        <v>0</v>
      </c>
      <c r="K51" s="276">
        <f>(SUMIF(Fonctionnement[Affectation matrice],$AB$3,Fonctionnement[Montant (€HT)])+SUMIF(Invest[Affectation matrice],$AB$3,Invest[Amortissement HT + intérêts]))*BL51</f>
        <v>0</v>
      </c>
      <c r="L51" s="276">
        <f>(SUMIF(Fonctionnement[Affectation matrice],$AB$3,Fonctionnement[Montant (€HT)])+SUMIF(Invest[Affectation matrice],$AB$3,Invest[Amortissement HT + intérêts]))*BM51</f>
        <v>0</v>
      </c>
      <c r="M51" s="276">
        <f>(SUMIF(Fonctionnement[Affectation matrice],$AB$3,Fonctionnement[Montant (€HT)])+SUMIF(Invest[Affectation matrice],$AB$3,Invest[Amortissement HT + intérêts]))*BN51</f>
        <v>0</v>
      </c>
      <c r="N51" s="276">
        <f>(SUMIF(Fonctionnement[Affectation matrice],$AB$3,Fonctionnement[Montant (€HT)])+SUMIF(Invest[Affectation matrice],$AB$3,Invest[Amortissement HT + intérêts]))*BO51</f>
        <v>0</v>
      </c>
      <c r="O51" s="276">
        <f>(SUMIF(Fonctionnement[Affectation matrice],$AB$3,Fonctionnement[Montant (€HT)])+SUMIF(Invest[Affectation matrice],$AB$3,Invest[Amortissement HT + intérêts]))*BP51</f>
        <v>0</v>
      </c>
      <c r="P51" s="276">
        <f>(SUMIF(Fonctionnement[Affectation matrice],$AB$3,Fonctionnement[Montant (€HT)])+SUMIF(Invest[Affectation matrice],$AB$3,Invest[Amortissement HT + intérêts]))*BQ51</f>
        <v>0</v>
      </c>
      <c r="Q51" s="276">
        <f>(SUMIF(Fonctionnement[Affectation matrice],$AB$3,Fonctionnement[Montant (€HT)])+SUMIF(Invest[Affectation matrice],$AB$3,Invest[Amortissement HT + intérêts]))*BR51</f>
        <v>0</v>
      </c>
      <c r="R51" s="276">
        <f>(SUMIF(Fonctionnement[Affectation matrice],$AB$3,Fonctionnement[Montant (€HT)])+SUMIF(Invest[Affectation matrice],$AB$3,Invest[Amortissement HT + intérêts]))*BS51</f>
        <v>0</v>
      </c>
      <c r="S51" s="276">
        <f>(SUMIF(Fonctionnement[Affectation matrice],$AB$3,Fonctionnement[Montant (€HT)])+SUMIF(Invest[Affectation matrice],$AB$3,Invest[Amortissement HT + intérêts]))*BT51</f>
        <v>0</v>
      </c>
      <c r="T51" s="276">
        <f>(SUMIF(Fonctionnement[Affectation matrice],$AB$3,Fonctionnement[Montant (€HT)])+SUMIF(Invest[Affectation matrice],$AB$3,Invest[Amortissement HT + intérêts]))*BU51</f>
        <v>0</v>
      </c>
      <c r="U51" s="276">
        <f>(SUMIF(Fonctionnement[Affectation matrice],$AB$3,Fonctionnement[Montant (€HT)])+SUMIF(Invest[Affectation matrice],$AB$3,Invest[Amortissement HT + intérêts]))*BV51</f>
        <v>0</v>
      </c>
      <c r="V51" s="276">
        <f>(SUMIF(Fonctionnement[Affectation matrice],$AB$3,Fonctionnement[Montant (€HT)])+SUMIF(Invest[Affectation matrice],$AB$3,Invest[Amortissement HT + intérêts]))*BW51</f>
        <v>0</v>
      </c>
      <c r="W51" s="276">
        <f>(SUMIF(Fonctionnement[Affectation matrice],$AB$3,Fonctionnement[Montant (€HT)])+SUMIF(Invest[Affectation matrice],$AB$3,Invest[Amortissement HT + intérêts]))*BX51</f>
        <v>0</v>
      </c>
      <c r="X51" s="276">
        <f>(SUMIF(Fonctionnement[Affectation matrice],$AB$3,Fonctionnement[Montant (€HT)])+SUMIF(Invest[Affectation matrice],$AB$3,Invest[Amortissement HT + intérêts]))*BY51</f>
        <v>0</v>
      </c>
      <c r="Y51" s="276">
        <f>(SUMIF(Fonctionnement[Affectation matrice],$AB$3,Fonctionnement[Montant (€HT)])+SUMIF(Invest[Affectation matrice],$AB$3,Invest[Amortissement HT + intérêts]))*BZ51</f>
        <v>0</v>
      </c>
      <c r="Z51" s="276">
        <f>(SUMIF(Fonctionnement[Affectation matrice],$AB$3,Fonctionnement[Montant (€HT)])+SUMIF(Invest[Affectation matrice],$AB$3,Invest[Amortissement HT + intérêts]))*CA51</f>
        <v>0</v>
      </c>
      <c r="AA51" s="199"/>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283">
        <f t="shared" si="4"/>
        <v>0</v>
      </c>
      <c r="BC51" s="61">
        <f t="shared" si="12"/>
        <v>0</v>
      </c>
      <c r="BD51" s="61">
        <f t="shared" si="12"/>
        <v>0</v>
      </c>
      <c r="BE51" s="61">
        <f t="shared" si="12"/>
        <v>0</v>
      </c>
      <c r="BF51" s="61">
        <f t="shared" si="12"/>
        <v>0</v>
      </c>
      <c r="BG51" s="61">
        <f t="shared" si="12"/>
        <v>0</v>
      </c>
      <c r="BH51" s="61">
        <f t="shared" si="12"/>
        <v>0</v>
      </c>
      <c r="BI51" s="61">
        <f t="shared" si="12"/>
        <v>0</v>
      </c>
      <c r="BJ51" s="61">
        <f t="shared" si="12"/>
        <v>0</v>
      </c>
      <c r="BK51" s="61">
        <f t="shared" si="12"/>
        <v>0</v>
      </c>
      <c r="BL51" s="61">
        <f t="shared" si="12"/>
        <v>0</v>
      </c>
      <c r="BM51" s="61">
        <f t="shared" si="12"/>
        <v>0</v>
      </c>
      <c r="BN51" s="61">
        <f t="shared" si="12"/>
        <v>0</v>
      </c>
      <c r="BO51" s="61">
        <f t="shared" si="12"/>
        <v>0</v>
      </c>
      <c r="BP51" s="61">
        <f t="shared" si="12"/>
        <v>0</v>
      </c>
      <c r="BQ51" s="61">
        <f t="shared" si="12"/>
        <v>0</v>
      </c>
      <c r="BR51" s="61">
        <f t="shared" si="12"/>
        <v>0</v>
      </c>
      <c r="BS51" s="61">
        <f t="shared" si="13"/>
        <v>0</v>
      </c>
      <c r="BT51" s="61">
        <f t="shared" si="13"/>
        <v>0</v>
      </c>
      <c r="BU51" s="61">
        <f t="shared" si="13"/>
        <v>0</v>
      </c>
      <c r="BV51" s="61">
        <f t="shared" si="13"/>
        <v>0</v>
      </c>
      <c r="BW51" s="61">
        <f t="shared" si="13"/>
        <v>0</v>
      </c>
      <c r="BX51" s="61">
        <f t="shared" si="13"/>
        <v>0</v>
      </c>
      <c r="BY51" s="61">
        <f t="shared" si="13"/>
        <v>0</v>
      </c>
      <c r="BZ51" s="61">
        <f t="shared" si="13"/>
        <v>0</v>
      </c>
      <c r="CA51" s="61">
        <f t="shared" si="13"/>
        <v>0</v>
      </c>
      <c r="CB51" s="61">
        <f t="shared" si="5"/>
        <v>0</v>
      </c>
      <c r="CD51" s="200">
        <f>(SUMIF(Fonctionnement[Affectation matrice],$AB$3,Fonctionnement[TVA acquittée])+SUMIF(Invest[Affectation matrice],$AB$3,Invest[TVA acquittée]))*BC51</f>
        <v>0</v>
      </c>
      <c r="CE51" s="200">
        <f>(SUMIF(Fonctionnement[Affectation matrice],$AB$3,Fonctionnement[TVA acquittée])+SUMIF(Invest[Affectation matrice],$AB$3,Invest[TVA acquittée]))*BD51</f>
        <v>0</v>
      </c>
      <c r="CF51" s="200">
        <f>(SUMIF(Fonctionnement[Affectation matrice],$AB$3,Fonctionnement[TVA acquittée])+SUMIF(Invest[Affectation matrice],$AB$3,Invest[TVA acquittée]))*BE51</f>
        <v>0</v>
      </c>
      <c r="CG51" s="200">
        <f>(SUMIF(Fonctionnement[Affectation matrice],$AB$3,Fonctionnement[TVA acquittée])+SUMIF(Invest[Affectation matrice],$AB$3,Invest[TVA acquittée]))*BF51</f>
        <v>0</v>
      </c>
      <c r="CH51" s="200">
        <f>(SUMIF(Fonctionnement[Affectation matrice],$AB$3,Fonctionnement[TVA acquittée])+SUMIF(Invest[Affectation matrice],$AB$3,Invest[TVA acquittée]))*BG51</f>
        <v>0</v>
      </c>
      <c r="CI51" s="200">
        <f>(SUMIF(Fonctionnement[Affectation matrice],$AB$3,Fonctionnement[TVA acquittée])+SUMIF(Invest[Affectation matrice],$AB$3,Invest[TVA acquittée]))*BH51</f>
        <v>0</v>
      </c>
      <c r="CJ51" s="200">
        <f>(SUMIF(Fonctionnement[Affectation matrice],$AB$3,Fonctionnement[TVA acquittée])+SUMIF(Invest[Affectation matrice],$AB$3,Invest[TVA acquittée]))*BI51</f>
        <v>0</v>
      </c>
      <c r="CK51" s="200">
        <f>(SUMIF(Fonctionnement[Affectation matrice],$AB$3,Fonctionnement[TVA acquittée])+SUMIF(Invest[Affectation matrice],$AB$3,Invest[TVA acquittée]))*BJ51</f>
        <v>0</v>
      </c>
      <c r="CL51" s="200">
        <f>(SUMIF(Fonctionnement[Affectation matrice],$AB$3,Fonctionnement[TVA acquittée])+SUMIF(Invest[Affectation matrice],$AB$3,Invest[TVA acquittée]))*BK51</f>
        <v>0</v>
      </c>
      <c r="CM51" s="200">
        <f>(SUMIF(Fonctionnement[Affectation matrice],$AB$3,Fonctionnement[TVA acquittée])+SUMIF(Invest[Affectation matrice],$AB$3,Invest[TVA acquittée]))*BL51</f>
        <v>0</v>
      </c>
      <c r="CN51" s="200">
        <f>(SUMIF(Fonctionnement[Affectation matrice],$AB$3,Fonctionnement[TVA acquittée])+SUMIF(Invest[Affectation matrice],$AB$3,Invest[TVA acquittée]))*BM51</f>
        <v>0</v>
      </c>
      <c r="CO51" s="200">
        <f>(SUMIF(Fonctionnement[Affectation matrice],$AB$3,Fonctionnement[TVA acquittée])+SUMIF(Invest[Affectation matrice],$AB$3,Invest[TVA acquittée]))*BN51</f>
        <v>0</v>
      </c>
      <c r="CP51" s="200">
        <f>(SUMIF(Fonctionnement[Affectation matrice],$AB$3,Fonctionnement[TVA acquittée])+SUMIF(Invest[Affectation matrice],$AB$3,Invest[TVA acquittée]))*BO51</f>
        <v>0</v>
      </c>
      <c r="CQ51" s="200">
        <f>(SUMIF(Fonctionnement[Affectation matrice],$AB$3,Fonctionnement[TVA acquittée])+SUMIF(Invest[Affectation matrice],$AB$3,Invest[TVA acquittée]))*BP51</f>
        <v>0</v>
      </c>
      <c r="CR51" s="200">
        <f>(SUMIF(Fonctionnement[Affectation matrice],$AB$3,Fonctionnement[TVA acquittée])+SUMIF(Invest[Affectation matrice],$AB$3,Invest[TVA acquittée]))*BQ51</f>
        <v>0</v>
      </c>
      <c r="CS51" s="200">
        <f>(SUMIF(Fonctionnement[Affectation matrice],$AB$3,Fonctionnement[TVA acquittée])+SUMIF(Invest[Affectation matrice],$AB$3,Invest[TVA acquittée]))*BR51</f>
        <v>0</v>
      </c>
      <c r="CT51" s="200">
        <f>(SUMIF(Fonctionnement[Affectation matrice],$AB$3,Fonctionnement[TVA acquittée])+SUMIF(Invest[Affectation matrice],$AB$3,Invest[TVA acquittée]))*BS51</f>
        <v>0</v>
      </c>
      <c r="CU51" s="200">
        <f>(SUMIF(Fonctionnement[Affectation matrice],$AB$3,Fonctionnement[TVA acquittée])+SUMIF(Invest[Affectation matrice],$AB$3,Invest[TVA acquittée]))*BT51</f>
        <v>0</v>
      </c>
      <c r="CV51" s="200">
        <f>(SUMIF(Fonctionnement[Affectation matrice],$AB$3,Fonctionnement[TVA acquittée])+SUMIF(Invest[Affectation matrice],$AB$3,Invest[TVA acquittée]))*BU51</f>
        <v>0</v>
      </c>
      <c r="CW51" s="200">
        <f>(SUMIF(Fonctionnement[Affectation matrice],$AB$3,Fonctionnement[TVA acquittée])+SUMIF(Invest[Affectation matrice],$AB$3,Invest[TVA acquittée]))*BV51</f>
        <v>0</v>
      </c>
      <c r="CX51" s="200">
        <f>(SUMIF(Fonctionnement[Affectation matrice],$AB$3,Fonctionnement[TVA acquittée])+SUMIF(Invest[Affectation matrice],$AB$3,Invest[TVA acquittée]))*BW51</f>
        <v>0</v>
      </c>
      <c r="CY51" s="200">
        <f>(SUMIF(Fonctionnement[Affectation matrice],$AB$3,Fonctionnement[TVA acquittée])+SUMIF(Invest[Affectation matrice],$AB$3,Invest[TVA acquittée]))*BX51</f>
        <v>0</v>
      </c>
      <c r="CZ51" s="200">
        <f>(SUMIF(Fonctionnement[Affectation matrice],$AB$3,Fonctionnement[TVA acquittée])+SUMIF(Invest[Affectation matrice],$AB$3,Invest[TVA acquittée]))*BY51</f>
        <v>0</v>
      </c>
      <c r="DA51" s="200">
        <f>(SUMIF(Fonctionnement[Affectation matrice],$AB$3,Fonctionnement[TVA acquittée])+SUMIF(Invest[Affectation matrice],$AB$3,Invest[TVA acquittée]))*BZ51</f>
        <v>0</v>
      </c>
      <c r="DB51" s="200">
        <f>(SUMIF(Fonctionnement[Affectation matrice],$AB$3,Fonctionnement[TVA acquittée])+SUMIF(Invest[Affectation matrice],$AB$3,Invest[TVA acquittée]))*CA51</f>
        <v>0</v>
      </c>
    </row>
    <row r="52" spans="1:107" hidden="1" x14ac:dyDescent="0.25">
      <c r="A52" s="42">
        <f>Matrice[[#This Row],[Ligne de la matrice]]</f>
        <v>0</v>
      </c>
      <c r="B52" s="276">
        <f>(SUMIF(Fonctionnement[Affectation matrice],$AB$3,Fonctionnement[Montant (€HT)])+SUMIF(Invest[Affectation matrice],$AB$3,Invest[Amortissement HT + intérêts]))*BC52</f>
        <v>0</v>
      </c>
      <c r="C52" s="276">
        <f>(SUMIF(Fonctionnement[Affectation matrice],$AB$3,Fonctionnement[Montant (€HT)])+SUMIF(Invest[Affectation matrice],$AB$3,Invest[Amortissement HT + intérêts]))*BD52</f>
        <v>0</v>
      </c>
      <c r="D52" s="276">
        <f>(SUMIF(Fonctionnement[Affectation matrice],$AB$3,Fonctionnement[Montant (€HT)])+SUMIF(Invest[Affectation matrice],$AB$3,Invest[Amortissement HT + intérêts]))*BE52</f>
        <v>0</v>
      </c>
      <c r="E52" s="276">
        <f>(SUMIF(Fonctionnement[Affectation matrice],$AB$3,Fonctionnement[Montant (€HT)])+SUMIF(Invest[Affectation matrice],$AB$3,Invest[Amortissement HT + intérêts]))*BF52</f>
        <v>0</v>
      </c>
      <c r="F52" s="276">
        <f>(SUMIF(Fonctionnement[Affectation matrice],$AB$3,Fonctionnement[Montant (€HT)])+SUMIF(Invest[Affectation matrice],$AB$3,Invest[Amortissement HT + intérêts]))*BG52</f>
        <v>0</v>
      </c>
      <c r="G52" s="276">
        <f>(SUMIF(Fonctionnement[Affectation matrice],$AB$3,Fonctionnement[Montant (€HT)])+SUMIF(Invest[Affectation matrice],$AB$3,Invest[Amortissement HT + intérêts]))*BH52</f>
        <v>0</v>
      </c>
      <c r="H52" s="276">
        <f>(SUMIF(Fonctionnement[Affectation matrice],$AB$3,Fonctionnement[Montant (€HT)])+SUMIF(Invest[Affectation matrice],$AB$3,Invest[Amortissement HT + intérêts]))*BI52</f>
        <v>0</v>
      </c>
      <c r="I52" s="276">
        <f>(SUMIF(Fonctionnement[Affectation matrice],$AB$3,Fonctionnement[Montant (€HT)])+SUMIF(Invest[Affectation matrice],$AB$3,Invest[Amortissement HT + intérêts]))*BJ52</f>
        <v>0</v>
      </c>
      <c r="J52" s="276">
        <f>(SUMIF(Fonctionnement[Affectation matrice],$AB$3,Fonctionnement[Montant (€HT)])+SUMIF(Invest[Affectation matrice],$AB$3,Invest[Amortissement HT + intérêts]))*BK52</f>
        <v>0</v>
      </c>
      <c r="K52" s="276">
        <f>(SUMIF(Fonctionnement[Affectation matrice],$AB$3,Fonctionnement[Montant (€HT)])+SUMIF(Invest[Affectation matrice],$AB$3,Invest[Amortissement HT + intérêts]))*BL52</f>
        <v>0</v>
      </c>
      <c r="L52" s="276">
        <f>(SUMIF(Fonctionnement[Affectation matrice],$AB$3,Fonctionnement[Montant (€HT)])+SUMIF(Invest[Affectation matrice],$AB$3,Invest[Amortissement HT + intérêts]))*BM52</f>
        <v>0</v>
      </c>
      <c r="M52" s="276">
        <f>(SUMIF(Fonctionnement[Affectation matrice],$AB$3,Fonctionnement[Montant (€HT)])+SUMIF(Invest[Affectation matrice],$AB$3,Invest[Amortissement HT + intérêts]))*BN52</f>
        <v>0</v>
      </c>
      <c r="N52" s="276">
        <f>(SUMIF(Fonctionnement[Affectation matrice],$AB$3,Fonctionnement[Montant (€HT)])+SUMIF(Invest[Affectation matrice],$AB$3,Invest[Amortissement HT + intérêts]))*BO52</f>
        <v>0</v>
      </c>
      <c r="O52" s="276">
        <f>(SUMIF(Fonctionnement[Affectation matrice],$AB$3,Fonctionnement[Montant (€HT)])+SUMIF(Invest[Affectation matrice],$AB$3,Invest[Amortissement HT + intérêts]))*BP52</f>
        <v>0</v>
      </c>
      <c r="P52" s="276">
        <f>(SUMIF(Fonctionnement[Affectation matrice],$AB$3,Fonctionnement[Montant (€HT)])+SUMIF(Invest[Affectation matrice],$AB$3,Invest[Amortissement HT + intérêts]))*BQ52</f>
        <v>0</v>
      </c>
      <c r="Q52" s="276">
        <f>(SUMIF(Fonctionnement[Affectation matrice],$AB$3,Fonctionnement[Montant (€HT)])+SUMIF(Invest[Affectation matrice],$AB$3,Invest[Amortissement HT + intérêts]))*BR52</f>
        <v>0</v>
      </c>
      <c r="R52" s="276">
        <f>(SUMIF(Fonctionnement[Affectation matrice],$AB$3,Fonctionnement[Montant (€HT)])+SUMIF(Invest[Affectation matrice],$AB$3,Invest[Amortissement HT + intérêts]))*BS52</f>
        <v>0</v>
      </c>
      <c r="S52" s="276">
        <f>(SUMIF(Fonctionnement[Affectation matrice],$AB$3,Fonctionnement[Montant (€HT)])+SUMIF(Invest[Affectation matrice],$AB$3,Invest[Amortissement HT + intérêts]))*BT52</f>
        <v>0</v>
      </c>
      <c r="T52" s="276">
        <f>(SUMIF(Fonctionnement[Affectation matrice],$AB$3,Fonctionnement[Montant (€HT)])+SUMIF(Invest[Affectation matrice],$AB$3,Invest[Amortissement HT + intérêts]))*BU52</f>
        <v>0</v>
      </c>
      <c r="U52" s="276">
        <f>(SUMIF(Fonctionnement[Affectation matrice],$AB$3,Fonctionnement[Montant (€HT)])+SUMIF(Invest[Affectation matrice],$AB$3,Invest[Amortissement HT + intérêts]))*BV52</f>
        <v>0</v>
      </c>
      <c r="V52" s="276">
        <f>(SUMIF(Fonctionnement[Affectation matrice],$AB$3,Fonctionnement[Montant (€HT)])+SUMIF(Invest[Affectation matrice],$AB$3,Invest[Amortissement HT + intérêts]))*BW52</f>
        <v>0</v>
      </c>
      <c r="W52" s="276">
        <f>(SUMIF(Fonctionnement[Affectation matrice],$AB$3,Fonctionnement[Montant (€HT)])+SUMIF(Invest[Affectation matrice],$AB$3,Invest[Amortissement HT + intérêts]))*BX52</f>
        <v>0</v>
      </c>
      <c r="X52" s="276">
        <f>(SUMIF(Fonctionnement[Affectation matrice],$AB$3,Fonctionnement[Montant (€HT)])+SUMIF(Invest[Affectation matrice],$AB$3,Invest[Amortissement HT + intérêts]))*BY52</f>
        <v>0</v>
      </c>
      <c r="Y52" s="276">
        <f>(SUMIF(Fonctionnement[Affectation matrice],$AB$3,Fonctionnement[Montant (€HT)])+SUMIF(Invest[Affectation matrice],$AB$3,Invest[Amortissement HT + intérêts]))*BZ52</f>
        <v>0</v>
      </c>
      <c r="Z52" s="276">
        <f>(SUMIF(Fonctionnement[Affectation matrice],$AB$3,Fonctionnement[Montant (€HT)])+SUMIF(Invest[Affectation matrice],$AB$3,Invest[Amortissement HT + intérêts]))*CA52</f>
        <v>0</v>
      </c>
      <c r="AA52" s="199"/>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283">
        <f t="shared" si="4"/>
        <v>0</v>
      </c>
      <c r="BC52" s="61">
        <f t="shared" si="12"/>
        <v>0</v>
      </c>
      <c r="BD52" s="61">
        <f t="shared" si="12"/>
        <v>0</v>
      </c>
      <c r="BE52" s="61">
        <f t="shared" si="12"/>
        <v>0</v>
      </c>
      <c r="BF52" s="61">
        <f t="shared" si="12"/>
        <v>0</v>
      </c>
      <c r="BG52" s="61">
        <f t="shared" si="12"/>
        <v>0</v>
      </c>
      <c r="BH52" s="61">
        <f t="shared" si="12"/>
        <v>0</v>
      </c>
      <c r="BI52" s="61">
        <f t="shared" si="12"/>
        <v>0</v>
      </c>
      <c r="BJ52" s="61">
        <f t="shared" si="12"/>
        <v>0</v>
      </c>
      <c r="BK52" s="61">
        <f t="shared" si="12"/>
        <v>0</v>
      </c>
      <c r="BL52" s="61">
        <f t="shared" si="12"/>
        <v>0</v>
      </c>
      <c r="BM52" s="61">
        <f t="shared" si="12"/>
        <v>0</v>
      </c>
      <c r="BN52" s="61">
        <f t="shared" si="12"/>
        <v>0</v>
      </c>
      <c r="BO52" s="61">
        <f t="shared" si="12"/>
        <v>0</v>
      </c>
      <c r="BP52" s="61">
        <f t="shared" si="12"/>
        <v>0</v>
      </c>
      <c r="BQ52" s="61">
        <f t="shared" si="12"/>
        <v>0</v>
      </c>
      <c r="BR52" s="61">
        <f t="shared" si="12"/>
        <v>0</v>
      </c>
      <c r="BS52" s="61">
        <f t="shared" si="13"/>
        <v>0</v>
      </c>
      <c r="BT52" s="61">
        <f t="shared" si="13"/>
        <v>0</v>
      </c>
      <c r="BU52" s="61">
        <f t="shared" si="13"/>
        <v>0</v>
      </c>
      <c r="BV52" s="61">
        <f t="shared" si="13"/>
        <v>0</v>
      </c>
      <c r="BW52" s="61">
        <f t="shared" si="13"/>
        <v>0</v>
      </c>
      <c r="BX52" s="61">
        <f t="shared" si="13"/>
        <v>0</v>
      </c>
      <c r="BY52" s="61">
        <f t="shared" si="13"/>
        <v>0</v>
      </c>
      <c r="BZ52" s="61">
        <f t="shared" si="13"/>
        <v>0</v>
      </c>
      <c r="CA52" s="61">
        <f t="shared" si="13"/>
        <v>0</v>
      </c>
      <c r="CB52" s="61">
        <f t="shared" si="5"/>
        <v>0</v>
      </c>
      <c r="CD52" s="200">
        <f>(SUMIF(Fonctionnement[Affectation matrice],$AB$3,Fonctionnement[TVA acquittée])+SUMIF(Invest[Affectation matrice],$AB$3,Invest[TVA acquittée]))*BC52</f>
        <v>0</v>
      </c>
      <c r="CE52" s="200">
        <f>(SUMIF(Fonctionnement[Affectation matrice],$AB$3,Fonctionnement[TVA acquittée])+SUMIF(Invest[Affectation matrice],$AB$3,Invest[TVA acquittée]))*BD52</f>
        <v>0</v>
      </c>
      <c r="CF52" s="200">
        <f>(SUMIF(Fonctionnement[Affectation matrice],$AB$3,Fonctionnement[TVA acquittée])+SUMIF(Invest[Affectation matrice],$AB$3,Invest[TVA acquittée]))*BE52</f>
        <v>0</v>
      </c>
      <c r="CG52" s="200">
        <f>(SUMIF(Fonctionnement[Affectation matrice],$AB$3,Fonctionnement[TVA acquittée])+SUMIF(Invest[Affectation matrice],$AB$3,Invest[TVA acquittée]))*BF52</f>
        <v>0</v>
      </c>
      <c r="CH52" s="200">
        <f>(SUMIF(Fonctionnement[Affectation matrice],$AB$3,Fonctionnement[TVA acquittée])+SUMIF(Invest[Affectation matrice],$AB$3,Invest[TVA acquittée]))*BG52</f>
        <v>0</v>
      </c>
      <c r="CI52" s="200">
        <f>(SUMIF(Fonctionnement[Affectation matrice],$AB$3,Fonctionnement[TVA acquittée])+SUMIF(Invest[Affectation matrice],$AB$3,Invest[TVA acquittée]))*BH52</f>
        <v>0</v>
      </c>
      <c r="CJ52" s="200">
        <f>(SUMIF(Fonctionnement[Affectation matrice],$AB$3,Fonctionnement[TVA acquittée])+SUMIF(Invest[Affectation matrice],$AB$3,Invest[TVA acquittée]))*BI52</f>
        <v>0</v>
      </c>
      <c r="CK52" s="200">
        <f>(SUMIF(Fonctionnement[Affectation matrice],$AB$3,Fonctionnement[TVA acquittée])+SUMIF(Invest[Affectation matrice],$AB$3,Invest[TVA acquittée]))*BJ52</f>
        <v>0</v>
      </c>
      <c r="CL52" s="200">
        <f>(SUMIF(Fonctionnement[Affectation matrice],$AB$3,Fonctionnement[TVA acquittée])+SUMIF(Invest[Affectation matrice],$AB$3,Invest[TVA acquittée]))*BK52</f>
        <v>0</v>
      </c>
      <c r="CM52" s="200">
        <f>(SUMIF(Fonctionnement[Affectation matrice],$AB$3,Fonctionnement[TVA acquittée])+SUMIF(Invest[Affectation matrice],$AB$3,Invest[TVA acquittée]))*BL52</f>
        <v>0</v>
      </c>
      <c r="CN52" s="200">
        <f>(SUMIF(Fonctionnement[Affectation matrice],$AB$3,Fonctionnement[TVA acquittée])+SUMIF(Invest[Affectation matrice],$AB$3,Invest[TVA acquittée]))*BM52</f>
        <v>0</v>
      </c>
      <c r="CO52" s="200">
        <f>(SUMIF(Fonctionnement[Affectation matrice],$AB$3,Fonctionnement[TVA acquittée])+SUMIF(Invest[Affectation matrice],$AB$3,Invest[TVA acquittée]))*BN52</f>
        <v>0</v>
      </c>
      <c r="CP52" s="200">
        <f>(SUMIF(Fonctionnement[Affectation matrice],$AB$3,Fonctionnement[TVA acquittée])+SUMIF(Invest[Affectation matrice],$AB$3,Invest[TVA acquittée]))*BO52</f>
        <v>0</v>
      </c>
      <c r="CQ52" s="200">
        <f>(SUMIF(Fonctionnement[Affectation matrice],$AB$3,Fonctionnement[TVA acquittée])+SUMIF(Invest[Affectation matrice],$AB$3,Invest[TVA acquittée]))*BP52</f>
        <v>0</v>
      </c>
      <c r="CR52" s="200">
        <f>(SUMIF(Fonctionnement[Affectation matrice],$AB$3,Fonctionnement[TVA acquittée])+SUMIF(Invest[Affectation matrice],$AB$3,Invest[TVA acquittée]))*BQ52</f>
        <v>0</v>
      </c>
      <c r="CS52" s="200">
        <f>(SUMIF(Fonctionnement[Affectation matrice],$AB$3,Fonctionnement[TVA acquittée])+SUMIF(Invest[Affectation matrice],$AB$3,Invest[TVA acquittée]))*BR52</f>
        <v>0</v>
      </c>
      <c r="CT52" s="200">
        <f>(SUMIF(Fonctionnement[Affectation matrice],$AB$3,Fonctionnement[TVA acquittée])+SUMIF(Invest[Affectation matrice],$AB$3,Invest[TVA acquittée]))*BS52</f>
        <v>0</v>
      </c>
      <c r="CU52" s="200">
        <f>(SUMIF(Fonctionnement[Affectation matrice],$AB$3,Fonctionnement[TVA acquittée])+SUMIF(Invest[Affectation matrice],$AB$3,Invest[TVA acquittée]))*BT52</f>
        <v>0</v>
      </c>
      <c r="CV52" s="200">
        <f>(SUMIF(Fonctionnement[Affectation matrice],$AB$3,Fonctionnement[TVA acquittée])+SUMIF(Invest[Affectation matrice],$AB$3,Invest[TVA acquittée]))*BU52</f>
        <v>0</v>
      </c>
      <c r="CW52" s="200">
        <f>(SUMIF(Fonctionnement[Affectation matrice],$AB$3,Fonctionnement[TVA acquittée])+SUMIF(Invest[Affectation matrice],$AB$3,Invest[TVA acquittée]))*BV52</f>
        <v>0</v>
      </c>
      <c r="CX52" s="200">
        <f>(SUMIF(Fonctionnement[Affectation matrice],$AB$3,Fonctionnement[TVA acquittée])+SUMIF(Invest[Affectation matrice],$AB$3,Invest[TVA acquittée]))*BW52</f>
        <v>0</v>
      </c>
      <c r="CY52" s="200">
        <f>(SUMIF(Fonctionnement[Affectation matrice],$AB$3,Fonctionnement[TVA acquittée])+SUMIF(Invest[Affectation matrice],$AB$3,Invest[TVA acquittée]))*BX52</f>
        <v>0</v>
      </c>
      <c r="CZ52" s="200">
        <f>(SUMIF(Fonctionnement[Affectation matrice],$AB$3,Fonctionnement[TVA acquittée])+SUMIF(Invest[Affectation matrice],$AB$3,Invest[TVA acquittée]))*BY52</f>
        <v>0</v>
      </c>
      <c r="DA52" s="200">
        <f>(SUMIF(Fonctionnement[Affectation matrice],$AB$3,Fonctionnement[TVA acquittée])+SUMIF(Invest[Affectation matrice],$AB$3,Invest[TVA acquittée]))*BZ52</f>
        <v>0</v>
      </c>
      <c r="DB52" s="200">
        <f>(SUMIF(Fonctionnement[Affectation matrice],$AB$3,Fonctionnement[TVA acquittée])+SUMIF(Invest[Affectation matrice],$AB$3,Invest[TVA acquittée]))*CA52</f>
        <v>0</v>
      </c>
    </row>
    <row r="53" spans="1:107" x14ac:dyDescent="0.25">
      <c r="A53" s="206" t="s">
        <v>1101</v>
      </c>
      <c r="B53" s="279">
        <f>SUM(B5:B52)</f>
        <v>0</v>
      </c>
      <c r="C53" s="279">
        <f t="shared" ref="C53:Z53" si="14">SUM(C5:C52)</f>
        <v>0</v>
      </c>
      <c r="D53" s="279">
        <f t="shared" si="14"/>
        <v>0</v>
      </c>
      <c r="E53" s="279">
        <f t="shared" si="14"/>
        <v>0</v>
      </c>
      <c r="F53" s="279">
        <f t="shared" si="14"/>
        <v>0</v>
      </c>
      <c r="G53" s="279">
        <f t="shared" si="14"/>
        <v>0</v>
      </c>
      <c r="H53" s="279">
        <f t="shared" si="14"/>
        <v>0</v>
      </c>
      <c r="I53" s="279">
        <f t="shared" si="14"/>
        <v>0</v>
      </c>
      <c r="J53" s="279">
        <f t="shared" si="14"/>
        <v>0</v>
      </c>
      <c r="K53" s="279">
        <f t="shared" si="14"/>
        <v>0</v>
      </c>
      <c r="L53" s="279">
        <f t="shared" si="14"/>
        <v>0</v>
      </c>
      <c r="M53" s="279">
        <f t="shared" si="14"/>
        <v>0</v>
      </c>
      <c r="N53" s="279">
        <f t="shared" si="14"/>
        <v>0</v>
      </c>
      <c r="O53" s="279">
        <f t="shared" si="14"/>
        <v>0</v>
      </c>
      <c r="P53" s="279">
        <f t="shared" si="14"/>
        <v>0</v>
      </c>
      <c r="Q53" s="279">
        <f t="shared" si="14"/>
        <v>0</v>
      </c>
      <c r="R53" s="279">
        <f t="shared" si="14"/>
        <v>0</v>
      </c>
      <c r="S53" s="279">
        <f t="shared" si="14"/>
        <v>0</v>
      </c>
      <c r="T53" s="279">
        <f t="shared" si="14"/>
        <v>0</v>
      </c>
      <c r="U53" s="279">
        <f t="shared" si="14"/>
        <v>0</v>
      </c>
      <c r="V53" s="279">
        <f t="shared" si="14"/>
        <v>0</v>
      </c>
      <c r="W53" s="279">
        <f t="shared" si="14"/>
        <v>0</v>
      </c>
      <c r="X53" s="279">
        <f t="shared" si="14"/>
        <v>0</v>
      </c>
      <c r="Y53" s="279">
        <f t="shared" si="14"/>
        <v>0</v>
      </c>
      <c r="Z53" s="279">
        <f t="shared" si="14"/>
        <v>0</v>
      </c>
      <c r="AA53" s="199"/>
      <c r="AB53" s="61">
        <f>SUM(AB5:AB52)</f>
        <v>0</v>
      </c>
      <c r="AC53" s="61">
        <f t="shared" ref="AC53:BA53" si="15">SUM(AC5:AC52)</f>
        <v>0</v>
      </c>
      <c r="AD53" s="61">
        <f t="shared" si="15"/>
        <v>0</v>
      </c>
      <c r="AE53" s="61">
        <f t="shared" si="15"/>
        <v>0</v>
      </c>
      <c r="AF53" s="61">
        <f t="shared" si="15"/>
        <v>0</v>
      </c>
      <c r="AG53" s="61">
        <f t="shared" si="15"/>
        <v>0</v>
      </c>
      <c r="AH53" s="61">
        <f t="shared" si="15"/>
        <v>0</v>
      </c>
      <c r="AI53" s="61">
        <f t="shared" si="15"/>
        <v>0</v>
      </c>
      <c r="AJ53" s="61">
        <f t="shared" si="15"/>
        <v>0</v>
      </c>
      <c r="AK53" s="61">
        <f t="shared" si="15"/>
        <v>0</v>
      </c>
      <c r="AL53" s="61">
        <f t="shared" si="15"/>
        <v>0</v>
      </c>
      <c r="AM53" s="61">
        <f t="shared" si="15"/>
        <v>0</v>
      </c>
      <c r="AN53" s="61">
        <f t="shared" si="15"/>
        <v>0</v>
      </c>
      <c r="AO53" s="61">
        <f t="shared" si="15"/>
        <v>0</v>
      </c>
      <c r="AP53" s="61">
        <f t="shared" si="15"/>
        <v>0</v>
      </c>
      <c r="AQ53" s="61">
        <f t="shared" si="15"/>
        <v>0</v>
      </c>
      <c r="AR53" s="61">
        <f t="shared" si="15"/>
        <v>0</v>
      </c>
      <c r="AS53" s="61">
        <f t="shared" si="15"/>
        <v>0</v>
      </c>
      <c r="AT53" s="61">
        <f t="shared" si="15"/>
        <v>0</v>
      </c>
      <c r="AU53" s="61">
        <f t="shared" si="15"/>
        <v>0</v>
      </c>
      <c r="AV53" s="61">
        <f t="shared" si="15"/>
        <v>0</v>
      </c>
      <c r="AW53" s="61">
        <f t="shared" si="15"/>
        <v>0</v>
      </c>
      <c r="AX53" s="61">
        <f t="shared" si="15"/>
        <v>0</v>
      </c>
      <c r="AY53" s="61">
        <f t="shared" si="15"/>
        <v>0</v>
      </c>
      <c r="AZ53" s="61">
        <f t="shared" si="15"/>
        <v>0</v>
      </c>
      <c r="BA53" s="207">
        <f t="shared" si="15"/>
        <v>0</v>
      </c>
      <c r="BC53" s="61">
        <f t="shared" ref="BC53:CB53" si="16">SUM(BC5:BC52)</f>
        <v>0</v>
      </c>
      <c r="BD53" s="61">
        <f t="shared" si="16"/>
        <v>0</v>
      </c>
      <c r="BE53" s="61">
        <f t="shared" si="16"/>
        <v>0</v>
      </c>
      <c r="BF53" s="61">
        <f t="shared" si="16"/>
        <v>0</v>
      </c>
      <c r="BG53" s="61">
        <f t="shared" si="16"/>
        <v>0</v>
      </c>
      <c r="BH53" s="61">
        <f t="shared" si="16"/>
        <v>0</v>
      </c>
      <c r="BI53" s="61">
        <f t="shared" si="16"/>
        <v>0</v>
      </c>
      <c r="BJ53" s="61">
        <f t="shared" si="16"/>
        <v>0</v>
      </c>
      <c r="BK53" s="61">
        <f t="shared" si="16"/>
        <v>0</v>
      </c>
      <c r="BL53" s="61">
        <f t="shared" si="16"/>
        <v>0</v>
      </c>
      <c r="BM53" s="61">
        <f t="shared" si="16"/>
        <v>0</v>
      </c>
      <c r="BN53" s="61">
        <f t="shared" si="16"/>
        <v>0</v>
      </c>
      <c r="BO53" s="61">
        <f t="shared" si="16"/>
        <v>0</v>
      </c>
      <c r="BP53" s="61">
        <f t="shared" si="16"/>
        <v>0</v>
      </c>
      <c r="BQ53" s="61">
        <f t="shared" si="16"/>
        <v>0</v>
      </c>
      <c r="BR53" s="61">
        <f t="shared" si="16"/>
        <v>0</v>
      </c>
      <c r="BS53" s="61">
        <f t="shared" si="16"/>
        <v>0</v>
      </c>
      <c r="BT53" s="61">
        <f t="shared" si="16"/>
        <v>0</v>
      </c>
      <c r="BU53" s="61">
        <f t="shared" si="16"/>
        <v>0</v>
      </c>
      <c r="BV53" s="61">
        <f t="shared" si="16"/>
        <v>0</v>
      </c>
      <c r="BW53" s="61">
        <f t="shared" si="16"/>
        <v>0</v>
      </c>
      <c r="BX53" s="61">
        <f t="shared" si="16"/>
        <v>0</v>
      </c>
      <c r="BY53" s="61">
        <f t="shared" si="16"/>
        <v>0</v>
      </c>
      <c r="BZ53" s="61">
        <f t="shared" si="16"/>
        <v>0</v>
      </c>
      <c r="CA53" s="61">
        <f t="shared" si="16"/>
        <v>0</v>
      </c>
      <c r="CB53" s="207">
        <f t="shared" si="16"/>
        <v>0</v>
      </c>
      <c r="CD53" s="208">
        <f>(SUMIF(Fonctionnement[Affectation matrice],$AB$3,Fonctionnement[TVA acquittée])+SUMIF(Invest[Affectation matrice],$AB$3,Invest[TVA acquittée]))*BC53</f>
        <v>0</v>
      </c>
      <c r="CE53" s="208">
        <f>(SUMIF(Fonctionnement[Affectation matrice],$AB$3,Fonctionnement[TVA acquittée])+SUMIF(Invest[Affectation matrice],$AB$3,Invest[TVA acquittée]))*BD53</f>
        <v>0</v>
      </c>
      <c r="CF53" s="208">
        <f>(SUMIF(Fonctionnement[Affectation matrice],$AB$3,Fonctionnement[TVA acquittée])+SUMIF(Invest[Affectation matrice],$AB$3,Invest[TVA acquittée]))*BE53</f>
        <v>0</v>
      </c>
      <c r="CG53" s="208">
        <f>(SUMIF(Fonctionnement[Affectation matrice],$AB$3,Fonctionnement[TVA acquittée])+SUMIF(Invest[Affectation matrice],$AB$3,Invest[TVA acquittée]))*BF53</f>
        <v>0</v>
      </c>
      <c r="CH53" s="208">
        <f>(SUMIF(Fonctionnement[Affectation matrice],$AB$3,Fonctionnement[TVA acquittée])+SUMIF(Invest[Affectation matrice],$AB$3,Invest[TVA acquittée]))*BG53</f>
        <v>0</v>
      </c>
      <c r="CI53" s="208">
        <f>(SUMIF(Fonctionnement[Affectation matrice],$AB$3,Fonctionnement[TVA acquittée])+SUMIF(Invest[Affectation matrice],$AB$3,Invest[TVA acquittée]))*BH53</f>
        <v>0</v>
      </c>
      <c r="CJ53" s="208">
        <f>(SUMIF(Fonctionnement[Affectation matrice],$AB$3,Fonctionnement[TVA acquittée])+SUMIF(Invest[Affectation matrice],$AB$3,Invest[TVA acquittée]))*BI53</f>
        <v>0</v>
      </c>
      <c r="CK53" s="208">
        <f>(SUMIF(Fonctionnement[Affectation matrice],$AB$3,Fonctionnement[TVA acquittée])+SUMIF(Invest[Affectation matrice],$AB$3,Invest[TVA acquittée]))*BJ53</f>
        <v>0</v>
      </c>
      <c r="CL53" s="208">
        <f>(SUMIF(Fonctionnement[Affectation matrice],$AB$3,Fonctionnement[TVA acquittée])+SUMIF(Invest[Affectation matrice],$AB$3,Invest[TVA acquittée]))*BK53</f>
        <v>0</v>
      </c>
      <c r="CM53" s="208">
        <f>(SUMIF(Fonctionnement[Affectation matrice],$AB$3,Fonctionnement[TVA acquittée])+SUMIF(Invest[Affectation matrice],$AB$3,Invest[TVA acquittée]))*BL53</f>
        <v>0</v>
      </c>
      <c r="CN53" s="208">
        <f>(SUMIF(Fonctionnement[Affectation matrice],$AB$3,Fonctionnement[TVA acquittée])+SUMIF(Invest[Affectation matrice],$AB$3,Invest[TVA acquittée]))*BM53</f>
        <v>0</v>
      </c>
      <c r="CO53" s="208">
        <f>(SUMIF(Fonctionnement[Affectation matrice],$AB$3,Fonctionnement[TVA acquittée])+SUMIF(Invest[Affectation matrice],$AB$3,Invest[TVA acquittée]))*BN53</f>
        <v>0</v>
      </c>
      <c r="CP53" s="208">
        <f>(SUMIF(Fonctionnement[Affectation matrice],$AB$3,Fonctionnement[TVA acquittée])+SUMIF(Invest[Affectation matrice],$AB$3,Invest[TVA acquittée]))*BO53</f>
        <v>0</v>
      </c>
      <c r="CQ53" s="208">
        <f>(SUMIF(Fonctionnement[Affectation matrice],$AB$3,Fonctionnement[TVA acquittée])+SUMIF(Invest[Affectation matrice],$AB$3,Invest[TVA acquittée]))*BP53</f>
        <v>0</v>
      </c>
      <c r="CR53" s="208">
        <f>(SUMIF(Fonctionnement[Affectation matrice],$AB$3,Fonctionnement[TVA acquittée])+SUMIF(Invest[Affectation matrice],$AB$3,Invest[TVA acquittée]))*BQ53</f>
        <v>0</v>
      </c>
      <c r="CS53" s="208">
        <f>(SUMIF(Fonctionnement[Affectation matrice],$AB$3,Fonctionnement[TVA acquittée])+SUMIF(Invest[Affectation matrice],$AB$3,Invest[TVA acquittée]))*BR53</f>
        <v>0</v>
      </c>
      <c r="CT53" s="208">
        <f>(SUMIF(Fonctionnement[Affectation matrice],$AB$3,Fonctionnement[TVA acquittée])+SUMIF(Invest[Affectation matrice],$AB$3,Invest[TVA acquittée]))*BS53</f>
        <v>0</v>
      </c>
      <c r="CU53" s="208">
        <f>(SUMIF(Fonctionnement[Affectation matrice],$AB$3,Fonctionnement[TVA acquittée])+SUMIF(Invest[Affectation matrice],$AB$3,Invest[TVA acquittée]))*BT53</f>
        <v>0</v>
      </c>
      <c r="CV53" s="208">
        <f>(SUMIF(Fonctionnement[Affectation matrice],$AB$3,Fonctionnement[TVA acquittée])+SUMIF(Invest[Affectation matrice],$AB$3,Invest[TVA acquittée]))*BU53</f>
        <v>0</v>
      </c>
      <c r="CW53" s="208">
        <f>(SUMIF(Fonctionnement[Affectation matrice],$AB$3,Fonctionnement[TVA acquittée])+SUMIF(Invest[Affectation matrice],$AB$3,Invest[TVA acquittée]))*BV53</f>
        <v>0</v>
      </c>
      <c r="CX53" s="208">
        <f>(SUMIF(Fonctionnement[Affectation matrice],$AB$3,Fonctionnement[TVA acquittée])+SUMIF(Invest[Affectation matrice],$AB$3,Invest[TVA acquittée]))*BW53</f>
        <v>0</v>
      </c>
      <c r="CY53" s="208">
        <f>(SUMIF(Fonctionnement[Affectation matrice],$AB$3,Fonctionnement[TVA acquittée])+SUMIF(Invest[Affectation matrice],$AB$3,Invest[TVA acquittée]))*BX53</f>
        <v>0</v>
      </c>
      <c r="CZ53" s="208">
        <f>(SUMIF(Fonctionnement[Affectation matrice],$AB$3,Fonctionnement[TVA acquittée])+SUMIF(Invest[Affectation matrice],$AB$3,Invest[TVA acquittée]))*BY53</f>
        <v>0</v>
      </c>
      <c r="DA53" s="208">
        <f>(SUMIF(Fonctionnement[Affectation matrice],$AB$3,Fonctionnement[TVA acquittée])+SUMIF(Invest[Affectation matrice],$AB$3,Invest[TVA acquittée]))*BZ53</f>
        <v>0</v>
      </c>
      <c r="DB53" s="208">
        <f>(SUMIF(Fonctionnement[Affectation matrice],$AB$3,Fonctionnement[TVA acquittée])+SUMIF(Invest[Affectation matrice],$AB$3,Invest[TVA acquittée]))*CA53</f>
        <v>0</v>
      </c>
    </row>
    <row r="55" spans="1:107" x14ac:dyDescent="0.25">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C55" s="209"/>
      <c r="BD55" s="209"/>
      <c r="BE55" s="209"/>
      <c r="BF55" s="209"/>
      <c r="BG55" s="209"/>
      <c r="BH55" s="209"/>
      <c r="BI55" s="209"/>
      <c r="BJ55" s="209"/>
      <c r="BK55" s="209"/>
      <c r="BL55" s="209"/>
      <c r="BM55" s="209"/>
      <c r="BN55" s="209"/>
      <c r="BO55" s="209"/>
      <c r="BP55" s="209"/>
      <c r="BQ55" s="209"/>
      <c r="BR55" s="209"/>
      <c r="BS55" s="209"/>
      <c r="BT55" s="209"/>
      <c r="BU55" s="209"/>
      <c r="BV55" s="209"/>
      <c r="BW55" s="209"/>
      <c r="BX55" s="209"/>
      <c r="BY55" s="209"/>
      <c r="BZ55" s="209"/>
      <c r="CA55" s="209"/>
      <c r="CB55" s="209"/>
    </row>
    <row r="56" spans="1:107" ht="21" x14ac:dyDescent="0.4">
      <c r="A56" s="257" t="s">
        <v>1102</v>
      </c>
    </row>
    <row r="58" spans="1:107" x14ac:dyDescent="0.25">
      <c r="A58" s="301"/>
      <c r="B58"/>
      <c r="C58"/>
      <c r="D58"/>
      <c r="E58"/>
      <c r="F58"/>
      <c r="G58"/>
      <c r="H58"/>
      <c r="I58"/>
      <c r="J58"/>
      <c r="K58"/>
      <c r="L58"/>
      <c r="M58"/>
      <c r="N58"/>
      <c r="O58"/>
      <c r="P58"/>
      <c r="Q58"/>
      <c r="R58"/>
      <c r="S58"/>
      <c r="T58"/>
      <c r="U58"/>
      <c r="V58"/>
      <c r="W58"/>
      <c r="X58"/>
      <c r="Y58"/>
      <c r="Z58"/>
      <c r="AA58"/>
      <c r="AB58" s="61">
        <f>SUMIF(CODE,$A58,'4 - Codes matrice'!CF$4:CF$99)</f>
        <v>0</v>
      </c>
      <c r="AC58" s="61">
        <f>SUMIF(CODE,$A58,'4 - Codes matrice'!CG$4:CG$99)</f>
        <v>0</v>
      </c>
      <c r="AD58" s="61">
        <f>SUMIF(CODE,$A58,'4 - Codes matrice'!CH$4:CH$99)</f>
        <v>0</v>
      </c>
      <c r="AE58" s="61">
        <f>SUMIF(CODE,$A58,'4 - Codes matrice'!CI$4:CI$99)</f>
        <v>0</v>
      </c>
      <c r="AF58" s="61">
        <f>SUMIF(CODE,$A58,'4 - Codes matrice'!CJ$4:CJ$99)</f>
        <v>0</v>
      </c>
      <c r="AG58" s="61">
        <f>SUMIF(CODE,$A58,'4 - Codes matrice'!CK$4:CK$99)</f>
        <v>0</v>
      </c>
      <c r="AH58" s="61">
        <f>SUMIF(CODE,$A58,'4 - Codes matrice'!CL$4:CL$99)</f>
        <v>0</v>
      </c>
      <c r="AI58" s="61">
        <f>SUMIF(CODE,$A58,'4 - Codes matrice'!CM$4:CM$99)</f>
        <v>0</v>
      </c>
      <c r="AJ58" s="61">
        <f>SUMIF(CODE,$A58,'4 - Codes matrice'!CN$4:CN$99)</f>
        <v>0</v>
      </c>
      <c r="AK58" s="61">
        <f>SUMIF(CODE,$A58,'4 - Codes matrice'!CO$4:CO$99)</f>
        <v>0</v>
      </c>
      <c r="AL58" s="61">
        <f>SUMIF(CODE,$A58,'4 - Codes matrice'!CP$4:CP$99)</f>
        <v>0</v>
      </c>
      <c r="AM58" s="61">
        <f>SUMIF(CODE,$A58,'4 - Codes matrice'!CQ$4:CQ$99)</f>
        <v>0</v>
      </c>
      <c r="AN58" s="61">
        <f>SUMIF(CODE,$A58,'4 - Codes matrice'!CR$4:CR$99)</f>
        <v>0</v>
      </c>
      <c r="AO58" s="61">
        <f>SUMIF(CODE,$A58,'4 - Codes matrice'!CS$4:CS$99)</f>
        <v>0</v>
      </c>
      <c r="AP58" s="61">
        <f>SUMIF(CODE,$A58,'4 - Codes matrice'!CT$4:CT$99)</f>
        <v>0</v>
      </c>
      <c r="AQ58" s="61">
        <f>SUMIF(CODE,$A58,'4 - Codes matrice'!CU$4:CU$99)</f>
        <v>0</v>
      </c>
      <c r="AR58" s="61">
        <f>SUMIF(CODE,$A58,'4 - Codes matrice'!CV$4:CV$99)</f>
        <v>0</v>
      </c>
      <c r="AS58" s="61">
        <f>SUMIF(CODE,$A58,'4 - Codes matrice'!CW$4:CW$99)</f>
        <v>0</v>
      </c>
      <c r="AT58" s="61">
        <f>SUMIF(CODE,$A58,'4 - Codes matrice'!CX$4:CX$99)</f>
        <v>0</v>
      </c>
      <c r="AU58" s="61">
        <f>SUMIF(CODE,$A58,'4 - Codes matrice'!CY$4:CY$99)</f>
        <v>0</v>
      </c>
      <c r="AV58" s="61">
        <f>SUMIF(CODE,$A58,'4 - Codes matrice'!CZ$4:CZ$99)</f>
        <v>0</v>
      </c>
      <c r="AW58" s="61">
        <f>SUMIF(CODE,$A58,'4 - Codes matrice'!DA$4:DA$99)</f>
        <v>0</v>
      </c>
      <c r="AX58" s="61">
        <f>SUMIF(CODE,$A58,'4 - Codes matrice'!DB$4:DB$99)</f>
        <v>0</v>
      </c>
      <c r="AY58" s="61">
        <f>SUMIF(CODE,$A58,'4 - Codes matrice'!DC$4:DC$99)</f>
        <v>0</v>
      </c>
      <c r="AZ58" s="61">
        <f>SUMIF(CODE,$A58,'4 - Codes matrice'!DD$4:DD$99)</f>
        <v>0</v>
      </c>
      <c r="BA58" s="284">
        <f>SUM(AB58:AZ58)</f>
        <v>0</v>
      </c>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row>
    <row r="59" spans="1:107" x14ac:dyDescent="0.25">
      <c r="A59" s="301"/>
      <c r="B59"/>
      <c r="C59"/>
      <c r="D59"/>
      <c r="E59"/>
      <c r="F59"/>
      <c r="G59"/>
      <c r="H59"/>
      <c r="I59"/>
      <c r="J59"/>
      <c r="K59"/>
      <c r="L59"/>
      <c r="M59"/>
      <c r="N59"/>
      <c r="O59"/>
      <c r="P59"/>
      <c r="Q59"/>
      <c r="R59"/>
      <c r="S59"/>
      <c r="T59"/>
      <c r="U59"/>
      <c r="V59"/>
      <c r="W59"/>
      <c r="X59"/>
      <c r="Y59"/>
      <c r="Z59"/>
      <c r="AA59"/>
      <c r="AB59" s="61">
        <f>SUMIF(CODE,$A59,'4 - Codes matrice'!CF$4:CF$99)</f>
        <v>0</v>
      </c>
      <c r="AC59" s="61">
        <f>SUMIF(CODE,$A59,'4 - Codes matrice'!CG$4:CG$99)</f>
        <v>0</v>
      </c>
      <c r="AD59" s="61">
        <f>SUMIF(CODE,$A59,'4 - Codes matrice'!CH$4:CH$99)</f>
        <v>0</v>
      </c>
      <c r="AE59" s="61">
        <f>SUMIF(CODE,$A59,'4 - Codes matrice'!CI$4:CI$99)</f>
        <v>0</v>
      </c>
      <c r="AF59" s="61">
        <f>SUMIF(CODE,$A59,'4 - Codes matrice'!CJ$4:CJ$99)</f>
        <v>0</v>
      </c>
      <c r="AG59" s="61">
        <f>SUMIF(CODE,$A59,'4 - Codes matrice'!CK$4:CK$99)</f>
        <v>0</v>
      </c>
      <c r="AH59" s="61">
        <f>SUMIF(CODE,$A59,'4 - Codes matrice'!CL$4:CL$99)</f>
        <v>0</v>
      </c>
      <c r="AI59" s="61">
        <f>SUMIF(CODE,$A59,'4 - Codes matrice'!CM$4:CM$99)</f>
        <v>0</v>
      </c>
      <c r="AJ59" s="61">
        <f>SUMIF(CODE,$A59,'4 - Codes matrice'!CN$4:CN$99)</f>
        <v>0</v>
      </c>
      <c r="AK59" s="61">
        <f>SUMIF(CODE,$A59,'4 - Codes matrice'!CO$4:CO$99)</f>
        <v>0</v>
      </c>
      <c r="AL59" s="61">
        <f>SUMIF(CODE,$A59,'4 - Codes matrice'!CP$4:CP$99)</f>
        <v>0</v>
      </c>
      <c r="AM59" s="61">
        <f>SUMIF(CODE,$A59,'4 - Codes matrice'!CQ$4:CQ$99)</f>
        <v>0</v>
      </c>
      <c r="AN59" s="61">
        <f>SUMIF(CODE,$A59,'4 - Codes matrice'!CR$4:CR$99)</f>
        <v>0</v>
      </c>
      <c r="AO59" s="61">
        <f>SUMIF(CODE,$A59,'4 - Codes matrice'!CS$4:CS$99)</f>
        <v>0</v>
      </c>
      <c r="AP59" s="61">
        <f>SUMIF(CODE,$A59,'4 - Codes matrice'!CT$4:CT$99)</f>
        <v>0</v>
      </c>
      <c r="AQ59" s="61">
        <f>SUMIF(CODE,$A59,'4 - Codes matrice'!CU$4:CU$99)</f>
        <v>0</v>
      </c>
      <c r="AR59" s="61">
        <f>SUMIF(CODE,$A59,'4 - Codes matrice'!CV$4:CV$99)</f>
        <v>0</v>
      </c>
      <c r="AS59" s="61">
        <f>SUMIF(CODE,$A59,'4 - Codes matrice'!CW$4:CW$99)</f>
        <v>0</v>
      </c>
      <c r="AT59" s="61">
        <f>SUMIF(CODE,$A59,'4 - Codes matrice'!CX$4:CX$99)</f>
        <v>0</v>
      </c>
      <c r="AU59" s="61">
        <f>SUMIF(CODE,$A59,'4 - Codes matrice'!CY$4:CY$99)</f>
        <v>0</v>
      </c>
      <c r="AV59" s="61">
        <f>SUMIF(CODE,$A59,'4 - Codes matrice'!CZ$4:CZ$99)</f>
        <v>0</v>
      </c>
      <c r="AW59" s="61">
        <f>SUMIF(CODE,$A59,'4 - Codes matrice'!DA$4:DA$99)</f>
        <v>0</v>
      </c>
      <c r="AX59" s="61">
        <f>SUMIF(CODE,$A59,'4 - Codes matrice'!DB$4:DB$99)</f>
        <v>0</v>
      </c>
      <c r="AY59" s="61">
        <f>SUMIF(CODE,$A59,'4 - Codes matrice'!DC$4:DC$99)</f>
        <v>0</v>
      </c>
      <c r="AZ59" s="61">
        <f>SUMIF(CODE,$A59,'4 - Codes matrice'!DD$4:DD$99)</f>
        <v>0</v>
      </c>
      <c r="BA59" s="284">
        <f t="shared" ref="BA59:BA64" si="17">SUM(AB59:AZ59)</f>
        <v>0</v>
      </c>
    </row>
    <row r="60" spans="1:107" x14ac:dyDescent="0.25">
      <c r="A60" s="301"/>
      <c r="B60"/>
      <c r="C60"/>
      <c r="D60"/>
      <c r="E60"/>
      <c r="F60"/>
      <c r="G60"/>
      <c r="H60"/>
      <c r="I60"/>
      <c r="J60"/>
      <c r="K60"/>
      <c r="L60"/>
      <c r="M60"/>
      <c r="N60"/>
      <c r="O60"/>
      <c r="P60"/>
      <c r="Q60"/>
      <c r="R60"/>
      <c r="S60"/>
      <c r="T60"/>
      <c r="U60"/>
      <c r="V60"/>
      <c r="W60"/>
      <c r="X60"/>
      <c r="Y60"/>
      <c r="Z60"/>
      <c r="AA60"/>
      <c r="AB60" s="61">
        <f>SUMIF(CODE,$A60,'4 - Codes matrice'!CF$4:CF$99)</f>
        <v>0</v>
      </c>
      <c r="AC60" s="61">
        <f>SUMIF(CODE,$A60,'4 - Codes matrice'!CG$4:CG$99)</f>
        <v>0</v>
      </c>
      <c r="AD60" s="61">
        <f>SUMIF(CODE,$A60,'4 - Codes matrice'!CH$4:CH$99)</f>
        <v>0</v>
      </c>
      <c r="AE60" s="61">
        <f>SUMIF(CODE,$A60,'4 - Codes matrice'!CI$4:CI$99)</f>
        <v>0</v>
      </c>
      <c r="AF60" s="61">
        <f>SUMIF(CODE,$A60,'4 - Codes matrice'!CJ$4:CJ$99)</f>
        <v>0</v>
      </c>
      <c r="AG60" s="61">
        <f>SUMIF(CODE,$A60,'4 - Codes matrice'!CK$4:CK$99)</f>
        <v>0</v>
      </c>
      <c r="AH60" s="61">
        <f>SUMIF(CODE,$A60,'4 - Codes matrice'!CL$4:CL$99)</f>
        <v>0</v>
      </c>
      <c r="AI60" s="61">
        <f>SUMIF(CODE,$A60,'4 - Codes matrice'!CM$4:CM$99)</f>
        <v>0</v>
      </c>
      <c r="AJ60" s="61">
        <f>SUMIF(CODE,$A60,'4 - Codes matrice'!CN$4:CN$99)</f>
        <v>0</v>
      </c>
      <c r="AK60" s="61">
        <f>SUMIF(CODE,$A60,'4 - Codes matrice'!CO$4:CO$99)</f>
        <v>0</v>
      </c>
      <c r="AL60" s="61">
        <f>SUMIF(CODE,$A60,'4 - Codes matrice'!CP$4:CP$99)</f>
        <v>0</v>
      </c>
      <c r="AM60" s="61">
        <f>SUMIF(CODE,$A60,'4 - Codes matrice'!CQ$4:CQ$99)</f>
        <v>0</v>
      </c>
      <c r="AN60" s="61">
        <f>SUMIF(CODE,$A60,'4 - Codes matrice'!CR$4:CR$99)</f>
        <v>0</v>
      </c>
      <c r="AO60" s="61">
        <f>SUMIF(CODE,$A60,'4 - Codes matrice'!CS$4:CS$99)</f>
        <v>0</v>
      </c>
      <c r="AP60" s="61">
        <f>SUMIF(CODE,$A60,'4 - Codes matrice'!CT$4:CT$99)</f>
        <v>0</v>
      </c>
      <c r="AQ60" s="61">
        <f>SUMIF(CODE,$A60,'4 - Codes matrice'!CU$4:CU$99)</f>
        <v>0</v>
      </c>
      <c r="AR60" s="61">
        <f>SUMIF(CODE,$A60,'4 - Codes matrice'!CV$4:CV$99)</f>
        <v>0</v>
      </c>
      <c r="AS60" s="61">
        <f>SUMIF(CODE,$A60,'4 - Codes matrice'!CW$4:CW$99)</f>
        <v>0</v>
      </c>
      <c r="AT60" s="61">
        <f>SUMIF(CODE,$A60,'4 - Codes matrice'!CX$4:CX$99)</f>
        <v>0</v>
      </c>
      <c r="AU60" s="61">
        <f>SUMIF(CODE,$A60,'4 - Codes matrice'!CY$4:CY$99)</f>
        <v>0</v>
      </c>
      <c r="AV60" s="61">
        <f>SUMIF(CODE,$A60,'4 - Codes matrice'!CZ$4:CZ$99)</f>
        <v>0</v>
      </c>
      <c r="AW60" s="61">
        <f>SUMIF(CODE,$A60,'4 - Codes matrice'!DA$4:DA$99)</f>
        <v>0</v>
      </c>
      <c r="AX60" s="61">
        <f>SUMIF(CODE,$A60,'4 - Codes matrice'!DB$4:DB$99)</f>
        <v>0</v>
      </c>
      <c r="AY60" s="61">
        <f>SUMIF(CODE,$A60,'4 - Codes matrice'!DC$4:DC$99)</f>
        <v>0</v>
      </c>
      <c r="AZ60" s="61">
        <f>SUMIF(CODE,$A60,'4 - Codes matrice'!DD$4:DD$99)</f>
        <v>0</v>
      </c>
      <c r="BA60" s="284">
        <f t="shared" si="17"/>
        <v>0</v>
      </c>
    </row>
    <row r="61" spans="1:107" x14ac:dyDescent="0.25">
      <c r="A61" s="301"/>
      <c r="B61"/>
      <c r="C61"/>
      <c r="D61"/>
      <c r="E61"/>
      <c r="F61"/>
      <c r="G61"/>
      <c r="H61"/>
      <c r="I61"/>
      <c r="J61"/>
      <c r="K61"/>
      <c r="L61"/>
      <c r="M61"/>
      <c r="N61"/>
      <c r="O61"/>
      <c r="P61"/>
      <c r="Q61"/>
      <c r="R61"/>
      <c r="S61"/>
      <c r="T61"/>
      <c r="U61"/>
      <c r="V61"/>
      <c r="W61"/>
      <c r="X61"/>
      <c r="Y61"/>
      <c r="Z61"/>
      <c r="AA61"/>
      <c r="AB61" s="61">
        <f>SUMIF(CODE,$A61,'4 - Codes matrice'!CF$4:CF$99)</f>
        <v>0</v>
      </c>
      <c r="AC61" s="61">
        <f>SUMIF(CODE,$A61,'4 - Codes matrice'!CG$4:CG$99)</f>
        <v>0</v>
      </c>
      <c r="AD61" s="61">
        <f>SUMIF(CODE,$A61,'4 - Codes matrice'!CH$4:CH$99)</f>
        <v>0</v>
      </c>
      <c r="AE61" s="61">
        <f>SUMIF(CODE,$A61,'4 - Codes matrice'!CI$4:CI$99)</f>
        <v>0</v>
      </c>
      <c r="AF61" s="61">
        <f>SUMIF(CODE,$A61,'4 - Codes matrice'!CJ$4:CJ$99)</f>
        <v>0</v>
      </c>
      <c r="AG61" s="61">
        <f>SUMIF(CODE,$A61,'4 - Codes matrice'!CK$4:CK$99)</f>
        <v>0</v>
      </c>
      <c r="AH61" s="61">
        <f>SUMIF(CODE,$A61,'4 - Codes matrice'!CL$4:CL$99)</f>
        <v>0</v>
      </c>
      <c r="AI61" s="61">
        <f>SUMIF(CODE,$A61,'4 - Codes matrice'!CM$4:CM$99)</f>
        <v>0</v>
      </c>
      <c r="AJ61" s="61">
        <f>SUMIF(CODE,$A61,'4 - Codes matrice'!CN$4:CN$99)</f>
        <v>0</v>
      </c>
      <c r="AK61" s="61">
        <f>SUMIF(CODE,$A61,'4 - Codes matrice'!CO$4:CO$99)</f>
        <v>0</v>
      </c>
      <c r="AL61" s="61">
        <f>SUMIF(CODE,$A61,'4 - Codes matrice'!CP$4:CP$99)</f>
        <v>0</v>
      </c>
      <c r="AM61" s="61">
        <f>SUMIF(CODE,$A61,'4 - Codes matrice'!CQ$4:CQ$99)</f>
        <v>0</v>
      </c>
      <c r="AN61" s="61">
        <f>SUMIF(CODE,$A61,'4 - Codes matrice'!CR$4:CR$99)</f>
        <v>0</v>
      </c>
      <c r="AO61" s="61">
        <f>SUMIF(CODE,$A61,'4 - Codes matrice'!CS$4:CS$99)</f>
        <v>0</v>
      </c>
      <c r="AP61" s="61">
        <f>SUMIF(CODE,$A61,'4 - Codes matrice'!CT$4:CT$99)</f>
        <v>0</v>
      </c>
      <c r="AQ61" s="61">
        <f>SUMIF(CODE,$A61,'4 - Codes matrice'!CU$4:CU$99)</f>
        <v>0</v>
      </c>
      <c r="AR61" s="61">
        <f>SUMIF(CODE,$A61,'4 - Codes matrice'!CV$4:CV$99)</f>
        <v>0</v>
      </c>
      <c r="AS61" s="61">
        <f>SUMIF(CODE,$A61,'4 - Codes matrice'!CW$4:CW$99)</f>
        <v>0</v>
      </c>
      <c r="AT61" s="61">
        <f>SUMIF(CODE,$A61,'4 - Codes matrice'!CX$4:CX$99)</f>
        <v>0</v>
      </c>
      <c r="AU61" s="61">
        <f>SUMIF(CODE,$A61,'4 - Codes matrice'!CY$4:CY$99)</f>
        <v>0</v>
      </c>
      <c r="AV61" s="61">
        <f>SUMIF(CODE,$A61,'4 - Codes matrice'!CZ$4:CZ$99)</f>
        <v>0</v>
      </c>
      <c r="AW61" s="61">
        <f>SUMIF(CODE,$A61,'4 - Codes matrice'!DA$4:DA$99)</f>
        <v>0</v>
      </c>
      <c r="AX61" s="61">
        <f>SUMIF(CODE,$A61,'4 - Codes matrice'!DB$4:DB$99)</f>
        <v>0</v>
      </c>
      <c r="AY61" s="61">
        <f>SUMIF(CODE,$A61,'4 - Codes matrice'!DC$4:DC$99)</f>
        <v>0</v>
      </c>
      <c r="AZ61" s="61">
        <f>SUMIF(CODE,$A61,'4 - Codes matrice'!DD$4:DD$99)</f>
        <v>0</v>
      </c>
      <c r="BA61" s="284">
        <f t="shared" si="17"/>
        <v>0</v>
      </c>
    </row>
    <row r="62" spans="1:107" x14ac:dyDescent="0.25">
      <c r="A62" s="301"/>
      <c r="B62"/>
      <c r="C62"/>
      <c r="D62"/>
      <c r="E62"/>
      <c r="F62"/>
      <c r="G62"/>
      <c r="H62"/>
      <c r="I62"/>
      <c r="J62"/>
      <c r="K62"/>
      <c r="L62"/>
      <c r="M62"/>
      <c r="N62"/>
      <c r="O62"/>
      <c r="P62"/>
      <c r="Q62"/>
      <c r="R62"/>
      <c r="S62"/>
      <c r="T62"/>
      <c r="U62"/>
      <c r="V62"/>
      <c r="W62"/>
      <c r="X62"/>
      <c r="Y62"/>
      <c r="Z62"/>
      <c r="AA62"/>
      <c r="AB62" s="61">
        <f>SUMIF(CODE,$A62,'4 - Codes matrice'!CF$4:CF$99)</f>
        <v>0</v>
      </c>
      <c r="AC62" s="61">
        <f>SUMIF(CODE,$A62,'4 - Codes matrice'!CG$4:CG$99)</f>
        <v>0</v>
      </c>
      <c r="AD62" s="61">
        <f>SUMIF(CODE,$A62,'4 - Codes matrice'!CH$4:CH$99)</f>
        <v>0</v>
      </c>
      <c r="AE62" s="61">
        <f>SUMIF(CODE,$A62,'4 - Codes matrice'!CI$4:CI$99)</f>
        <v>0</v>
      </c>
      <c r="AF62" s="61">
        <f>SUMIF(CODE,$A62,'4 - Codes matrice'!CJ$4:CJ$99)</f>
        <v>0</v>
      </c>
      <c r="AG62" s="61">
        <f>SUMIF(CODE,$A62,'4 - Codes matrice'!CK$4:CK$99)</f>
        <v>0</v>
      </c>
      <c r="AH62" s="61">
        <f>SUMIF(CODE,$A62,'4 - Codes matrice'!CL$4:CL$99)</f>
        <v>0</v>
      </c>
      <c r="AI62" s="61">
        <f>SUMIF(CODE,$A62,'4 - Codes matrice'!CM$4:CM$99)</f>
        <v>0</v>
      </c>
      <c r="AJ62" s="61">
        <f>SUMIF(CODE,$A62,'4 - Codes matrice'!CN$4:CN$99)</f>
        <v>0</v>
      </c>
      <c r="AK62" s="61">
        <f>SUMIF(CODE,$A62,'4 - Codes matrice'!CO$4:CO$99)</f>
        <v>0</v>
      </c>
      <c r="AL62" s="61">
        <f>SUMIF(CODE,$A62,'4 - Codes matrice'!CP$4:CP$99)</f>
        <v>0</v>
      </c>
      <c r="AM62" s="61">
        <f>SUMIF(CODE,$A62,'4 - Codes matrice'!CQ$4:CQ$99)</f>
        <v>0</v>
      </c>
      <c r="AN62" s="61">
        <f>SUMIF(CODE,$A62,'4 - Codes matrice'!CR$4:CR$99)</f>
        <v>0</v>
      </c>
      <c r="AO62" s="61">
        <f>SUMIF(CODE,$A62,'4 - Codes matrice'!CS$4:CS$99)</f>
        <v>0</v>
      </c>
      <c r="AP62" s="61">
        <f>SUMIF(CODE,$A62,'4 - Codes matrice'!CT$4:CT$99)</f>
        <v>0</v>
      </c>
      <c r="AQ62" s="61">
        <f>SUMIF(CODE,$A62,'4 - Codes matrice'!CU$4:CU$99)</f>
        <v>0</v>
      </c>
      <c r="AR62" s="61">
        <f>SUMIF(CODE,$A62,'4 - Codes matrice'!CV$4:CV$99)</f>
        <v>0</v>
      </c>
      <c r="AS62" s="61">
        <f>SUMIF(CODE,$A62,'4 - Codes matrice'!CW$4:CW$99)</f>
        <v>0</v>
      </c>
      <c r="AT62" s="61">
        <f>SUMIF(CODE,$A62,'4 - Codes matrice'!CX$4:CX$99)</f>
        <v>0</v>
      </c>
      <c r="AU62" s="61">
        <f>SUMIF(CODE,$A62,'4 - Codes matrice'!CY$4:CY$99)</f>
        <v>0</v>
      </c>
      <c r="AV62" s="61">
        <f>SUMIF(CODE,$A62,'4 - Codes matrice'!CZ$4:CZ$99)</f>
        <v>0</v>
      </c>
      <c r="AW62" s="61">
        <f>SUMIF(CODE,$A62,'4 - Codes matrice'!DA$4:DA$99)</f>
        <v>0</v>
      </c>
      <c r="AX62" s="61">
        <f>SUMIF(CODE,$A62,'4 - Codes matrice'!DB$4:DB$99)</f>
        <v>0</v>
      </c>
      <c r="AY62" s="61">
        <f>SUMIF(CODE,$A62,'4 - Codes matrice'!DC$4:DC$99)</f>
        <v>0</v>
      </c>
      <c r="AZ62" s="61">
        <f>SUMIF(CODE,$A62,'4 - Codes matrice'!DD$4:DD$99)</f>
        <v>0</v>
      </c>
      <c r="BA62" s="284">
        <f t="shared" si="17"/>
        <v>0</v>
      </c>
    </row>
    <row r="63" spans="1:107" x14ac:dyDescent="0.25">
      <c r="A63" s="301"/>
      <c r="B63"/>
      <c r="C63"/>
      <c r="D63"/>
      <c r="E63"/>
      <c r="F63"/>
      <c r="G63"/>
      <c r="H63"/>
      <c r="I63"/>
      <c r="J63"/>
      <c r="K63"/>
      <c r="L63"/>
      <c r="M63"/>
      <c r="N63"/>
      <c r="O63"/>
      <c r="P63"/>
      <c r="Q63"/>
      <c r="R63"/>
      <c r="S63"/>
      <c r="T63"/>
      <c r="U63"/>
      <c r="V63"/>
      <c r="W63"/>
      <c r="X63"/>
      <c r="Y63"/>
      <c r="Z63"/>
      <c r="AA63"/>
      <c r="AB63" s="61">
        <f>SUMIF(CODE,$A63,'4 - Codes matrice'!CF$4:CF$99)</f>
        <v>0</v>
      </c>
      <c r="AC63" s="61">
        <f>SUMIF(CODE,$A63,'4 - Codes matrice'!CG$4:CG$99)</f>
        <v>0</v>
      </c>
      <c r="AD63" s="61">
        <f>SUMIF(CODE,$A63,'4 - Codes matrice'!CH$4:CH$99)</f>
        <v>0</v>
      </c>
      <c r="AE63" s="61">
        <f>SUMIF(CODE,$A63,'4 - Codes matrice'!CI$4:CI$99)</f>
        <v>0</v>
      </c>
      <c r="AF63" s="61">
        <f>SUMIF(CODE,$A63,'4 - Codes matrice'!CJ$4:CJ$99)</f>
        <v>0</v>
      </c>
      <c r="AG63" s="61">
        <f>SUMIF(CODE,$A63,'4 - Codes matrice'!CK$4:CK$99)</f>
        <v>0</v>
      </c>
      <c r="AH63" s="61">
        <f>SUMIF(CODE,$A63,'4 - Codes matrice'!CL$4:CL$99)</f>
        <v>0</v>
      </c>
      <c r="AI63" s="61">
        <f>SUMIF(CODE,$A63,'4 - Codes matrice'!CM$4:CM$99)</f>
        <v>0</v>
      </c>
      <c r="AJ63" s="61">
        <f>SUMIF(CODE,$A63,'4 - Codes matrice'!CN$4:CN$99)</f>
        <v>0</v>
      </c>
      <c r="AK63" s="61">
        <f>SUMIF(CODE,$A63,'4 - Codes matrice'!CO$4:CO$99)</f>
        <v>0</v>
      </c>
      <c r="AL63" s="61">
        <f>SUMIF(CODE,$A63,'4 - Codes matrice'!CP$4:CP$99)</f>
        <v>0</v>
      </c>
      <c r="AM63" s="61">
        <f>SUMIF(CODE,$A63,'4 - Codes matrice'!CQ$4:CQ$99)</f>
        <v>0</v>
      </c>
      <c r="AN63" s="61">
        <f>SUMIF(CODE,$A63,'4 - Codes matrice'!CR$4:CR$99)</f>
        <v>0</v>
      </c>
      <c r="AO63" s="61">
        <f>SUMIF(CODE,$A63,'4 - Codes matrice'!CS$4:CS$99)</f>
        <v>0</v>
      </c>
      <c r="AP63" s="61">
        <f>SUMIF(CODE,$A63,'4 - Codes matrice'!CT$4:CT$99)</f>
        <v>0</v>
      </c>
      <c r="AQ63" s="61">
        <f>SUMIF(CODE,$A63,'4 - Codes matrice'!CU$4:CU$99)</f>
        <v>0</v>
      </c>
      <c r="AR63" s="61">
        <f>SUMIF(CODE,$A63,'4 - Codes matrice'!CV$4:CV$99)</f>
        <v>0</v>
      </c>
      <c r="AS63" s="61">
        <f>SUMIF(CODE,$A63,'4 - Codes matrice'!CW$4:CW$99)</f>
        <v>0</v>
      </c>
      <c r="AT63" s="61">
        <f>SUMIF(CODE,$A63,'4 - Codes matrice'!CX$4:CX$99)</f>
        <v>0</v>
      </c>
      <c r="AU63" s="61">
        <f>SUMIF(CODE,$A63,'4 - Codes matrice'!CY$4:CY$99)</f>
        <v>0</v>
      </c>
      <c r="AV63" s="61">
        <f>SUMIF(CODE,$A63,'4 - Codes matrice'!CZ$4:CZ$99)</f>
        <v>0</v>
      </c>
      <c r="AW63" s="61">
        <f>SUMIF(CODE,$A63,'4 - Codes matrice'!DA$4:DA$99)</f>
        <v>0</v>
      </c>
      <c r="AX63" s="61">
        <f>SUMIF(CODE,$A63,'4 - Codes matrice'!DB$4:DB$99)</f>
        <v>0</v>
      </c>
      <c r="AY63" s="61">
        <f>SUMIF(CODE,$A63,'4 - Codes matrice'!DC$4:DC$99)</f>
        <v>0</v>
      </c>
      <c r="AZ63" s="61">
        <f>SUMIF(CODE,$A63,'4 - Codes matrice'!DD$4:DD$99)</f>
        <v>0</v>
      </c>
      <c r="BA63" s="284">
        <f t="shared" si="17"/>
        <v>0</v>
      </c>
    </row>
    <row r="64" spans="1:107" x14ac:dyDescent="0.25">
      <c r="A64" s="301"/>
      <c r="B64"/>
      <c r="C64"/>
      <c r="D64"/>
      <c r="E64"/>
      <c r="F64"/>
      <c r="G64"/>
      <c r="H64"/>
      <c r="I64"/>
      <c r="J64"/>
      <c r="K64"/>
      <c r="L64"/>
      <c r="M64"/>
      <c r="N64"/>
      <c r="O64"/>
      <c r="P64"/>
      <c r="Q64"/>
      <c r="R64"/>
      <c r="S64"/>
      <c r="T64"/>
      <c r="U64"/>
      <c r="V64"/>
      <c r="W64"/>
      <c r="X64"/>
      <c r="Y64"/>
      <c r="Z64"/>
      <c r="AA64"/>
      <c r="AB64" s="61">
        <f>SUMIF(CODE,$A64,'4 - Codes matrice'!CF$4:CF$99)</f>
        <v>0</v>
      </c>
      <c r="AC64" s="61">
        <f>SUMIF(CODE,$A64,'4 - Codes matrice'!CG$4:CG$99)</f>
        <v>0</v>
      </c>
      <c r="AD64" s="61">
        <f>SUMIF(CODE,$A64,'4 - Codes matrice'!CH$4:CH$99)</f>
        <v>0</v>
      </c>
      <c r="AE64" s="61">
        <f>SUMIF(CODE,$A64,'4 - Codes matrice'!CI$4:CI$99)</f>
        <v>0</v>
      </c>
      <c r="AF64" s="61">
        <f>SUMIF(CODE,$A64,'4 - Codes matrice'!CJ$4:CJ$99)</f>
        <v>0</v>
      </c>
      <c r="AG64" s="61">
        <f>SUMIF(CODE,$A64,'4 - Codes matrice'!CK$4:CK$99)</f>
        <v>0</v>
      </c>
      <c r="AH64" s="61">
        <f>SUMIF(CODE,$A64,'4 - Codes matrice'!CL$4:CL$99)</f>
        <v>0</v>
      </c>
      <c r="AI64" s="61">
        <f>SUMIF(CODE,$A64,'4 - Codes matrice'!CM$4:CM$99)</f>
        <v>0</v>
      </c>
      <c r="AJ64" s="61">
        <f>SUMIF(CODE,$A64,'4 - Codes matrice'!CN$4:CN$99)</f>
        <v>0</v>
      </c>
      <c r="AK64" s="61">
        <f>SUMIF(CODE,$A64,'4 - Codes matrice'!CO$4:CO$99)</f>
        <v>0</v>
      </c>
      <c r="AL64" s="61">
        <f>SUMIF(CODE,$A64,'4 - Codes matrice'!CP$4:CP$99)</f>
        <v>0</v>
      </c>
      <c r="AM64" s="61">
        <f>SUMIF(CODE,$A64,'4 - Codes matrice'!CQ$4:CQ$99)</f>
        <v>0</v>
      </c>
      <c r="AN64" s="61">
        <f>SUMIF(CODE,$A64,'4 - Codes matrice'!CR$4:CR$99)</f>
        <v>0</v>
      </c>
      <c r="AO64" s="61">
        <f>SUMIF(CODE,$A64,'4 - Codes matrice'!CS$4:CS$99)</f>
        <v>0</v>
      </c>
      <c r="AP64" s="61">
        <f>SUMIF(CODE,$A64,'4 - Codes matrice'!CT$4:CT$99)</f>
        <v>0</v>
      </c>
      <c r="AQ64" s="61">
        <f>SUMIF(CODE,$A64,'4 - Codes matrice'!CU$4:CU$99)</f>
        <v>0</v>
      </c>
      <c r="AR64" s="61">
        <f>SUMIF(CODE,$A64,'4 - Codes matrice'!CV$4:CV$99)</f>
        <v>0</v>
      </c>
      <c r="AS64" s="61">
        <f>SUMIF(CODE,$A64,'4 - Codes matrice'!CW$4:CW$99)</f>
        <v>0</v>
      </c>
      <c r="AT64" s="61">
        <f>SUMIF(CODE,$A64,'4 - Codes matrice'!CX$4:CX$99)</f>
        <v>0</v>
      </c>
      <c r="AU64" s="61">
        <f>SUMIF(CODE,$A64,'4 - Codes matrice'!CY$4:CY$99)</f>
        <v>0</v>
      </c>
      <c r="AV64" s="61">
        <f>SUMIF(CODE,$A64,'4 - Codes matrice'!CZ$4:CZ$99)</f>
        <v>0</v>
      </c>
      <c r="AW64" s="61">
        <f>SUMIF(CODE,$A64,'4 - Codes matrice'!DA$4:DA$99)</f>
        <v>0</v>
      </c>
      <c r="AX64" s="61">
        <f>SUMIF(CODE,$A64,'4 - Codes matrice'!DB$4:DB$99)</f>
        <v>0</v>
      </c>
      <c r="AY64" s="61">
        <f>SUMIF(CODE,$A64,'4 - Codes matrice'!DC$4:DC$99)</f>
        <v>0</v>
      </c>
      <c r="AZ64" s="61">
        <f>SUMIF(CODE,$A64,'4 - Codes matrice'!DD$4:DD$99)</f>
        <v>0</v>
      </c>
      <c r="BA64" s="284">
        <f t="shared" si="17"/>
        <v>0</v>
      </c>
    </row>
    <row r="66" spans="1:107" ht="21" x14ac:dyDescent="0.4">
      <c r="A66" s="257" t="s">
        <v>1103</v>
      </c>
    </row>
    <row r="68" spans="1:107" x14ac:dyDescent="0.25">
      <c r="A68" s="253" t="s">
        <v>219</v>
      </c>
      <c r="B68"/>
      <c r="C68"/>
      <c r="D68"/>
      <c r="E68"/>
      <c r="F68"/>
      <c r="G68"/>
      <c r="H68"/>
      <c r="I68"/>
      <c r="J68"/>
      <c r="K68"/>
      <c r="L68"/>
      <c r="M68"/>
      <c r="N68"/>
      <c r="O68"/>
      <c r="P68"/>
      <c r="Q68"/>
      <c r="R68"/>
      <c r="S68"/>
      <c r="T68"/>
      <c r="U68"/>
      <c r="V68"/>
      <c r="W68"/>
      <c r="X68"/>
      <c r="Y68"/>
      <c r="Z68"/>
      <c r="AA68"/>
      <c r="AB68" s="282">
        <f>'2 - Matrice finale'!B58</f>
        <v>0</v>
      </c>
      <c r="AC68" s="282">
        <f>'2 - Matrice finale'!C58</f>
        <v>0</v>
      </c>
      <c r="AD68" s="282">
        <f>'2 - Matrice finale'!D58</f>
        <v>0</v>
      </c>
      <c r="AE68" s="282">
        <f>'2 - Matrice finale'!E58</f>
        <v>0</v>
      </c>
      <c r="AF68" s="282">
        <f>'2 - Matrice finale'!F58</f>
        <v>0</v>
      </c>
      <c r="AG68" s="282">
        <f>'2 - Matrice finale'!G58</f>
        <v>0</v>
      </c>
      <c r="AH68" s="282">
        <f>'2 - Matrice finale'!H58</f>
        <v>0</v>
      </c>
      <c r="AI68" s="282">
        <f>'2 - Matrice finale'!I58</f>
        <v>0</v>
      </c>
      <c r="AJ68" s="282">
        <f>'2 - Matrice finale'!J58</f>
        <v>0</v>
      </c>
      <c r="AK68" s="282">
        <f>'2 - Matrice finale'!K58</f>
        <v>0</v>
      </c>
      <c r="AL68" s="282">
        <f>'2 - Matrice finale'!L58</f>
        <v>0</v>
      </c>
      <c r="AM68" s="282">
        <f>'2 - Matrice finale'!M58</f>
        <v>0</v>
      </c>
      <c r="AN68" s="282">
        <f>'2 - Matrice finale'!N58</f>
        <v>0</v>
      </c>
      <c r="AO68" s="282">
        <f>'2 - Matrice finale'!O58</f>
        <v>0</v>
      </c>
      <c r="AP68" s="282">
        <f>'2 - Matrice finale'!P58</f>
        <v>0</v>
      </c>
      <c r="AQ68" s="282">
        <f>'2 - Matrice finale'!Q58</f>
        <v>0</v>
      </c>
      <c r="AR68" s="282">
        <f>'2 - Matrice finale'!R58</f>
        <v>0</v>
      </c>
      <c r="AS68" s="282">
        <f>'2 - Matrice finale'!S58</f>
        <v>0</v>
      </c>
      <c r="AT68" s="282">
        <f>'2 - Matrice finale'!T58</f>
        <v>0</v>
      </c>
      <c r="AU68" s="282">
        <f>'2 - Matrice finale'!U58</f>
        <v>0</v>
      </c>
      <c r="AV68" s="282">
        <f>'2 - Matrice finale'!V58</f>
        <v>0</v>
      </c>
      <c r="AW68" s="282">
        <f>'2 - Matrice finale'!W58</f>
        <v>0</v>
      </c>
      <c r="AX68" s="282">
        <f>'2 - Matrice finale'!X58</f>
        <v>0</v>
      </c>
      <c r="AY68" s="282">
        <f>'2 - Matrice finale'!Y58</f>
        <v>0</v>
      </c>
      <c r="AZ68" s="282">
        <f>'2 - Matrice finale'!Z58</f>
        <v>0</v>
      </c>
      <c r="BA68" s="285"/>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row>
  </sheetData>
  <sheetProtection sheet="1" objects="1" scenarios="1" formatCells="0" formatColumns="0" formatRows="0"/>
  <mergeCells count="7">
    <mergeCell ref="CB3:CB4"/>
    <mergeCell ref="CD3:DB3"/>
    <mergeCell ref="AC2:AE2"/>
    <mergeCell ref="B3:Z3"/>
    <mergeCell ref="AC3:AZ3"/>
    <mergeCell ref="BA3:BA4"/>
    <mergeCell ref="BC3:CA3"/>
  </mergeCells>
  <conditionalFormatting sqref="A58:A64">
    <cfRule type="expression" dxfId="71" priority="4">
      <formula>OR(XFD58="Amortissement extra-comptable",XFD58="Reprise extra-comptable",XFD58="Non incorporable")</formula>
    </cfRule>
    <cfRule type="expression" dxfId="70" priority="5">
      <formula>AND(A58=0,OR(XFD58="Incorporable",XFD58="Supplétif",XFD58="Reprise",XFD58="Amortissement",XFD58="Atténuation de produit",XFD58="atténuation de charge"))</formula>
    </cfRule>
  </conditionalFormatting>
  <conditionalFormatting sqref="A68">
    <cfRule type="duplicateValues" dxfId="69" priority="1"/>
  </conditionalFormatting>
  <dataValidations count="1">
    <dataValidation type="list" showInputMessage="1" showErrorMessage="1" sqref="AB3 A58:A64" xr:uid="{00000000-0002-0000-0B00-000000000000}">
      <formula1>OFFSET(CODE_1,0,0,COUNTA(CODE),1)</formula1>
    </dataValidation>
  </dataValidations>
  <pageMargins left="0.70866141732283472" right="0.70866141732283472" top="0.74803149606299213" bottom="0.74803149606299213" header="0.31496062992125984" footer="0.31496062992125984"/>
  <pageSetup paperSize="9" orientation="portrait" r:id="rId1"/>
  <ignoredErrors>
    <ignoredError sqref="BA5:BA52" unlocked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tabColor rgb="FFFFFF00"/>
  </sheetPr>
  <dimension ref="A1:DC68"/>
  <sheetViews>
    <sheetView showGridLines="0" zoomScaleNormal="100" workbookViewId="0">
      <pane xSplit="27" ySplit="4" topLeftCell="AB5" activePane="bottomRight" state="frozen"/>
      <selection pane="topRight" activeCell="AB55" sqref="AB55"/>
      <selection pane="bottomLeft" activeCell="AB55" sqref="AB55"/>
      <selection pane="bottomRight" activeCell="BF60" sqref="BF60"/>
    </sheetView>
  </sheetViews>
  <sheetFormatPr baseColWidth="10" defaultColWidth="11.44140625" defaultRowHeight="13.2" x14ac:dyDescent="0.25"/>
  <cols>
    <col min="1" max="1" width="36" style="20" customWidth="1"/>
    <col min="2" max="2" width="10.33203125" style="20" hidden="1" customWidth="1"/>
    <col min="3" max="26" width="8.5546875" style="20" hidden="1" customWidth="1"/>
    <col min="27" max="27" width="3.6640625" style="7" hidden="1" customWidth="1"/>
    <col min="28" max="32" width="13.44140625" style="7" customWidth="1"/>
    <col min="33" max="35" width="13.44140625" style="7" hidden="1" customWidth="1"/>
    <col min="36" max="52" width="2.44140625" style="7" hidden="1" customWidth="1"/>
    <col min="53" max="53" width="12.88671875" style="7" customWidth="1"/>
    <col min="54" max="54" width="2.44140625" style="7" customWidth="1"/>
    <col min="55" max="59" width="13.44140625" style="7" customWidth="1"/>
    <col min="60" max="62" width="13.44140625" style="7" hidden="1" customWidth="1"/>
    <col min="63" max="79" width="2.44140625" style="7" hidden="1" customWidth="1"/>
    <col min="80" max="80" width="12.88671875" style="7" customWidth="1"/>
    <col min="81" max="81" width="2.44140625" style="7" customWidth="1"/>
    <col min="82" max="106" width="11.44140625" style="7" hidden="1" customWidth="1"/>
    <col min="107" max="16384" width="11.44140625" style="7"/>
  </cols>
  <sheetData>
    <row r="1" spans="1:106" ht="21" x14ac:dyDescent="0.4">
      <c r="A1" s="19" t="s">
        <v>1104</v>
      </c>
    </row>
    <row r="2" spans="1:106" ht="16.2" thickBot="1" x14ac:dyDescent="0.35">
      <c r="A2" s="7"/>
      <c r="AA2" s="196"/>
      <c r="AC2" s="740" t="s">
        <v>245</v>
      </c>
      <c r="AD2" s="741"/>
      <c r="AE2" s="741"/>
      <c r="BA2" s="53" t="str">
        <f ca="1">IF(AND(CELL("format",BA53)="%0",BA53&lt;&gt;1,BA53&gt;0),"Le total ne fait pas 100%","")</f>
        <v/>
      </c>
      <c r="BC2" s="196"/>
      <c r="BD2" s="196"/>
      <c r="BE2" s="196"/>
      <c r="BF2" s="196"/>
      <c r="BG2" s="196"/>
      <c r="BH2" s="196"/>
      <c r="BI2" s="196"/>
      <c r="BJ2" s="196"/>
      <c r="BK2" s="196"/>
      <c r="BL2" s="196"/>
      <c r="BM2" s="196"/>
      <c r="BN2" s="196"/>
      <c r="BO2" s="196"/>
      <c r="BP2" s="196"/>
      <c r="BQ2" s="196"/>
      <c r="BR2" s="196"/>
      <c r="BS2" s="196"/>
      <c r="BT2" s="196"/>
      <c r="BU2" s="196"/>
      <c r="BV2" s="196"/>
      <c r="BW2" s="196"/>
      <c r="BX2" s="196"/>
      <c r="BY2" s="196"/>
      <c r="BZ2" s="196"/>
      <c r="CA2" s="196"/>
      <c r="CB2" s="196"/>
    </row>
    <row r="3" spans="1:106" ht="39" customHeight="1" thickBot="1" x14ac:dyDescent="0.3">
      <c r="A3" s="184"/>
      <c r="B3" s="742" t="s">
        <v>1098</v>
      </c>
      <c r="C3" s="743"/>
      <c r="D3" s="743"/>
      <c r="E3" s="743"/>
      <c r="F3" s="743"/>
      <c r="G3" s="743"/>
      <c r="H3" s="743"/>
      <c r="I3" s="743"/>
      <c r="J3" s="743"/>
      <c r="K3" s="743"/>
      <c r="L3" s="743"/>
      <c r="M3" s="743"/>
      <c r="N3" s="743"/>
      <c r="O3" s="743"/>
      <c r="P3" s="743"/>
      <c r="Q3" s="743"/>
      <c r="R3" s="743"/>
      <c r="S3" s="743"/>
      <c r="T3" s="743"/>
      <c r="U3" s="743"/>
      <c r="V3" s="743"/>
      <c r="W3" s="743"/>
      <c r="X3" s="743"/>
      <c r="Y3" s="743"/>
      <c r="Z3" s="744"/>
      <c r="AB3" s="190"/>
      <c r="AC3" s="745"/>
      <c r="AD3" s="746"/>
      <c r="AE3" s="746"/>
      <c r="AF3" s="746"/>
      <c r="AG3" s="746"/>
      <c r="AH3" s="746"/>
      <c r="AI3" s="746"/>
      <c r="AJ3" s="746"/>
      <c r="AK3" s="746"/>
      <c r="AL3" s="746"/>
      <c r="AM3" s="746"/>
      <c r="AN3" s="746"/>
      <c r="AO3" s="746"/>
      <c r="AP3" s="746"/>
      <c r="AQ3" s="746"/>
      <c r="AR3" s="746"/>
      <c r="AS3" s="746"/>
      <c r="AT3" s="746"/>
      <c r="AU3" s="746"/>
      <c r="AV3" s="746"/>
      <c r="AW3" s="746"/>
      <c r="AX3" s="746"/>
      <c r="AY3" s="746"/>
      <c r="AZ3" s="747"/>
      <c r="BA3" s="748" t="s">
        <v>172</v>
      </c>
      <c r="BC3" s="674" t="s">
        <v>1099</v>
      </c>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t="s">
        <v>172</v>
      </c>
      <c r="CD3" s="737" t="s">
        <v>1100</v>
      </c>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9"/>
    </row>
    <row r="4" spans="1:106" ht="42" customHeight="1" x14ac:dyDescent="0.25">
      <c r="A4" s="44" t="s">
        <v>173</v>
      </c>
      <c r="B4" s="640" t="str">
        <f>Matrice[[#Headers],[OMR]]</f>
        <v>OMR</v>
      </c>
      <c r="C4" s="640" t="str">
        <f>Matrice[[#Headers],[Verre]]</f>
        <v>Verre</v>
      </c>
      <c r="D4" s="640" t="str">
        <f>Matrice[[#Headers],[RSOM hors verre]]</f>
        <v>RSOM hors verre</v>
      </c>
      <c r="E4" s="640" t="str">
        <f>Matrice[[#Headers],[Déchets des déchèteries]]</f>
        <v>Déchets des déchèteries</v>
      </c>
      <c r="F4" s="640" t="str">
        <f>Matrice[[#Headers],[Flux 5]]</f>
        <v>Flux 5</v>
      </c>
      <c r="G4" s="640" t="str">
        <f>Matrice[[#Headers],[Flux 6]]</f>
        <v>Flux 6</v>
      </c>
      <c r="H4" s="640" t="str">
        <f>Matrice[[#Headers],[Flux 7]]</f>
        <v>Flux 7</v>
      </c>
      <c r="I4" s="640" t="str">
        <f>Matrice[[#Headers],[Flux 8]]</f>
        <v>Flux 8</v>
      </c>
      <c r="J4" s="640" t="str">
        <f>Matrice[[#Headers],[Flux 9]]</f>
        <v>Flux 9</v>
      </c>
      <c r="K4" s="640" t="str">
        <f>Matrice[[#Headers],[Flux 10]]</f>
        <v>Flux 10</v>
      </c>
      <c r="L4" s="640" t="str">
        <f>Matrice[[#Headers],[Flux 11]]</f>
        <v>Flux 11</v>
      </c>
      <c r="M4" s="640" t="str">
        <f>Matrice[[#Headers],[Flux 12]]</f>
        <v>Flux 12</v>
      </c>
      <c r="N4" s="640" t="str">
        <f>Matrice[[#Headers],[Flux 13]]</f>
        <v>Flux 13</v>
      </c>
      <c r="O4" s="640" t="str">
        <f>Matrice[[#Headers],[Flux 14]]</f>
        <v>Flux 14</v>
      </c>
      <c r="P4" s="640" t="str">
        <f>Matrice[[#Headers],[Flux 15]]</f>
        <v>Flux 15</v>
      </c>
      <c r="Q4" s="640" t="str">
        <f>Matrice[[#Headers],[Flux 16]]</f>
        <v>Flux 16</v>
      </c>
      <c r="R4" s="640" t="str">
        <f>Matrice[[#Headers],[Flux 17]]</f>
        <v>Flux 17</v>
      </c>
      <c r="S4" s="640" t="str">
        <f>Matrice[[#Headers],[Flux 18]]</f>
        <v>Flux 18</v>
      </c>
      <c r="T4" s="640" t="str">
        <f>Matrice[[#Headers],[Flux 19]]</f>
        <v>Flux 19</v>
      </c>
      <c r="U4" s="640" t="str">
        <f>Matrice[[#Headers],[Flux 20]]</f>
        <v>Flux 20</v>
      </c>
      <c r="V4" s="640" t="str">
        <f>Matrice[[#Headers],[Flux 21]]</f>
        <v>Flux 21</v>
      </c>
      <c r="W4" s="640" t="str">
        <f>Matrice[[#Headers],[Flux 22]]</f>
        <v>Flux 22</v>
      </c>
      <c r="X4" s="640" t="str">
        <f>Matrice[[#Headers],[Flux 23]]</f>
        <v>Flux 23</v>
      </c>
      <c r="Y4" s="640" t="str">
        <f>Matrice[[#Headers],[Flux 24]]</f>
        <v>Flux 24</v>
      </c>
      <c r="Z4" s="640" t="str">
        <f>Matrice[[#Headers],[Flux 25]]</f>
        <v>Flux 25</v>
      </c>
      <c r="AA4" s="197"/>
      <c r="AB4" s="640" t="str">
        <f t="shared" ref="AB4:AZ4" si="0">B4</f>
        <v>OMR</v>
      </c>
      <c r="AC4" s="187" t="str">
        <f t="shared" si="0"/>
        <v>Verre</v>
      </c>
      <c r="AD4" s="187" t="str">
        <f t="shared" si="0"/>
        <v>RSOM hors verre</v>
      </c>
      <c r="AE4" s="187" t="str">
        <f t="shared" si="0"/>
        <v>Déchets des déchèteries</v>
      </c>
      <c r="AF4" s="187" t="str">
        <f t="shared" si="0"/>
        <v>Flux 5</v>
      </c>
      <c r="AG4" s="187" t="str">
        <f t="shared" si="0"/>
        <v>Flux 6</v>
      </c>
      <c r="AH4" s="187" t="str">
        <f t="shared" si="0"/>
        <v>Flux 7</v>
      </c>
      <c r="AI4" s="187" t="str">
        <f t="shared" si="0"/>
        <v>Flux 8</v>
      </c>
      <c r="AJ4" s="187" t="str">
        <f t="shared" si="0"/>
        <v>Flux 9</v>
      </c>
      <c r="AK4" s="187" t="str">
        <f t="shared" si="0"/>
        <v>Flux 10</v>
      </c>
      <c r="AL4" s="187" t="str">
        <f t="shared" si="0"/>
        <v>Flux 11</v>
      </c>
      <c r="AM4" s="187" t="str">
        <f t="shared" si="0"/>
        <v>Flux 12</v>
      </c>
      <c r="AN4" s="187" t="str">
        <f t="shared" si="0"/>
        <v>Flux 13</v>
      </c>
      <c r="AO4" s="187" t="str">
        <f t="shared" si="0"/>
        <v>Flux 14</v>
      </c>
      <c r="AP4" s="187" t="str">
        <f t="shared" si="0"/>
        <v>Flux 15</v>
      </c>
      <c r="AQ4" s="187" t="str">
        <f t="shared" si="0"/>
        <v>Flux 16</v>
      </c>
      <c r="AR4" s="187" t="str">
        <f t="shared" si="0"/>
        <v>Flux 17</v>
      </c>
      <c r="AS4" s="187" t="str">
        <f t="shared" si="0"/>
        <v>Flux 18</v>
      </c>
      <c r="AT4" s="187" t="str">
        <f t="shared" si="0"/>
        <v>Flux 19</v>
      </c>
      <c r="AU4" s="187" t="str">
        <f t="shared" si="0"/>
        <v>Flux 20</v>
      </c>
      <c r="AV4" s="187" t="str">
        <f t="shared" si="0"/>
        <v>Flux 21</v>
      </c>
      <c r="AW4" s="187" t="str">
        <f t="shared" si="0"/>
        <v>Flux 22</v>
      </c>
      <c r="AX4" s="187" t="str">
        <f t="shared" si="0"/>
        <v>Flux 23</v>
      </c>
      <c r="AY4" s="187" t="str">
        <f t="shared" si="0"/>
        <v>Flux 24</v>
      </c>
      <c r="AZ4" s="187" t="str">
        <f t="shared" si="0"/>
        <v>Flux 25</v>
      </c>
      <c r="BA4" s="675"/>
      <c r="BC4" s="640" t="str">
        <f>AB4</f>
        <v>OMR</v>
      </c>
      <c r="BD4" s="640" t="str">
        <f t="shared" ref="BD4:CA4" si="1">AC4</f>
        <v>Verre</v>
      </c>
      <c r="BE4" s="640" t="str">
        <f t="shared" si="1"/>
        <v>RSOM hors verre</v>
      </c>
      <c r="BF4" s="640" t="str">
        <f t="shared" si="1"/>
        <v>Déchets des déchèteries</v>
      </c>
      <c r="BG4" s="640" t="str">
        <f t="shared" si="1"/>
        <v>Flux 5</v>
      </c>
      <c r="BH4" s="640" t="str">
        <f t="shared" si="1"/>
        <v>Flux 6</v>
      </c>
      <c r="BI4" s="640" t="str">
        <f t="shared" si="1"/>
        <v>Flux 7</v>
      </c>
      <c r="BJ4" s="640" t="str">
        <f t="shared" si="1"/>
        <v>Flux 8</v>
      </c>
      <c r="BK4" s="640" t="str">
        <f t="shared" si="1"/>
        <v>Flux 9</v>
      </c>
      <c r="BL4" s="640" t="str">
        <f t="shared" si="1"/>
        <v>Flux 10</v>
      </c>
      <c r="BM4" s="640" t="str">
        <f t="shared" si="1"/>
        <v>Flux 11</v>
      </c>
      <c r="BN4" s="640" t="str">
        <f t="shared" si="1"/>
        <v>Flux 12</v>
      </c>
      <c r="BO4" s="640" t="str">
        <f t="shared" si="1"/>
        <v>Flux 13</v>
      </c>
      <c r="BP4" s="640" t="str">
        <f t="shared" si="1"/>
        <v>Flux 14</v>
      </c>
      <c r="BQ4" s="640" t="str">
        <f t="shared" si="1"/>
        <v>Flux 15</v>
      </c>
      <c r="BR4" s="640" t="str">
        <f t="shared" si="1"/>
        <v>Flux 16</v>
      </c>
      <c r="BS4" s="640" t="str">
        <f t="shared" si="1"/>
        <v>Flux 17</v>
      </c>
      <c r="BT4" s="640" t="str">
        <f t="shared" si="1"/>
        <v>Flux 18</v>
      </c>
      <c r="BU4" s="640" t="str">
        <f t="shared" si="1"/>
        <v>Flux 19</v>
      </c>
      <c r="BV4" s="640" t="str">
        <f t="shared" si="1"/>
        <v>Flux 20</v>
      </c>
      <c r="BW4" s="640" t="str">
        <f t="shared" si="1"/>
        <v>Flux 21</v>
      </c>
      <c r="BX4" s="640" t="str">
        <f t="shared" si="1"/>
        <v>Flux 22</v>
      </c>
      <c r="BY4" s="640" t="str">
        <f t="shared" si="1"/>
        <v>Flux 23</v>
      </c>
      <c r="BZ4" s="640" t="str">
        <f t="shared" si="1"/>
        <v>Flux 24</v>
      </c>
      <c r="CA4" s="640" t="str">
        <f t="shared" si="1"/>
        <v>Flux 25</v>
      </c>
      <c r="CB4" s="675"/>
      <c r="CD4" s="185" t="str">
        <f>Matrice[[#Headers],[OMR]]</f>
        <v>OMR</v>
      </c>
      <c r="CE4" s="185" t="str">
        <f>Matrice[[#Headers],[Verre]]</f>
        <v>Verre</v>
      </c>
      <c r="CF4" s="185" t="str">
        <f>Matrice[[#Headers],[RSOM hors verre]]</f>
        <v>RSOM hors verre</v>
      </c>
      <c r="CG4" s="185" t="str">
        <f>Matrice[[#Headers],[Déchets des déchèteries]]</f>
        <v>Déchets des déchèteries</v>
      </c>
      <c r="CH4" s="185" t="str">
        <f>Matrice[[#Headers],[Flux 5]]</f>
        <v>Flux 5</v>
      </c>
      <c r="CI4" s="185" t="str">
        <f>Matrice[[#Headers],[Flux 6]]</f>
        <v>Flux 6</v>
      </c>
      <c r="CJ4" s="185" t="str">
        <f>Matrice[[#Headers],[Flux 7]]</f>
        <v>Flux 7</v>
      </c>
      <c r="CK4" s="185" t="str">
        <f>Matrice[[#Headers],[Flux 8]]</f>
        <v>Flux 8</v>
      </c>
      <c r="CL4" s="185" t="str">
        <f>Matrice[[#Headers],[Flux 9]]</f>
        <v>Flux 9</v>
      </c>
      <c r="CM4" s="185" t="str">
        <f>Matrice[[#Headers],[Flux 10]]</f>
        <v>Flux 10</v>
      </c>
      <c r="CN4" s="185" t="str">
        <f>Matrice[[#Headers],[Flux 11]]</f>
        <v>Flux 11</v>
      </c>
      <c r="CO4" s="185" t="str">
        <f>Matrice[[#Headers],[Flux 12]]</f>
        <v>Flux 12</v>
      </c>
      <c r="CP4" s="185" t="str">
        <f>Matrice[[#Headers],[Flux 13]]</f>
        <v>Flux 13</v>
      </c>
      <c r="CQ4" s="185" t="str">
        <f>Matrice[[#Headers],[Flux 14]]</f>
        <v>Flux 14</v>
      </c>
      <c r="CR4" s="185" t="str">
        <f>Matrice[[#Headers],[Flux 15]]</f>
        <v>Flux 15</v>
      </c>
      <c r="CS4" s="185" t="str">
        <f>Matrice[[#Headers],[Flux 16]]</f>
        <v>Flux 16</v>
      </c>
      <c r="CT4" s="185" t="str">
        <f>Matrice[[#Headers],[Flux 17]]</f>
        <v>Flux 17</v>
      </c>
      <c r="CU4" s="185" t="str">
        <f>Matrice[[#Headers],[Flux 18]]</f>
        <v>Flux 18</v>
      </c>
      <c r="CV4" s="185" t="str">
        <f>Matrice[[#Headers],[Flux 19]]</f>
        <v>Flux 19</v>
      </c>
      <c r="CW4" s="185" t="str">
        <f>Matrice[[#Headers],[Flux 20]]</f>
        <v>Flux 20</v>
      </c>
      <c r="CX4" s="185" t="str">
        <f>Matrice[[#Headers],[Flux 21]]</f>
        <v>Flux 21</v>
      </c>
      <c r="CY4" s="185" t="str">
        <f>Matrice[[#Headers],[Flux 22]]</f>
        <v>Flux 22</v>
      </c>
      <c r="CZ4" s="185" t="str">
        <f>Matrice[[#Headers],[Flux 23]]</f>
        <v>Flux 23</v>
      </c>
      <c r="DA4" s="185" t="str">
        <f>Matrice[[#Headers],[Flux 24]]</f>
        <v>Flux 24</v>
      </c>
      <c r="DB4" s="185" t="str">
        <f>Matrice[[#Headers],[Flux 25]]</f>
        <v>Flux 25</v>
      </c>
    </row>
    <row r="5" spans="1:106" x14ac:dyDescent="0.25">
      <c r="A5" s="42" t="str">
        <f>Matrice[[#This Row],[Ligne de la matrice]]</f>
        <v>Charges de structure</v>
      </c>
      <c r="B5" s="198">
        <f>(SUMIF(Fonctionnement[Affectation matrice],$AB$3,Fonctionnement[Montant (€HT)])+SUMIF(Invest[Affectation matrice],$AB$3,Invest[Amortissement HT + intérêts]))*BC5</f>
        <v>0</v>
      </c>
      <c r="C5" s="198">
        <f>(SUMIF(Fonctionnement[Affectation matrice],$AB$3,Fonctionnement[Montant (€HT)])+SUMIF(Invest[Affectation matrice],$AB$3,Invest[Amortissement HT + intérêts]))*BD5</f>
        <v>0</v>
      </c>
      <c r="D5" s="198">
        <f>(SUMIF(Fonctionnement[Affectation matrice],$AB$3,Fonctionnement[Montant (€HT)])+SUMIF(Invest[Affectation matrice],$AB$3,Invest[Amortissement HT + intérêts]))*BE5</f>
        <v>0</v>
      </c>
      <c r="E5" s="198">
        <f>(SUMIF(Fonctionnement[Affectation matrice],$AB$3,Fonctionnement[Montant (€HT)])+SUMIF(Invest[Affectation matrice],$AB$3,Invest[Amortissement HT + intérêts]))*BF5</f>
        <v>0</v>
      </c>
      <c r="F5" s="198">
        <f>(SUMIF(Fonctionnement[Affectation matrice],$AB$3,Fonctionnement[Montant (€HT)])+SUMIF(Invest[Affectation matrice],$AB$3,Invest[Amortissement HT + intérêts]))*BG5</f>
        <v>0</v>
      </c>
      <c r="G5" s="198">
        <f>(SUMIF(Fonctionnement[Affectation matrice],$AB$3,Fonctionnement[Montant (€HT)])+SUMIF(Invest[Affectation matrice],$AB$3,Invest[Amortissement HT + intérêts]))*BH5</f>
        <v>0</v>
      </c>
      <c r="H5" s="198">
        <f>(SUMIF(Fonctionnement[Affectation matrice],$AB$3,Fonctionnement[Montant (€HT)])+SUMIF(Invest[Affectation matrice],$AB$3,Invest[Amortissement HT + intérêts]))*BI5</f>
        <v>0</v>
      </c>
      <c r="I5" s="198">
        <f>(SUMIF(Fonctionnement[Affectation matrice],$AB$3,Fonctionnement[Montant (€HT)])+SUMIF(Invest[Affectation matrice],$AB$3,Invest[Amortissement HT + intérêts]))*BJ5</f>
        <v>0</v>
      </c>
      <c r="J5" s="198">
        <f>(SUMIF(Fonctionnement[Affectation matrice],$AB$3,Fonctionnement[Montant (€HT)])+SUMIF(Invest[Affectation matrice],$AB$3,Invest[Amortissement HT + intérêts]))*BK5</f>
        <v>0</v>
      </c>
      <c r="K5" s="198">
        <f>(SUMIF(Fonctionnement[Affectation matrice],$AB$3,Fonctionnement[Montant (€HT)])+SUMIF(Invest[Affectation matrice],$AB$3,Invest[Amortissement HT + intérêts]))*BL5</f>
        <v>0</v>
      </c>
      <c r="L5" s="198">
        <f>(SUMIF(Fonctionnement[Affectation matrice],$AB$3,Fonctionnement[Montant (€HT)])+SUMIF(Invest[Affectation matrice],$AB$3,Invest[Amortissement HT + intérêts]))*BM5</f>
        <v>0</v>
      </c>
      <c r="M5" s="198">
        <f>(SUMIF(Fonctionnement[Affectation matrice],$AB$3,Fonctionnement[Montant (€HT)])+SUMIF(Invest[Affectation matrice],$AB$3,Invest[Amortissement HT + intérêts]))*BN5</f>
        <v>0</v>
      </c>
      <c r="N5" s="198">
        <f>(SUMIF(Fonctionnement[Affectation matrice],$AB$3,Fonctionnement[Montant (€HT)])+SUMIF(Invest[Affectation matrice],$AB$3,Invest[Amortissement HT + intérêts]))*BO5</f>
        <v>0</v>
      </c>
      <c r="O5" s="198">
        <f>(SUMIF(Fonctionnement[Affectation matrice],$AB$3,Fonctionnement[Montant (€HT)])+SUMIF(Invest[Affectation matrice],$AB$3,Invest[Amortissement HT + intérêts]))*BP5</f>
        <v>0</v>
      </c>
      <c r="P5" s="198">
        <f>(SUMIF(Fonctionnement[Affectation matrice],$AB$3,Fonctionnement[Montant (€HT)])+SUMIF(Invest[Affectation matrice],$AB$3,Invest[Amortissement HT + intérêts]))*BQ5</f>
        <v>0</v>
      </c>
      <c r="Q5" s="198">
        <f>(SUMIF(Fonctionnement[Affectation matrice],$AB$3,Fonctionnement[Montant (€HT)])+SUMIF(Invest[Affectation matrice],$AB$3,Invest[Amortissement HT + intérêts]))*BR5</f>
        <v>0</v>
      </c>
      <c r="R5" s="198">
        <f>(SUMIF(Fonctionnement[Affectation matrice],$AB$3,Fonctionnement[Montant (€HT)])+SUMIF(Invest[Affectation matrice],$AB$3,Invest[Amortissement HT + intérêts]))*BS5</f>
        <v>0</v>
      </c>
      <c r="S5" s="198">
        <f>(SUMIF(Fonctionnement[Affectation matrice],$AB$3,Fonctionnement[Montant (€HT)])+SUMIF(Invest[Affectation matrice],$AB$3,Invest[Amortissement HT + intérêts]))*BT5</f>
        <v>0</v>
      </c>
      <c r="T5" s="198">
        <f>(SUMIF(Fonctionnement[Affectation matrice],$AB$3,Fonctionnement[Montant (€HT)])+SUMIF(Invest[Affectation matrice],$AB$3,Invest[Amortissement HT + intérêts]))*BU5</f>
        <v>0</v>
      </c>
      <c r="U5" s="198">
        <f>(SUMIF(Fonctionnement[Affectation matrice],$AB$3,Fonctionnement[Montant (€HT)])+SUMIF(Invest[Affectation matrice],$AB$3,Invest[Amortissement HT + intérêts]))*BV5</f>
        <v>0</v>
      </c>
      <c r="V5" s="198">
        <f>(SUMIF(Fonctionnement[Affectation matrice],$AB$3,Fonctionnement[Montant (€HT)])+SUMIF(Invest[Affectation matrice],$AB$3,Invest[Amortissement HT + intérêts]))*BW5</f>
        <v>0</v>
      </c>
      <c r="W5" s="198">
        <f>(SUMIF(Fonctionnement[Affectation matrice],$AB$3,Fonctionnement[Montant (€HT)])+SUMIF(Invest[Affectation matrice],$AB$3,Invest[Amortissement HT + intérêts]))*BX5</f>
        <v>0</v>
      </c>
      <c r="X5" s="198">
        <f>(SUMIF(Fonctionnement[Affectation matrice],$AB$3,Fonctionnement[Montant (€HT)])+SUMIF(Invest[Affectation matrice],$AB$3,Invest[Amortissement HT + intérêts]))*BY5</f>
        <v>0</v>
      </c>
      <c r="Y5" s="198">
        <f>(SUMIF(Fonctionnement[Affectation matrice],$AB$3,Fonctionnement[Montant (€HT)])+SUMIF(Invest[Affectation matrice],$AB$3,Invest[Amortissement HT + intérêts]))*BZ5</f>
        <v>0</v>
      </c>
      <c r="Z5" s="198">
        <f>(SUMIF(Fonctionnement[Affectation matrice],$AB$3,Fonctionnement[Montant (€HT)])+SUMIF(Invest[Affectation matrice],$AB$3,Invest[Amortissement HT + intérêts]))*CA5</f>
        <v>0</v>
      </c>
      <c r="AA5" s="199"/>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83">
        <f>SUM(AB5:AZ5)</f>
        <v>0</v>
      </c>
      <c r="BC5" s="61">
        <f t="shared" ref="BC5:BR20" si="2">IF($BA$53=0,0,AB5/$BA$53)</f>
        <v>0</v>
      </c>
      <c r="BD5" s="61">
        <f t="shared" si="2"/>
        <v>0</v>
      </c>
      <c r="BE5" s="61">
        <f t="shared" si="2"/>
        <v>0</v>
      </c>
      <c r="BF5" s="61">
        <f t="shared" si="2"/>
        <v>0</v>
      </c>
      <c r="BG5" s="61">
        <f t="shared" si="2"/>
        <v>0</v>
      </c>
      <c r="BH5" s="61">
        <f t="shared" si="2"/>
        <v>0</v>
      </c>
      <c r="BI5" s="61">
        <f t="shared" si="2"/>
        <v>0</v>
      </c>
      <c r="BJ5" s="61">
        <f t="shared" si="2"/>
        <v>0</v>
      </c>
      <c r="BK5" s="61">
        <f t="shared" si="2"/>
        <v>0</v>
      </c>
      <c r="BL5" s="61">
        <f t="shared" si="2"/>
        <v>0</v>
      </c>
      <c r="BM5" s="61">
        <f t="shared" si="2"/>
        <v>0</v>
      </c>
      <c r="BN5" s="61">
        <f t="shared" si="2"/>
        <v>0</v>
      </c>
      <c r="BO5" s="61">
        <f t="shared" si="2"/>
        <v>0</v>
      </c>
      <c r="BP5" s="61">
        <f t="shared" si="2"/>
        <v>0</v>
      </c>
      <c r="BQ5" s="61">
        <f t="shared" si="2"/>
        <v>0</v>
      </c>
      <c r="BR5" s="61">
        <f t="shared" si="2"/>
        <v>0</v>
      </c>
      <c r="BS5" s="61">
        <f t="shared" ref="BS5:CA22" si="3">IF($BA$53=0,0,AR5/$BA$53)</f>
        <v>0</v>
      </c>
      <c r="BT5" s="61">
        <f t="shared" si="3"/>
        <v>0</v>
      </c>
      <c r="BU5" s="61">
        <f t="shared" si="3"/>
        <v>0</v>
      </c>
      <c r="BV5" s="61">
        <f t="shared" si="3"/>
        <v>0</v>
      </c>
      <c r="BW5" s="61">
        <f t="shared" si="3"/>
        <v>0</v>
      </c>
      <c r="BX5" s="61">
        <f t="shared" si="3"/>
        <v>0</v>
      </c>
      <c r="BY5" s="61">
        <f t="shared" si="3"/>
        <v>0</v>
      </c>
      <c r="BZ5" s="61">
        <f t="shared" si="3"/>
        <v>0</v>
      </c>
      <c r="CA5" s="61">
        <f t="shared" si="3"/>
        <v>0</v>
      </c>
      <c r="CB5" s="61">
        <f>SUM(BC5:CA5)</f>
        <v>0</v>
      </c>
      <c r="CD5" s="200">
        <f>(SUMIF(Fonctionnement[Affectation matrice],$AB$3,Fonctionnement[TVA acquittée])+SUMIF(Invest[Affectation matrice],$AB$3,Invest[TVA acquittée]))*BC5</f>
        <v>0</v>
      </c>
      <c r="CE5" s="200">
        <f>(SUMIF(Fonctionnement[Affectation matrice],$AB$3,Fonctionnement[TVA acquittée])+SUMIF(Invest[Affectation matrice],$AB$3,Invest[TVA acquittée]))*BD5</f>
        <v>0</v>
      </c>
      <c r="CF5" s="200">
        <f>(SUMIF(Fonctionnement[Affectation matrice],$AB$3,Fonctionnement[TVA acquittée])+SUMIF(Invest[Affectation matrice],$AB$3,Invest[TVA acquittée]))*BE5</f>
        <v>0</v>
      </c>
      <c r="CG5" s="200">
        <f>(SUMIF(Fonctionnement[Affectation matrice],$AB$3,Fonctionnement[TVA acquittée])+SUMIF(Invest[Affectation matrice],$AB$3,Invest[TVA acquittée]))*BF5</f>
        <v>0</v>
      </c>
      <c r="CH5" s="200">
        <f>(SUMIF(Fonctionnement[Affectation matrice],$AB$3,Fonctionnement[TVA acquittée])+SUMIF(Invest[Affectation matrice],$AB$3,Invest[TVA acquittée]))*BG5</f>
        <v>0</v>
      </c>
      <c r="CI5" s="200">
        <f>(SUMIF(Fonctionnement[Affectation matrice],$AB$3,Fonctionnement[TVA acquittée])+SUMIF(Invest[Affectation matrice],$AB$3,Invest[TVA acquittée]))*BH5</f>
        <v>0</v>
      </c>
      <c r="CJ5" s="200">
        <f>(SUMIF(Fonctionnement[Affectation matrice],$AB$3,Fonctionnement[TVA acquittée])+SUMIF(Invest[Affectation matrice],$AB$3,Invest[TVA acquittée]))*BI5</f>
        <v>0</v>
      </c>
      <c r="CK5" s="200">
        <f>(SUMIF(Fonctionnement[Affectation matrice],$AB$3,Fonctionnement[TVA acquittée])+SUMIF(Invest[Affectation matrice],$AB$3,Invest[TVA acquittée]))*BJ5</f>
        <v>0</v>
      </c>
      <c r="CL5" s="200">
        <f>(SUMIF(Fonctionnement[Affectation matrice],$AB$3,Fonctionnement[TVA acquittée])+SUMIF(Invest[Affectation matrice],$AB$3,Invest[TVA acquittée]))*BK5</f>
        <v>0</v>
      </c>
      <c r="CM5" s="200">
        <f>(SUMIF(Fonctionnement[Affectation matrice],$AB$3,Fonctionnement[TVA acquittée])+SUMIF(Invest[Affectation matrice],$AB$3,Invest[TVA acquittée]))*BL5</f>
        <v>0</v>
      </c>
      <c r="CN5" s="200">
        <f>(SUMIF(Fonctionnement[Affectation matrice],$AB$3,Fonctionnement[TVA acquittée])+SUMIF(Invest[Affectation matrice],$AB$3,Invest[TVA acquittée]))*BM5</f>
        <v>0</v>
      </c>
      <c r="CO5" s="200">
        <f>(SUMIF(Fonctionnement[Affectation matrice],$AB$3,Fonctionnement[TVA acquittée])+SUMIF(Invest[Affectation matrice],$AB$3,Invest[TVA acquittée]))*BN5</f>
        <v>0</v>
      </c>
      <c r="CP5" s="200">
        <f>(SUMIF(Fonctionnement[Affectation matrice],$AB$3,Fonctionnement[TVA acquittée])+SUMIF(Invest[Affectation matrice],$AB$3,Invest[TVA acquittée]))*BO5</f>
        <v>0</v>
      </c>
      <c r="CQ5" s="200">
        <f>(SUMIF(Fonctionnement[Affectation matrice],$AB$3,Fonctionnement[TVA acquittée])+SUMIF(Invest[Affectation matrice],$AB$3,Invest[TVA acquittée]))*BP5</f>
        <v>0</v>
      </c>
      <c r="CR5" s="200">
        <f>(SUMIF(Fonctionnement[Affectation matrice],$AB$3,Fonctionnement[TVA acquittée])+SUMIF(Invest[Affectation matrice],$AB$3,Invest[TVA acquittée]))*BQ5</f>
        <v>0</v>
      </c>
      <c r="CS5" s="200">
        <f>(SUMIF(Fonctionnement[Affectation matrice],$AB$3,Fonctionnement[TVA acquittée])+SUMIF(Invest[Affectation matrice],$AB$3,Invest[TVA acquittée]))*BR5</f>
        <v>0</v>
      </c>
      <c r="CT5" s="200">
        <f>(SUMIF(Fonctionnement[Affectation matrice],$AB$3,Fonctionnement[TVA acquittée])+SUMIF(Invest[Affectation matrice],$AB$3,Invest[TVA acquittée]))*BS5</f>
        <v>0</v>
      </c>
      <c r="CU5" s="200">
        <f>(SUMIF(Fonctionnement[Affectation matrice],$AB$3,Fonctionnement[TVA acquittée])+SUMIF(Invest[Affectation matrice],$AB$3,Invest[TVA acquittée]))*BT5</f>
        <v>0</v>
      </c>
      <c r="CV5" s="200">
        <f>(SUMIF(Fonctionnement[Affectation matrice],$AB$3,Fonctionnement[TVA acquittée])+SUMIF(Invest[Affectation matrice],$AB$3,Invest[TVA acquittée]))*BU5</f>
        <v>0</v>
      </c>
      <c r="CW5" s="200">
        <f>(SUMIF(Fonctionnement[Affectation matrice],$AB$3,Fonctionnement[TVA acquittée])+SUMIF(Invest[Affectation matrice],$AB$3,Invest[TVA acquittée]))*BV5</f>
        <v>0</v>
      </c>
      <c r="CX5" s="200">
        <f>(SUMIF(Fonctionnement[Affectation matrice],$AB$3,Fonctionnement[TVA acquittée])+SUMIF(Invest[Affectation matrice],$AB$3,Invest[TVA acquittée]))*BW5</f>
        <v>0</v>
      </c>
      <c r="CY5" s="200">
        <f>(SUMIF(Fonctionnement[Affectation matrice],$AB$3,Fonctionnement[TVA acquittée])+SUMIF(Invest[Affectation matrice],$AB$3,Invest[TVA acquittée]))*BX5</f>
        <v>0</v>
      </c>
      <c r="CZ5" s="200">
        <f>(SUMIF(Fonctionnement[Affectation matrice],$AB$3,Fonctionnement[TVA acquittée])+SUMIF(Invest[Affectation matrice],$AB$3,Invest[TVA acquittée]))*BY5</f>
        <v>0</v>
      </c>
      <c r="DA5" s="200">
        <f>(SUMIF(Fonctionnement[Affectation matrice],$AB$3,Fonctionnement[TVA acquittée])+SUMIF(Invest[Affectation matrice],$AB$3,Invest[TVA acquittée]))*BZ5</f>
        <v>0</v>
      </c>
      <c r="DB5" s="200">
        <f>(SUMIF(Fonctionnement[Affectation matrice],$AB$3,Fonctionnement[TVA acquittée])+SUMIF(Invest[Affectation matrice],$AB$3,Invest[TVA acquittée]))*CA5</f>
        <v>0</v>
      </c>
    </row>
    <row r="6" spans="1:106" ht="15" customHeight="1" x14ac:dyDescent="0.25">
      <c r="A6" s="42" t="str">
        <f>Matrice[[#This Row],[Ligne de la matrice]]</f>
        <v>Communication</v>
      </c>
      <c r="B6" s="198">
        <f>(SUMIF(Fonctionnement[Affectation matrice],$AB$3,Fonctionnement[Montant (€HT)])+SUMIF(Invest[Affectation matrice],$AB$3,Invest[Amortissement HT + intérêts]))*BC6</f>
        <v>0</v>
      </c>
      <c r="C6" s="198">
        <f>(SUMIF(Fonctionnement[Affectation matrice],$AB$3,Fonctionnement[Montant (€HT)])+SUMIF(Invest[Affectation matrice],$AB$3,Invest[Amortissement HT + intérêts]))*BD6</f>
        <v>0</v>
      </c>
      <c r="D6" s="198">
        <f>(SUMIF(Fonctionnement[Affectation matrice],$AB$3,Fonctionnement[Montant (€HT)])+SUMIF(Invest[Affectation matrice],$AB$3,Invest[Amortissement HT + intérêts]))*BE6</f>
        <v>0</v>
      </c>
      <c r="E6" s="198">
        <f>(SUMIF(Fonctionnement[Affectation matrice],$AB$3,Fonctionnement[Montant (€HT)])+SUMIF(Invest[Affectation matrice],$AB$3,Invest[Amortissement HT + intérêts]))*BF6</f>
        <v>0</v>
      </c>
      <c r="F6" s="198">
        <f>(SUMIF(Fonctionnement[Affectation matrice],$AB$3,Fonctionnement[Montant (€HT)])+SUMIF(Invest[Affectation matrice],$AB$3,Invest[Amortissement HT + intérêts]))*BG6</f>
        <v>0</v>
      </c>
      <c r="G6" s="198">
        <f>(SUMIF(Fonctionnement[Affectation matrice],$AB$3,Fonctionnement[Montant (€HT)])+SUMIF(Invest[Affectation matrice],$AB$3,Invest[Amortissement HT + intérêts]))*BH6</f>
        <v>0</v>
      </c>
      <c r="H6" s="198">
        <f>(SUMIF(Fonctionnement[Affectation matrice],$AB$3,Fonctionnement[Montant (€HT)])+SUMIF(Invest[Affectation matrice],$AB$3,Invest[Amortissement HT + intérêts]))*BI6</f>
        <v>0</v>
      </c>
      <c r="I6" s="198">
        <f>(SUMIF(Fonctionnement[Affectation matrice],$AB$3,Fonctionnement[Montant (€HT)])+SUMIF(Invest[Affectation matrice],$AB$3,Invest[Amortissement HT + intérêts]))*BJ6</f>
        <v>0</v>
      </c>
      <c r="J6" s="198">
        <f>(SUMIF(Fonctionnement[Affectation matrice],$AB$3,Fonctionnement[Montant (€HT)])+SUMIF(Invest[Affectation matrice],$AB$3,Invest[Amortissement HT + intérêts]))*BK6</f>
        <v>0</v>
      </c>
      <c r="K6" s="198">
        <f>(SUMIF(Fonctionnement[Affectation matrice],$AB$3,Fonctionnement[Montant (€HT)])+SUMIF(Invest[Affectation matrice],$AB$3,Invest[Amortissement HT + intérêts]))*BL6</f>
        <v>0</v>
      </c>
      <c r="L6" s="198">
        <f>(SUMIF(Fonctionnement[Affectation matrice],$AB$3,Fonctionnement[Montant (€HT)])+SUMIF(Invest[Affectation matrice],$AB$3,Invest[Amortissement HT + intérêts]))*BM6</f>
        <v>0</v>
      </c>
      <c r="M6" s="198">
        <f>(SUMIF(Fonctionnement[Affectation matrice],$AB$3,Fonctionnement[Montant (€HT)])+SUMIF(Invest[Affectation matrice],$AB$3,Invest[Amortissement HT + intérêts]))*BN6</f>
        <v>0</v>
      </c>
      <c r="N6" s="198">
        <f>(SUMIF(Fonctionnement[Affectation matrice],$AB$3,Fonctionnement[Montant (€HT)])+SUMIF(Invest[Affectation matrice],$AB$3,Invest[Amortissement HT + intérêts]))*BO6</f>
        <v>0</v>
      </c>
      <c r="O6" s="198">
        <f>(SUMIF(Fonctionnement[Affectation matrice],$AB$3,Fonctionnement[Montant (€HT)])+SUMIF(Invest[Affectation matrice],$AB$3,Invest[Amortissement HT + intérêts]))*BP6</f>
        <v>0</v>
      </c>
      <c r="P6" s="198">
        <f>(SUMIF(Fonctionnement[Affectation matrice],$AB$3,Fonctionnement[Montant (€HT)])+SUMIF(Invest[Affectation matrice],$AB$3,Invest[Amortissement HT + intérêts]))*BQ6</f>
        <v>0</v>
      </c>
      <c r="Q6" s="198">
        <f>(SUMIF(Fonctionnement[Affectation matrice],$AB$3,Fonctionnement[Montant (€HT)])+SUMIF(Invest[Affectation matrice],$AB$3,Invest[Amortissement HT + intérêts]))*BR6</f>
        <v>0</v>
      </c>
      <c r="R6" s="198">
        <f>(SUMIF(Fonctionnement[Affectation matrice],$AB$3,Fonctionnement[Montant (€HT)])+SUMIF(Invest[Affectation matrice],$AB$3,Invest[Amortissement HT + intérêts]))*BS6</f>
        <v>0</v>
      </c>
      <c r="S6" s="198">
        <f>(SUMIF(Fonctionnement[Affectation matrice],$AB$3,Fonctionnement[Montant (€HT)])+SUMIF(Invest[Affectation matrice],$AB$3,Invest[Amortissement HT + intérêts]))*BT6</f>
        <v>0</v>
      </c>
      <c r="T6" s="198">
        <f>(SUMIF(Fonctionnement[Affectation matrice],$AB$3,Fonctionnement[Montant (€HT)])+SUMIF(Invest[Affectation matrice],$AB$3,Invest[Amortissement HT + intérêts]))*BU6</f>
        <v>0</v>
      </c>
      <c r="U6" s="198">
        <f>(SUMIF(Fonctionnement[Affectation matrice],$AB$3,Fonctionnement[Montant (€HT)])+SUMIF(Invest[Affectation matrice],$AB$3,Invest[Amortissement HT + intérêts]))*BV6</f>
        <v>0</v>
      </c>
      <c r="V6" s="198">
        <f>(SUMIF(Fonctionnement[Affectation matrice],$AB$3,Fonctionnement[Montant (€HT)])+SUMIF(Invest[Affectation matrice],$AB$3,Invest[Amortissement HT + intérêts]))*BW6</f>
        <v>0</v>
      </c>
      <c r="W6" s="198">
        <f>(SUMIF(Fonctionnement[Affectation matrice],$AB$3,Fonctionnement[Montant (€HT)])+SUMIF(Invest[Affectation matrice],$AB$3,Invest[Amortissement HT + intérêts]))*BX6</f>
        <v>0</v>
      </c>
      <c r="X6" s="198">
        <f>(SUMIF(Fonctionnement[Affectation matrice],$AB$3,Fonctionnement[Montant (€HT)])+SUMIF(Invest[Affectation matrice],$AB$3,Invest[Amortissement HT + intérêts]))*BY6</f>
        <v>0</v>
      </c>
      <c r="Y6" s="198">
        <f>(SUMIF(Fonctionnement[Affectation matrice],$AB$3,Fonctionnement[Montant (€HT)])+SUMIF(Invest[Affectation matrice],$AB$3,Invest[Amortissement HT + intérêts]))*BZ6</f>
        <v>0</v>
      </c>
      <c r="Z6" s="198">
        <f>(SUMIF(Fonctionnement[Affectation matrice],$AB$3,Fonctionnement[Montant (€HT)])+SUMIF(Invest[Affectation matrice],$AB$3,Invest[Amortissement HT + intérêts]))*CA6</f>
        <v>0</v>
      </c>
      <c r="AA6" s="199"/>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283">
        <f>SUM(AB6:AZ6)</f>
        <v>0</v>
      </c>
      <c r="BC6" s="61">
        <f t="shared" si="2"/>
        <v>0</v>
      </c>
      <c r="BD6" s="61">
        <f t="shared" si="2"/>
        <v>0</v>
      </c>
      <c r="BE6" s="61">
        <f t="shared" si="2"/>
        <v>0</v>
      </c>
      <c r="BF6" s="61">
        <f t="shared" si="2"/>
        <v>0</v>
      </c>
      <c r="BG6" s="61">
        <f t="shared" si="2"/>
        <v>0</v>
      </c>
      <c r="BH6" s="61">
        <f t="shared" si="2"/>
        <v>0</v>
      </c>
      <c r="BI6" s="61">
        <f t="shared" si="2"/>
        <v>0</v>
      </c>
      <c r="BJ6" s="61">
        <f t="shared" si="2"/>
        <v>0</v>
      </c>
      <c r="BK6" s="61">
        <f t="shared" si="2"/>
        <v>0</v>
      </c>
      <c r="BL6" s="61">
        <f t="shared" si="2"/>
        <v>0</v>
      </c>
      <c r="BM6" s="61">
        <f t="shared" si="2"/>
        <v>0</v>
      </c>
      <c r="BN6" s="61">
        <f t="shared" si="2"/>
        <v>0</v>
      </c>
      <c r="BO6" s="61">
        <f t="shared" si="2"/>
        <v>0</v>
      </c>
      <c r="BP6" s="61">
        <f t="shared" si="2"/>
        <v>0</v>
      </c>
      <c r="BQ6" s="61">
        <f t="shared" si="2"/>
        <v>0</v>
      </c>
      <c r="BR6" s="61">
        <f t="shared" si="2"/>
        <v>0</v>
      </c>
      <c r="BS6" s="61">
        <f t="shared" si="3"/>
        <v>0</v>
      </c>
      <c r="BT6" s="61">
        <f t="shared" si="3"/>
        <v>0</v>
      </c>
      <c r="BU6" s="61">
        <f t="shared" si="3"/>
        <v>0</v>
      </c>
      <c r="BV6" s="61">
        <f t="shared" si="3"/>
        <v>0</v>
      </c>
      <c r="BW6" s="61">
        <f t="shared" si="3"/>
        <v>0</v>
      </c>
      <c r="BX6" s="61">
        <f t="shared" si="3"/>
        <v>0</v>
      </c>
      <c r="BY6" s="61">
        <f t="shared" si="3"/>
        <v>0</v>
      </c>
      <c r="BZ6" s="61">
        <f t="shared" si="3"/>
        <v>0</v>
      </c>
      <c r="CA6" s="61">
        <f t="shared" si="3"/>
        <v>0</v>
      </c>
      <c r="CB6" s="61">
        <f>SUM(BC6:CA6)</f>
        <v>0</v>
      </c>
      <c r="CD6" s="200">
        <f>(SUMIF(Fonctionnement[Affectation matrice],$AB$3,Fonctionnement[TVA acquittée])+SUMIF(Invest[Affectation matrice],$AB$3,Invest[TVA acquittée]))*BC6</f>
        <v>0</v>
      </c>
      <c r="CE6" s="200">
        <f>(SUMIF(Fonctionnement[Affectation matrice],$AB$3,Fonctionnement[TVA acquittée])+SUMIF(Invest[Affectation matrice],$AB$3,Invest[TVA acquittée]))*BD6</f>
        <v>0</v>
      </c>
      <c r="CF6" s="200">
        <f>(SUMIF(Fonctionnement[Affectation matrice],$AB$3,Fonctionnement[TVA acquittée])+SUMIF(Invest[Affectation matrice],$AB$3,Invest[TVA acquittée]))*BE6</f>
        <v>0</v>
      </c>
      <c r="CG6" s="200">
        <f>(SUMIF(Fonctionnement[Affectation matrice],$AB$3,Fonctionnement[TVA acquittée])+SUMIF(Invest[Affectation matrice],$AB$3,Invest[TVA acquittée]))*BF6</f>
        <v>0</v>
      </c>
      <c r="CH6" s="200">
        <f>(SUMIF(Fonctionnement[Affectation matrice],$AB$3,Fonctionnement[TVA acquittée])+SUMIF(Invest[Affectation matrice],$AB$3,Invest[TVA acquittée]))*BG6</f>
        <v>0</v>
      </c>
      <c r="CI6" s="200">
        <f>(SUMIF(Fonctionnement[Affectation matrice],$AB$3,Fonctionnement[TVA acquittée])+SUMIF(Invest[Affectation matrice],$AB$3,Invest[TVA acquittée]))*BH6</f>
        <v>0</v>
      </c>
      <c r="CJ6" s="200">
        <f>(SUMIF(Fonctionnement[Affectation matrice],$AB$3,Fonctionnement[TVA acquittée])+SUMIF(Invest[Affectation matrice],$AB$3,Invest[TVA acquittée]))*BI6</f>
        <v>0</v>
      </c>
      <c r="CK6" s="200">
        <f>(SUMIF(Fonctionnement[Affectation matrice],$AB$3,Fonctionnement[TVA acquittée])+SUMIF(Invest[Affectation matrice],$AB$3,Invest[TVA acquittée]))*BJ6</f>
        <v>0</v>
      </c>
      <c r="CL6" s="200">
        <f>(SUMIF(Fonctionnement[Affectation matrice],$AB$3,Fonctionnement[TVA acquittée])+SUMIF(Invest[Affectation matrice],$AB$3,Invest[TVA acquittée]))*BK6</f>
        <v>0</v>
      </c>
      <c r="CM6" s="200">
        <f>(SUMIF(Fonctionnement[Affectation matrice],$AB$3,Fonctionnement[TVA acquittée])+SUMIF(Invest[Affectation matrice],$AB$3,Invest[TVA acquittée]))*BL6</f>
        <v>0</v>
      </c>
      <c r="CN6" s="200">
        <f>(SUMIF(Fonctionnement[Affectation matrice],$AB$3,Fonctionnement[TVA acquittée])+SUMIF(Invest[Affectation matrice],$AB$3,Invest[TVA acquittée]))*BM6</f>
        <v>0</v>
      </c>
      <c r="CO6" s="200">
        <f>(SUMIF(Fonctionnement[Affectation matrice],$AB$3,Fonctionnement[TVA acquittée])+SUMIF(Invest[Affectation matrice],$AB$3,Invest[TVA acquittée]))*BN6</f>
        <v>0</v>
      </c>
      <c r="CP6" s="200">
        <f>(SUMIF(Fonctionnement[Affectation matrice],$AB$3,Fonctionnement[TVA acquittée])+SUMIF(Invest[Affectation matrice],$AB$3,Invest[TVA acquittée]))*BO6</f>
        <v>0</v>
      </c>
      <c r="CQ6" s="200">
        <f>(SUMIF(Fonctionnement[Affectation matrice],$AB$3,Fonctionnement[TVA acquittée])+SUMIF(Invest[Affectation matrice],$AB$3,Invest[TVA acquittée]))*BP6</f>
        <v>0</v>
      </c>
      <c r="CR6" s="200">
        <f>(SUMIF(Fonctionnement[Affectation matrice],$AB$3,Fonctionnement[TVA acquittée])+SUMIF(Invest[Affectation matrice],$AB$3,Invest[TVA acquittée]))*BQ6</f>
        <v>0</v>
      </c>
      <c r="CS6" s="200">
        <f>(SUMIF(Fonctionnement[Affectation matrice],$AB$3,Fonctionnement[TVA acquittée])+SUMIF(Invest[Affectation matrice],$AB$3,Invest[TVA acquittée]))*BR6</f>
        <v>0</v>
      </c>
      <c r="CT6" s="200">
        <f>(SUMIF(Fonctionnement[Affectation matrice],$AB$3,Fonctionnement[TVA acquittée])+SUMIF(Invest[Affectation matrice],$AB$3,Invest[TVA acquittée]))*BS6</f>
        <v>0</v>
      </c>
      <c r="CU6" s="200">
        <f>(SUMIF(Fonctionnement[Affectation matrice],$AB$3,Fonctionnement[TVA acquittée])+SUMIF(Invest[Affectation matrice],$AB$3,Invest[TVA acquittée]))*BT6</f>
        <v>0</v>
      </c>
      <c r="CV6" s="200">
        <f>(SUMIF(Fonctionnement[Affectation matrice],$AB$3,Fonctionnement[TVA acquittée])+SUMIF(Invest[Affectation matrice],$AB$3,Invest[TVA acquittée]))*BU6</f>
        <v>0</v>
      </c>
      <c r="CW6" s="200">
        <f>(SUMIF(Fonctionnement[Affectation matrice],$AB$3,Fonctionnement[TVA acquittée])+SUMIF(Invest[Affectation matrice],$AB$3,Invest[TVA acquittée]))*BV6</f>
        <v>0</v>
      </c>
      <c r="CX6" s="200">
        <f>(SUMIF(Fonctionnement[Affectation matrice],$AB$3,Fonctionnement[TVA acquittée])+SUMIF(Invest[Affectation matrice],$AB$3,Invest[TVA acquittée]))*BW6</f>
        <v>0</v>
      </c>
      <c r="CY6" s="200">
        <f>(SUMIF(Fonctionnement[Affectation matrice],$AB$3,Fonctionnement[TVA acquittée])+SUMIF(Invest[Affectation matrice],$AB$3,Invest[TVA acquittée]))*BX6</f>
        <v>0</v>
      </c>
      <c r="CZ6" s="200">
        <f>(SUMIF(Fonctionnement[Affectation matrice],$AB$3,Fonctionnement[TVA acquittée])+SUMIF(Invest[Affectation matrice],$AB$3,Invest[TVA acquittée]))*BY6</f>
        <v>0</v>
      </c>
      <c r="DA6" s="200">
        <f>(SUMIF(Fonctionnement[Affectation matrice],$AB$3,Fonctionnement[TVA acquittée])+SUMIF(Invest[Affectation matrice],$AB$3,Invest[TVA acquittée]))*BZ6</f>
        <v>0</v>
      </c>
      <c r="DB6" s="200">
        <f>(SUMIF(Fonctionnement[Affectation matrice],$AB$3,Fonctionnement[TVA acquittée])+SUMIF(Invest[Affectation matrice],$AB$3,Invest[TVA acquittée]))*CA6</f>
        <v>0</v>
      </c>
    </row>
    <row r="7" spans="1:106" ht="15" customHeight="1" x14ac:dyDescent="0.25">
      <c r="A7" s="42" t="str">
        <f>Matrice[[#This Row],[Ligne de la matrice]]</f>
        <v>Prévention</v>
      </c>
      <c r="B7" s="198">
        <f>(SUMIF(Fonctionnement[Affectation matrice],$AB$3,Fonctionnement[Montant (€HT)])+SUMIF(Invest[Affectation matrice],$AB$3,Invest[Amortissement HT + intérêts]))*BC7</f>
        <v>0</v>
      </c>
      <c r="C7" s="198">
        <f>(SUMIF(Fonctionnement[Affectation matrice],$AB$3,Fonctionnement[Montant (€HT)])+SUMIF(Invest[Affectation matrice],$AB$3,Invest[Amortissement HT + intérêts]))*BD7</f>
        <v>0</v>
      </c>
      <c r="D7" s="198">
        <f>(SUMIF(Fonctionnement[Affectation matrice],$AB$3,Fonctionnement[Montant (€HT)])+SUMIF(Invest[Affectation matrice],$AB$3,Invest[Amortissement HT + intérêts]))*BE7</f>
        <v>0</v>
      </c>
      <c r="E7" s="198">
        <f>(SUMIF(Fonctionnement[Affectation matrice],$AB$3,Fonctionnement[Montant (€HT)])+SUMIF(Invest[Affectation matrice],$AB$3,Invest[Amortissement HT + intérêts]))*BF7</f>
        <v>0</v>
      </c>
      <c r="F7" s="198">
        <f>(SUMIF(Fonctionnement[Affectation matrice],$AB$3,Fonctionnement[Montant (€HT)])+SUMIF(Invest[Affectation matrice],$AB$3,Invest[Amortissement HT + intérêts]))*BG7</f>
        <v>0</v>
      </c>
      <c r="G7" s="198">
        <f>(SUMIF(Fonctionnement[Affectation matrice],$AB$3,Fonctionnement[Montant (€HT)])+SUMIF(Invest[Affectation matrice],$AB$3,Invest[Amortissement HT + intérêts]))*BH7</f>
        <v>0</v>
      </c>
      <c r="H7" s="198">
        <f>(SUMIF(Fonctionnement[Affectation matrice],$AB$3,Fonctionnement[Montant (€HT)])+SUMIF(Invest[Affectation matrice],$AB$3,Invest[Amortissement HT + intérêts]))*BI7</f>
        <v>0</v>
      </c>
      <c r="I7" s="198">
        <f>(SUMIF(Fonctionnement[Affectation matrice],$AB$3,Fonctionnement[Montant (€HT)])+SUMIF(Invest[Affectation matrice],$AB$3,Invest[Amortissement HT + intérêts]))*BJ7</f>
        <v>0</v>
      </c>
      <c r="J7" s="198">
        <f>(SUMIF(Fonctionnement[Affectation matrice],$AB$3,Fonctionnement[Montant (€HT)])+SUMIF(Invest[Affectation matrice],$AB$3,Invest[Amortissement HT + intérêts]))*BK7</f>
        <v>0</v>
      </c>
      <c r="K7" s="198">
        <f>(SUMIF(Fonctionnement[Affectation matrice],$AB$3,Fonctionnement[Montant (€HT)])+SUMIF(Invest[Affectation matrice],$AB$3,Invest[Amortissement HT + intérêts]))*BL7</f>
        <v>0</v>
      </c>
      <c r="L7" s="198">
        <f>(SUMIF(Fonctionnement[Affectation matrice],$AB$3,Fonctionnement[Montant (€HT)])+SUMIF(Invest[Affectation matrice],$AB$3,Invest[Amortissement HT + intérêts]))*BM7</f>
        <v>0</v>
      </c>
      <c r="M7" s="198">
        <f>(SUMIF(Fonctionnement[Affectation matrice],$AB$3,Fonctionnement[Montant (€HT)])+SUMIF(Invest[Affectation matrice],$AB$3,Invest[Amortissement HT + intérêts]))*BN7</f>
        <v>0</v>
      </c>
      <c r="N7" s="198">
        <f>(SUMIF(Fonctionnement[Affectation matrice],$AB$3,Fonctionnement[Montant (€HT)])+SUMIF(Invest[Affectation matrice],$AB$3,Invest[Amortissement HT + intérêts]))*BO7</f>
        <v>0</v>
      </c>
      <c r="O7" s="198">
        <f>(SUMIF(Fonctionnement[Affectation matrice],$AB$3,Fonctionnement[Montant (€HT)])+SUMIF(Invest[Affectation matrice],$AB$3,Invest[Amortissement HT + intérêts]))*BP7</f>
        <v>0</v>
      </c>
      <c r="P7" s="198">
        <f>(SUMIF(Fonctionnement[Affectation matrice],$AB$3,Fonctionnement[Montant (€HT)])+SUMIF(Invest[Affectation matrice],$AB$3,Invest[Amortissement HT + intérêts]))*BQ7</f>
        <v>0</v>
      </c>
      <c r="Q7" s="198">
        <f>(SUMIF(Fonctionnement[Affectation matrice],$AB$3,Fonctionnement[Montant (€HT)])+SUMIF(Invest[Affectation matrice],$AB$3,Invest[Amortissement HT + intérêts]))*BR7</f>
        <v>0</v>
      </c>
      <c r="R7" s="198">
        <f>(SUMIF(Fonctionnement[Affectation matrice],$AB$3,Fonctionnement[Montant (€HT)])+SUMIF(Invest[Affectation matrice],$AB$3,Invest[Amortissement HT + intérêts]))*BS7</f>
        <v>0</v>
      </c>
      <c r="S7" s="198">
        <f>(SUMIF(Fonctionnement[Affectation matrice],$AB$3,Fonctionnement[Montant (€HT)])+SUMIF(Invest[Affectation matrice],$AB$3,Invest[Amortissement HT + intérêts]))*BT7</f>
        <v>0</v>
      </c>
      <c r="T7" s="198">
        <f>(SUMIF(Fonctionnement[Affectation matrice],$AB$3,Fonctionnement[Montant (€HT)])+SUMIF(Invest[Affectation matrice],$AB$3,Invest[Amortissement HT + intérêts]))*BU7</f>
        <v>0</v>
      </c>
      <c r="U7" s="198">
        <f>(SUMIF(Fonctionnement[Affectation matrice],$AB$3,Fonctionnement[Montant (€HT)])+SUMIF(Invest[Affectation matrice],$AB$3,Invest[Amortissement HT + intérêts]))*BV7</f>
        <v>0</v>
      </c>
      <c r="V7" s="198">
        <f>(SUMIF(Fonctionnement[Affectation matrice],$AB$3,Fonctionnement[Montant (€HT)])+SUMIF(Invest[Affectation matrice],$AB$3,Invest[Amortissement HT + intérêts]))*BW7</f>
        <v>0</v>
      </c>
      <c r="W7" s="198">
        <f>(SUMIF(Fonctionnement[Affectation matrice],$AB$3,Fonctionnement[Montant (€HT)])+SUMIF(Invest[Affectation matrice],$AB$3,Invest[Amortissement HT + intérêts]))*BX7</f>
        <v>0</v>
      </c>
      <c r="X7" s="198">
        <f>(SUMIF(Fonctionnement[Affectation matrice],$AB$3,Fonctionnement[Montant (€HT)])+SUMIF(Invest[Affectation matrice],$AB$3,Invest[Amortissement HT + intérêts]))*BY7</f>
        <v>0</v>
      </c>
      <c r="Y7" s="198">
        <f>(SUMIF(Fonctionnement[Affectation matrice],$AB$3,Fonctionnement[Montant (€HT)])+SUMIF(Invest[Affectation matrice],$AB$3,Invest[Amortissement HT + intérêts]))*BZ7</f>
        <v>0</v>
      </c>
      <c r="Z7" s="198">
        <f>(SUMIF(Fonctionnement[Affectation matrice],$AB$3,Fonctionnement[Montant (€HT)])+SUMIF(Invest[Affectation matrice],$AB$3,Invest[Amortissement HT + intérêts]))*CA7</f>
        <v>0</v>
      </c>
      <c r="AA7" s="199"/>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283">
        <f t="shared" ref="BA7:BA52" si="4">SUM(AB7:AZ7)</f>
        <v>0</v>
      </c>
      <c r="BC7" s="61">
        <f t="shared" si="2"/>
        <v>0</v>
      </c>
      <c r="BD7" s="61">
        <f t="shared" si="2"/>
        <v>0</v>
      </c>
      <c r="BE7" s="61">
        <f t="shared" si="2"/>
        <v>0</v>
      </c>
      <c r="BF7" s="61">
        <f t="shared" si="2"/>
        <v>0</v>
      </c>
      <c r="BG7" s="61">
        <f t="shared" si="2"/>
        <v>0</v>
      </c>
      <c r="BH7" s="61">
        <f t="shared" si="2"/>
        <v>0</v>
      </c>
      <c r="BI7" s="61">
        <f t="shared" si="2"/>
        <v>0</v>
      </c>
      <c r="BJ7" s="61">
        <f t="shared" si="2"/>
        <v>0</v>
      </c>
      <c r="BK7" s="61">
        <f t="shared" si="2"/>
        <v>0</v>
      </c>
      <c r="BL7" s="61">
        <f t="shared" si="2"/>
        <v>0</v>
      </c>
      <c r="BM7" s="61">
        <f t="shared" si="2"/>
        <v>0</v>
      </c>
      <c r="BN7" s="61">
        <f t="shared" si="2"/>
        <v>0</v>
      </c>
      <c r="BO7" s="61">
        <f t="shared" si="2"/>
        <v>0</v>
      </c>
      <c r="BP7" s="61">
        <f t="shared" si="2"/>
        <v>0</v>
      </c>
      <c r="BQ7" s="61">
        <f t="shared" si="2"/>
        <v>0</v>
      </c>
      <c r="BR7" s="61">
        <f t="shared" si="2"/>
        <v>0</v>
      </c>
      <c r="BS7" s="61">
        <f t="shared" si="3"/>
        <v>0</v>
      </c>
      <c r="BT7" s="61">
        <f t="shared" si="3"/>
        <v>0</v>
      </c>
      <c r="BU7" s="61">
        <f t="shared" si="3"/>
        <v>0</v>
      </c>
      <c r="BV7" s="61">
        <f t="shared" si="3"/>
        <v>0</v>
      </c>
      <c r="BW7" s="61">
        <f t="shared" si="3"/>
        <v>0</v>
      </c>
      <c r="BX7" s="61">
        <f t="shared" si="3"/>
        <v>0</v>
      </c>
      <c r="BY7" s="61">
        <f t="shared" si="3"/>
        <v>0</v>
      </c>
      <c r="BZ7" s="61">
        <f t="shared" si="3"/>
        <v>0</v>
      </c>
      <c r="CA7" s="61">
        <f t="shared" si="3"/>
        <v>0</v>
      </c>
      <c r="CB7" s="61">
        <f t="shared" ref="CB7:CB52" si="5">SUM(BC7:CA7)</f>
        <v>0</v>
      </c>
      <c r="CD7" s="200">
        <f>(SUMIF(Fonctionnement[Affectation matrice],$AB$3,Fonctionnement[TVA acquittée])+SUMIF(Invest[Affectation matrice],$AB$3,Invest[TVA acquittée]))*BC7</f>
        <v>0</v>
      </c>
      <c r="CE7" s="200">
        <f>(SUMIF(Fonctionnement[Affectation matrice],$AB$3,Fonctionnement[TVA acquittée])+SUMIF(Invest[Affectation matrice],$AB$3,Invest[TVA acquittée]))*BD7</f>
        <v>0</v>
      </c>
      <c r="CF7" s="200">
        <f>(SUMIF(Fonctionnement[Affectation matrice],$AB$3,Fonctionnement[TVA acquittée])+SUMIF(Invest[Affectation matrice],$AB$3,Invest[TVA acquittée]))*BE7</f>
        <v>0</v>
      </c>
      <c r="CG7" s="200">
        <f>(SUMIF(Fonctionnement[Affectation matrice],$AB$3,Fonctionnement[TVA acquittée])+SUMIF(Invest[Affectation matrice],$AB$3,Invest[TVA acquittée]))*BF7</f>
        <v>0</v>
      </c>
      <c r="CH7" s="200">
        <f>(SUMIF(Fonctionnement[Affectation matrice],$AB$3,Fonctionnement[TVA acquittée])+SUMIF(Invest[Affectation matrice],$AB$3,Invest[TVA acquittée]))*BG7</f>
        <v>0</v>
      </c>
      <c r="CI7" s="200">
        <f>(SUMIF(Fonctionnement[Affectation matrice],$AB$3,Fonctionnement[TVA acquittée])+SUMIF(Invest[Affectation matrice],$AB$3,Invest[TVA acquittée]))*BH7</f>
        <v>0</v>
      </c>
      <c r="CJ7" s="200">
        <f>(SUMIF(Fonctionnement[Affectation matrice],$AB$3,Fonctionnement[TVA acquittée])+SUMIF(Invest[Affectation matrice],$AB$3,Invest[TVA acquittée]))*BI7</f>
        <v>0</v>
      </c>
      <c r="CK7" s="200">
        <f>(SUMIF(Fonctionnement[Affectation matrice],$AB$3,Fonctionnement[TVA acquittée])+SUMIF(Invest[Affectation matrice],$AB$3,Invest[TVA acquittée]))*BJ7</f>
        <v>0</v>
      </c>
      <c r="CL7" s="200">
        <f>(SUMIF(Fonctionnement[Affectation matrice],$AB$3,Fonctionnement[TVA acquittée])+SUMIF(Invest[Affectation matrice],$AB$3,Invest[TVA acquittée]))*BK7</f>
        <v>0</v>
      </c>
      <c r="CM7" s="200">
        <f>(SUMIF(Fonctionnement[Affectation matrice],$AB$3,Fonctionnement[TVA acquittée])+SUMIF(Invest[Affectation matrice],$AB$3,Invest[TVA acquittée]))*BL7</f>
        <v>0</v>
      </c>
      <c r="CN7" s="200">
        <f>(SUMIF(Fonctionnement[Affectation matrice],$AB$3,Fonctionnement[TVA acquittée])+SUMIF(Invest[Affectation matrice],$AB$3,Invest[TVA acquittée]))*BM7</f>
        <v>0</v>
      </c>
      <c r="CO7" s="200">
        <f>(SUMIF(Fonctionnement[Affectation matrice],$AB$3,Fonctionnement[TVA acquittée])+SUMIF(Invest[Affectation matrice],$AB$3,Invest[TVA acquittée]))*BN7</f>
        <v>0</v>
      </c>
      <c r="CP7" s="200">
        <f>(SUMIF(Fonctionnement[Affectation matrice],$AB$3,Fonctionnement[TVA acquittée])+SUMIF(Invest[Affectation matrice],$AB$3,Invest[TVA acquittée]))*BO7</f>
        <v>0</v>
      </c>
      <c r="CQ7" s="200">
        <f>(SUMIF(Fonctionnement[Affectation matrice],$AB$3,Fonctionnement[TVA acquittée])+SUMIF(Invest[Affectation matrice],$AB$3,Invest[TVA acquittée]))*BP7</f>
        <v>0</v>
      </c>
      <c r="CR7" s="200">
        <f>(SUMIF(Fonctionnement[Affectation matrice],$AB$3,Fonctionnement[TVA acquittée])+SUMIF(Invest[Affectation matrice],$AB$3,Invest[TVA acquittée]))*BQ7</f>
        <v>0</v>
      </c>
      <c r="CS7" s="200">
        <f>(SUMIF(Fonctionnement[Affectation matrice],$AB$3,Fonctionnement[TVA acquittée])+SUMIF(Invest[Affectation matrice],$AB$3,Invest[TVA acquittée]))*BR7</f>
        <v>0</v>
      </c>
      <c r="CT7" s="200">
        <f>(SUMIF(Fonctionnement[Affectation matrice],$AB$3,Fonctionnement[TVA acquittée])+SUMIF(Invest[Affectation matrice],$AB$3,Invest[TVA acquittée]))*BS7</f>
        <v>0</v>
      </c>
      <c r="CU7" s="200">
        <f>(SUMIF(Fonctionnement[Affectation matrice],$AB$3,Fonctionnement[TVA acquittée])+SUMIF(Invest[Affectation matrice],$AB$3,Invest[TVA acquittée]))*BT7</f>
        <v>0</v>
      </c>
      <c r="CV7" s="200">
        <f>(SUMIF(Fonctionnement[Affectation matrice],$AB$3,Fonctionnement[TVA acquittée])+SUMIF(Invest[Affectation matrice],$AB$3,Invest[TVA acquittée]))*BU7</f>
        <v>0</v>
      </c>
      <c r="CW7" s="200">
        <f>(SUMIF(Fonctionnement[Affectation matrice],$AB$3,Fonctionnement[TVA acquittée])+SUMIF(Invest[Affectation matrice],$AB$3,Invest[TVA acquittée]))*BV7</f>
        <v>0</v>
      </c>
      <c r="CX7" s="200">
        <f>(SUMIF(Fonctionnement[Affectation matrice],$AB$3,Fonctionnement[TVA acquittée])+SUMIF(Invest[Affectation matrice],$AB$3,Invest[TVA acquittée]))*BW7</f>
        <v>0</v>
      </c>
      <c r="CY7" s="200">
        <f>(SUMIF(Fonctionnement[Affectation matrice],$AB$3,Fonctionnement[TVA acquittée])+SUMIF(Invest[Affectation matrice],$AB$3,Invest[TVA acquittée]))*BX7</f>
        <v>0</v>
      </c>
      <c r="CZ7" s="200">
        <f>(SUMIF(Fonctionnement[Affectation matrice],$AB$3,Fonctionnement[TVA acquittée])+SUMIF(Invest[Affectation matrice],$AB$3,Invest[TVA acquittée]))*BY7</f>
        <v>0</v>
      </c>
      <c r="DA7" s="200">
        <f>(SUMIF(Fonctionnement[Affectation matrice],$AB$3,Fonctionnement[TVA acquittée])+SUMIF(Invest[Affectation matrice],$AB$3,Invest[TVA acquittée]))*BZ7</f>
        <v>0</v>
      </c>
      <c r="DB7" s="200">
        <f>(SUMIF(Fonctionnement[Affectation matrice],$AB$3,Fonctionnement[TVA acquittée])+SUMIF(Invest[Affectation matrice],$AB$3,Invest[TVA acquittée]))*CA7</f>
        <v>0</v>
      </c>
    </row>
    <row r="8" spans="1:106" ht="12.75" customHeight="1" x14ac:dyDescent="0.25">
      <c r="A8" s="42" t="str">
        <f>Matrice[[#This Row],[Ligne de la matrice]]</f>
        <v>Pré-collecte</v>
      </c>
      <c r="B8" s="198">
        <f>(SUMIF(Fonctionnement[Affectation matrice],$AB$3,Fonctionnement[Montant (€HT)])+SUMIF(Invest[Affectation matrice],$AB$3,Invest[Amortissement HT + intérêts]))*BC8</f>
        <v>0</v>
      </c>
      <c r="C8" s="198">
        <f>(SUMIF(Fonctionnement[Affectation matrice],$AB$3,Fonctionnement[Montant (€HT)])+SUMIF(Invest[Affectation matrice],$AB$3,Invest[Amortissement HT + intérêts]))*BD8</f>
        <v>0</v>
      </c>
      <c r="D8" s="198">
        <f>(SUMIF(Fonctionnement[Affectation matrice],$AB$3,Fonctionnement[Montant (€HT)])+SUMIF(Invest[Affectation matrice],$AB$3,Invest[Amortissement HT + intérêts]))*BE8</f>
        <v>0</v>
      </c>
      <c r="E8" s="198">
        <f>(SUMIF(Fonctionnement[Affectation matrice],$AB$3,Fonctionnement[Montant (€HT)])+SUMIF(Invest[Affectation matrice],$AB$3,Invest[Amortissement HT + intérêts]))*BF8</f>
        <v>0</v>
      </c>
      <c r="F8" s="198">
        <f>(SUMIF(Fonctionnement[Affectation matrice],$AB$3,Fonctionnement[Montant (€HT)])+SUMIF(Invest[Affectation matrice],$AB$3,Invest[Amortissement HT + intérêts]))*BG8</f>
        <v>0</v>
      </c>
      <c r="G8" s="198">
        <f>(SUMIF(Fonctionnement[Affectation matrice],$AB$3,Fonctionnement[Montant (€HT)])+SUMIF(Invest[Affectation matrice],$AB$3,Invest[Amortissement HT + intérêts]))*BH8</f>
        <v>0</v>
      </c>
      <c r="H8" s="198">
        <f>(SUMIF(Fonctionnement[Affectation matrice],$AB$3,Fonctionnement[Montant (€HT)])+SUMIF(Invest[Affectation matrice],$AB$3,Invest[Amortissement HT + intérêts]))*BI8</f>
        <v>0</v>
      </c>
      <c r="I8" s="198">
        <f>(SUMIF(Fonctionnement[Affectation matrice],$AB$3,Fonctionnement[Montant (€HT)])+SUMIF(Invest[Affectation matrice],$AB$3,Invest[Amortissement HT + intérêts]))*BJ8</f>
        <v>0</v>
      </c>
      <c r="J8" s="198">
        <f>(SUMIF(Fonctionnement[Affectation matrice],$AB$3,Fonctionnement[Montant (€HT)])+SUMIF(Invest[Affectation matrice],$AB$3,Invest[Amortissement HT + intérêts]))*BK8</f>
        <v>0</v>
      </c>
      <c r="K8" s="198">
        <f>(SUMIF(Fonctionnement[Affectation matrice],$AB$3,Fonctionnement[Montant (€HT)])+SUMIF(Invest[Affectation matrice],$AB$3,Invest[Amortissement HT + intérêts]))*BL8</f>
        <v>0</v>
      </c>
      <c r="L8" s="198">
        <f>(SUMIF(Fonctionnement[Affectation matrice],$AB$3,Fonctionnement[Montant (€HT)])+SUMIF(Invest[Affectation matrice],$AB$3,Invest[Amortissement HT + intérêts]))*BM8</f>
        <v>0</v>
      </c>
      <c r="M8" s="198">
        <f>(SUMIF(Fonctionnement[Affectation matrice],$AB$3,Fonctionnement[Montant (€HT)])+SUMIF(Invest[Affectation matrice],$AB$3,Invest[Amortissement HT + intérêts]))*BN8</f>
        <v>0</v>
      </c>
      <c r="N8" s="198">
        <f>(SUMIF(Fonctionnement[Affectation matrice],$AB$3,Fonctionnement[Montant (€HT)])+SUMIF(Invest[Affectation matrice],$AB$3,Invest[Amortissement HT + intérêts]))*BO8</f>
        <v>0</v>
      </c>
      <c r="O8" s="198">
        <f>(SUMIF(Fonctionnement[Affectation matrice],$AB$3,Fonctionnement[Montant (€HT)])+SUMIF(Invest[Affectation matrice],$AB$3,Invest[Amortissement HT + intérêts]))*BP8</f>
        <v>0</v>
      </c>
      <c r="P8" s="198">
        <f>(SUMIF(Fonctionnement[Affectation matrice],$AB$3,Fonctionnement[Montant (€HT)])+SUMIF(Invest[Affectation matrice],$AB$3,Invest[Amortissement HT + intérêts]))*BQ8</f>
        <v>0</v>
      </c>
      <c r="Q8" s="198">
        <f>(SUMIF(Fonctionnement[Affectation matrice],$AB$3,Fonctionnement[Montant (€HT)])+SUMIF(Invest[Affectation matrice],$AB$3,Invest[Amortissement HT + intérêts]))*BR8</f>
        <v>0</v>
      </c>
      <c r="R8" s="198">
        <f>(SUMIF(Fonctionnement[Affectation matrice],$AB$3,Fonctionnement[Montant (€HT)])+SUMIF(Invest[Affectation matrice],$AB$3,Invest[Amortissement HT + intérêts]))*BS8</f>
        <v>0</v>
      </c>
      <c r="S8" s="198">
        <f>(SUMIF(Fonctionnement[Affectation matrice],$AB$3,Fonctionnement[Montant (€HT)])+SUMIF(Invest[Affectation matrice],$AB$3,Invest[Amortissement HT + intérêts]))*BT8</f>
        <v>0</v>
      </c>
      <c r="T8" s="198">
        <f>(SUMIF(Fonctionnement[Affectation matrice],$AB$3,Fonctionnement[Montant (€HT)])+SUMIF(Invest[Affectation matrice],$AB$3,Invest[Amortissement HT + intérêts]))*BU8</f>
        <v>0</v>
      </c>
      <c r="U8" s="198">
        <f>(SUMIF(Fonctionnement[Affectation matrice],$AB$3,Fonctionnement[Montant (€HT)])+SUMIF(Invest[Affectation matrice],$AB$3,Invest[Amortissement HT + intérêts]))*BV8</f>
        <v>0</v>
      </c>
      <c r="V8" s="198">
        <f>(SUMIF(Fonctionnement[Affectation matrice],$AB$3,Fonctionnement[Montant (€HT)])+SUMIF(Invest[Affectation matrice],$AB$3,Invest[Amortissement HT + intérêts]))*BW8</f>
        <v>0</v>
      </c>
      <c r="W8" s="198">
        <f>(SUMIF(Fonctionnement[Affectation matrice],$AB$3,Fonctionnement[Montant (€HT)])+SUMIF(Invest[Affectation matrice],$AB$3,Invest[Amortissement HT + intérêts]))*BX8</f>
        <v>0</v>
      </c>
      <c r="X8" s="198">
        <f>(SUMIF(Fonctionnement[Affectation matrice],$AB$3,Fonctionnement[Montant (€HT)])+SUMIF(Invest[Affectation matrice],$AB$3,Invest[Amortissement HT + intérêts]))*BY8</f>
        <v>0</v>
      </c>
      <c r="Y8" s="198">
        <f>(SUMIF(Fonctionnement[Affectation matrice],$AB$3,Fonctionnement[Montant (€HT)])+SUMIF(Invest[Affectation matrice],$AB$3,Invest[Amortissement HT + intérêts]))*BZ8</f>
        <v>0</v>
      </c>
      <c r="Z8" s="198">
        <f>(SUMIF(Fonctionnement[Affectation matrice],$AB$3,Fonctionnement[Montant (€HT)])+SUMIF(Invest[Affectation matrice],$AB$3,Invest[Amortissement HT + intérêts]))*CA8</f>
        <v>0</v>
      </c>
      <c r="AA8" s="199"/>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283">
        <f t="shared" si="4"/>
        <v>0</v>
      </c>
      <c r="BC8" s="61">
        <f t="shared" si="2"/>
        <v>0</v>
      </c>
      <c r="BD8" s="61">
        <f t="shared" si="2"/>
        <v>0</v>
      </c>
      <c r="BE8" s="61">
        <f t="shared" si="2"/>
        <v>0</v>
      </c>
      <c r="BF8" s="61">
        <f t="shared" si="2"/>
        <v>0</v>
      </c>
      <c r="BG8" s="61">
        <f t="shared" si="2"/>
        <v>0</v>
      </c>
      <c r="BH8" s="61">
        <f t="shared" si="2"/>
        <v>0</v>
      </c>
      <c r="BI8" s="61">
        <f t="shared" si="2"/>
        <v>0</v>
      </c>
      <c r="BJ8" s="61">
        <f t="shared" si="2"/>
        <v>0</v>
      </c>
      <c r="BK8" s="61">
        <f t="shared" si="2"/>
        <v>0</v>
      </c>
      <c r="BL8" s="61">
        <f t="shared" si="2"/>
        <v>0</v>
      </c>
      <c r="BM8" s="61">
        <f t="shared" si="2"/>
        <v>0</v>
      </c>
      <c r="BN8" s="61">
        <f t="shared" si="2"/>
        <v>0</v>
      </c>
      <c r="BO8" s="61">
        <f t="shared" si="2"/>
        <v>0</v>
      </c>
      <c r="BP8" s="61">
        <f t="shared" si="2"/>
        <v>0</v>
      </c>
      <c r="BQ8" s="61">
        <f t="shared" si="2"/>
        <v>0</v>
      </c>
      <c r="BR8" s="61">
        <f t="shared" si="2"/>
        <v>0</v>
      </c>
      <c r="BS8" s="61">
        <f t="shared" si="3"/>
        <v>0</v>
      </c>
      <c r="BT8" s="61">
        <f t="shared" si="3"/>
        <v>0</v>
      </c>
      <c r="BU8" s="61">
        <f t="shared" si="3"/>
        <v>0</v>
      </c>
      <c r="BV8" s="61">
        <f t="shared" si="3"/>
        <v>0</v>
      </c>
      <c r="BW8" s="61">
        <f t="shared" si="3"/>
        <v>0</v>
      </c>
      <c r="BX8" s="61">
        <f t="shared" si="3"/>
        <v>0</v>
      </c>
      <c r="BY8" s="61">
        <f t="shared" si="3"/>
        <v>0</v>
      </c>
      <c r="BZ8" s="61">
        <f t="shared" si="3"/>
        <v>0</v>
      </c>
      <c r="CA8" s="61">
        <f t="shared" si="3"/>
        <v>0</v>
      </c>
      <c r="CB8" s="61">
        <f t="shared" si="5"/>
        <v>0</v>
      </c>
      <c r="CD8" s="200">
        <f>(SUMIF(Fonctionnement[Affectation matrice],$AB$3,Fonctionnement[TVA acquittée])+SUMIF(Invest[Affectation matrice],$AB$3,Invest[TVA acquittée]))*BC8</f>
        <v>0</v>
      </c>
      <c r="CE8" s="200">
        <f>(SUMIF(Fonctionnement[Affectation matrice],$AB$3,Fonctionnement[TVA acquittée])+SUMIF(Invest[Affectation matrice],$AB$3,Invest[TVA acquittée]))*BD8</f>
        <v>0</v>
      </c>
      <c r="CF8" s="200">
        <f>(SUMIF(Fonctionnement[Affectation matrice],$AB$3,Fonctionnement[TVA acquittée])+SUMIF(Invest[Affectation matrice],$AB$3,Invest[TVA acquittée]))*BE8</f>
        <v>0</v>
      </c>
      <c r="CG8" s="200">
        <f>(SUMIF(Fonctionnement[Affectation matrice],$AB$3,Fonctionnement[TVA acquittée])+SUMIF(Invest[Affectation matrice],$AB$3,Invest[TVA acquittée]))*BF8</f>
        <v>0</v>
      </c>
      <c r="CH8" s="200">
        <f>(SUMIF(Fonctionnement[Affectation matrice],$AB$3,Fonctionnement[TVA acquittée])+SUMIF(Invest[Affectation matrice],$AB$3,Invest[TVA acquittée]))*BG8</f>
        <v>0</v>
      </c>
      <c r="CI8" s="200">
        <f>(SUMIF(Fonctionnement[Affectation matrice],$AB$3,Fonctionnement[TVA acquittée])+SUMIF(Invest[Affectation matrice],$AB$3,Invest[TVA acquittée]))*BH8</f>
        <v>0</v>
      </c>
      <c r="CJ8" s="200">
        <f>(SUMIF(Fonctionnement[Affectation matrice],$AB$3,Fonctionnement[TVA acquittée])+SUMIF(Invest[Affectation matrice],$AB$3,Invest[TVA acquittée]))*BI8</f>
        <v>0</v>
      </c>
      <c r="CK8" s="200">
        <f>(SUMIF(Fonctionnement[Affectation matrice],$AB$3,Fonctionnement[TVA acquittée])+SUMIF(Invest[Affectation matrice],$AB$3,Invest[TVA acquittée]))*BJ8</f>
        <v>0</v>
      </c>
      <c r="CL8" s="200">
        <f>(SUMIF(Fonctionnement[Affectation matrice],$AB$3,Fonctionnement[TVA acquittée])+SUMIF(Invest[Affectation matrice],$AB$3,Invest[TVA acquittée]))*BK8</f>
        <v>0</v>
      </c>
      <c r="CM8" s="200">
        <f>(SUMIF(Fonctionnement[Affectation matrice],$AB$3,Fonctionnement[TVA acquittée])+SUMIF(Invest[Affectation matrice],$AB$3,Invest[TVA acquittée]))*BL8</f>
        <v>0</v>
      </c>
      <c r="CN8" s="200">
        <f>(SUMIF(Fonctionnement[Affectation matrice],$AB$3,Fonctionnement[TVA acquittée])+SUMIF(Invest[Affectation matrice],$AB$3,Invest[TVA acquittée]))*BM8</f>
        <v>0</v>
      </c>
      <c r="CO8" s="200">
        <f>(SUMIF(Fonctionnement[Affectation matrice],$AB$3,Fonctionnement[TVA acquittée])+SUMIF(Invest[Affectation matrice],$AB$3,Invest[TVA acquittée]))*BN8</f>
        <v>0</v>
      </c>
      <c r="CP8" s="200">
        <f>(SUMIF(Fonctionnement[Affectation matrice],$AB$3,Fonctionnement[TVA acquittée])+SUMIF(Invest[Affectation matrice],$AB$3,Invest[TVA acquittée]))*BO8</f>
        <v>0</v>
      </c>
      <c r="CQ8" s="200">
        <f>(SUMIF(Fonctionnement[Affectation matrice],$AB$3,Fonctionnement[TVA acquittée])+SUMIF(Invest[Affectation matrice],$AB$3,Invest[TVA acquittée]))*BP8</f>
        <v>0</v>
      </c>
      <c r="CR8" s="200">
        <f>(SUMIF(Fonctionnement[Affectation matrice],$AB$3,Fonctionnement[TVA acquittée])+SUMIF(Invest[Affectation matrice],$AB$3,Invest[TVA acquittée]))*BQ8</f>
        <v>0</v>
      </c>
      <c r="CS8" s="200">
        <f>(SUMIF(Fonctionnement[Affectation matrice],$AB$3,Fonctionnement[TVA acquittée])+SUMIF(Invest[Affectation matrice],$AB$3,Invest[TVA acquittée]))*BR8</f>
        <v>0</v>
      </c>
      <c r="CT8" s="200">
        <f>(SUMIF(Fonctionnement[Affectation matrice],$AB$3,Fonctionnement[TVA acquittée])+SUMIF(Invest[Affectation matrice],$AB$3,Invest[TVA acquittée]))*BS8</f>
        <v>0</v>
      </c>
      <c r="CU8" s="200">
        <f>(SUMIF(Fonctionnement[Affectation matrice],$AB$3,Fonctionnement[TVA acquittée])+SUMIF(Invest[Affectation matrice],$AB$3,Invest[TVA acquittée]))*BT8</f>
        <v>0</v>
      </c>
      <c r="CV8" s="200">
        <f>(SUMIF(Fonctionnement[Affectation matrice],$AB$3,Fonctionnement[TVA acquittée])+SUMIF(Invest[Affectation matrice],$AB$3,Invest[TVA acquittée]))*BU8</f>
        <v>0</v>
      </c>
      <c r="CW8" s="200">
        <f>(SUMIF(Fonctionnement[Affectation matrice],$AB$3,Fonctionnement[TVA acquittée])+SUMIF(Invest[Affectation matrice],$AB$3,Invest[TVA acquittée]))*BV8</f>
        <v>0</v>
      </c>
      <c r="CX8" s="200">
        <f>(SUMIF(Fonctionnement[Affectation matrice],$AB$3,Fonctionnement[TVA acquittée])+SUMIF(Invest[Affectation matrice],$AB$3,Invest[TVA acquittée]))*BW8</f>
        <v>0</v>
      </c>
      <c r="CY8" s="200">
        <f>(SUMIF(Fonctionnement[Affectation matrice],$AB$3,Fonctionnement[TVA acquittée])+SUMIF(Invest[Affectation matrice],$AB$3,Invest[TVA acquittée]))*BX8</f>
        <v>0</v>
      </c>
      <c r="CZ8" s="200">
        <f>(SUMIF(Fonctionnement[Affectation matrice],$AB$3,Fonctionnement[TVA acquittée])+SUMIF(Invest[Affectation matrice],$AB$3,Invest[TVA acquittée]))*BY8</f>
        <v>0</v>
      </c>
      <c r="DA8" s="200">
        <f>(SUMIF(Fonctionnement[Affectation matrice],$AB$3,Fonctionnement[TVA acquittée])+SUMIF(Invest[Affectation matrice],$AB$3,Invest[TVA acquittée]))*BZ8</f>
        <v>0</v>
      </c>
      <c r="DB8" s="200">
        <f>(SUMIF(Fonctionnement[Affectation matrice],$AB$3,Fonctionnement[TVA acquittée])+SUMIF(Invest[Affectation matrice],$AB$3,Invest[TVA acquittée]))*CA8</f>
        <v>0</v>
      </c>
    </row>
    <row r="9" spans="1:106" s="22" customFormat="1" ht="12.75" customHeight="1" x14ac:dyDescent="0.25">
      <c r="A9" s="42" t="str">
        <f>Matrice[[#This Row],[Ligne de la matrice]]</f>
        <v>Collecte</v>
      </c>
      <c r="B9" s="198">
        <f>(SUMIF(Fonctionnement[Affectation matrice],$AB$3,Fonctionnement[Montant (€HT)])+SUMIF(Invest[Affectation matrice],$AB$3,Invest[Amortissement HT + intérêts]))*BC9</f>
        <v>0</v>
      </c>
      <c r="C9" s="198">
        <f>(SUMIF(Fonctionnement[Affectation matrice],$AB$3,Fonctionnement[Montant (€HT)])+SUMIF(Invest[Affectation matrice],$AB$3,Invest[Amortissement HT + intérêts]))*BD9</f>
        <v>0</v>
      </c>
      <c r="D9" s="198">
        <f>(SUMIF(Fonctionnement[Affectation matrice],$AB$3,Fonctionnement[Montant (€HT)])+SUMIF(Invest[Affectation matrice],$AB$3,Invest[Amortissement HT + intérêts]))*BE9</f>
        <v>0</v>
      </c>
      <c r="E9" s="198">
        <f>(SUMIF(Fonctionnement[Affectation matrice],$AB$3,Fonctionnement[Montant (€HT)])+SUMIF(Invest[Affectation matrice],$AB$3,Invest[Amortissement HT + intérêts]))*BF9</f>
        <v>0</v>
      </c>
      <c r="F9" s="198">
        <f>(SUMIF(Fonctionnement[Affectation matrice],$AB$3,Fonctionnement[Montant (€HT)])+SUMIF(Invest[Affectation matrice],$AB$3,Invest[Amortissement HT + intérêts]))*BG9</f>
        <v>0</v>
      </c>
      <c r="G9" s="198">
        <f>(SUMIF(Fonctionnement[Affectation matrice],$AB$3,Fonctionnement[Montant (€HT)])+SUMIF(Invest[Affectation matrice],$AB$3,Invest[Amortissement HT + intérêts]))*BH9</f>
        <v>0</v>
      </c>
      <c r="H9" s="198">
        <f>(SUMIF(Fonctionnement[Affectation matrice],$AB$3,Fonctionnement[Montant (€HT)])+SUMIF(Invest[Affectation matrice],$AB$3,Invest[Amortissement HT + intérêts]))*BI9</f>
        <v>0</v>
      </c>
      <c r="I9" s="198">
        <f>(SUMIF(Fonctionnement[Affectation matrice],$AB$3,Fonctionnement[Montant (€HT)])+SUMIF(Invest[Affectation matrice],$AB$3,Invest[Amortissement HT + intérêts]))*BJ9</f>
        <v>0</v>
      </c>
      <c r="J9" s="198">
        <f>(SUMIF(Fonctionnement[Affectation matrice],$AB$3,Fonctionnement[Montant (€HT)])+SUMIF(Invest[Affectation matrice],$AB$3,Invest[Amortissement HT + intérêts]))*BK9</f>
        <v>0</v>
      </c>
      <c r="K9" s="198">
        <f>(SUMIF(Fonctionnement[Affectation matrice],$AB$3,Fonctionnement[Montant (€HT)])+SUMIF(Invest[Affectation matrice],$AB$3,Invest[Amortissement HT + intérêts]))*BL9</f>
        <v>0</v>
      </c>
      <c r="L9" s="198">
        <f>(SUMIF(Fonctionnement[Affectation matrice],$AB$3,Fonctionnement[Montant (€HT)])+SUMIF(Invest[Affectation matrice],$AB$3,Invest[Amortissement HT + intérêts]))*BM9</f>
        <v>0</v>
      </c>
      <c r="M9" s="198">
        <f>(SUMIF(Fonctionnement[Affectation matrice],$AB$3,Fonctionnement[Montant (€HT)])+SUMIF(Invest[Affectation matrice],$AB$3,Invest[Amortissement HT + intérêts]))*BN9</f>
        <v>0</v>
      </c>
      <c r="N9" s="198">
        <f>(SUMIF(Fonctionnement[Affectation matrice],$AB$3,Fonctionnement[Montant (€HT)])+SUMIF(Invest[Affectation matrice],$AB$3,Invest[Amortissement HT + intérêts]))*BO9</f>
        <v>0</v>
      </c>
      <c r="O9" s="198">
        <f>(SUMIF(Fonctionnement[Affectation matrice],$AB$3,Fonctionnement[Montant (€HT)])+SUMIF(Invest[Affectation matrice],$AB$3,Invest[Amortissement HT + intérêts]))*BP9</f>
        <v>0</v>
      </c>
      <c r="P9" s="198">
        <f>(SUMIF(Fonctionnement[Affectation matrice],$AB$3,Fonctionnement[Montant (€HT)])+SUMIF(Invest[Affectation matrice],$AB$3,Invest[Amortissement HT + intérêts]))*BQ9</f>
        <v>0</v>
      </c>
      <c r="Q9" s="198">
        <f>(SUMIF(Fonctionnement[Affectation matrice],$AB$3,Fonctionnement[Montant (€HT)])+SUMIF(Invest[Affectation matrice],$AB$3,Invest[Amortissement HT + intérêts]))*BR9</f>
        <v>0</v>
      </c>
      <c r="R9" s="198">
        <f>(SUMIF(Fonctionnement[Affectation matrice],$AB$3,Fonctionnement[Montant (€HT)])+SUMIF(Invest[Affectation matrice],$AB$3,Invest[Amortissement HT + intérêts]))*BS9</f>
        <v>0</v>
      </c>
      <c r="S9" s="198">
        <f>(SUMIF(Fonctionnement[Affectation matrice],$AB$3,Fonctionnement[Montant (€HT)])+SUMIF(Invest[Affectation matrice],$AB$3,Invest[Amortissement HT + intérêts]))*BT9</f>
        <v>0</v>
      </c>
      <c r="T9" s="198">
        <f>(SUMIF(Fonctionnement[Affectation matrice],$AB$3,Fonctionnement[Montant (€HT)])+SUMIF(Invest[Affectation matrice],$AB$3,Invest[Amortissement HT + intérêts]))*BU9</f>
        <v>0</v>
      </c>
      <c r="U9" s="198">
        <f>(SUMIF(Fonctionnement[Affectation matrice],$AB$3,Fonctionnement[Montant (€HT)])+SUMIF(Invest[Affectation matrice],$AB$3,Invest[Amortissement HT + intérêts]))*BV9</f>
        <v>0</v>
      </c>
      <c r="V9" s="198">
        <f>(SUMIF(Fonctionnement[Affectation matrice],$AB$3,Fonctionnement[Montant (€HT)])+SUMIF(Invest[Affectation matrice],$AB$3,Invest[Amortissement HT + intérêts]))*BW9</f>
        <v>0</v>
      </c>
      <c r="W9" s="198">
        <f>(SUMIF(Fonctionnement[Affectation matrice],$AB$3,Fonctionnement[Montant (€HT)])+SUMIF(Invest[Affectation matrice],$AB$3,Invest[Amortissement HT + intérêts]))*BX9</f>
        <v>0</v>
      </c>
      <c r="X9" s="198">
        <f>(SUMIF(Fonctionnement[Affectation matrice],$AB$3,Fonctionnement[Montant (€HT)])+SUMIF(Invest[Affectation matrice],$AB$3,Invest[Amortissement HT + intérêts]))*BY9</f>
        <v>0</v>
      </c>
      <c r="Y9" s="198">
        <f>(SUMIF(Fonctionnement[Affectation matrice],$AB$3,Fonctionnement[Montant (€HT)])+SUMIF(Invest[Affectation matrice],$AB$3,Invest[Amortissement HT + intérêts]))*BZ9</f>
        <v>0</v>
      </c>
      <c r="Z9" s="198">
        <f>(SUMIF(Fonctionnement[Affectation matrice],$AB$3,Fonctionnement[Montant (€HT)])+SUMIF(Invest[Affectation matrice],$AB$3,Invest[Amortissement HT + intérêts]))*CA9</f>
        <v>0</v>
      </c>
      <c r="AA9" s="199"/>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283">
        <f t="shared" si="4"/>
        <v>0</v>
      </c>
      <c r="BB9" s="7"/>
      <c r="BC9" s="61">
        <f t="shared" si="2"/>
        <v>0</v>
      </c>
      <c r="BD9" s="61">
        <f t="shared" si="2"/>
        <v>0</v>
      </c>
      <c r="BE9" s="61">
        <f t="shared" si="2"/>
        <v>0</v>
      </c>
      <c r="BF9" s="61">
        <f t="shared" si="2"/>
        <v>0</v>
      </c>
      <c r="BG9" s="61">
        <f t="shared" si="2"/>
        <v>0</v>
      </c>
      <c r="BH9" s="61">
        <f t="shared" si="2"/>
        <v>0</v>
      </c>
      <c r="BI9" s="61">
        <f t="shared" si="2"/>
        <v>0</v>
      </c>
      <c r="BJ9" s="61">
        <f t="shared" si="2"/>
        <v>0</v>
      </c>
      <c r="BK9" s="61">
        <f t="shared" si="2"/>
        <v>0</v>
      </c>
      <c r="BL9" s="61">
        <f t="shared" si="2"/>
        <v>0</v>
      </c>
      <c r="BM9" s="61">
        <f t="shared" si="2"/>
        <v>0</v>
      </c>
      <c r="BN9" s="61">
        <f t="shared" si="2"/>
        <v>0</v>
      </c>
      <c r="BO9" s="61">
        <f t="shared" si="2"/>
        <v>0</v>
      </c>
      <c r="BP9" s="61">
        <f t="shared" si="2"/>
        <v>0</v>
      </c>
      <c r="BQ9" s="61">
        <f t="shared" si="2"/>
        <v>0</v>
      </c>
      <c r="BR9" s="61">
        <f t="shared" si="2"/>
        <v>0</v>
      </c>
      <c r="BS9" s="61">
        <f t="shared" si="3"/>
        <v>0</v>
      </c>
      <c r="BT9" s="61">
        <f t="shared" si="3"/>
        <v>0</v>
      </c>
      <c r="BU9" s="61">
        <f t="shared" si="3"/>
        <v>0</v>
      </c>
      <c r="BV9" s="61">
        <f t="shared" si="3"/>
        <v>0</v>
      </c>
      <c r="BW9" s="61">
        <f t="shared" si="3"/>
        <v>0</v>
      </c>
      <c r="BX9" s="61">
        <f t="shared" si="3"/>
        <v>0</v>
      </c>
      <c r="BY9" s="61">
        <f t="shared" si="3"/>
        <v>0</v>
      </c>
      <c r="BZ9" s="61">
        <f t="shared" si="3"/>
        <v>0</v>
      </c>
      <c r="CA9" s="61">
        <f t="shared" si="3"/>
        <v>0</v>
      </c>
      <c r="CB9" s="61">
        <f t="shared" si="5"/>
        <v>0</v>
      </c>
      <c r="CD9" s="200">
        <f>(SUMIF(Fonctionnement[Affectation matrice],$AB$3,Fonctionnement[TVA acquittée])+SUMIF(Invest[Affectation matrice],$AB$3,Invest[TVA acquittée]))*BC9</f>
        <v>0</v>
      </c>
      <c r="CE9" s="200">
        <f>(SUMIF(Fonctionnement[Affectation matrice],$AB$3,Fonctionnement[TVA acquittée])+SUMIF(Invest[Affectation matrice],$AB$3,Invest[TVA acquittée]))*BD9</f>
        <v>0</v>
      </c>
      <c r="CF9" s="200">
        <f>(SUMIF(Fonctionnement[Affectation matrice],$AB$3,Fonctionnement[TVA acquittée])+SUMIF(Invest[Affectation matrice],$AB$3,Invest[TVA acquittée]))*BE9</f>
        <v>0</v>
      </c>
      <c r="CG9" s="200">
        <f>(SUMIF(Fonctionnement[Affectation matrice],$AB$3,Fonctionnement[TVA acquittée])+SUMIF(Invest[Affectation matrice],$AB$3,Invest[TVA acquittée]))*BF9</f>
        <v>0</v>
      </c>
      <c r="CH9" s="200">
        <f>(SUMIF(Fonctionnement[Affectation matrice],$AB$3,Fonctionnement[TVA acquittée])+SUMIF(Invest[Affectation matrice],$AB$3,Invest[TVA acquittée]))*BG9</f>
        <v>0</v>
      </c>
      <c r="CI9" s="200">
        <f>(SUMIF(Fonctionnement[Affectation matrice],$AB$3,Fonctionnement[TVA acquittée])+SUMIF(Invest[Affectation matrice],$AB$3,Invest[TVA acquittée]))*BH9</f>
        <v>0</v>
      </c>
      <c r="CJ9" s="200">
        <f>(SUMIF(Fonctionnement[Affectation matrice],$AB$3,Fonctionnement[TVA acquittée])+SUMIF(Invest[Affectation matrice],$AB$3,Invest[TVA acquittée]))*BI9</f>
        <v>0</v>
      </c>
      <c r="CK9" s="200">
        <f>(SUMIF(Fonctionnement[Affectation matrice],$AB$3,Fonctionnement[TVA acquittée])+SUMIF(Invest[Affectation matrice],$AB$3,Invest[TVA acquittée]))*BJ9</f>
        <v>0</v>
      </c>
      <c r="CL9" s="200">
        <f>(SUMIF(Fonctionnement[Affectation matrice],$AB$3,Fonctionnement[TVA acquittée])+SUMIF(Invest[Affectation matrice],$AB$3,Invest[TVA acquittée]))*BK9</f>
        <v>0</v>
      </c>
      <c r="CM9" s="200">
        <f>(SUMIF(Fonctionnement[Affectation matrice],$AB$3,Fonctionnement[TVA acquittée])+SUMIF(Invest[Affectation matrice],$AB$3,Invest[TVA acquittée]))*BL9</f>
        <v>0</v>
      </c>
      <c r="CN9" s="200">
        <f>(SUMIF(Fonctionnement[Affectation matrice],$AB$3,Fonctionnement[TVA acquittée])+SUMIF(Invest[Affectation matrice],$AB$3,Invest[TVA acquittée]))*BM9</f>
        <v>0</v>
      </c>
      <c r="CO9" s="200">
        <f>(SUMIF(Fonctionnement[Affectation matrice],$AB$3,Fonctionnement[TVA acquittée])+SUMIF(Invest[Affectation matrice],$AB$3,Invest[TVA acquittée]))*BN9</f>
        <v>0</v>
      </c>
      <c r="CP9" s="200">
        <f>(SUMIF(Fonctionnement[Affectation matrice],$AB$3,Fonctionnement[TVA acquittée])+SUMIF(Invest[Affectation matrice],$AB$3,Invest[TVA acquittée]))*BO9</f>
        <v>0</v>
      </c>
      <c r="CQ9" s="200">
        <f>(SUMIF(Fonctionnement[Affectation matrice],$AB$3,Fonctionnement[TVA acquittée])+SUMIF(Invest[Affectation matrice],$AB$3,Invest[TVA acquittée]))*BP9</f>
        <v>0</v>
      </c>
      <c r="CR9" s="200">
        <f>(SUMIF(Fonctionnement[Affectation matrice],$AB$3,Fonctionnement[TVA acquittée])+SUMIF(Invest[Affectation matrice],$AB$3,Invest[TVA acquittée]))*BQ9</f>
        <v>0</v>
      </c>
      <c r="CS9" s="200">
        <f>(SUMIF(Fonctionnement[Affectation matrice],$AB$3,Fonctionnement[TVA acquittée])+SUMIF(Invest[Affectation matrice],$AB$3,Invest[TVA acquittée]))*BR9</f>
        <v>0</v>
      </c>
      <c r="CT9" s="200">
        <f>(SUMIF(Fonctionnement[Affectation matrice],$AB$3,Fonctionnement[TVA acquittée])+SUMIF(Invest[Affectation matrice],$AB$3,Invest[TVA acquittée]))*BS9</f>
        <v>0</v>
      </c>
      <c r="CU9" s="200">
        <f>(SUMIF(Fonctionnement[Affectation matrice],$AB$3,Fonctionnement[TVA acquittée])+SUMIF(Invest[Affectation matrice],$AB$3,Invest[TVA acquittée]))*BT9</f>
        <v>0</v>
      </c>
      <c r="CV9" s="200">
        <f>(SUMIF(Fonctionnement[Affectation matrice],$AB$3,Fonctionnement[TVA acquittée])+SUMIF(Invest[Affectation matrice],$AB$3,Invest[TVA acquittée]))*BU9</f>
        <v>0</v>
      </c>
      <c r="CW9" s="200">
        <f>(SUMIF(Fonctionnement[Affectation matrice],$AB$3,Fonctionnement[TVA acquittée])+SUMIF(Invest[Affectation matrice],$AB$3,Invest[TVA acquittée]))*BV9</f>
        <v>0</v>
      </c>
      <c r="CX9" s="200">
        <f>(SUMIF(Fonctionnement[Affectation matrice],$AB$3,Fonctionnement[TVA acquittée])+SUMIF(Invest[Affectation matrice],$AB$3,Invest[TVA acquittée]))*BW9</f>
        <v>0</v>
      </c>
      <c r="CY9" s="200">
        <f>(SUMIF(Fonctionnement[Affectation matrice],$AB$3,Fonctionnement[TVA acquittée])+SUMIF(Invest[Affectation matrice],$AB$3,Invest[TVA acquittée]))*BX9</f>
        <v>0</v>
      </c>
      <c r="CZ9" s="200">
        <f>(SUMIF(Fonctionnement[Affectation matrice],$AB$3,Fonctionnement[TVA acquittée])+SUMIF(Invest[Affectation matrice],$AB$3,Invest[TVA acquittée]))*BY9</f>
        <v>0</v>
      </c>
      <c r="DA9" s="200">
        <f>(SUMIF(Fonctionnement[Affectation matrice],$AB$3,Fonctionnement[TVA acquittée])+SUMIF(Invest[Affectation matrice],$AB$3,Invest[TVA acquittée]))*BZ9</f>
        <v>0</v>
      </c>
      <c r="DB9" s="200">
        <f>(SUMIF(Fonctionnement[Affectation matrice],$AB$3,Fonctionnement[TVA acquittée])+SUMIF(Invest[Affectation matrice],$AB$3,Invest[TVA acquittée]))*CA9</f>
        <v>0</v>
      </c>
    </row>
    <row r="10" spans="1:106" s="22" customFormat="1" ht="12.75" customHeight="1" x14ac:dyDescent="0.25">
      <c r="A10" s="42" t="str">
        <f>Matrice[[#This Row],[Ligne de la matrice]]</f>
        <v>Transfert/Transport</v>
      </c>
      <c r="B10" s="198">
        <f>(SUMIF(Fonctionnement[Affectation matrice],$AB$3,Fonctionnement[Montant (€HT)])+SUMIF(Invest[Affectation matrice],$AB$3,Invest[Amortissement HT + intérêts]))*BC10</f>
        <v>0</v>
      </c>
      <c r="C10" s="198">
        <f>(SUMIF(Fonctionnement[Affectation matrice],$AB$3,Fonctionnement[Montant (€HT)])+SUMIF(Invest[Affectation matrice],$AB$3,Invest[Amortissement HT + intérêts]))*BD10</f>
        <v>0</v>
      </c>
      <c r="D10" s="198">
        <f>(SUMIF(Fonctionnement[Affectation matrice],$AB$3,Fonctionnement[Montant (€HT)])+SUMIF(Invest[Affectation matrice],$AB$3,Invest[Amortissement HT + intérêts]))*BE10</f>
        <v>0</v>
      </c>
      <c r="E10" s="198">
        <f>(SUMIF(Fonctionnement[Affectation matrice],$AB$3,Fonctionnement[Montant (€HT)])+SUMIF(Invest[Affectation matrice],$AB$3,Invest[Amortissement HT + intérêts]))*BF10</f>
        <v>0</v>
      </c>
      <c r="F10" s="198">
        <f>(SUMIF(Fonctionnement[Affectation matrice],$AB$3,Fonctionnement[Montant (€HT)])+SUMIF(Invest[Affectation matrice],$AB$3,Invest[Amortissement HT + intérêts]))*BG10</f>
        <v>0</v>
      </c>
      <c r="G10" s="198">
        <f>(SUMIF(Fonctionnement[Affectation matrice],$AB$3,Fonctionnement[Montant (€HT)])+SUMIF(Invest[Affectation matrice],$AB$3,Invest[Amortissement HT + intérêts]))*BH10</f>
        <v>0</v>
      </c>
      <c r="H10" s="198">
        <f>(SUMIF(Fonctionnement[Affectation matrice],$AB$3,Fonctionnement[Montant (€HT)])+SUMIF(Invest[Affectation matrice],$AB$3,Invest[Amortissement HT + intérêts]))*BI10</f>
        <v>0</v>
      </c>
      <c r="I10" s="198">
        <f>(SUMIF(Fonctionnement[Affectation matrice],$AB$3,Fonctionnement[Montant (€HT)])+SUMIF(Invest[Affectation matrice],$AB$3,Invest[Amortissement HT + intérêts]))*BJ10</f>
        <v>0</v>
      </c>
      <c r="J10" s="198">
        <f>(SUMIF(Fonctionnement[Affectation matrice],$AB$3,Fonctionnement[Montant (€HT)])+SUMIF(Invest[Affectation matrice],$AB$3,Invest[Amortissement HT + intérêts]))*BK10</f>
        <v>0</v>
      </c>
      <c r="K10" s="198">
        <f>(SUMIF(Fonctionnement[Affectation matrice],$AB$3,Fonctionnement[Montant (€HT)])+SUMIF(Invest[Affectation matrice],$AB$3,Invest[Amortissement HT + intérêts]))*BL10</f>
        <v>0</v>
      </c>
      <c r="L10" s="198">
        <f>(SUMIF(Fonctionnement[Affectation matrice],$AB$3,Fonctionnement[Montant (€HT)])+SUMIF(Invest[Affectation matrice],$AB$3,Invest[Amortissement HT + intérêts]))*BM10</f>
        <v>0</v>
      </c>
      <c r="M10" s="198">
        <f>(SUMIF(Fonctionnement[Affectation matrice],$AB$3,Fonctionnement[Montant (€HT)])+SUMIF(Invest[Affectation matrice],$AB$3,Invest[Amortissement HT + intérêts]))*BN10</f>
        <v>0</v>
      </c>
      <c r="N10" s="198">
        <f>(SUMIF(Fonctionnement[Affectation matrice],$AB$3,Fonctionnement[Montant (€HT)])+SUMIF(Invest[Affectation matrice],$AB$3,Invest[Amortissement HT + intérêts]))*BO10</f>
        <v>0</v>
      </c>
      <c r="O10" s="198">
        <f>(SUMIF(Fonctionnement[Affectation matrice],$AB$3,Fonctionnement[Montant (€HT)])+SUMIF(Invest[Affectation matrice],$AB$3,Invest[Amortissement HT + intérêts]))*BP10</f>
        <v>0</v>
      </c>
      <c r="P10" s="198">
        <f>(SUMIF(Fonctionnement[Affectation matrice],$AB$3,Fonctionnement[Montant (€HT)])+SUMIF(Invest[Affectation matrice],$AB$3,Invest[Amortissement HT + intérêts]))*BQ10</f>
        <v>0</v>
      </c>
      <c r="Q10" s="198">
        <f>(SUMIF(Fonctionnement[Affectation matrice],$AB$3,Fonctionnement[Montant (€HT)])+SUMIF(Invest[Affectation matrice],$AB$3,Invest[Amortissement HT + intérêts]))*BR10</f>
        <v>0</v>
      </c>
      <c r="R10" s="198">
        <f>(SUMIF(Fonctionnement[Affectation matrice],$AB$3,Fonctionnement[Montant (€HT)])+SUMIF(Invest[Affectation matrice],$AB$3,Invest[Amortissement HT + intérêts]))*BS10</f>
        <v>0</v>
      </c>
      <c r="S10" s="198">
        <f>(SUMIF(Fonctionnement[Affectation matrice],$AB$3,Fonctionnement[Montant (€HT)])+SUMIF(Invest[Affectation matrice],$AB$3,Invest[Amortissement HT + intérêts]))*BT10</f>
        <v>0</v>
      </c>
      <c r="T10" s="198">
        <f>(SUMIF(Fonctionnement[Affectation matrice],$AB$3,Fonctionnement[Montant (€HT)])+SUMIF(Invest[Affectation matrice],$AB$3,Invest[Amortissement HT + intérêts]))*BU10</f>
        <v>0</v>
      </c>
      <c r="U10" s="198">
        <f>(SUMIF(Fonctionnement[Affectation matrice],$AB$3,Fonctionnement[Montant (€HT)])+SUMIF(Invest[Affectation matrice],$AB$3,Invest[Amortissement HT + intérêts]))*BV10</f>
        <v>0</v>
      </c>
      <c r="V10" s="198">
        <f>(SUMIF(Fonctionnement[Affectation matrice],$AB$3,Fonctionnement[Montant (€HT)])+SUMIF(Invest[Affectation matrice],$AB$3,Invest[Amortissement HT + intérêts]))*BW10</f>
        <v>0</v>
      </c>
      <c r="W10" s="198">
        <f>(SUMIF(Fonctionnement[Affectation matrice],$AB$3,Fonctionnement[Montant (€HT)])+SUMIF(Invest[Affectation matrice],$AB$3,Invest[Amortissement HT + intérêts]))*BX10</f>
        <v>0</v>
      </c>
      <c r="X10" s="198">
        <f>(SUMIF(Fonctionnement[Affectation matrice],$AB$3,Fonctionnement[Montant (€HT)])+SUMIF(Invest[Affectation matrice],$AB$3,Invest[Amortissement HT + intérêts]))*BY10</f>
        <v>0</v>
      </c>
      <c r="Y10" s="198">
        <f>(SUMIF(Fonctionnement[Affectation matrice],$AB$3,Fonctionnement[Montant (€HT)])+SUMIF(Invest[Affectation matrice],$AB$3,Invest[Amortissement HT + intérêts]))*BZ10</f>
        <v>0</v>
      </c>
      <c r="Z10" s="198">
        <f>(SUMIF(Fonctionnement[Affectation matrice],$AB$3,Fonctionnement[Montant (€HT)])+SUMIF(Invest[Affectation matrice],$AB$3,Invest[Amortissement HT + intérêts]))*CA10</f>
        <v>0</v>
      </c>
      <c r="AA10" s="199"/>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283">
        <f t="shared" si="4"/>
        <v>0</v>
      </c>
      <c r="BB10" s="7"/>
      <c r="BC10" s="61">
        <f t="shared" si="2"/>
        <v>0</v>
      </c>
      <c r="BD10" s="61">
        <f t="shared" si="2"/>
        <v>0</v>
      </c>
      <c r="BE10" s="61">
        <f t="shared" si="2"/>
        <v>0</v>
      </c>
      <c r="BF10" s="61">
        <f t="shared" si="2"/>
        <v>0</v>
      </c>
      <c r="BG10" s="61">
        <f t="shared" si="2"/>
        <v>0</v>
      </c>
      <c r="BH10" s="61">
        <f t="shared" si="2"/>
        <v>0</v>
      </c>
      <c r="BI10" s="61">
        <f t="shared" si="2"/>
        <v>0</v>
      </c>
      <c r="BJ10" s="61">
        <f t="shared" si="2"/>
        <v>0</v>
      </c>
      <c r="BK10" s="61">
        <f t="shared" si="2"/>
        <v>0</v>
      </c>
      <c r="BL10" s="61">
        <f t="shared" si="2"/>
        <v>0</v>
      </c>
      <c r="BM10" s="61">
        <f t="shared" si="2"/>
        <v>0</v>
      </c>
      <c r="BN10" s="61">
        <f t="shared" si="2"/>
        <v>0</v>
      </c>
      <c r="BO10" s="61">
        <f t="shared" si="2"/>
        <v>0</v>
      </c>
      <c r="BP10" s="61">
        <f t="shared" si="2"/>
        <v>0</v>
      </c>
      <c r="BQ10" s="61">
        <f t="shared" si="2"/>
        <v>0</v>
      </c>
      <c r="BR10" s="61">
        <f t="shared" si="2"/>
        <v>0</v>
      </c>
      <c r="BS10" s="61">
        <f t="shared" si="3"/>
        <v>0</v>
      </c>
      <c r="BT10" s="61">
        <f t="shared" si="3"/>
        <v>0</v>
      </c>
      <c r="BU10" s="61">
        <f t="shared" si="3"/>
        <v>0</v>
      </c>
      <c r="BV10" s="61">
        <f t="shared" si="3"/>
        <v>0</v>
      </c>
      <c r="BW10" s="61">
        <f t="shared" si="3"/>
        <v>0</v>
      </c>
      <c r="BX10" s="61">
        <f t="shared" si="3"/>
        <v>0</v>
      </c>
      <c r="BY10" s="61">
        <f t="shared" si="3"/>
        <v>0</v>
      </c>
      <c r="BZ10" s="61">
        <f t="shared" si="3"/>
        <v>0</v>
      </c>
      <c r="CA10" s="61">
        <f t="shared" si="3"/>
        <v>0</v>
      </c>
      <c r="CB10" s="61">
        <f t="shared" si="5"/>
        <v>0</v>
      </c>
      <c r="CD10" s="200">
        <f>(SUMIF(Fonctionnement[Affectation matrice],$AB$3,Fonctionnement[TVA acquittée])+SUMIF(Invest[Affectation matrice],$AB$3,Invest[TVA acquittée]))*BC10</f>
        <v>0</v>
      </c>
      <c r="CE10" s="200">
        <f>(SUMIF(Fonctionnement[Affectation matrice],$AB$3,Fonctionnement[TVA acquittée])+SUMIF(Invest[Affectation matrice],$AB$3,Invest[TVA acquittée]))*BD10</f>
        <v>0</v>
      </c>
      <c r="CF10" s="200">
        <f>(SUMIF(Fonctionnement[Affectation matrice],$AB$3,Fonctionnement[TVA acquittée])+SUMIF(Invest[Affectation matrice],$AB$3,Invest[TVA acquittée]))*BE10</f>
        <v>0</v>
      </c>
      <c r="CG10" s="200">
        <f>(SUMIF(Fonctionnement[Affectation matrice],$AB$3,Fonctionnement[TVA acquittée])+SUMIF(Invest[Affectation matrice],$AB$3,Invest[TVA acquittée]))*BF10</f>
        <v>0</v>
      </c>
      <c r="CH10" s="200">
        <f>(SUMIF(Fonctionnement[Affectation matrice],$AB$3,Fonctionnement[TVA acquittée])+SUMIF(Invest[Affectation matrice],$AB$3,Invest[TVA acquittée]))*BG10</f>
        <v>0</v>
      </c>
      <c r="CI10" s="200">
        <f>(SUMIF(Fonctionnement[Affectation matrice],$AB$3,Fonctionnement[TVA acquittée])+SUMIF(Invest[Affectation matrice],$AB$3,Invest[TVA acquittée]))*BH10</f>
        <v>0</v>
      </c>
      <c r="CJ10" s="200">
        <f>(SUMIF(Fonctionnement[Affectation matrice],$AB$3,Fonctionnement[TVA acquittée])+SUMIF(Invest[Affectation matrice],$AB$3,Invest[TVA acquittée]))*BI10</f>
        <v>0</v>
      </c>
      <c r="CK10" s="200">
        <f>(SUMIF(Fonctionnement[Affectation matrice],$AB$3,Fonctionnement[TVA acquittée])+SUMIF(Invest[Affectation matrice],$AB$3,Invest[TVA acquittée]))*BJ10</f>
        <v>0</v>
      </c>
      <c r="CL10" s="200">
        <f>(SUMIF(Fonctionnement[Affectation matrice],$AB$3,Fonctionnement[TVA acquittée])+SUMIF(Invest[Affectation matrice],$AB$3,Invest[TVA acquittée]))*BK10</f>
        <v>0</v>
      </c>
      <c r="CM10" s="200">
        <f>(SUMIF(Fonctionnement[Affectation matrice],$AB$3,Fonctionnement[TVA acquittée])+SUMIF(Invest[Affectation matrice],$AB$3,Invest[TVA acquittée]))*BL10</f>
        <v>0</v>
      </c>
      <c r="CN10" s="200">
        <f>(SUMIF(Fonctionnement[Affectation matrice],$AB$3,Fonctionnement[TVA acquittée])+SUMIF(Invest[Affectation matrice],$AB$3,Invest[TVA acquittée]))*BM10</f>
        <v>0</v>
      </c>
      <c r="CO10" s="200">
        <f>(SUMIF(Fonctionnement[Affectation matrice],$AB$3,Fonctionnement[TVA acquittée])+SUMIF(Invest[Affectation matrice],$AB$3,Invest[TVA acquittée]))*BN10</f>
        <v>0</v>
      </c>
      <c r="CP10" s="200">
        <f>(SUMIF(Fonctionnement[Affectation matrice],$AB$3,Fonctionnement[TVA acquittée])+SUMIF(Invest[Affectation matrice],$AB$3,Invest[TVA acquittée]))*BO10</f>
        <v>0</v>
      </c>
      <c r="CQ10" s="200">
        <f>(SUMIF(Fonctionnement[Affectation matrice],$AB$3,Fonctionnement[TVA acquittée])+SUMIF(Invest[Affectation matrice],$AB$3,Invest[TVA acquittée]))*BP10</f>
        <v>0</v>
      </c>
      <c r="CR10" s="200">
        <f>(SUMIF(Fonctionnement[Affectation matrice],$AB$3,Fonctionnement[TVA acquittée])+SUMIF(Invest[Affectation matrice],$AB$3,Invest[TVA acquittée]))*BQ10</f>
        <v>0</v>
      </c>
      <c r="CS10" s="200">
        <f>(SUMIF(Fonctionnement[Affectation matrice],$AB$3,Fonctionnement[TVA acquittée])+SUMIF(Invest[Affectation matrice],$AB$3,Invest[TVA acquittée]))*BR10</f>
        <v>0</v>
      </c>
      <c r="CT10" s="200">
        <f>(SUMIF(Fonctionnement[Affectation matrice],$AB$3,Fonctionnement[TVA acquittée])+SUMIF(Invest[Affectation matrice],$AB$3,Invest[TVA acquittée]))*BS10</f>
        <v>0</v>
      </c>
      <c r="CU10" s="200">
        <f>(SUMIF(Fonctionnement[Affectation matrice],$AB$3,Fonctionnement[TVA acquittée])+SUMIF(Invest[Affectation matrice],$AB$3,Invest[TVA acquittée]))*BT10</f>
        <v>0</v>
      </c>
      <c r="CV10" s="200">
        <f>(SUMIF(Fonctionnement[Affectation matrice],$AB$3,Fonctionnement[TVA acquittée])+SUMIF(Invest[Affectation matrice],$AB$3,Invest[TVA acquittée]))*BU10</f>
        <v>0</v>
      </c>
      <c r="CW10" s="200">
        <f>(SUMIF(Fonctionnement[Affectation matrice],$AB$3,Fonctionnement[TVA acquittée])+SUMIF(Invest[Affectation matrice],$AB$3,Invest[TVA acquittée]))*BV10</f>
        <v>0</v>
      </c>
      <c r="CX10" s="200">
        <f>(SUMIF(Fonctionnement[Affectation matrice],$AB$3,Fonctionnement[TVA acquittée])+SUMIF(Invest[Affectation matrice],$AB$3,Invest[TVA acquittée]))*BW10</f>
        <v>0</v>
      </c>
      <c r="CY10" s="200">
        <f>(SUMIF(Fonctionnement[Affectation matrice],$AB$3,Fonctionnement[TVA acquittée])+SUMIF(Invest[Affectation matrice],$AB$3,Invest[TVA acquittée]))*BX10</f>
        <v>0</v>
      </c>
      <c r="CZ10" s="200">
        <f>(SUMIF(Fonctionnement[Affectation matrice],$AB$3,Fonctionnement[TVA acquittée])+SUMIF(Invest[Affectation matrice],$AB$3,Invest[TVA acquittée]))*BY10</f>
        <v>0</v>
      </c>
      <c r="DA10" s="200">
        <f>(SUMIF(Fonctionnement[Affectation matrice],$AB$3,Fonctionnement[TVA acquittée])+SUMIF(Invest[Affectation matrice],$AB$3,Invest[TVA acquittée]))*BZ10</f>
        <v>0</v>
      </c>
      <c r="DB10" s="200">
        <f>(SUMIF(Fonctionnement[Affectation matrice],$AB$3,Fonctionnement[TVA acquittée])+SUMIF(Invest[Affectation matrice],$AB$3,Invest[TVA acquittée]))*CA10</f>
        <v>0</v>
      </c>
    </row>
    <row r="11" spans="1:106" s="22" customFormat="1" ht="12.75" customHeight="1" x14ac:dyDescent="0.25">
      <c r="A11" s="42" t="str">
        <f>Matrice[[#This Row],[Ligne de la matrice]]</f>
        <v>Traitement des déchets non dangereux</v>
      </c>
      <c r="B11" s="198">
        <f>(SUMIF(Fonctionnement[Affectation matrice],$AB$3,Fonctionnement[Montant (€HT)])+SUMIF(Invest[Affectation matrice],$AB$3,Invest[Amortissement HT + intérêts]))*BC11</f>
        <v>0</v>
      </c>
      <c r="C11" s="198">
        <f>(SUMIF(Fonctionnement[Affectation matrice],$AB$3,Fonctionnement[Montant (€HT)])+SUMIF(Invest[Affectation matrice],$AB$3,Invest[Amortissement HT + intérêts]))*BD11</f>
        <v>0</v>
      </c>
      <c r="D11" s="198">
        <f>(SUMIF(Fonctionnement[Affectation matrice],$AB$3,Fonctionnement[Montant (€HT)])+SUMIF(Invest[Affectation matrice],$AB$3,Invest[Amortissement HT + intérêts]))*BE11</f>
        <v>0</v>
      </c>
      <c r="E11" s="198">
        <f>(SUMIF(Fonctionnement[Affectation matrice],$AB$3,Fonctionnement[Montant (€HT)])+SUMIF(Invest[Affectation matrice],$AB$3,Invest[Amortissement HT + intérêts]))*BF11</f>
        <v>0</v>
      </c>
      <c r="F11" s="198">
        <f>(SUMIF(Fonctionnement[Affectation matrice],$AB$3,Fonctionnement[Montant (€HT)])+SUMIF(Invest[Affectation matrice],$AB$3,Invest[Amortissement HT + intérêts]))*BG11</f>
        <v>0</v>
      </c>
      <c r="G11" s="198">
        <f>(SUMIF(Fonctionnement[Affectation matrice],$AB$3,Fonctionnement[Montant (€HT)])+SUMIF(Invest[Affectation matrice],$AB$3,Invest[Amortissement HT + intérêts]))*BH11</f>
        <v>0</v>
      </c>
      <c r="H11" s="198">
        <f>(SUMIF(Fonctionnement[Affectation matrice],$AB$3,Fonctionnement[Montant (€HT)])+SUMIF(Invest[Affectation matrice],$AB$3,Invest[Amortissement HT + intérêts]))*BI11</f>
        <v>0</v>
      </c>
      <c r="I11" s="198">
        <f>(SUMIF(Fonctionnement[Affectation matrice],$AB$3,Fonctionnement[Montant (€HT)])+SUMIF(Invest[Affectation matrice],$AB$3,Invest[Amortissement HT + intérêts]))*BJ11</f>
        <v>0</v>
      </c>
      <c r="J11" s="198">
        <f>(SUMIF(Fonctionnement[Affectation matrice],$AB$3,Fonctionnement[Montant (€HT)])+SUMIF(Invest[Affectation matrice],$AB$3,Invest[Amortissement HT + intérêts]))*BK11</f>
        <v>0</v>
      </c>
      <c r="K11" s="198">
        <f>(SUMIF(Fonctionnement[Affectation matrice],$AB$3,Fonctionnement[Montant (€HT)])+SUMIF(Invest[Affectation matrice],$AB$3,Invest[Amortissement HT + intérêts]))*BL11</f>
        <v>0</v>
      </c>
      <c r="L11" s="198">
        <f>(SUMIF(Fonctionnement[Affectation matrice],$AB$3,Fonctionnement[Montant (€HT)])+SUMIF(Invest[Affectation matrice],$AB$3,Invest[Amortissement HT + intérêts]))*BM11</f>
        <v>0</v>
      </c>
      <c r="M11" s="198">
        <f>(SUMIF(Fonctionnement[Affectation matrice],$AB$3,Fonctionnement[Montant (€HT)])+SUMIF(Invest[Affectation matrice],$AB$3,Invest[Amortissement HT + intérêts]))*BN11</f>
        <v>0</v>
      </c>
      <c r="N11" s="198">
        <f>(SUMIF(Fonctionnement[Affectation matrice],$AB$3,Fonctionnement[Montant (€HT)])+SUMIF(Invest[Affectation matrice],$AB$3,Invest[Amortissement HT + intérêts]))*BO11</f>
        <v>0</v>
      </c>
      <c r="O11" s="198">
        <f>(SUMIF(Fonctionnement[Affectation matrice],$AB$3,Fonctionnement[Montant (€HT)])+SUMIF(Invest[Affectation matrice],$AB$3,Invest[Amortissement HT + intérêts]))*BP11</f>
        <v>0</v>
      </c>
      <c r="P11" s="198">
        <f>(SUMIF(Fonctionnement[Affectation matrice],$AB$3,Fonctionnement[Montant (€HT)])+SUMIF(Invest[Affectation matrice],$AB$3,Invest[Amortissement HT + intérêts]))*BQ11</f>
        <v>0</v>
      </c>
      <c r="Q11" s="198">
        <f>(SUMIF(Fonctionnement[Affectation matrice],$AB$3,Fonctionnement[Montant (€HT)])+SUMIF(Invest[Affectation matrice],$AB$3,Invest[Amortissement HT + intérêts]))*BR11</f>
        <v>0</v>
      </c>
      <c r="R11" s="198">
        <f>(SUMIF(Fonctionnement[Affectation matrice],$AB$3,Fonctionnement[Montant (€HT)])+SUMIF(Invest[Affectation matrice],$AB$3,Invest[Amortissement HT + intérêts]))*BS11</f>
        <v>0</v>
      </c>
      <c r="S11" s="198">
        <f>(SUMIF(Fonctionnement[Affectation matrice],$AB$3,Fonctionnement[Montant (€HT)])+SUMIF(Invest[Affectation matrice],$AB$3,Invest[Amortissement HT + intérêts]))*BT11</f>
        <v>0</v>
      </c>
      <c r="T11" s="198">
        <f>(SUMIF(Fonctionnement[Affectation matrice],$AB$3,Fonctionnement[Montant (€HT)])+SUMIF(Invest[Affectation matrice],$AB$3,Invest[Amortissement HT + intérêts]))*BU11</f>
        <v>0</v>
      </c>
      <c r="U11" s="198">
        <f>(SUMIF(Fonctionnement[Affectation matrice],$AB$3,Fonctionnement[Montant (€HT)])+SUMIF(Invest[Affectation matrice],$AB$3,Invest[Amortissement HT + intérêts]))*BV11</f>
        <v>0</v>
      </c>
      <c r="V11" s="198">
        <f>(SUMIF(Fonctionnement[Affectation matrice],$AB$3,Fonctionnement[Montant (€HT)])+SUMIF(Invest[Affectation matrice],$AB$3,Invest[Amortissement HT + intérêts]))*BW11</f>
        <v>0</v>
      </c>
      <c r="W11" s="198">
        <f>(SUMIF(Fonctionnement[Affectation matrice],$AB$3,Fonctionnement[Montant (€HT)])+SUMIF(Invest[Affectation matrice],$AB$3,Invest[Amortissement HT + intérêts]))*BX11</f>
        <v>0</v>
      </c>
      <c r="X11" s="198">
        <f>(SUMIF(Fonctionnement[Affectation matrice],$AB$3,Fonctionnement[Montant (€HT)])+SUMIF(Invest[Affectation matrice],$AB$3,Invest[Amortissement HT + intérêts]))*BY11</f>
        <v>0</v>
      </c>
      <c r="Y11" s="198">
        <f>(SUMIF(Fonctionnement[Affectation matrice],$AB$3,Fonctionnement[Montant (€HT)])+SUMIF(Invest[Affectation matrice],$AB$3,Invest[Amortissement HT + intérêts]))*BZ11</f>
        <v>0</v>
      </c>
      <c r="Z11" s="198">
        <f>(SUMIF(Fonctionnement[Affectation matrice],$AB$3,Fonctionnement[Montant (€HT)])+SUMIF(Invest[Affectation matrice],$AB$3,Invest[Amortissement HT + intérêts]))*CA11</f>
        <v>0</v>
      </c>
      <c r="AA11" s="199"/>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283">
        <f t="shared" si="4"/>
        <v>0</v>
      </c>
      <c r="BB11" s="7"/>
      <c r="BC11" s="61">
        <f t="shared" si="2"/>
        <v>0</v>
      </c>
      <c r="BD11" s="61">
        <f t="shared" si="2"/>
        <v>0</v>
      </c>
      <c r="BE11" s="61">
        <f t="shared" si="2"/>
        <v>0</v>
      </c>
      <c r="BF11" s="61">
        <f t="shared" si="2"/>
        <v>0</v>
      </c>
      <c r="BG11" s="61">
        <f t="shared" si="2"/>
        <v>0</v>
      </c>
      <c r="BH11" s="61">
        <f t="shared" si="2"/>
        <v>0</v>
      </c>
      <c r="BI11" s="61">
        <f t="shared" si="2"/>
        <v>0</v>
      </c>
      <c r="BJ11" s="61">
        <f t="shared" si="2"/>
        <v>0</v>
      </c>
      <c r="BK11" s="61">
        <f t="shared" si="2"/>
        <v>0</v>
      </c>
      <c r="BL11" s="61">
        <f t="shared" si="2"/>
        <v>0</v>
      </c>
      <c r="BM11" s="61">
        <f t="shared" si="2"/>
        <v>0</v>
      </c>
      <c r="BN11" s="61">
        <f t="shared" si="2"/>
        <v>0</v>
      </c>
      <c r="BO11" s="61">
        <f t="shared" si="2"/>
        <v>0</v>
      </c>
      <c r="BP11" s="61">
        <f t="shared" si="2"/>
        <v>0</v>
      </c>
      <c r="BQ11" s="61">
        <f t="shared" si="2"/>
        <v>0</v>
      </c>
      <c r="BR11" s="61">
        <f t="shared" si="2"/>
        <v>0</v>
      </c>
      <c r="BS11" s="61">
        <f t="shared" si="3"/>
        <v>0</v>
      </c>
      <c r="BT11" s="61">
        <f t="shared" si="3"/>
        <v>0</v>
      </c>
      <c r="BU11" s="61">
        <f t="shared" si="3"/>
        <v>0</v>
      </c>
      <c r="BV11" s="61">
        <f t="shared" si="3"/>
        <v>0</v>
      </c>
      <c r="BW11" s="61">
        <f t="shared" si="3"/>
        <v>0</v>
      </c>
      <c r="BX11" s="61">
        <f t="shared" si="3"/>
        <v>0</v>
      </c>
      <c r="BY11" s="61">
        <f t="shared" si="3"/>
        <v>0</v>
      </c>
      <c r="BZ11" s="61">
        <f t="shared" si="3"/>
        <v>0</v>
      </c>
      <c r="CA11" s="61">
        <f t="shared" si="3"/>
        <v>0</v>
      </c>
      <c r="CB11" s="61">
        <f t="shared" si="5"/>
        <v>0</v>
      </c>
      <c r="CD11" s="200">
        <f>(SUMIF(Fonctionnement[Affectation matrice],$AB$3,Fonctionnement[TVA acquittée])+SUMIF(Invest[Affectation matrice],$AB$3,Invest[TVA acquittée]))*BC11</f>
        <v>0</v>
      </c>
      <c r="CE11" s="200">
        <f>(SUMIF(Fonctionnement[Affectation matrice],$AB$3,Fonctionnement[TVA acquittée])+SUMIF(Invest[Affectation matrice],$AB$3,Invest[TVA acquittée]))*BD11</f>
        <v>0</v>
      </c>
      <c r="CF11" s="200">
        <f>(SUMIF(Fonctionnement[Affectation matrice],$AB$3,Fonctionnement[TVA acquittée])+SUMIF(Invest[Affectation matrice],$AB$3,Invest[TVA acquittée]))*BE11</f>
        <v>0</v>
      </c>
      <c r="CG11" s="200">
        <f>(SUMIF(Fonctionnement[Affectation matrice],$AB$3,Fonctionnement[TVA acquittée])+SUMIF(Invest[Affectation matrice],$AB$3,Invest[TVA acquittée]))*BF11</f>
        <v>0</v>
      </c>
      <c r="CH11" s="200">
        <f>(SUMIF(Fonctionnement[Affectation matrice],$AB$3,Fonctionnement[TVA acquittée])+SUMIF(Invest[Affectation matrice],$AB$3,Invest[TVA acquittée]))*BG11</f>
        <v>0</v>
      </c>
      <c r="CI11" s="200">
        <f>(SUMIF(Fonctionnement[Affectation matrice],$AB$3,Fonctionnement[TVA acquittée])+SUMIF(Invest[Affectation matrice],$AB$3,Invest[TVA acquittée]))*BH11</f>
        <v>0</v>
      </c>
      <c r="CJ11" s="200">
        <f>(SUMIF(Fonctionnement[Affectation matrice],$AB$3,Fonctionnement[TVA acquittée])+SUMIF(Invest[Affectation matrice],$AB$3,Invest[TVA acquittée]))*BI11</f>
        <v>0</v>
      </c>
      <c r="CK11" s="200">
        <f>(SUMIF(Fonctionnement[Affectation matrice],$AB$3,Fonctionnement[TVA acquittée])+SUMIF(Invest[Affectation matrice],$AB$3,Invest[TVA acquittée]))*BJ11</f>
        <v>0</v>
      </c>
      <c r="CL11" s="200">
        <f>(SUMIF(Fonctionnement[Affectation matrice],$AB$3,Fonctionnement[TVA acquittée])+SUMIF(Invest[Affectation matrice],$AB$3,Invest[TVA acquittée]))*BK11</f>
        <v>0</v>
      </c>
      <c r="CM11" s="200">
        <f>(SUMIF(Fonctionnement[Affectation matrice],$AB$3,Fonctionnement[TVA acquittée])+SUMIF(Invest[Affectation matrice],$AB$3,Invest[TVA acquittée]))*BL11</f>
        <v>0</v>
      </c>
      <c r="CN11" s="200">
        <f>(SUMIF(Fonctionnement[Affectation matrice],$AB$3,Fonctionnement[TVA acquittée])+SUMIF(Invest[Affectation matrice],$AB$3,Invest[TVA acquittée]))*BM11</f>
        <v>0</v>
      </c>
      <c r="CO11" s="200">
        <f>(SUMIF(Fonctionnement[Affectation matrice],$AB$3,Fonctionnement[TVA acquittée])+SUMIF(Invest[Affectation matrice],$AB$3,Invest[TVA acquittée]))*BN11</f>
        <v>0</v>
      </c>
      <c r="CP11" s="200">
        <f>(SUMIF(Fonctionnement[Affectation matrice],$AB$3,Fonctionnement[TVA acquittée])+SUMIF(Invest[Affectation matrice],$AB$3,Invest[TVA acquittée]))*BO11</f>
        <v>0</v>
      </c>
      <c r="CQ11" s="200">
        <f>(SUMIF(Fonctionnement[Affectation matrice],$AB$3,Fonctionnement[TVA acquittée])+SUMIF(Invest[Affectation matrice],$AB$3,Invest[TVA acquittée]))*BP11</f>
        <v>0</v>
      </c>
      <c r="CR11" s="200">
        <f>(SUMIF(Fonctionnement[Affectation matrice],$AB$3,Fonctionnement[TVA acquittée])+SUMIF(Invest[Affectation matrice],$AB$3,Invest[TVA acquittée]))*BQ11</f>
        <v>0</v>
      </c>
      <c r="CS11" s="200">
        <f>(SUMIF(Fonctionnement[Affectation matrice],$AB$3,Fonctionnement[TVA acquittée])+SUMIF(Invest[Affectation matrice],$AB$3,Invest[TVA acquittée]))*BR11</f>
        <v>0</v>
      </c>
      <c r="CT11" s="200">
        <f>(SUMIF(Fonctionnement[Affectation matrice],$AB$3,Fonctionnement[TVA acquittée])+SUMIF(Invest[Affectation matrice],$AB$3,Invest[TVA acquittée]))*BS11</f>
        <v>0</v>
      </c>
      <c r="CU11" s="200">
        <f>(SUMIF(Fonctionnement[Affectation matrice],$AB$3,Fonctionnement[TVA acquittée])+SUMIF(Invest[Affectation matrice],$AB$3,Invest[TVA acquittée]))*BT11</f>
        <v>0</v>
      </c>
      <c r="CV11" s="200">
        <f>(SUMIF(Fonctionnement[Affectation matrice],$AB$3,Fonctionnement[TVA acquittée])+SUMIF(Invest[Affectation matrice],$AB$3,Invest[TVA acquittée]))*BU11</f>
        <v>0</v>
      </c>
      <c r="CW11" s="200">
        <f>(SUMIF(Fonctionnement[Affectation matrice],$AB$3,Fonctionnement[TVA acquittée])+SUMIF(Invest[Affectation matrice],$AB$3,Invest[TVA acquittée]))*BV11</f>
        <v>0</v>
      </c>
      <c r="CX11" s="200">
        <f>(SUMIF(Fonctionnement[Affectation matrice],$AB$3,Fonctionnement[TVA acquittée])+SUMIF(Invest[Affectation matrice],$AB$3,Invest[TVA acquittée]))*BW11</f>
        <v>0</v>
      </c>
      <c r="CY11" s="200">
        <f>(SUMIF(Fonctionnement[Affectation matrice],$AB$3,Fonctionnement[TVA acquittée])+SUMIF(Invest[Affectation matrice],$AB$3,Invest[TVA acquittée]))*BX11</f>
        <v>0</v>
      </c>
      <c r="CZ11" s="200">
        <f>(SUMIF(Fonctionnement[Affectation matrice],$AB$3,Fonctionnement[TVA acquittée])+SUMIF(Invest[Affectation matrice],$AB$3,Invest[TVA acquittée]))*BY11</f>
        <v>0</v>
      </c>
      <c r="DA11" s="200">
        <f>(SUMIF(Fonctionnement[Affectation matrice],$AB$3,Fonctionnement[TVA acquittée])+SUMIF(Invest[Affectation matrice],$AB$3,Invest[TVA acquittée]))*BZ11</f>
        <v>0</v>
      </c>
      <c r="DB11" s="200">
        <f>(SUMIF(Fonctionnement[Affectation matrice],$AB$3,Fonctionnement[TVA acquittée])+SUMIF(Invest[Affectation matrice],$AB$3,Invest[TVA acquittée]))*CA11</f>
        <v>0</v>
      </c>
    </row>
    <row r="12" spans="1:106" s="22" customFormat="1" ht="12.75" customHeight="1" x14ac:dyDescent="0.25">
      <c r="A12" s="42" t="str">
        <f>Matrice[[#This Row],[Ligne de la matrice]]</f>
        <v>Enlèvement et traitement des déchets dangereux</v>
      </c>
      <c r="B12" s="198">
        <f>(SUMIF(Fonctionnement[Affectation matrice],$AB$3,Fonctionnement[Montant (€HT)])+SUMIF(Invest[Affectation matrice],$AB$3,Invest[Amortissement HT + intérêts]))*BC12</f>
        <v>0</v>
      </c>
      <c r="C12" s="198">
        <f>(SUMIF(Fonctionnement[Affectation matrice],$AB$3,Fonctionnement[Montant (€HT)])+SUMIF(Invest[Affectation matrice],$AB$3,Invest[Amortissement HT + intérêts]))*BD12</f>
        <v>0</v>
      </c>
      <c r="D12" s="198">
        <f>(SUMIF(Fonctionnement[Affectation matrice],$AB$3,Fonctionnement[Montant (€HT)])+SUMIF(Invest[Affectation matrice],$AB$3,Invest[Amortissement HT + intérêts]))*BE12</f>
        <v>0</v>
      </c>
      <c r="E12" s="198">
        <f>(SUMIF(Fonctionnement[Affectation matrice],$AB$3,Fonctionnement[Montant (€HT)])+SUMIF(Invest[Affectation matrice],$AB$3,Invest[Amortissement HT + intérêts]))*BF12</f>
        <v>0</v>
      </c>
      <c r="F12" s="198">
        <f>(SUMIF(Fonctionnement[Affectation matrice],$AB$3,Fonctionnement[Montant (€HT)])+SUMIF(Invest[Affectation matrice],$AB$3,Invest[Amortissement HT + intérêts]))*BG12</f>
        <v>0</v>
      </c>
      <c r="G12" s="198">
        <f>(SUMIF(Fonctionnement[Affectation matrice],$AB$3,Fonctionnement[Montant (€HT)])+SUMIF(Invest[Affectation matrice],$AB$3,Invest[Amortissement HT + intérêts]))*BH12</f>
        <v>0</v>
      </c>
      <c r="H12" s="198">
        <f>(SUMIF(Fonctionnement[Affectation matrice],$AB$3,Fonctionnement[Montant (€HT)])+SUMIF(Invest[Affectation matrice],$AB$3,Invest[Amortissement HT + intérêts]))*BI12</f>
        <v>0</v>
      </c>
      <c r="I12" s="198">
        <f>(SUMIF(Fonctionnement[Affectation matrice],$AB$3,Fonctionnement[Montant (€HT)])+SUMIF(Invest[Affectation matrice],$AB$3,Invest[Amortissement HT + intérêts]))*BJ12</f>
        <v>0</v>
      </c>
      <c r="J12" s="198">
        <f>(SUMIF(Fonctionnement[Affectation matrice],$AB$3,Fonctionnement[Montant (€HT)])+SUMIF(Invest[Affectation matrice],$AB$3,Invest[Amortissement HT + intérêts]))*BK12</f>
        <v>0</v>
      </c>
      <c r="K12" s="198">
        <f>(SUMIF(Fonctionnement[Affectation matrice],$AB$3,Fonctionnement[Montant (€HT)])+SUMIF(Invest[Affectation matrice],$AB$3,Invest[Amortissement HT + intérêts]))*BL12</f>
        <v>0</v>
      </c>
      <c r="L12" s="198">
        <f>(SUMIF(Fonctionnement[Affectation matrice],$AB$3,Fonctionnement[Montant (€HT)])+SUMIF(Invest[Affectation matrice],$AB$3,Invest[Amortissement HT + intérêts]))*BM12</f>
        <v>0</v>
      </c>
      <c r="M12" s="198">
        <f>(SUMIF(Fonctionnement[Affectation matrice],$AB$3,Fonctionnement[Montant (€HT)])+SUMIF(Invest[Affectation matrice],$AB$3,Invest[Amortissement HT + intérêts]))*BN12</f>
        <v>0</v>
      </c>
      <c r="N12" s="198">
        <f>(SUMIF(Fonctionnement[Affectation matrice],$AB$3,Fonctionnement[Montant (€HT)])+SUMIF(Invest[Affectation matrice],$AB$3,Invest[Amortissement HT + intérêts]))*BO12</f>
        <v>0</v>
      </c>
      <c r="O12" s="198">
        <f>(SUMIF(Fonctionnement[Affectation matrice],$AB$3,Fonctionnement[Montant (€HT)])+SUMIF(Invest[Affectation matrice],$AB$3,Invest[Amortissement HT + intérêts]))*BP12</f>
        <v>0</v>
      </c>
      <c r="P12" s="198">
        <f>(SUMIF(Fonctionnement[Affectation matrice],$AB$3,Fonctionnement[Montant (€HT)])+SUMIF(Invest[Affectation matrice],$AB$3,Invest[Amortissement HT + intérêts]))*BQ12</f>
        <v>0</v>
      </c>
      <c r="Q12" s="198">
        <f>(SUMIF(Fonctionnement[Affectation matrice],$AB$3,Fonctionnement[Montant (€HT)])+SUMIF(Invest[Affectation matrice],$AB$3,Invest[Amortissement HT + intérêts]))*BR12</f>
        <v>0</v>
      </c>
      <c r="R12" s="198">
        <f>(SUMIF(Fonctionnement[Affectation matrice],$AB$3,Fonctionnement[Montant (€HT)])+SUMIF(Invest[Affectation matrice],$AB$3,Invest[Amortissement HT + intérêts]))*BS12</f>
        <v>0</v>
      </c>
      <c r="S12" s="198">
        <f>(SUMIF(Fonctionnement[Affectation matrice],$AB$3,Fonctionnement[Montant (€HT)])+SUMIF(Invest[Affectation matrice],$AB$3,Invest[Amortissement HT + intérêts]))*BT12</f>
        <v>0</v>
      </c>
      <c r="T12" s="198">
        <f>(SUMIF(Fonctionnement[Affectation matrice],$AB$3,Fonctionnement[Montant (€HT)])+SUMIF(Invest[Affectation matrice],$AB$3,Invest[Amortissement HT + intérêts]))*BU12</f>
        <v>0</v>
      </c>
      <c r="U12" s="198">
        <f>(SUMIF(Fonctionnement[Affectation matrice],$AB$3,Fonctionnement[Montant (€HT)])+SUMIF(Invest[Affectation matrice],$AB$3,Invest[Amortissement HT + intérêts]))*BV12</f>
        <v>0</v>
      </c>
      <c r="V12" s="198">
        <f>(SUMIF(Fonctionnement[Affectation matrice],$AB$3,Fonctionnement[Montant (€HT)])+SUMIF(Invest[Affectation matrice],$AB$3,Invest[Amortissement HT + intérêts]))*BW12</f>
        <v>0</v>
      </c>
      <c r="W12" s="198">
        <f>(SUMIF(Fonctionnement[Affectation matrice],$AB$3,Fonctionnement[Montant (€HT)])+SUMIF(Invest[Affectation matrice],$AB$3,Invest[Amortissement HT + intérêts]))*BX12</f>
        <v>0</v>
      </c>
      <c r="X12" s="198">
        <f>(SUMIF(Fonctionnement[Affectation matrice],$AB$3,Fonctionnement[Montant (€HT)])+SUMIF(Invest[Affectation matrice],$AB$3,Invest[Amortissement HT + intérêts]))*BY12</f>
        <v>0</v>
      </c>
      <c r="Y12" s="198">
        <f>(SUMIF(Fonctionnement[Affectation matrice],$AB$3,Fonctionnement[Montant (€HT)])+SUMIF(Invest[Affectation matrice],$AB$3,Invest[Amortissement HT + intérêts]))*BZ12</f>
        <v>0</v>
      </c>
      <c r="Z12" s="198">
        <f>(SUMIF(Fonctionnement[Affectation matrice],$AB$3,Fonctionnement[Montant (€HT)])+SUMIF(Invest[Affectation matrice],$AB$3,Invest[Amortissement HT + intérêts]))*CA12</f>
        <v>0</v>
      </c>
      <c r="AA12" s="199"/>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283">
        <f t="shared" si="4"/>
        <v>0</v>
      </c>
      <c r="BB12" s="7"/>
      <c r="BC12" s="61">
        <f t="shared" si="2"/>
        <v>0</v>
      </c>
      <c r="BD12" s="61">
        <f t="shared" si="2"/>
        <v>0</v>
      </c>
      <c r="BE12" s="61">
        <f t="shared" si="2"/>
        <v>0</v>
      </c>
      <c r="BF12" s="61">
        <f t="shared" si="2"/>
        <v>0</v>
      </c>
      <c r="BG12" s="61">
        <f t="shared" si="2"/>
        <v>0</v>
      </c>
      <c r="BH12" s="61">
        <f t="shared" si="2"/>
        <v>0</v>
      </c>
      <c r="BI12" s="61">
        <f t="shared" si="2"/>
        <v>0</v>
      </c>
      <c r="BJ12" s="61">
        <f t="shared" si="2"/>
        <v>0</v>
      </c>
      <c r="BK12" s="61">
        <f t="shared" si="2"/>
        <v>0</v>
      </c>
      <c r="BL12" s="61">
        <f t="shared" si="2"/>
        <v>0</v>
      </c>
      <c r="BM12" s="61">
        <f t="shared" si="2"/>
        <v>0</v>
      </c>
      <c r="BN12" s="61">
        <f t="shared" si="2"/>
        <v>0</v>
      </c>
      <c r="BO12" s="61">
        <f t="shared" si="2"/>
        <v>0</v>
      </c>
      <c r="BP12" s="61">
        <f t="shared" si="2"/>
        <v>0</v>
      </c>
      <c r="BQ12" s="61">
        <f t="shared" si="2"/>
        <v>0</v>
      </c>
      <c r="BR12" s="61">
        <f t="shared" si="2"/>
        <v>0</v>
      </c>
      <c r="BS12" s="61">
        <f t="shared" si="3"/>
        <v>0</v>
      </c>
      <c r="BT12" s="61">
        <f t="shared" si="3"/>
        <v>0</v>
      </c>
      <c r="BU12" s="61">
        <f t="shared" si="3"/>
        <v>0</v>
      </c>
      <c r="BV12" s="61">
        <f t="shared" si="3"/>
        <v>0</v>
      </c>
      <c r="BW12" s="61">
        <f t="shared" si="3"/>
        <v>0</v>
      </c>
      <c r="BX12" s="61">
        <f t="shared" si="3"/>
        <v>0</v>
      </c>
      <c r="BY12" s="61">
        <f t="shared" si="3"/>
        <v>0</v>
      </c>
      <c r="BZ12" s="61">
        <f t="shared" si="3"/>
        <v>0</v>
      </c>
      <c r="CA12" s="61">
        <f t="shared" si="3"/>
        <v>0</v>
      </c>
      <c r="CB12" s="61">
        <f t="shared" si="5"/>
        <v>0</v>
      </c>
      <c r="CD12" s="200">
        <f>(SUMIF(Fonctionnement[Affectation matrice],$AB$3,Fonctionnement[TVA acquittée])+SUMIF(Invest[Affectation matrice],$AB$3,Invest[TVA acquittée]))*BC12</f>
        <v>0</v>
      </c>
      <c r="CE12" s="200">
        <f>(SUMIF(Fonctionnement[Affectation matrice],$AB$3,Fonctionnement[TVA acquittée])+SUMIF(Invest[Affectation matrice],$AB$3,Invest[TVA acquittée]))*BD12</f>
        <v>0</v>
      </c>
      <c r="CF12" s="200">
        <f>(SUMIF(Fonctionnement[Affectation matrice],$AB$3,Fonctionnement[TVA acquittée])+SUMIF(Invest[Affectation matrice],$AB$3,Invest[TVA acquittée]))*BE12</f>
        <v>0</v>
      </c>
      <c r="CG12" s="200">
        <f>(SUMIF(Fonctionnement[Affectation matrice],$AB$3,Fonctionnement[TVA acquittée])+SUMIF(Invest[Affectation matrice],$AB$3,Invest[TVA acquittée]))*BF12</f>
        <v>0</v>
      </c>
      <c r="CH12" s="200">
        <f>(SUMIF(Fonctionnement[Affectation matrice],$AB$3,Fonctionnement[TVA acquittée])+SUMIF(Invest[Affectation matrice],$AB$3,Invest[TVA acquittée]))*BG12</f>
        <v>0</v>
      </c>
      <c r="CI12" s="200">
        <f>(SUMIF(Fonctionnement[Affectation matrice],$AB$3,Fonctionnement[TVA acquittée])+SUMIF(Invest[Affectation matrice],$AB$3,Invest[TVA acquittée]))*BH12</f>
        <v>0</v>
      </c>
      <c r="CJ12" s="200">
        <f>(SUMIF(Fonctionnement[Affectation matrice],$AB$3,Fonctionnement[TVA acquittée])+SUMIF(Invest[Affectation matrice],$AB$3,Invest[TVA acquittée]))*BI12</f>
        <v>0</v>
      </c>
      <c r="CK12" s="200">
        <f>(SUMIF(Fonctionnement[Affectation matrice],$AB$3,Fonctionnement[TVA acquittée])+SUMIF(Invest[Affectation matrice],$AB$3,Invest[TVA acquittée]))*BJ12</f>
        <v>0</v>
      </c>
      <c r="CL12" s="200">
        <f>(SUMIF(Fonctionnement[Affectation matrice],$AB$3,Fonctionnement[TVA acquittée])+SUMIF(Invest[Affectation matrice],$AB$3,Invest[TVA acquittée]))*BK12</f>
        <v>0</v>
      </c>
      <c r="CM12" s="200">
        <f>(SUMIF(Fonctionnement[Affectation matrice],$AB$3,Fonctionnement[TVA acquittée])+SUMIF(Invest[Affectation matrice],$AB$3,Invest[TVA acquittée]))*BL12</f>
        <v>0</v>
      </c>
      <c r="CN12" s="200">
        <f>(SUMIF(Fonctionnement[Affectation matrice],$AB$3,Fonctionnement[TVA acquittée])+SUMIF(Invest[Affectation matrice],$AB$3,Invest[TVA acquittée]))*BM12</f>
        <v>0</v>
      </c>
      <c r="CO12" s="200">
        <f>(SUMIF(Fonctionnement[Affectation matrice],$AB$3,Fonctionnement[TVA acquittée])+SUMIF(Invest[Affectation matrice],$AB$3,Invest[TVA acquittée]))*BN12</f>
        <v>0</v>
      </c>
      <c r="CP12" s="200">
        <f>(SUMIF(Fonctionnement[Affectation matrice],$AB$3,Fonctionnement[TVA acquittée])+SUMIF(Invest[Affectation matrice],$AB$3,Invest[TVA acquittée]))*BO12</f>
        <v>0</v>
      </c>
      <c r="CQ12" s="200">
        <f>(SUMIF(Fonctionnement[Affectation matrice],$AB$3,Fonctionnement[TVA acquittée])+SUMIF(Invest[Affectation matrice],$AB$3,Invest[TVA acquittée]))*BP12</f>
        <v>0</v>
      </c>
      <c r="CR12" s="200">
        <f>(SUMIF(Fonctionnement[Affectation matrice],$AB$3,Fonctionnement[TVA acquittée])+SUMIF(Invest[Affectation matrice],$AB$3,Invest[TVA acquittée]))*BQ12</f>
        <v>0</v>
      </c>
      <c r="CS12" s="200">
        <f>(SUMIF(Fonctionnement[Affectation matrice],$AB$3,Fonctionnement[TVA acquittée])+SUMIF(Invest[Affectation matrice],$AB$3,Invest[TVA acquittée]))*BR12</f>
        <v>0</v>
      </c>
      <c r="CT12" s="200">
        <f>(SUMIF(Fonctionnement[Affectation matrice],$AB$3,Fonctionnement[TVA acquittée])+SUMIF(Invest[Affectation matrice],$AB$3,Invest[TVA acquittée]))*BS12</f>
        <v>0</v>
      </c>
      <c r="CU12" s="200">
        <f>(SUMIF(Fonctionnement[Affectation matrice],$AB$3,Fonctionnement[TVA acquittée])+SUMIF(Invest[Affectation matrice],$AB$3,Invest[TVA acquittée]))*BT12</f>
        <v>0</v>
      </c>
      <c r="CV12" s="200">
        <f>(SUMIF(Fonctionnement[Affectation matrice],$AB$3,Fonctionnement[TVA acquittée])+SUMIF(Invest[Affectation matrice],$AB$3,Invest[TVA acquittée]))*BU12</f>
        <v>0</v>
      </c>
      <c r="CW12" s="200">
        <f>(SUMIF(Fonctionnement[Affectation matrice],$AB$3,Fonctionnement[TVA acquittée])+SUMIF(Invest[Affectation matrice],$AB$3,Invest[TVA acquittée]))*BV12</f>
        <v>0</v>
      </c>
      <c r="CX12" s="200">
        <f>(SUMIF(Fonctionnement[Affectation matrice],$AB$3,Fonctionnement[TVA acquittée])+SUMIF(Invest[Affectation matrice],$AB$3,Invest[TVA acquittée]))*BW12</f>
        <v>0</v>
      </c>
      <c r="CY12" s="200">
        <f>(SUMIF(Fonctionnement[Affectation matrice],$AB$3,Fonctionnement[TVA acquittée])+SUMIF(Invest[Affectation matrice],$AB$3,Invest[TVA acquittée]))*BX12</f>
        <v>0</v>
      </c>
      <c r="CZ12" s="200">
        <f>(SUMIF(Fonctionnement[Affectation matrice],$AB$3,Fonctionnement[TVA acquittée])+SUMIF(Invest[Affectation matrice],$AB$3,Invest[TVA acquittée]))*BY12</f>
        <v>0</v>
      </c>
      <c r="DA12" s="200">
        <f>(SUMIF(Fonctionnement[Affectation matrice],$AB$3,Fonctionnement[TVA acquittée])+SUMIF(Invest[Affectation matrice],$AB$3,Invest[TVA acquittée]))*BZ12</f>
        <v>0</v>
      </c>
      <c r="DB12" s="200">
        <f>(SUMIF(Fonctionnement[Affectation matrice],$AB$3,Fonctionnement[TVA acquittée])+SUMIF(Invest[Affectation matrice],$AB$3,Invest[TVA acquittée]))*CA12</f>
        <v>0</v>
      </c>
    </row>
    <row r="13" spans="1:106" s="22" customFormat="1" ht="12.75" hidden="1" customHeight="1" x14ac:dyDescent="0.25">
      <c r="A13" s="42">
        <f>Matrice[[#This Row],[Ligne de la matrice]]</f>
        <v>0</v>
      </c>
      <c r="B13" s="198">
        <f>(SUMIF(Fonctionnement[Affectation matrice],$AB$3,Fonctionnement[Montant (€HT)])+SUMIF(Invest[Affectation matrice],$AB$3,Invest[Amortissement HT + intérêts]))*BC13</f>
        <v>0</v>
      </c>
      <c r="C13" s="198">
        <f>(SUMIF(Fonctionnement[Affectation matrice],$AB$3,Fonctionnement[Montant (€HT)])+SUMIF(Invest[Affectation matrice],$AB$3,Invest[Amortissement HT + intérêts]))*BD13</f>
        <v>0</v>
      </c>
      <c r="D13" s="198">
        <f>(SUMIF(Fonctionnement[Affectation matrice],$AB$3,Fonctionnement[Montant (€HT)])+SUMIF(Invest[Affectation matrice],$AB$3,Invest[Amortissement HT + intérêts]))*BE13</f>
        <v>0</v>
      </c>
      <c r="E13" s="198">
        <f>(SUMIF(Fonctionnement[Affectation matrice],$AB$3,Fonctionnement[Montant (€HT)])+SUMIF(Invest[Affectation matrice],$AB$3,Invest[Amortissement HT + intérêts]))*BF13</f>
        <v>0</v>
      </c>
      <c r="F13" s="198">
        <f>(SUMIF(Fonctionnement[Affectation matrice],$AB$3,Fonctionnement[Montant (€HT)])+SUMIF(Invest[Affectation matrice],$AB$3,Invest[Amortissement HT + intérêts]))*BG13</f>
        <v>0</v>
      </c>
      <c r="G13" s="198">
        <f>(SUMIF(Fonctionnement[Affectation matrice],$AB$3,Fonctionnement[Montant (€HT)])+SUMIF(Invest[Affectation matrice],$AB$3,Invest[Amortissement HT + intérêts]))*BH13</f>
        <v>0</v>
      </c>
      <c r="H13" s="198">
        <f>(SUMIF(Fonctionnement[Affectation matrice],$AB$3,Fonctionnement[Montant (€HT)])+SUMIF(Invest[Affectation matrice],$AB$3,Invest[Amortissement HT + intérêts]))*BI13</f>
        <v>0</v>
      </c>
      <c r="I13" s="198">
        <f>(SUMIF(Fonctionnement[Affectation matrice],$AB$3,Fonctionnement[Montant (€HT)])+SUMIF(Invest[Affectation matrice],$AB$3,Invest[Amortissement HT + intérêts]))*BJ13</f>
        <v>0</v>
      </c>
      <c r="J13" s="198">
        <f>(SUMIF(Fonctionnement[Affectation matrice],$AB$3,Fonctionnement[Montant (€HT)])+SUMIF(Invest[Affectation matrice],$AB$3,Invest[Amortissement HT + intérêts]))*BK13</f>
        <v>0</v>
      </c>
      <c r="K13" s="198">
        <f>(SUMIF(Fonctionnement[Affectation matrice],$AB$3,Fonctionnement[Montant (€HT)])+SUMIF(Invest[Affectation matrice],$AB$3,Invest[Amortissement HT + intérêts]))*BL13</f>
        <v>0</v>
      </c>
      <c r="L13" s="198">
        <f>(SUMIF(Fonctionnement[Affectation matrice],$AB$3,Fonctionnement[Montant (€HT)])+SUMIF(Invest[Affectation matrice],$AB$3,Invest[Amortissement HT + intérêts]))*BM13</f>
        <v>0</v>
      </c>
      <c r="M13" s="198">
        <f>(SUMIF(Fonctionnement[Affectation matrice],$AB$3,Fonctionnement[Montant (€HT)])+SUMIF(Invest[Affectation matrice],$AB$3,Invest[Amortissement HT + intérêts]))*BN13</f>
        <v>0</v>
      </c>
      <c r="N13" s="198">
        <f>(SUMIF(Fonctionnement[Affectation matrice],$AB$3,Fonctionnement[Montant (€HT)])+SUMIF(Invest[Affectation matrice],$AB$3,Invest[Amortissement HT + intérêts]))*BO13</f>
        <v>0</v>
      </c>
      <c r="O13" s="198">
        <f>(SUMIF(Fonctionnement[Affectation matrice],$AB$3,Fonctionnement[Montant (€HT)])+SUMIF(Invest[Affectation matrice],$AB$3,Invest[Amortissement HT + intérêts]))*BP13</f>
        <v>0</v>
      </c>
      <c r="P13" s="198">
        <f>(SUMIF(Fonctionnement[Affectation matrice],$AB$3,Fonctionnement[Montant (€HT)])+SUMIF(Invest[Affectation matrice],$AB$3,Invest[Amortissement HT + intérêts]))*BQ13</f>
        <v>0</v>
      </c>
      <c r="Q13" s="198">
        <f>(SUMIF(Fonctionnement[Affectation matrice],$AB$3,Fonctionnement[Montant (€HT)])+SUMIF(Invest[Affectation matrice],$AB$3,Invest[Amortissement HT + intérêts]))*BR13</f>
        <v>0</v>
      </c>
      <c r="R13" s="198">
        <f>(SUMIF(Fonctionnement[Affectation matrice],$AB$3,Fonctionnement[Montant (€HT)])+SUMIF(Invest[Affectation matrice],$AB$3,Invest[Amortissement HT + intérêts]))*BS13</f>
        <v>0</v>
      </c>
      <c r="S13" s="198">
        <f>(SUMIF(Fonctionnement[Affectation matrice],$AB$3,Fonctionnement[Montant (€HT)])+SUMIF(Invest[Affectation matrice],$AB$3,Invest[Amortissement HT + intérêts]))*BT13</f>
        <v>0</v>
      </c>
      <c r="T13" s="198">
        <f>(SUMIF(Fonctionnement[Affectation matrice],$AB$3,Fonctionnement[Montant (€HT)])+SUMIF(Invest[Affectation matrice],$AB$3,Invest[Amortissement HT + intérêts]))*BU13</f>
        <v>0</v>
      </c>
      <c r="U13" s="198">
        <f>(SUMIF(Fonctionnement[Affectation matrice],$AB$3,Fonctionnement[Montant (€HT)])+SUMIF(Invest[Affectation matrice],$AB$3,Invest[Amortissement HT + intérêts]))*BV13</f>
        <v>0</v>
      </c>
      <c r="V13" s="198">
        <f>(SUMIF(Fonctionnement[Affectation matrice],$AB$3,Fonctionnement[Montant (€HT)])+SUMIF(Invest[Affectation matrice],$AB$3,Invest[Amortissement HT + intérêts]))*BW13</f>
        <v>0</v>
      </c>
      <c r="W13" s="198">
        <f>(SUMIF(Fonctionnement[Affectation matrice],$AB$3,Fonctionnement[Montant (€HT)])+SUMIF(Invest[Affectation matrice],$AB$3,Invest[Amortissement HT + intérêts]))*BX13</f>
        <v>0</v>
      </c>
      <c r="X13" s="198">
        <f>(SUMIF(Fonctionnement[Affectation matrice],$AB$3,Fonctionnement[Montant (€HT)])+SUMIF(Invest[Affectation matrice],$AB$3,Invest[Amortissement HT + intérêts]))*BY13</f>
        <v>0</v>
      </c>
      <c r="Y13" s="198">
        <f>(SUMIF(Fonctionnement[Affectation matrice],$AB$3,Fonctionnement[Montant (€HT)])+SUMIF(Invest[Affectation matrice],$AB$3,Invest[Amortissement HT + intérêts]))*BZ13</f>
        <v>0</v>
      </c>
      <c r="Z13" s="198">
        <f>(SUMIF(Fonctionnement[Affectation matrice],$AB$3,Fonctionnement[Montant (€HT)])+SUMIF(Invest[Affectation matrice],$AB$3,Invest[Amortissement HT + intérêts]))*CA13</f>
        <v>0</v>
      </c>
      <c r="AA13" s="199"/>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283">
        <f t="shared" si="4"/>
        <v>0</v>
      </c>
      <c r="BB13" s="7"/>
      <c r="BC13" s="61">
        <f t="shared" si="2"/>
        <v>0</v>
      </c>
      <c r="BD13" s="61">
        <f t="shared" si="2"/>
        <v>0</v>
      </c>
      <c r="BE13" s="61">
        <f t="shared" si="2"/>
        <v>0</v>
      </c>
      <c r="BF13" s="61">
        <f t="shared" si="2"/>
        <v>0</v>
      </c>
      <c r="BG13" s="61">
        <f t="shared" si="2"/>
        <v>0</v>
      </c>
      <c r="BH13" s="61">
        <f t="shared" si="2"/>
        <v>0</v>
      </c>
      <c r="BI13" s="61">
        <f t="shared" si="2"/>
        <v>0</v>
      </c>
      <c r="BJ13" s="61">
        <f t="shared" si="2"/>
        <v>0</v>
      </c>
      <c r="BK13" s="61">
        <f t="shared" si="2"/>
        <v>0</v>
      </c>
      <c r="BL13" s="61">
        <f t="shared" si="2"/>
        <v>0</v>
      </c>
      <c r="BM13" s="61">
        <f t="shared" si="2"/>
        <v>0</v>
      </c>
      <c r="BN13" s="61">
        <f t="shared" si="2"/>
        <v>0</v>
      </c>
      <c r="BO13" s="61">
        <f t="shared" si="2"/>
        <v>0</v>
      </c>
      <c r="BP13" s="61">
        <f t="shared" si="2"/>
        <v>0</v>
      </c>
      <c r="BQ13" s="61">
        <f t="shared" si="2"/>
        <v>0</v>
      </c>
      <c r="BR13" s="61">
        <f t="shared" si="2"/>
        <v>0</v>
      </c>
      <c r="BS13" s="61">
        <f t="shared" si="3"/>
        <v>0</v>
      </c>
      <c r="BT13" s="61">
        <f t="shared" si="3"/>
        <v>0</v>
      </c>
      <c r="BU13" s="61">
        <f t="shared" si="3"/>
        <v>0</v>
      </c>
      <c r="BV13" s="61">
        <f t="shared" si="3"/>
        <v>0</v>
      </c>
      <c r="BW13" s="61">
        <f t="shared" si="3"/>
        <v>0</v>
      </c>
      <c r="BX13" s="61">
        <f t="shared" si="3"/>
        <v>0</v>
      </c>
      <c r="BY13" s="61">
        <f t="shared" si="3"/>
        <v>0</v>
      </c>
      <c r="BZ13" s="61">
        <f t="shared" si="3"/>
        <v>0</v>
      </c>
      <c r="CA13" s="61">
        <f t="shared" si="3"/>
        <v>0</v>
      </c>
      <c r="CB13" s="61">
        <f t="shared" si="5"/>
        <v>0</v>
      </c>
      <c r="CD13" s="200">
        <f>(SUMIF(Fonctionnement[Affectation matrice],$AB$3,Fonctionnement[TVA acquittée])+SUMIF(Invest[Affectation matrice],$AB$3,Invest[TVA acquittée]))*BC13</f>
        <v>0</v>
      </c>
      <c r="CE13" s="200">
        <f>(SUMIF(Fonctionnement[Affectation matrice],$AB$3,Fonctionnement[TVA acquittée])+SUMIF(Invest[Affectation matrice],$AB$3,Invest[TVA acquittée]))*BD13</f>
        <v>0</v>
      </c>
      <c r="CF13" s="200">
        <f>(SUMIF(Fonctionnement[Affectation matrice],$AB$3,Fonctionnement[TVA acquittée])+SUMIF(Invest[Affectation matrice],$AB$3,Invest[TVA acquittée]))*BE13</f>
        <v>0</v>
      </c>
      <c r="CG13" s="200">
        <f>(SUMIF(Fonctionnement[Affectation matrice],$AB$3,Fonctionnement[TVA acquittée])+SUMIF(Invest[Affectation matrice],$AB$3,Invest[TVA acquittée]))*BF13</f>
        <v>0</v>
      </c>
      <c r="CH13" s="200">
        <f>(SUMIF(Fonctionnement[Affectation matrice],$AB$3,Fonctionnement[TVA acquittée])+SUMIF(Invest[Affectation matrice],$AB$3,Invest[TVA acquittée]))*BG13</f>
        <v>0</v>
      </c>
      <c r="CI13" s="200">
        <f>(SUMIF(Fonctionnement[Affectation matrice],$AB$3,Fonctionnement[TVA acquittée])+SUMIF(Invest[Affectation matrice],$AB$3,Invest[TVA acquittée]))*BH13</f>
        <v>0</v>
      </c>
      <c r="CJ13" s="200">
        <f>(SUMIF(Fonctionnement[Affectation matrice],$AB$3,Fonctionnement[TVA acquittée])+SUMIF(Invest[Affectation matrice],$AB$3,Invest[TVA acquittée]))*BI13</f>
        <v>0</v>
      </c>
      <c r="CK13" s="200">
        <f>(SUMIF(Fonctionnement[Affectation matrice],$AB$3,Fonctionnement[TVA acquittée])+SUMIF(Invest[Affectation matrice],$AB$3,Invest[TVA acquittée]))*BJ13</f>
        <v>0</v>
      </c>
      <c r="CL13" s="200">
        <f>(SUMIF(Fonctionnement[Affectation matrice],$AB$3,Fonctionnement[TVA acquittée])+SUMIF(Invest[Affectation matrice],$AB$3,Invest[TVA acquittée]))*BK13</f>
        <v>0</v>
      </c>
      <c r="CM13" s="200">
        <f>(SUMIF(Fonctionnement[Affectation matrice],$AB$3,Fonctionnement[TVA acquittée])+SUMIF(Invest[Affectation matrice],$AB$3,Invest[TVA acquittée]))*BL13</f>
        <v>0</v>
      </c>
      <c r="CN13" s="200">
        <f>(SUMIF(Fonctionnement[Affectation matrice],$AB$3,Fonctionnement[TVA acquittée])+SUMIF(Invest[Affectation matrice],$AB$3,Invest[TVA acquittée]))*BM13</f>
        <v>0</v>
      </c>
      <c r="CO13" s="200">
        <f>(SUMIF(Fonctionnement[Affectation matrice],$AB$3,Fonctionnement[TVA acquittée])+SUMIF(Invest[Affectation matrice],$AB$3,Invest[TVA acquittée]))*BN13</f>
        <v>0</v>
      </c>
      <c r="CP13" s="200">
        <f>(SUMIF(Fonctionnement[Affectation matrice],$AB$3,Fonctionnement[TVA acquittée])+SUMIF(Invest[Affectation matrice],$AB$3,Invest[TVA acquittée]))*BO13</f>
        <v>0</v>
      </c>
      <c r="CQ13" s="200">
        <f>(SUMIF(Fonctionnement[Affectation matrice],$AB$3,Fonctionnement[TVA acquittée])+SUMIF(Invest[Affectation matrice],$AB$3,Invest[TVA acquittée]))*BP13</f>
        <v>0</v>
      </c>
      <c r="CR13" s="200">
        <f>(SUMIF(Fonctionnement[Affectation matrice],$AB$3,Fonctionnement[TVA acquittée])+SUMIF(Invest[Affectation matrice],$AB$3,Invest[TVA acquittée]))*BQ13</f>
        <v>0</v>
      </c>
      <c r="CS13" s="200">
        <f>(SUMIF(Fonctionnement[Affectation matrice],$AB$3,Fonctionnement[TVA acquittée])+SUMIF(Invest[Affectation matrice],$AB$3,Invest[TVA acquittée]))*BR13</f>
        <v>0</v>
      </c>
      <c r="CT13" s="200">
        <f>(SUMIF(Fonctionnement[Affectation matrice],$AB$3,Fonctionnement[TVA acquittée])+SUMIF(Invest[Affectation matrice],$AB$3,Invest[TVA acquittée]))*BS13</f>
        <v>0</v>
      </c>
      <c r="CU13" s="200">
        <f>(SUMIF(Fonctionnement[Affectation matrice],$AB$3,Fonctionnement[TVA acquittée])+SUMIF(Invest[Affectation matrice],$AB$3,Invest[TVA acquittée]))*BT13</f>
        <v>0</v>
      </c>
      <c r="CV13" s="200">
        <f>(SUMIF(Fonctionnement[Affectation matrice],$AB$3,Fonctionnement[TVA acquittée])+SUMIF(Invest[Affectation matrice],$AB$3,Invest[TVA acquittée]))*BU13</f>
        <v>0</v>
      </c>
      <c r="CW13" s="200">
        <f>(SUMIF(Fonctionnement[Affectation matrice],$AB$3,Fonctionnement[TVA acquittée])+SUMIF(Invest[Affectation matrice],$AB$3,Invest[TVA acquittée]))*BV13</f>
        <v>0</v>
      </c>
      <c r="CX13" s="200">
        <f>(SUMIF(Fonctionnement[Affectation matrice],$AB$3,Fonctionnement[TVA acquittée])+SUMIF(Invest[Affectation matrice],$AB$3,Invest[TVA acquittée]))*BW13</f>
        <v>0</v>
      </c>
      <c r="CY13" s="200">
        <f>(SUMIF(Fonctionnement[Affectation matrice],$AB$3,Fonctionnement[TVA acquittée])+SUMIF(Invest[Affectation matrice],$AB$3,Invest[TVA acquittée]))*BX13</f>
        <v>0</v>
      </c>
      <c r="CZ13" s="200">
        <f>(SUMIF(Fonctionnement[Affectation matrice],$AB$3,Fonctionnement[TVA acquittée])+SUMIF(Invest[Affectation matrice],$AB$3,Invest[TVA acquittée]))*BY13</f>
        <v>0</v>
      </c>
      <c r="DA13" s="200">
        <f>(SUMIF(Fonctionnement[Affectation matrice],$AB$3,Fonctionnement[TVA acquittée])+SUMIF(Invest[Affectation matrice],$AB$3,Invest[TVA acquittée]))*BZ13</f>
        <v>0</v>
      </c>
      <c r="DB13" s="200">
        <f>(SUMIF(Fonctionnement[Affectation matrice],$AB$3,Fonctionnement[TVA acquittée])+SUMIF(Invest[Affectation matrice],$AB$3,Invest[TVA acquittée]))*CA13</f>
        <v>0</v>
      </c>
    </row>
    <row r="14" spans="1:106" s="22" customFormat="1" ht="12.75" hidden="1" customHeight="1" x14ac:dyDescent="0.25">
      <c r="A14" s="42">
        <f>Matrice[[#This Row],[Ligne de la matrice]]</f>
        <v>0</v>
      </c>
      <c r="B14" s="198">
        <f>(SUMIF(Fonctionnement[Affectation matrice],$AB$3,Fonctionnement[Montant (€HT)])+SUMIF(Invest[Affectation matrice],$AB$3,Invest[Amortissement HT + intérêts]))*BC14</f>
        <v>0</v>
      </c>
      <c r="C14" s="198">
        <f>(SUMIF(Fonctionnement[Affectation matrice],$AB$3,Fonctionnement[Montant (€HT)])+SUMIF(Invest[Affectation matrice],$AB$3,Invest[Amortissement HT + intérêts]))*BD14</f>
        <v>0</v>
      </c>
      <c r="D14" s="198">
        <f>(SUMIF(Fonctionnement[Affectation matrice],$AB$3,Fonctionnement[Montant (€HT)])+SUMIF(Invest[Affectation matrice],$AB$3,Invest[Amortissement HT + intérêts]))*BE14</f>
        <v>0</v>
      </c>
      <c r="E14" s="198">
        <f>(SUMIF(Fonctionnement[Affectation matrice],$AB$3,Fonctionnement[Montant (€HT)])+SUMIF(Invest[Affectation matrice],$AB$3,Invest[Amortissement HT + intérêts]))*BF14</f>
        <v>0</v>
      </c>
      <c r="F14" s="198">
        <f>(SUMIF(Fonctionnement[Affectation matrice],$AB$3,Fonctionnement[Montant (€HT)])+SUMIF(Invest[Affectation matrice],$AB$3,Invest[Amortissement HT + intérêts]))*BG14</f>
        <v>0</v>
      </c>
      <c r="G14" s="198">
        <f>(SUMIF(Fonctionnement[Affectation matrice],$AB$3,Fonctionnement[Montant (€HT)])+SUMIF(Invest[Affectation matrice],$AB$3,Invest[Amortissement HT + intérêts]))*BH14</f>
        <v>0</v>
      </c>
      <c r="H14" s="198">
        <f>(SUMIF(Fonctionnement[Affectation matrice],$AB$3,Fonctionnement[Montant (€HT)])+SUMIF(Invest[Affectation matrice],$AB$3,Invest[Amortissement HT + intérêts]))*BI14</f>
        <v>0</v>
      </c>
      <c r="I14" s="198">
        <f>(SUMIF(Fonctionnement[Affectation matrice],$AB$3,Fonctionnement[Montant (€HT)])+SUMIF(Invest[Affectation matrice],$AB$3,Invest[Amortissement HT + intérêts]))*BJ14</f>
        <v>0</v>
      </c>
      <c r="J14" s="198">
        <f>(SUMIF(Fonctionnement[Affectation matrice],$AB$3,Fonctionnement[Montant (€HT)])+SUMIF(Invest[Affectation matrice],$AB$3,Invest[Amortissement HT + intérêts]))*BK14</f>
        <v>0</v>
      </c>
      <c r="K14" s="198">
        <f>(SUMIF(Fonctionnement[Affectation matrice],$AB$3,Fonctionnement[Montant (€HT)])+SUMIF(Invest[Affectation matrice],$AB$3,Invest[Amortissement HT + intérêts]))*BL14</f>
        <v>0</v>
      </c>
      <c r="L14" s="198">
        <f>(SUMIF(Fonctionnement[Affectation matrice],$AB$3,Fonctionnement[Montant (€HT)])+SUMIF(Invest[Affectation matrice],$AB$3,Invest[Amortissement HT + intérêts]))*BM14</f>
        <v>0</v>
      </c>
      <c r="M14" s="198">
        <f>(SUMIF(Fonctionnement[Affectation matrice],$AB$3,Fonctionnement[Montant (€HT)])+SUMIF(Invest[Affectation matrice],$AB$3,Invest[Amortissement HT + intérêts]))*BN14</f>
        <v>0</v>
      </c>
      <c r="N14" s="198">
        <f>(SUMIF(Fonctionnement[Affectation matrice],$AB$3,Fonctionnement[Montant (€HT)])+SUMIF(Invest[Affectation matrice],$AB$3,Invest[Amortissement HT + intérêts]))*BO14</f>
        <v>0</v>
      </c>
      <c r="O14" s="198">
        <f>(SUMIF(Fonctionnement[Affectation matrice],$AB$3,Fonctionnement[Montant (€HT)])+SUMIF(Invest[Affectation matrice],$AB$3,Invest[Amortissement HT + intérêts]))*BP14</f>
        <v>0</v>
      </c>
      <c r="P14" s="198">
        <f>(SUMIF(Fonctionnement[Affectation matrice],$AB$3,Fonctionnement[Montant (€HT)])+SUMIF(Invest[Affectation matrice],$AB$3,Invest[Amortissement HT + intérêts]))*BQ14</f>
        <v>0</v>
      </c>
      <c r="Q14" s="198">
        <f>(SUMIF(Fonctionnement[Affectation matrice],$AB$3,Fonctionnement[Montant (€HT)])+SUMIF(Invest[Affectation matrice],$AB$3,Invest[Amortissement HT + intérêts]))*BR14</f>
        <v>0</v>
      </c>
      <c r="R14" s="198">
        <f>(SUMIF(Fonctionnement[Affectation matrice],$AB$3,Fonctionnement[Montant (€HT)])+SUMIF(Invest[Affectation matrice],$AB$3,Invest[Amortissement HT + intérêts]))*BS14</f>
        <v>0</v>
      </c>
      <c r="S14" s="198">
        <f>(SUMIF(Fonctionnement[Affectation matrice],$AB$3,Fonctionnement[Montant (€HT)])+SUMIF(Invest[Affectation matrice],$AB$3,Invest[Amortissement HT + intérêts]))*BT14</f>
        <v>0</v>
      </c>
      <c r="T14" s="198">
        <f>(SUMIF(Fonctionnement[Affectation matrice],$AB$3,Fonctionnement[Montant (€HT)])+SUMIF(Invest[Affectation matrice],$AB$3,Invest[Amortissement HT + intérêts]))*BU14</f>
        <v>0</v>
      </c>
      <c r="U14" s="198">
        <f>(SUMIF(Fonctionnement[Affectation matrice],$AB$3,Fonctionnement[Montant (€HT)])+SUMIF(Invest[Affectation matrice],$AB$3,Invest[Amortissement HT + intérêts]))*BV14</f>
        <v>0</v>
      </c>
      <c r="V14" s="198">
        <f>(SUMIF(Fonctionnement[Affectation matrice],$AB$3,Fonctionnement[Montant (€HT)])+SUMIF(Invest[Affectation matrice],$AB$3,Invest[Amortissement HT + intérêts]))*BW14</f>
        <v>0</v>
      </c>
      <c r="W14" s="198">
        <f>(SUMIF(Fonctionnement[Affectation matrice],$AB$3,Fonctionnement[Montant (€HT)])+SUMIF(Invest[Affectation matrice],$AB$3,Invest[Amortissement HT + intérêts]))*BX14</f>
        <v>0</v>
      </c>
      <c r="X14" s="198">
        <f>(SUMIF(Fonctionnement[Affectation matrice],$AB$3,Fonctionnement[Montant (€HT)])+SUMIF(Invest[Affectation matrice],$AB$3,Invest[Amortissement HT + intérêts]))*BY14</f>
        <v>0</v>
      </c>
      <c r="Y14" s="198">
        <f>(SUMIF(Fonctionnement[Affectation matrice],$AB$3,Fonctionnement[Montant (€HT)])+SUMIF(Invest[Affectation matrice],$AB$3,Invest[Amortissement HT + intérêts]))*BZ14</f>
        <v>0</v>
      </c>
      <c r="Z14" s="198">
        <f>(SUMIF(Fonctionnement[Affectation matrice],$AB$3,Fonctionnement[Montant (€HT)])+SUMIF(Invest[Affectation matrice],$AB$3,Invest[Amortissement HT + intérêts]))*CA14</f>
        <v>0</v>
      </c>
      <c r="AA14" s="199"/>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283">
        <f t="shared" si="4"/>
        <v>0</v>
      </c>
      <c r="BB14" s="7"/>
      <c r="BC14" s="61">
        <f t="shared" si="2"/>
        <v>0</v>
      </c>
      <c r="BD14" s="61">
        <f t="shared" si="2"/>
        <v>0</v>
      </c>
      <c r="BE14" s="61">
        <f t="shared" si="2"/>
        <v>0</v>
      </c>
      <c r="BF14" s="61">
        <f t="shared" si="2"/>
        <v>0</v>
      </c>
      <c r="BG14" s="61">
        <f t="shared" si="2"/>
        <v>0</v>
      </c>
      <c r="BH14" s="61">
        <f t="shared" si="2"/>
        <v>0</v>
      </c>
      <c r="BI14" s="61">
        <f t="shared" si="2"/>
        <v>0</v>
      </c>
      <c r="BJ14" s="61">
        <f t="shared" si="2"/>
        <v>0</v>
      </c>
      <c r="BK14" s="61">
        <f t="shared" si="2"/>
        <v>0</v>
      </c>
      <c r="BL14" s="61">
        <f t="shared" si="2"/>
        <v>0</v>
      </c>
      <c r="BM14" s="61">
        <f t="shared" si="2"/>
        <v>0</v>
      </c>
      <c r="BN14" s="61">
        <f t="shared" si="2"/>
        <v>0</v>
      </c>
      <c r="BO14" s="61">
        <f t="shared" si="2"/>
        <v>0</v>
      </c>
      <c r="BP14" s="61">
        <f t="shared" si="2"/>
        <v>0</v>
      </c>
      <c r="BQ14" s="61">
        <f t="shared" si="2"/>
        <v>0</v>
      </c>
      <c r="BR14" s="61">
        <f t="shared" si="2"/>
        <v>0</v>
      </c>
      <c r="BS14" s="61">
        <f t="shared" si="3"/>
        <v>0</v>
      </c>
      <c r="BT14" s="61">
        <f t="shared" si="3"/>
        <v>0</v>
      </c>
      <c r="BU14" s="61">
        <f t="shared" si="3"/>
        <v>0</v>
      </c>
      <c r="BV14" s="61">
        <f t="shared" si="3"/>
        <v>0</v>
      </c>
      <c r="BW14" s="61">
        <f t="shared" si="3"/>
        <v>0</v>
      </c>
      <c r="BX14" s="61">
        <f t="shared" si="3"/>
        <v>0</v>
      </c>
      <c r="BY14" s="61">
        <f t="shared" si="3"/>
        <v>0</v>
      </c>
      <c r="BZ14" s="61">
        <f t="shared" si="3"/>
        <v>0</v>
      </c>
      <c r="CA14" s="61">
        <f t="shared" si="3"/>
        <v>0</v>
      </c>
      <c r="CB14" s="61">
        <f t="shared" si="5"/>
        <v>0</v>
      </c>
      <c r="CD14" s="200">
        <f>(SUMIF(Fonctionnement[Affectation matrice],$AB$3,Fonctionnement[TVA acquittée])+SUMIF(Invest[Affectation matrice],$AB$3,Invest[TVA acquittée]))*BC14</f>
        <v>0</v>
      </c>
      <c r="CE14" s="200">
        <f>(SUMIF(Fonctionnement[Affectation matrice],$AB$3,Fonctionnement[TVA acquittée])+SUMIF(Invest[Affectation matrice],$AB$3,Invest[TVA acquittée]))*BD14</f>
        <v>0</v>
      </c>
      <c r="CF14" s="200">
        <f>(SUMIF(Fonctionnement[Affectation matrice],$AB$3,Fonctionnement[TVA acquittée])+SUMIF(Invest[Affectation matrice],$AB$3,Invest[TVA acquittée]))*BE14</f>
        <v>0</v>
      </c>
      <c r="CG14" s="200">
        <f>(SUMIF(Fonctionnement[Affectation matrice],$AB$3,Fonctionnement[TVA acquittée])+SUMIF(Invest[Affectation matrice],$AB$3,Invest[TVA acquittée]))*BF14</f>
        <v>0</v>
      </c>
      <c r="CH14" s="200">
        <f>(SUMIF(Fonctionnement[Affectation matrice],$AB$3,Fonctionnement[TVA acquittée])+SUMIF(Invest[Affectation matrice],$AB$3,Invest[TVA acquittée]))*BG14</f>
        <v>0</v>
      </c>
      <c r="CI14" s="200">
        <f>(SUMIF(Fonctionnement[Affectation matrice],$AB$3,Fonctionnement[TVA acquittée])+SUMIF(Invest[Affectation matrice],$AB$3,Invest[TVA acquittée]))*BH14</f>
        <v>0</v>
      </c>
      <c r="CJ14" s="200">
        <f>(SUMIF(Fonctionnement[Affectation matrice],$AB$3,Fonctionnement[TVA acquittée])+SUMIF(Invest[Affectation matrice],$AB$3,Invest[TVA acquittée]))*BI14</f>
        <v>0</v>
      </c>
      <c r="CK14" s="200">
        <f>(SUMIF(Fonctionnement[Affectation matrice],$AB$3,Fonctionnement[TVA acquittée])+SUMIF(Invest[Affectation matrice],$AB$3,Invest[TVA acquittée]))*BJ14</f>
        <v>0</v>
      </c>
      <c r="CL14" s="200">
        <f>(SUMIF(Fonctionnement[Affectation matrice],$AB$3,Fonctionnement[TVA acquittée])+SUMIF(Invest[Affectation matrice],$AB$3,Invest[TVA acquittée]))*BK14</f>
        <v>0</v>
      </c>
      <c r="CM14" s="200">
        <f>(SUMIF(Fonctionnement[Affectation matrice],$AB$3,Fonctionnement[TVA acquittée])+SUMIF(Invest[Affectation matrice],$AB$3,Invest[TVA acquittée]))*BL14</f>
        <v>0</v>
      </c>
      <c r="CN14" s="200">
        <f>(SUMIF(Fonctionnement[Affectation matrice],$AB$3,Fonctionnement[TVA acquittée])+SUMIF(Invest[Affectation matrice],$AB$3,Invest[TVA acquittée]))*BM14</f>
        <v>0</v>
      </c>
      <c r="CO14" s="200">
        <f>(SUMIF(Fonctionnement[Affectation matrice],$AB$3,Fonctionnement[TVA acquittée])+SUMIF(Invest[Affectation matrice],$AB$3,Invest[TVA acquittée]))*BN14</f>
        <v>0</v>
      </c>
      <c r="CP14" s="200">
        <f>(SUMIF(Fonctionnement[Affectation matrice],$AB$3,Fonctionnement[TVA acquittée])+SUMIF(Invest[Affectation matrice],$AB$3,Invest[TVA acquittée]))*BO14</f>
        <v>0</v>
      </c>
      <c r="CQ14" s="200">
        <f>(SUMIF(Fonctionnement[Affectation matrice],$AB$3,Fonctionnement[TVA acquittée])+SUMIF(Invest[Affectation matrice],$AB$3,Invest[TVA acquittée]))*BP14</f>
        <v>0</v>
      </c>
      <c r="CR14" s="200">
        <f>(SUMIF(Fonctionnement[Affectation matrice],$AB$3,Fonctionnement[TVA acquittée])+SUMIF(Invest[Affectation matrice],$AB$3,Invest[TVA acquittée]))*BQ14</f>
        <v>0</v>
      </c>
      <c r="CS14" s="200">
        <f>(SUMIF(Fonctionnement[Affectation matrice],$AB$3,Fonctionnement[TVA acquittée])+SUMIF(Invest[Affectation matrice],$AB$3,Invest[TVA acquittée]))*BR14</f>
        <v>0</v>
      </c>
      <c r="CT14" s="200">
        <f>(SUMIF(Fonctionnement[Affectation matrice],$AB$3,Fonctionnement[TVA acquittée])+SUMIF(Invest[Affectation matrice],$AB$3,Invest[TVA acquittée]))*BS14</f>
        <v>0</v>
      </c>
      <c r="CU14" s="200">
        <f>(SUMIF(Fonctionnement[Affectation matrice],$AB$3,Fonctionnement[TVA acquittée])+SUMIF(Invest[Affectation matrice],$AB$3,Invest[TVA acquittée]))*BT14</f>
        <v>0</v>
      </c>
      <c r="CV14" s="200">
        <f>(SUMIF(Fonctionnement[Affectation matrice],$AB$3,Fonctionnement[TVA acquittée])+SUMIF(Invest[Affectation matrice],$AB$3,Invest[TVA acquittée]))*BU14</f>
        <v>0</v>
      </c>
      <c r="CW14" s="200">
        <f>(SUMIF(Fonctionnement[Affectation matrice],$AB$3,Fonctionnement[TVA acquittée])+SUMIF(Invest[Affectation matrice],$AB$3,Invest[TVA acquittée]))*BV14</f>
        <v>0</v>
      </c>
      <c r="CX14" s="200">
        <f>(SUMIF(Fonctionnement[Affectation matrice],$AB$3,Fonctionnement[TVA acquittée])+SUMIF(Invest[Affectation matrice],$AB$3,Invest[TVA acquittée]))*BW14</f>
        <v>0</v>
      </c>
      <c r="CY14" s="200">
        <f>(SUMIF(Fonctionnement[Affectation matrice],$AB$3,Fonctionnement[TVA acquittée])+SUMIF(Invest[Affectation matrice],$AB$3,Invest[TVA acquittée]))*BX14</f>
        <v>0</v>
      </c>
      <c r="CZ14" s="200">
        <f>(SUMIF(Fonctionnement[Affectation matrice],$AB$3,Fonctionnement[TVA acquittée])+SUMIF(Invest[Affectation matrice],$AB$3,Invest[TVA acquittée]))*BY14</f>
        <v>0</v>
      </c>
      <c r="DA14" s="200">
        <f>(SUMIF(Fonctionnement[Affectation matrice],$AB$3,Fonctionnement[TVA acquittée])+SUMIF(Invest[Affectation matrice],$AB$3,Invest[TVA acquittée]))*BZ14</f>
        <v>0</v>
      </c>
      <c r="DB14" s="200">
        <f>(SUMIF(Fonctionnement[Affectation matrice],$AB$3,Fonctionnement[TVA acquittée])+SUMIF(Invest[Affectation matrice],$AB$3,Invest[TVA acquittée]))*CA14</f>
        <v>0</v>
      </c>
    </row>
    <row r="15" spans="1:106" s="22" customFormat="1" ht="12.75" hidden="1" customHeight="1" x14ac:dyDescent="0.25">
      <c r="A15" s="42">
        <f>Matrice[[#This Row],[Ligne de la matrice]]</f>
        <v>0</v>
      </c>
      <c r="B15" s="198">
        <f>(SUMIF(Fonctionnement[Affectation matrice],$AB$3,Fonctionnement[Montant (€HT)])+SUMIF(Invest[Affectation matrice],$AB$3,Invest[Amortissement HT + intérêts]))*BC15</f>
        <v>0</v>
      </c>
      <c r="C15" s="198">
        <f>(SUMIF(Fonctionnement[Affectation matrice],$AB$3,Fonctionnement[Montant (€HT)])+SUMIF(Invest[Affectation matrice],$AB$3,Invest[Amortissement HT + intérêts]))*BD15</f>
        <v>0</v>
      </c>
      <c r="D15" s="198">
        <f>(SUMIF(Fonctionnement[Affectation matrice],$AB$3,Fonctionnement[Montant (€HT)])+SUMIF(Invest[Affectation matrice],$AB$3,Invest[Amortissement HT + intérêts]))*BE15</f>
        <v>0</v>
      </c>
      <c r="E15" s="198">
        <f>(SUMIF(Fonctionnement[Affectation matrice],$AB$3,Fonctionnement[Montant (€HT)])+SUMIF(Invest[Affectation matrice],$AB$3,Invest[Amortissement HT + intérêts]))*BF15</f>
        <v>0</v>
      </c>
      <c r="F15" s="198">
        <f>(SUMIF(Fonctionnement[Affectation matrice],$AB$3,Fonctionnement[Montant (€HT)])+SUMIF(Invest[Affectation matrice],$AB$3,Invest[Amortissement HT + intérêts]))*BG15</f>
        <v>0</v>
      </c>
      <c r="G15" s="198">
        <f>(SUMIF(Fonctionnement[Affectation matrice],$AB$3,Fonctionnement[Montant (€HT)])+SUMIF(Invest[Affectation matrice],$AB$3,Invest[Amortissement HT + intérêts]))*BH15</f>
        <v>0</v>
      </c>
      <c r="H15" s="198">
        <f>(SUMIF(Fonctionnement[Affectation matrice],$AB$3,Fonctionnement[Montant (€HT)])+SUMIF(Invest[Affectation matrice],$AB$3,Invest[Amortissement HT + intérêts]))*BI15</f>
        <v>0</v>
      </c>
      <c r="I15" s="198">
        <f>(SUMIF(Fonctionnement[Affectation matrice],$AB$3,Fonctionnement[Montant (€HT)])+SUMIF(Invest[Affectation matrice],$AB$3,Invest[Amortissement HT + intérêts]))*BJ15</f>
        <v>0</v>
      </c>
      <c r="J15" s="198">
        <f>(SUMIF(Fonctionnement[Affectation matrice],$AB$3,Fonctionnement[Montant (€HT)])+SUMIF(Invest[Affectation matrice],$AB$3,Invest[Amortissement HT + intérêts]))*BK15</f>
        <v>0</v>
      </c>
      <c r="K15" s="198">
        <f>(SUMIF(Fonctionnement[Affectation matrice],$AB$3,Fonctionnement[Montant (€HT)])+SUMIF(Invest[Affectation matrice],$AB$3,Invest[Amortissement HT + intérêts]))*BL15</f>
        <v>0</v>
      </c>
      <c r="L15" s="198">
        <f>(SUMIF(Fonctionnement[Affectation matrice],$AB$3,Fonctionnement[Montant (€HT)])+SUMIF(Invest[Affectation matrice],$AB$3,Invest[Amortissement HT + intérêts]))*BM15</f>
        <v>0</v>
      </c>
      <c r="M15" s="198">
        <f>(SUMIF(Fonctionnement[Affectation matrice],$AB$3,Fonctionnement[Montant (€HT)])+SUMIF(Invest[Affectation matrice],$AB$3,Invest[Amortissement HT + intérêts]))*BN15</f>
        <v>0</v>
      </c>
      <c r="N15" s="198">
        <f>(SUMIF(Fonctionnement[Affectation matrice],$AB$3,Fonctionnement[Montant (€HT)])+SUMIF(Invest[Affectation matrice],$AB$3,Invest[Amortissement HT + intérêts]))*BO15</f>
        <v>0</v>
      </c>
      <c r="O15" s="198">
        <f>(SUMIF(Fonctionnement[Affectation matrice],$AB$3,Fonctionnement[Montant (€HT)])+SUMIF(Invest[Affectation matrice],$AB$3,Invest[Amortissement HT + intérêts]))*BP15</f>
        <v>0</v>
      </c>
      <c r="P15" s="198">
        <f>(SUMIF(Fonctionnement[Affectation matrice],$AB$3,Fonctionnement[Montant (€HT)])+SUMIF(Invest[Affectation matrice],$AB$3,Invest[Amortissement HT + intérêts]))*BQ15</f>
        <v>0</v>
      </c>
      <c r="Q15" s="198">
        <f>(SUMIF(Fonctionnement[Affectation matrice],$AB$3,Fonctionnement[Montant (€HT)])+SUMIF(Invest[Affectation matrice],$AB$3,Invest[Amortissement HT + intérêts]))*BR15</f>
        <v>0</v>
      </c>
      <c r="R15" s="198">
        <f>(SUMIF(Fonctionnement[Affectation matrice],$AB$3,Fonctionnement[Montant (€HT)])+SUMIF(Invest[Affectation matrice],$AB$3,Invest[Amortissement HT + intérêts]))*BS15</f>
        <v>0</v>
      </c>
      <c r="S15" s="198">
        <f>(SUMIF(Fonctionnement[Affectation matrice],$AB$3,Fonctionnement[Montant (€HT)])+SUMIF(Invest[Affectation matrice],$AB$3,Invest[Amortissement HT + intérêts]))*BT15</f>
        <v>0</v>
      </c>
      <c r="T15" s="198">
        <f>(SUMIF(Fonctionnement[Affectation matrice],$AB$3,Fonctionnement[Montant (€HT)])+SUMIF(Invest[Affectation matrice],$AB$3,Invest[Amortissement HT + intérêts]))*BU15</f>
        <v>0</v>
      </c>
      <c r="U15" s="198">
        <f>(SUMIF(Fonctionnement[Affectation matrice],$AB$3,Fonctionnement[Montant (€HT)])+SUMIF(Invest[Affectation matrice],$AB$3,Invest[Amortissement HT + intérêts]))*BV15</f>
        <v>0</v>
      </c>
      <c r="V15" s="198">
        <f>(SUMIF(Fonctionnement[Affectation matrice],$AB$3,Fonctionnement[Montant (€HT)])+SUMIF(Invest[Affectation matrice],$AB$3,Invest[Amortissement HT + intérêts]))*BW15</f>
        <v>0</v>
      </c>
      <c r="W15" s="198">
        <f>(SUMIF(Fonctionnement[Affectation matrice],$AB$3,Fonctionnement[Montant (€HT)])+SUMIF(Invest[Affectation matrice],$AB$3,Invest[Amortissement HT + intérêts]))*BX15</f>
        <v>0</v>
      </c>
      <c r="X15" s="198">
        <f>(SUMIF(Fonctionnement[Affectation matrice],$AB$3,Fonctionnement[Montant (€HT)])+SUMIF(Invest[Affectation matrice],$AB$3,Invest[Amortissement HT + intérêts]))*BY15</f>
        <v>0</v>
      </c>
      <c r="Y15" s="198">
        <f>(SUMIF(Fonctionnement[Affectation matrice],$AB$3,Fonctionnement[Montant (€HT)])+SUMIF(Invest[Affectation matrice],$AB$3,Invest[Amortissement HT + intérêts]))*BZ15</f>
        <v>0</v>
      </c>
      <c r="Z15" s="198">
        <f>(SUMIF(Fonctionnement[Affectation matrice],$AB$3,Fonctionnement[Montant (€HT)])+SUMIF(Invest[Affectation matrice],$AB$3,Invest[Amortissement HT + intérêts]))*CA15</f>
        <v>0</v>
      </c>
      <c r="AA15" s="199"/>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283">
        <f t="shared" si="4"/>
        <v>0</v>
      </c>
      <c r="BB15" s="7"/>
      <c r="BC15" s="61">
        <f t="shared" si="2"/>
        <v>0</v>
      </c>
      <c r="BD15" s="61">
        <f t="shared" si="2"/>
        <v>0</v>
      </c>
      <c r="BE15" s="61">
        <f t="shared" si="2"/>
        <v>0</v>
      </c>
      <c r="BF15" s="61">
        <f t="shared" si="2"/>
        <v>0</v>
      </c>
      <c r="BG15" s="61">
        <f t="shared" si="2"/>
        <v>0</v>
      </c>
      <c r="BH15" s="61">
        <f t="shared" si="2"/>
        <v>0</v>
      </c>
      <c r="BI15" s="61">
        <f t="shared" si="2"/>
        <v>0</v>
      </c>
      <c r="BJ15" s="61">
        <f t="shared" si="2"/>
        <v>0</v>
      </c>
      <c r="BK15" s="61">
        <f t="shared" si="2"/>
        <v>0</v>
      </c>
      <c r="BL15" s="61">
        <f t="shared" si="2"/>
        <v>0</v>
      </c>
      <c r="BM15" s="61">
        <f t="shared" si="2"/>
        <v>0</v>
      </c>
      <c r="BN15" s="61">
        <f t="shared" si="2"/>
        <v>0</v>
      </c>
      <c r="BO15" s="61">
        <f t="shared" si="2"/>
        <v>0</v>
      </c>
      <c r="BP15" s="61">
        <f t="shared" si="2"/>
        <v>0</v>
      </c>
      <c r="BQ15" s="61">
        <f t="shared" si="2"/>
        <v>0</v>
      </c>
      <c r="BR15" s="61">
        <f t="shared" si="2"/>
        <v>0</v>
      </c>
      <c r="BS15" s="61">
        <f t="shared" si="3"/>
        <v>0</v>
      </c>
      <c r="BT15" s="61">
        <f t="shared" si="3"/>
        <v>0</v>
      </c>
      <c r="BU15" s="61">
        <f t="shared" si="3"/>
        <v>0</v>
      </c>
      <c r="BV15" s="61">
        <f t="shared" si="3"/>
        <v>0</v>
      </c>
      <c r="BW15" s="61">
        <f t="shared" si="3"/>
        <v>0</v>
      </c>
      <c r="BX15" s="61">
        <f t="shared" si="3"/>
        <v>0</v>
      </c>
      <c r="BY15" s="61">
        <f t="shared" si="3"/>
        <v>0</v>
      </c>
      <c r="BZ15" s="61">
        <f t="shared" si="3"/>
        <v>0</v>
      </c>
      <c r="CA15" s="61">
        <f t="shared" si="3"/>
        <v>0</v>
      </c>
      <c r="CB15" s="61">
        <f t="shared" si="5"/>
        <v>0</v>
      </c>
      <c r="CD15" s="200">
        <f>(SUMIF(Fonctionnement[Affectation matrice],$AB$3,Fonctionnement[TVA acquittée])+SUMIF(Invest[Affectation matrice],$AB$3,Invest[TVA acquittée]))*BC15</f>
        <v>0</v>
      </c>
      <c r="CE15" s="200">
        <f>(SUMIF(Fonctionnement[Affectation matrice],$AB$3,Fonctionnement[TVA acquittée])+SUMIF(Invest[Affectation matrice],$AB$3,Invest[TVA acquittée]))*BD15</f>
        <v>0</v>
      </c>
      <c r="CF15" s="200">
        <f>(SUMIF(Fonctionnement[Affectation matrice],$AB$3,Fonctionnement[TVA acquittée])+SUMIF(Invest[Affectation matrice],$AB$3,Invest[TVA acquittée]))*BE15</f>
        <v>0</v>
      </c>
      <c r="CG15" s="200">
        <f>(SUMIF(Fonctionnement[Affectation matrice],$AB$3,Fonctionnement[TVA acquittée])+SUMIF(Invest[Affectation matrice],$AB$3,Invest[TVA acquittée]))*BF15</f>
        <v>0</v>
      </c>
      <c r="CH15" s="200">
        <f>(SUMIF(Fonctionnement[Affectation matrice],$AB$3,Fonctionnement[TVA acquittée])+SUMIF(Invest[Affectation matrice],$AB$3,Invest[TVA acquittée]))*BG15</f>
        <v>0</v>
      </c>
      <c r="CI15" s="200">
        <f>(SUMIF(Fonctionnement[Affectation matrice],$AB$3,Fonctionnement[TVA acquittée])+SUMIF(Invest[Affectation matrice],$AB$3,Invest[TVA acquittée]))*BH15</f>
        <v>0</v>
      </c>
      <c r="CJ15" s="200">
        <f>(SUMIF(Fonctionnement[Affectation matrice],$AB$3,Fonctionnement[TVA acquittée])+SUMIF(Invest[Affectation matrice],$AB$3,Invest[TVA acquittée]))*BI15</f>
        <v>0</v>
      </c>
      <c r="CK15" s="200">
        <f>(SUMIF(Fonctionnement[Affectation matrice],$AB$3,Fonctionnement[TVA acquittée])+SUMIF(Invest[Affectation matrice],$AB$3,Invest[TVA acquittée]))*BJ15</f>
        <v>0</v>
      </c>
      <c r="CL15" s="200">
        <f>(SUMIF(Fonctionnement[Affectation matrice],$AB$3,Fonctionnement[TVA acquittée])+SUMIF(Invest[Affectation matrice],$AB$3,Invest[TVA acquittée]))*BK15</f>
        <v>0</v>
      </c>
      <c r="CM15" s="200">
        <f>(SUMIF(Fonctionnement[Affectation matrice],$AB$3,Fonctionnement[TVA acquittée])+SUMIF(Invest[Affectation matrice],$AB$3,Invest[TVA acquittée]))*BL15</f>
        <v>0</v>
      </c>
      <c r="CN15" s="200">
        <f>(SUMIF(Fonctionnement[Affectation matrice],$AB$3,Fonctionnement[TVA acquittée])+SUMIF(Invest[Affectation matrice],$AB$3,Invest[TVA acquittée]))*BM15</f>
        <v>0</v>
      </c>
      <c r="CO15" s="200">
        <f>(SUMIF(Fonctionnement[Affectation matrice],$AB$3,Fonctionnement[TVA acquittée])+SUMIF(Invest[Affectation matrice],$AB$3,Invest[TVA acquittée]))*BN15</f>
        <v>0</v>
      </c>
      <c r="CP15" s="200">
        <f>(SUMIF(Fonctionnement[Affectation matrice],$AB$3,Fonctionnement[TVA acquittée])+SUMIF(Invest[Affectation matrice],$AB$3,Invest[TVA acquittée]))*BO15</f>
        <v>0</v>
      </c>
      <c r="CQ15" s="200">
        <f>(SUMIF(Fonctionnement[Affectation matrice],$AB$3,Fonctionnement[TVA acquittée])+SUMIF(Invest[Affectation matrice],$AB$3,Invest[TVA acquittée]))*BP15</f>
        <v>0</v>
      </c>
      <c r="CR15" s="200">
        <f>(SUMIF(Fonctionnement[Affectation matrice],$AB$3,Fonctionnement[TVA acquittée])+SUMIF(Invest[Affectation matrice],$AB$3,Invest[TVA acquittée]))*BQ15</f>
        <v>0</v>
      </c>
      <c r="CS15" s="200">
        <f>(SUMIF(Fonctionnement[Affectation matrice],$AB$3,Fonctionnement[TVA acquittée])+SUMIF(Invest[Affectation matrice],$AB$3,Invest[TVA acquittée]))*BR15</f>
        <v>0</v>
      </c>
      <c r="CT15" s="200">
        <f>(SUMIF(Fonctionnement[Affectation matrice],$AB$3,Fonctionnement[TVA acquittée])+SUMIF(Invest[Affectation matrice],$AB$3,Invest[TVA acquittée]))*BS15</f>
        <v>0</v>
      </c>
      <c r="CU15" s="200">
        <f>(SUMIF(Fonctionnement[Affectation matrice],$AB$3,Fonctionnement[TVA acquittée])+SUMIF(Invest[Affectation matrice],$AB$3,Invest[TVA acquittée]))*BT15</f>
        <v>0</v>
      </c>
      <c r="CV15" s="200">
        <f>(SUMIF(Fonctionnement[Affectation matrice],$AB$3,Fonctionnement[TVA acquittée])+SUMIF(Invest[Affectation matrice],$AB$3,Invest[TVA acquittée]))*BU15</f>
        <v>0</v>
      </c>
      <c r="CW15" s="200">
        <f>(SUMIF(Fonctionnement[Affectation matrice],$AB$3,Fonctionnement[TVA acquittée])+SUMIF(Invest[Affectation matrice],$AB$3,Invest[TVA acquittée]))*BV15</f>
        <v>0</v>
      </c>
      <c r="CX15" s="200">
        <f>(SUMIF(Fonctionnement[Affectation matrice],$AB$3,Fonctionnement[TVA acquittée])+SUMIF(Invest[Affectation matrice],$AB$3,Invest[TVA acquittée]))*BW15</f>
        <v>0</v>
      </c>
      <c r="CY15" s="200">
        <f>(SUMIF(Fonctionnement[Affectation matrice],$AB$3,Fonctionnement[TVA acquittée])+SUMIF(Invest[Affectation matrice],$AB$3,Invest[TVA acquittée]))*BX15</f>
        <v>0</v>
      </c>
      <c r="CZ15" s="200">
        <f>(SUMIF(Fonctionnement[Affectation matrice],$AB$3,Fonctionnement[TVA acquittée])+SUMIF(Invest[Affectation matrice],$AB$3,Invest[TVA acquittée]))*BY15</f>
        <v>0</v>
      </c>
      <c r="DA15" s="200">
        <f>(SUMIF(Fonctionnement[Affectation matrice],$AB$3,Fonctionnement[TVA acquittée])+SUMIF(Invest[Affectation matrice],$AB$3,Invest[TVA acquittée]))*BZ15</f>
        <v>0</v>
      </c>
      <c r="DB15" s="200">
        <f>(SUMIF(Fonctionnement[Affectation matrice],$AB$3,Fonctionnement[TVA acquittée])+SUMIF(Invest[Affectation matrice],$AB$3,Invest[TVA acquittée]))*CA15</f>
        <v>0</v>
      </c>
    </row>
    <row r="16" spans="1:106" s="22" customFormat="1" ht="12.75" hidden="1" customHeight="1" x14ac:dyDescent="0.25">
      <c r="A16" s="42">
        <f>Matrice[[#This Row],[Ligne de la matrice]]</f>
        <v>0</v>
      </c>
      <c r="B16" s="198">
        <f>(SUMIF(Fonctionnement[Affectation matrice],$AB$3,Fonctionnement[Montant (€HT)])+SUMIF(Invest[Affectation matrice],$AB$3,Invest[Amortissement HT + intérêts]))*BC16</f>
        <v>0</v>
      </c>
      <c r="C16" s="198">
        <f>(SUMIF(Fonctionnement[Affectation matrice],$AB$3,Fonctionnement[Montant (€HT)])+SUMIF(Invest[Affectation matrice],$AB$3,Invest[Amortissement HT + intérêts]))*BD16</f>
        <v>0</v>
      </c>
      <c r="D16" s="198">
        <f>(SUMIF(Fonctionnement[Affectation matrice],$AB$3,Fonctionnement[Montant (€HT)])+SUMIF(Invest[Affectation matrice],$AB$3,Invest[Amortissement HT + intérêts]))*BE16</f>
        <v>0</v>
      </c>
      <c r="E16" s="198">
        <f>(SUMIF(Fonctionnement[Affectation matrice],$AB$3,Fonctionnement[Montant (€HT)])+SUMIF(Invest[Affectation matrice],$AB$3,Invest[Amortissement HT + intérêts]))*BF16</f>
        <v>0</v>
      </c>
      <c r="F16" s="198">
        <f>(SUMIF(Fonctionnement[Affectation matrice],$AB$3,Fonctionnement[Montant (€HT)])+SUMIF(Invest[Affectation matrice],$AB$3,Invest[Amortissement HT + intérêts]))*BG16</f>
        <v>0</v>
      </c>
      <c r="G16" s="198">
        <f>(SUMIF(Fonctionnement[Affectation matrice],$AB$3,Fonctionnement[Montant (€HT)])+SUMIF(Invest[Affectation matrice],$AB$3,Invest[Amortissement HT + intérêts]))*BH16</f>
        <v>0</v>
      </c>
      <c r="H16" s="198">
        <f>(SUMIF(Fonctionnement[Affectation matrice],$AB$3,Fonctionnement[Montant (€HT)])+SUMIF(Invest[Affectation matrice],$AB$3,Invest[Amortissement HT + intérêts]))*BI16</f>
        <v>0</v>
      </c>
      <c r="I16" s="198">
        <f>(SUMIF(Fonctionnement[Affectation matrice],$AB$3,Fonctionnement[Montant (€HT)])+SUMIF(Invest[Affectation matrice],$AB$3,Invest[Amortissement HT + intérêts]))*BJ16</f>
        <v>0</v>
      </c>
      <c r="J16" s="198">
        <f>(SUMIF(Fonctionnement[Affectation matrice],$AB$3,Fonctionnement[Montant (€HT)])+SUMIF(Invest[Affectation matrice],$AB$3,Invest[Amortissement HT + intérêts]))*BK16</f>
        <v>0</v>
      </c>
      <c r="K16" s="198">
        <f>(SUMIF(Fonctionnement[Affectation matrice],$AB$3,Fonctionnement[Montant (€HT)])+SUMIF(Invest[Affectation matrice],$AB$3,Invest[Amortissement HT + intérêts]))*BL16</f>
        <v>0</v>
      </c>
      <c r="L16" s="198">
        <f>(SUMIF(Fonctionnement[Affectation matrice],$AB$3,Fonctionnement[Montant (€HT)])+SUMIF(Invest[Affectation matrice],$AB$3,Invest[Amortissement HT + intérêts]))*BM16</f>
        <v>0</v>
      </c>
      <c r="M16" s="198">
        <f>(SUMIF(Fonctionnement[Affectation matrice],$AB$3,Fonctionnement[Montant (€HT)])+SUMIF(Invest[Affectation matrice],$AB$3,Invest[Amortissement HT + intérêts]))*BN16</f>
        <v>0</v>
      </c>
      <c r="N16" s="198">
        <f>(SUMIF(Fonctionnement[Affectation matrice],$AB$3,Fonctionnement[Montant (€HT)])+SUMIF(Invest[Affectation matrice],$AB$3,Invest[Amortissement HT + intérêts]))*BO16</f>
        <v>0</v>
      </c>
      <c r="O16" s="198">
        <f>(SUMIF(Fonctionnement[Affectation matrice],$AB$3,Fonctionnement[Montant (€HT)])+SUMIF(Invest[Affectation matrice],$AB$3,Invest[Amortissement HT + intérêts]))*BP16</f>
        <v>0</v>
      </c>
      <c r="P16" s="198">
        <f>(SUMIF(Fonctionnement[Affectation matrice],$AB$3,Fonctionnement[Montant (€HT)])+SUMIF(Invest[Affectation matrice],$AB$3,Invest[Amortissement HT + intérêts]))*BQ16</f>
        <v>0</v>
      </c>
      <c r="Q16" s="198">
        <f>(SUMIF(Fonctionnement[Affectation matrice],$AB$3,Fonctionnement[Montant (€HT)])+SUMIF(Invest[Affectation matrice],$AB$3,Invest[Amortissement HT + intérêts]))*BR16</f>
        <v>0</v>
      </c>
      <c r="R16" s="198">
        <f>(SUMIF(Fonctionnement[Affectation matrice],$AB$3,Fonctionnement[Montant (€HT)])+SUMIF(Invest[Affectation matrice],$AB$3,Invest[Amortissement HT + intérêts]))*BS16</f>
        <v>0</v>
      </c>
      <c r="S16" s="198">
        <f>(SUMIF(Fonctionnement[Affectation matrice],$AB$3,Fonctionnement[Montant (€HT)])+SUMIF(Invest[Affectation matrice],$AB$3,Invest[Amortissement HT + intérêts]))*BT16</f>
        <v>0</v>
      </c>
      <c r="T16" s="198">
        <f>(SUMIF(Fonctionnement[Affectation matrice],$AB$3,Fonctionnement[Montant (€HT)])+SUMIF(Invest[Affectation matrice],$AB$3,Invest[Amortissement HT + intérêts]))*BU16</f>
        <v>0</v>
      </c>
      <c r="U16" s="198">
        <f>(SUMIF(Fonctionnement[Affectation matrice],$AB$3,Fonctionnement[Montant (€HT)])+SUMIF(Invest[Affectation matrice],$AB$3,Invest[Amortissement HT + intérêts]))*BV16</f>
        <v>0</v>
      </c>
      <c r="V16" s="198">
        <f>(SUMIF(Fonctionnement[Affectation matrice],$AB$3,Fonctionnement[Montant (€HT)])+SUMIF(Invest[Affectation matrice],$AB$3,Invest[Amortissement HT + intérêts]))*BW16</f>
        <v>0</v>
      </c>
      <c r="W16" s="198">
        <f>(SUMIF(Fonctionnement[Affectation matrice],$AB$3,Fonctionnement[Montant (€HT)])+SUMIF(Invest[Affectation matrice],$AB$3,Invest[Amortissement HT + intérêts]))*BX16</f>
        <v>0</v>
      </c>
      <c r="X16" s="198">
        <f>(SUMIF(Fonctionnement[Affectation matrice],$AB$3,Fonctionnement[Montant (€HT)])+SUMIF(Invest[Affectation matrice],$AB$3,Invest[Amortissement HT + intérêts]))*BY16</f>
        <v>0</v>
      </c>
      <c r="Y16" s="198">
        <f>(SUMIF(Fonctionnement[Affectation matrice],$AB$3,Fonctionnement[Montant (€HT)])+SUMIF(Invest[Affectation matrice],$AB$3,Invest[Amortissement HT + intérêts]))*BZ16</f>
        <v>0</v>
      </c>
      <c r="Z16" s="198">
        <f>(SUMIF(Fonctionnement[Affectation matrice],$AB$3,Fonctionnement[Montant (€HT)])+SUMIF(Invest[Affectation matrice],$AB$3,Invest[Amortissement HT + intérêts]))*CA16</f>
        <v>0</v>
      </c>
      <c r="AA16" s="199"/>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283">
        <f t="shared" si="4"/>
        <v>0</v>
      </c>
      <c r="BB16" s="7"/>
      <c r="BC16" s="61">
        <f t="shared" si="2"/>
        <v>0</v>
      </c>
      <c r="BD16" s="61">
        <f t="shared" si="2"/>
        <v>0</v>
      </c>
      <c r="BE16" s="61">
        <f t="shared" si="2"/>
        <v>0</v>
      </c>
      <c r="BF16" s="61">
        <f t="shared" si="2"/>
        <v>0</v>
      </c>
      <c r="BG16" s="61">
        <f t="shared" si="2"/>
        <v>0</v>
      </c>
      <c r="BH16" s="61">
        <f t="shared" si="2"/>
        <v>0</v>
      </c>
      <c r="BI16" s="61">
        <f t="shared" si="2"/>
        <v>0</v>
      </c>
      <c r="BJ16" s="61">
        <f t="shared" si="2"/>
        <v>0</v>
      </c>
      <c r="BK16" s="61">
        <f t="shared" si="2"/>
        <v>0</v>
      </c>
      <c r="BL16" s="61">
        <f t="shared" si="2"/>
        <v>0</v>
      </c>
      <c r="BM16" s="61">
        <f t="shared" si="2"/>
        <v>0</v>
      </c>
      <c r="BN16" s="61">
        <f t="shared" si="2"/>
        <v>0</v>
      </c>
      <c r="BO16" s="61">
        <f t="shared" si="2"/>
        <v>0</v>
      </c>
      <c r="BP16" s="61">
        <f t="shared" si="2"/>
        <v>0</v>
      </c>
      <c r="BQ16" s="61">
        <f t="shared" si="2"/>
        <v>0</v>
      </c>
      <c r="BR16" s="61">
        <f t="shared" si="2"/>
        <v>0</v>
      </c>
      <c r="BS16" s="61">
        <f t="shared" si="3"/>
        <v>0</v>
      </c>
      <c r="BT16" s="61">
        <f t="shared" si="3"/>
        <v>0</v>
      </c>
      <c r="BU16" s="61">
        <f t="shared" si="3"/>
        <v>0</v>
      </c>
      <c r="BV16" s="61">
        <f t="shared" si="3"/>
        <v>0</v>
      </c>
      <c r="BW16" s="61">
        <f t="shared" si="3"/>
        <v>0</v>
      </c>
      <c r="BX16" s="61">
        <f t="shared" si="3"/>
        <v>0</v>
      </c>
      <c r="BY16" s="61">
        <f t="shared" si="3"/>
        <v>0</v>
      </c>
      <c r="BZ16" s="61">
        <f t="shared" si="3"/>
        <v>0</v>
      </c>
      <c r="CA16" s="61">
        <f t="shared" si="3"/>
        <v>0</v>
      </c>
      <c r="CB16" s="61">
        <f t="shared" si="5"/>
        <v>0</v>
      </c>
      <c r="CD16" s="200">
        <f>(SUMIF(Fonctionnement[Affectation matrice],$AB$3,Fonctionnement[TVA acquittée])+SUMIF(Invest[Affectation matrice],$AB$3,Invest[TVA acquittée]))*BC16</f>
        <v>0</v>
      </c>
      <c r="CE16" s="200">
        <f>(SUMIF(Fonctionnement[Affectation matrice],$AB$3,Fonctionnement[TVA acquittée])+SUMIF(Invest[Affectation matrice],$AB$3,Invest[TVA acquittée]))*BD16</f>
        <v>0</v>
      </c>
      <c r="CF16" s="200">
        <f>(SUMIF(Fonctionnement[Affectation matrice],$AB$3,Fonctionnement[TVA acquittée])+SUMIF(Invest[Affectation matrice],$AB$3,Invest[TVA acquittée]))*BE16</f>
        <v>0</v>
      </c>
      <c r="CG16" s="200">
        <f>(SUMIF(Fonctionnement[Affectation matrice],$AB$3,Fonctionnement[TVA acquittée])+SUMIF(Invest[Affectation matrice],$AB$3,Invest[TVA acquittée]))*BF16</f>
        <v>0</v>
      </c>
      <c r="CH16" s="200">
        <f>(SUMIF(Fonctionnement[Affectation matrice],$AB$3,Fonctionnement[TVA acquittée])+SUMIF(Invest[Affectation matrice],$AB$3,Invest[TVA acquittée]))*BG16</f>
        <v>0</v>
      </c>
      <c r="CI16" s="200">
        <f>(SUMIF(Fonctionnement[Affectation matrice],$AB$3,Fonctionnement[TVA acquittée])+SUMIF(Invest[Affectation matrice],$AB$3,Invest[TVA acquittée]))*BH16</f>
        <v>0</v>
      </c>
      <c r="CJ16" s="200">
        <f>(SUMIF(Fonctionnement[Affectation matrice],$AB$3,Fonctionnement[TVA acquittée])+SUMIF(Invest[Affectation matrice],$AB$3,Invest[TVA acquittée]))*BI16</f>
        <v>0</v>
      </c>
      <c r="CK16" s="200">
        <f>(SUMIF(Fonctionnement[Affectation matrice],$AB$3,Fonctionnement[TVA acquittée])+SUMIF(Invest[Affectation matrice],$AB$3,Invest[TVA acquittée]))*BJ16</f>
        <v>0</v>
      </c>
      <c r="CL16" s="200">
        <f>(SUMIF(Fonctionnement[Affectation matrice],$AB$3,Fonctionnement[TVA acquittée])+SUMIF(Invest[Affectation matrice],$AB$3,Invest[TVA acquittée]))*BK16</f>
        <v>0</v>
      </c>
      <c r="CM16" s="200">
        <f>(SUMIF(Fonctionnement[Affectation matrice],$AB$3,Fonctionnement[TVA acquittée])+SUMIF(Invest[Affectation matrice],$AB$3,Invest[TVA acquittée]))*BL16</f>
        <v>0</v>
      </c>
      <c r="CN16" s="200">
        <f>(SUMIF(Fonctionnement[Affectation matrice],$AB$3,Fonctionnement[TVA acquittée])+SUMIF(Invest[Affectation matrice],$AB$3,Invest[TVA acquittée]))*BM16</f>
        <v>0</v>
      </c>
      <c r="CO16" s="200">
        <f>(SUMIF(Fonctionnement[Affectation matrice],$AB$3,Fonctionnement[TVA acquittée])+SUMIF(Invest[Affectation matrice],$AB$3,Invest[TVA acquittée]))*BN16</f>
        <v>0</v>
      </c>
      <c r="CP16" s="200">
        <f>(SUMIF(Fonctionnement[Affectation matrice],$AB$3,Fonctionnement[TVA acquittée])+SUMIF(Invest[Affectation matrice],$AB$3,Invest[TVA acquittée]))*BO16</f>
        <v>0</v>
      </c>
      <c r="CQ16" s="200">
        <f>(SUMIF(Fonctionnement[Affectation matrice],$AB$3,Fonctionnement[TVA acquittée])+SUMIF(Invest[Affectation matrice],$AB$3,Invest[TVA acquittée]))*BP16</f>
        <v>0</v>
      </c>
      <c r="CR16" s="200">
        <f>(SUMIF(Fonctionnement[Affectation matrice],$AB$3,Fonctionnement[TVA acquittée])+SUMIF(Invest[Affectation matrice],$AB$3,Invest[TVA acquittée]))*BQ16</f>
        <v>0</v>
      </c>
      <c r="CS16" s="200">
        <f>(SUMIF(Fonctionnement[Affectation matrice],$AB$3,Fonctionnement[TVA acquittée])+SUMIF(Invest[Affectation matrice],$AB$3,Invest[TVA acquittée]))*BR16</f>
        <v>0</v>
      </c>
      <c r="CT16" s="200">
        <f>(SUMIF(Fonctionnement[Affectation matrice],$AB$3,Fonctionnement[TVA acquittée])+SUMIF(Invest[Affectation matrice],$AB$3,Invest[TVA acquittée]))*BS16</f>
        <v>0</v>
      </c>
      <c r="CU16" s="200">
        <f>(SUMIF(Fonctionnement[Affectation matrice],$AB$3,Fonctionnement[TVA acquittée])+SUMIF(Invest[Affectation matrice],$AB$3,Invest[TVA acquittée]))*BT16</f>
        <v>0</v>
      </c>
      <c r="CV16" s="200">
        <f>(SUMIF(Fonctionnement[Affectation matrice],$AB$3,Fonctionnement[TVA acquittée])+SUMIF(Invest[Affectation matrice],$AB$3,Invest[TVA acquittée]))*BU16</f>
        <v>0</v>
      </c>
      <c r="CW16" s="200">
        <f>(SUMIF(Fonctionnement[Affectation matrice],$AB$3,Fonctionnement[TVA acquittée])+SUMIF(Invest[Affectation matrice],$AB$3,Invest[TVA acquittée]))*BV16</f>
        <v>0</v>
      </c>
      <c r="CX16" s="200">
        <f>(SUMIF(Fonctionnement[Affectation matrice],$AB$3,Fonctionnement[TVA acquittée])+SUMIF(Invest[Affectation matrice],$AB$3,Invest[TVA acquittée]))*BW16</f>
        <v>0</v>
      </c>
      <c r="CY16" s="200">
        <f>(SUMIF(Fonctionnement[Affectation matrice],$AB$3,Fonctionnement[TVA acquittée])+SUMIF(Invest[Affectation matrice],$AB$3,Invest[TVA acquittée]))*BX16</f>
        <v>0</v>
      </c>
      <c r="CZ16" s="200">
        <f>(SUMIF(Fonctionnement[Affectation matrice],$AB$3,Fonctionnement[TVA acquittée])+SUMIF(Invest[Affectation matrice],$AB$3,Invest[TVA acquittée]))*BY16</f>
        <v>0</v>
      </c>
      <c r="DA16" s="200">
        <f>(SUMIF(Fonctionnement[Affectation matrice],$AB$3,Fonctionnement[TVA acquittée])+SUMIF(Invest[Affectation matrice],$AB$3,Invest[TVA acquittée]))*BZ16</f>
        <v>0</v>
      </c>
      <c r="DB16" s="200">
        <f>(SUMIF(Fonctionnement[Affectation matrice],$AB$3,Fonctionnement[TVA acquittée])+SUMIF(Invest[Affectation matrice],$AB$3,Invest[TVA acquittée]))*CA16</f>
        <v>0</v>
      </c>
    </row>
    <row r="17" spans="1:106" ht="12.75" hidden="1" customHeight="1" x14ac:dyDescent="0.25">
      <c r="A17" s="42">
        <f>Matrice[[#This Row],[Ligne de la matrice]]</f>
        <v>0</v>
      </c>
      <c r="B17" s="198">
        <f>(SUMIF(Fonctionnement[Affectation matrice],$AB$3,Fonctionnement[Montant (€HT)])+SUMIF(Invest[Affectation matrice],$AB$3,Invest[Amortissement HT + intérêts]))*BC17</f>
        <v>0</v>
      </c>
      <c r="C17" s="198">
        <f>(SUMIF(Fonctionnement[Affectation matrice],$AB$3,Fonctionnement[Montant (€HT)])+SUMIF(Invest[Affectation matrice],$AB$3,Invest[Amortissement HT + intérêts]))*BD17</f>
        <v>0</v>
      </c>
      <c r="D17" s="198">
        <f>(SUMIF(Fonctionnement[Affectation matrice],$AB$3,Fonctionnement[Montant (€HT)])+SUMIF(Invest[Affectation matrice],$AB$3,Invest[Amortissement HT + intérêts]))*BE17</f>
        <v>0</v>
      </c>
      <c r="E17" s="198">
        <f>(SUMIF(Fonctionnement[Affectation matrice],$AB$3,Fonctionnement[Montant (€HT)])+SUMIF(Invest[Affectation matrice],$AB$3,Invest[Amortissement HT + intérêts]))*BF17</f>
        <v>0</v>
      </c>
      <c r="F17" s="198">
        <f>(SUMIF(Fonctionnement[Affectation matrice],$AB$3,Fonctionnement[Montant (€HT)])+SUMIF(Invest[Affectation matrice],$AB$3,Invest[Amortissement HT + intérêts]))*BG17</f>
        <v>0</v>
      </c>
      <c r="G17" s="198">
        <f>(SUMIF(Fonctionnement[Affectation matrice],$AB$3,Fonctionnement[Montant (€HT)])+SUMIF(Invest[Affectation matrice],$AB$3,Invest[Amortissement HT + intérêts]))*BH17</f>
        <v>0</v>
      </c>
      <c r="H17" s="198">
        <f>(SUMIF(Fonctionnement[Affectation matrice],$AB$3,Fonctionnement[Montant (€HT)])+SUMIF(Invest[Affectation matrice],$AB$3,Invest[Amortissement HT + intérêts]))*BI17</f>
        <v>0</v>
      </c>
      <c r="I17" s="198">
        <f>(SUMIF(Fonctionnement[Affectation matrice],$AB$3,Fonctionnement[Montant (€HT)])+SUMIF(Invest[Affectation matrice],$AB$3,Invest[Amortissement HT + intérêts]))*BJ17</f>
        <v>0</v>
      </c>
      <c r="J17" s="198">
        <f>(SUMIF(Fonctionnement[Affectation matrice],$AB$3,Fonctionnement[Montant (€HT)])+SUMIF(Invest[Affectation matrice],$AB$3,Invest[Amortissement HT + intérêts]))*BK17</f>
        <v>0</v>
      </c>
      <c r="K17" s="198">
        <f>(SUMIF(Fonctionnement[Affectation matrice],$AB$3,Fonctionnement[Montant (€HT)])+SUMIF(Invest[Affectation matrice],$AB$3,Invest[Amortissement HT + intérêts]))*BL17</f>
        <v>0</v>
      </c>
      <c r="L17" s="198">
        <f>(SUMIF(Fonctionnement[Affectation matrice],$AB$3,Fonctionnement[Montant (€HT)])+SUMIF(Invest[Affectation matrice],$AB$3,Invest[Amortissement HT + intérêts]))*BM17</f>
        <v>0</v>
      </c>
      <c r="M17" s="198">
        <f>(SUMIF(Fonctionnement[Affectation matrice],$AB$3,Fonctionnement[Montant (€HT)])+SUMIF(Invest[Affectation matrice],$AB$3,Invest[Amortissement HT + intérêts]))*BN17</f>
        <v>0</v>
      </c>
      <c r="N17" s="198">
        <f>(SUMIF(Fonctionnement[Affectation matrice],$AB$3,Fonctionnement[Montant (€HT)])+SUMIF(Invest[Affectation matrice],$AB$3,Invest[Amortissement HT + intérêts]))*BO17</f>
        <v>0</v>
      </c>
      <c r="O17" s="198">
        <f>(SUMIF(Fonctionnement[Affectation matrice],$AB$3,Fonctionnement[Montant (€HT)])+SUMIF(Invest[Affectation matrice],$AB$3,Invest[Amortissement HT + intérêts]))*BP17</f>
        <v>0</v>
      </c>
      <c r="P17" s="198">
        <f>(SUMIF(Fonctionnement[Affectation matrice],$AB$3,Fonctionnement[Montant (€HT)])+SUMIF(Invest[Affectation matrice],$AB$3,Invest[Amortissement HT + intérêts]))*BQ17</f>
        <v>0</v>
      </c>
      <c r="Q17" s="198">
        <f>(SUMIF(Fonctionnement[Affectation matrice],$AB$3,Fonctionnement[Montant (€HT)])+SUMIF(Invest[Affectation matrice],$AB$3,Invest[Amortissement HT + intérêts]))*BR17</f>
        <v>0</v>
      </c>
      <c r="R17" s="198">
        <f>(SUMIF(Fonctionnement[Affectation matrice],$AB$3,Fonctionnement[Montant (€HT)])+SUMIF(Invest[Affectation matrice],$AB$3,Invest[Amortissement HT + intérêts]))*BS17</f>
        <v>0</v>
      </c>
      <c r="S17" s="198">
        <f>(SUMIF(Fonctionnement[Affectation matrice],$AB$3,Fonctionnement[Montant (€HT)])+SUMIF(Invest[Affectation matrice],$AB$3,Invest[Amortissement HT + intérêts]))*BT17</f>
        <v>0</v>
      </c>
      <c r="T17" s="198">
        <f>(SUMIF(Fonctionnement[Affectation matrice],$AB$3,Fonctionnement[Montant (€HT)])+SUMIF(Invest[Affectation matrice],$AB$3,Invest[Amortissement HT + intérêts]))*BU17</f>
        <v>0</v>
      </c>
      <c r="U17" s="198">
        <f>(SUMIF(Fonctionnement[Affectation matrice],$AB$3,Fonctionnement[Montant (€HT)])+SUMIF(Invest[Affectation matrice],$AB$3,Invest[Amortissement HT + intérêts]))*BV17</f>
        <v>0</v>
      </c>
      <c r="V17" s="198">
        <f>(SUMIF(Fonctionnement[Affectation matrice],$AB$3,Fonctionnement[Montant (€HT)])+SUMIF(Invest[Affectation matrice],$AB$3,Invest[Amortissement HT + intérêts]))*BW17</f>
        <v>0</v>
      </c>
      <c r="W17" s="198">
        <f>(SUMIF(Fonctionnement[Affectation matrice],$AB$3,Fonctionnement[Montant (€HT)])+SUMIF(Invest[Affectation matrice],$AB$3,Invest[Amortissement HT + intérêts]))*BX17</f>
        <v>0</v>
      </c>
      <c r="X17" s="198">
        <f>(SUMIF(Fonctionnement[Affectation matrice],$AB$3,Fonctionnement[Montant (€HT)])+SUMIF(Invest[Affectation matrice],$AB$3,Invest[Amortissement HT + intérêts]))*BY17</f>
        <v>0</v>
      </c>
      <c r="Y17" s="198">
        <f>(SUMIF(Fonctionnement[Affectation matrice],$AB$3,Fonctionnement[Montant (€HT)])+SUMIF(Invest[Affectation matrice],$AB$3,Invest[Amortissement HT + intérêts]))*BZ17</f>
        <v>0</v>
      </c>
      <c r="Z17" s="198">
        <f>(SUMIF(Fonctionnement[Affectation matrice],$AB$3,Fonctionnement[Montant (€HT)])+SUMIF(Invest[Affectation matrice],$AB$3,Invest[Amortissement HT + intérêts]))*CA17</f>
        <v>0</v>
      </c>
      <c r="AA17" s="199"/>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283">
        <f t="shared" si="4"/>
        <v>0</v>
      </c>
      <c r="BC17" s="61">
        <f t="shared" si="2"/>
        <v>0</v>
      </c>
      <c r="BD17" s="61">
        <f t="shared" si="2"/>
        <v>0</v>
      </c>
      <c r="BE17" s="61">
        <f t="shared" si="2"/>
        <v>0</v>
      </c>
      <c r="BF17" s="61">
        <f t="shared" si="2"/>
        <v>0</v>
      </c>
      <c r="BG17" s="61">
        <f t="shared" si="2"/>
        <v>0</v>
      </c>
      <c r="BH17" s="61">
        <f t="shared" si="2"/>
        <v>0</v>
      </c>
      <c r="BI17" s="61">
        <f t="shared" si="2"/>
        <v>0</v>
      </c>
      <c r="BJ17" s="61">
        <f t="shared" si="2"/>
        <v>0</v>
      </c>
      <c r="BK17" s="61">
        <f t="shared" si="2"/>
        <v>0</v>
      </c>
      <c r="BL17" s="61">
        <f t="shared" si="2"/>
        <v>0</v>
      </c>
      <c r="BM17" s="61">
        <f t="shared" si="2"/>
        <v>0</v>
      </c>
      <c r="BN17" s="61">
        <f t="shared" si="2"/>
        <v>0</v>
      </c>
      <c r="BO17" s="61">
        <f t="shared" si="2"/>
        <v>0</v>
      </c>
      <c r="BP17" s="61">
        <f t="shared" si="2"/>
        <v>0</v>
      </c>
      <c r="BQ17" s="61">
        <f t="shared" si="2"/>
        <v>0</v>
      </c>
      <c r="BR17" s="61">
        <f t="shared" si="2"/>
        <v>0</v>
      </c>
      <c r="BS17" s="61">
        <f t="shared" si="3"/>
        <v>0</v>
      </c>
      <c r="BT17" s="61">
        <f t="shared" si="3"/>
        <v>0</v>
      </c>
      <c r="BU17" s="61">
        <f t="shared" si="3"/>
        <v>0</v>
      </c>
      <c r="BV17" s="61">
        <f t="shared" si="3"/>
        <v>0</v>
      </c>
      <c r="BW17" s="61">
        <f t="shared" si="3"/>
        <v>0</v>
      </c>
      <c r="BX17" s="61">
        <f t="shared" si="3"/>
        <v>0</v>
      </c>
      <c r="BY17" s="61">
        <f t="shared" si="3"/>
        <v>0</v>
      </c>
      <c r="BZ17" s="61">
        <f t="shared" si="3"/>
        <v>0</v>
      </c>
      <c r="CA17" s="61">
        <f t="shared" si="3"/>
        <v>0</v>
      </c>
      <c r="CB17" s="61">
        <f t="shared" si="5"/>
        <v>0</v>
      </c>
      <c r="CD17" s="200">
        <f>(SUMIF(Fonctionnement[Affectation matrice],$AB$3,Fonctionnement[TVA acquittée])+SUMIF(Invest[Affectation matrice],$AB$3,Invest[TVA acquittée]))*BC17</f>
        <v>0</v>
      </c>
      <c r="CE17" s="200">
        <f>(SUMIF(Fonctionnement[Affectation matrice],$AB$3,Fonctionnement[TVA acquittée])+SUMIF(Invest[Affectation matrice],$AB$3,Invest[TVA acquittée]))*BD17</f>
        <v>0</v>
      </c>
      <c r="CF17" s="200">
        <f>(SUMIF(Fonctionnement[Affectation matrice],$AB$3,Fonctionnement[TVA acquittée])+SUMIF(Invest[Affectation matrice],$AB$3,Invest[TVA acquittée]))*BE17</f>
        <v>0</v>
      </c>
      <c r="CG17" s="200">
        <f>(SUMIF(Fonctionnement[Affectation matrice],$AB$3,Fonctionnement[TVA acquittée])+SUMIF(Invest[Affectation matrice],$AB$3,Invest[TVA acquittée]))*BF17</f>
        <v>0</v>
      </c>
      <c r="CH17" s="200">
        <f>(SUMIF(Fonctionnement[Affectation matrice],$AB$3,Fonctionnement[TVA acquittée])+SUMIF(Invest[Affectation matrice],$AB$3,Invest[TVA acquittée]))*BG17</f>
        <v>0</v>
      </c>
      <c r="CI17" s="200">
        <f>(SUMIF(Fonctionnement[Affectation matrice],$AB$3,Fonctionnement[TVA acquittée])+SUMIF(Invest[Affectation matrice],$AB$3,Invest[TVA acquittée]))*BH17</f>
        <v>0</v>
      </c>
      <c r="CJ17" s="200">
        <f>(SUMIF(Fonctionnement[Affectation matrice],$AB$3,Fonctionnement[TVA acquittée])+SUMIF(Invest[Affectation matrice],$AB$3,Invest[TVA acquittée]))*BI17</f>
        <v>0</v>
      </c>
      <c r="CK17" s="200">
        <f>(SUMIF(Fonctionnement[Affectation matrice],$AB$3,Fonctionnement[TVA acquittée])+SUMIF(Invest[Affectation matrice],$AB$3,Invest[TVA acquittée]))*BJ17</f>
        <v>0</v>
      </c>
      <c r="CL17" s="200">
        <f>(SUMIF(Fonctionnement[Affectation matrice],$AB$3,Fonctionnement[TVA acquittée])+SUMIF(Invest[Affectation matrice],$AB$3,Invest[TVA acquittée]))*BK17</f>
        <v>0</v>
      </c>
      <c r="CM17" s="200">
        <f>(SUMIF(Fonctionnement[Affectation matrice],$AB$3,Fonctionnement[TVA acquittée])+SUMIF(Invest[Affectation matrice],$AB$3,Invest[TVA acquittée]))*BL17</f>
        <v>0</v>
      </c>
      <c r="CN17" s="200">
        <f>(SUMIF(Fonctionnement[Affectation matrice],$AB$3,Fonctionnement[TVA acquittée])+SUMIF(Invest[Affectation matrice],$AB$3,Invest[TVA acquittée]))*BM17</f>
        <v>0</v>
      </c>
      <c r="CO17" s="200">
        <f>(SUMIF(Fonctionnement[Affectation matrice],$AB$3,Fonctionnement[TVA acquittée])+SUMIF(Invest[Affectation matrice],$AB$3,Invest[TVA acquittée]))*BN17</f>
        <v>0</v>
      </c>
      <c r="CP17" s="200">
        <f>(SUMIF(Fonctionnement[Affectation matrice],$AB$3,Fonctionnement[TVA acquittée])+SUMIF(Invest[Affectation matrice],$AB$3,Invest[TVA acquittée]))*BO17</f>
        <v>0</v>
      </c>
      <c r="CQ17" s="200">
        <f>(SUMIF(Fonctionnement[Affectation matrice],$AB$3,Fonctionnement[TVA acquittée])+SUMIF(Invest[Affectation matrice],$AB$3,Invest[TVA acquittée]))*BP17</f>
        <v>0</v>
      </c>
      <c r="CR17" s="200">
        <f>(SUMIF(Fonctionnement[Affectation matrice],$AB$3,Fonctionnement[TVA acquittée])+SUMIF(Invest[Affectation matrice],$AB$3,Invest[TVA acquittée]))*BQ17</f>
        <v>0</v>
      </c>
      <c r="CS17" s="200">
        <f>(SUMIF(Fonctionnement[Affectation matrice],$AB$3,Fonctionnement[TVA acquittée])+SUMIF(Invest[Affectation matrice],$AB$3,Invest[TVA acquittée]))*BR17</f>
        <v>0</v>
      </c>
      <c r="CT17" s="200">
        <f>(SUMIF(Fonctionnement[Affectation matrice],$AB$3,Fonctionnement[TVA acquittée])+SUMIF(Invest[Affectation matrice],$AB$3,Invest[TVA acquittée]))*BS17</f>
        <v>0</v>
      </c>
      <c r="CU17" s="200">
        <f>(SUMIF(Fonctionnement[Affectation matrice],$AB$3,Fonctionnement[TVA acquittée])+SUMIF(Invest[Affectation matrice],$AB$3,Invest[TVA acquittée]))*BT17</f>
        <v>0</v>
      </c>
      <c r="CV17" s="200">
        <f>(SUMIF(Fonctionnement[Affectation matrice],$AB$3,Fonctionnement[TVA acquittée])+SUMIF(Invest[Affectation matrice],$AB$3,Invest[TVA acquittée]))*BU17</f>
        <v>0</v>
      </c>
      <c r="CW17" s="200">
        <f>(SUMIF(Fonctionnement[Affectation matrice],$AB$3,Fonctionnement[TVA acquittée])+SUMIF(Invest[Affectation matrice],$AB$3,Invest[TVA acquittée]))*BV17</f>
        <v>0</v>
      </c>
      <c r="CX17" s="200">
        <f>(SUMIF(Fonctionnement[Affectation matrice],$AB$3,Fonctionnement[TVA acquittée])+SUMIF(Invest[Affectation matrice],$AB$3,Invest[TVA acquittée]))*BW17</f>
        <v>0</v>
      </c>
      <c r="CY17" s="200">
        <f>(SUMIF(Fonctionnement[Affectation matrice],$AB$3,Fonctionnement[TVA acquittée])+SUMIF(Invest[Affectation matrice],$AB$3,Invest[TVA acquittée]))*BX17</f>
        <v>0</v>
      </c>
      <c r="CZ17" s="200">
        <f>(SUMIF(Fonctionnement[Affectation matrice],$AB$3,Fonctionnement[TVA acquittée])+SUMIF(Invest[Affectation matrice],$AB$3,Invest[TVA acquittée]))*BY17</f>
        <v>0</v>
      </c>
      <c r="DA17" s="200">
        <f>(SUMIF(Fonctionnement[Affectation matrice],$AB$3,Fonctionnement[TVA acquittée])+SUMIF(Invest[Affectation matrice],$AB$3,Invest[TVA acquittée]))*BZ17</f>
        <v>0</v>
      </c>
      <c r="DB17" s="200">
        <f>(SUMIF(Fonctionnement[Affectation matrice],$AB$3,Fonctionnement[TVA acquittée])+SUMIF(Invest[Affectation matrice],$AB$3,Invest[TVA acquittée]))*CA17</f>
        <v>0</v>
      </c>
    </row>
    <row r="18" spans="1:106" ht="12.75" hidden="1" customHeight="1" x14ac:dyDescent="0.25">
      <c r="A18" s="42">
        <f>Matrice[[#This Row],[Ligne de la matrice]]</f>
        <v>0</v>
      </c>
      <c r="B18" s="198">
        <f>(SUMIF(Fonctionnement[Affectation matrice],$AB$3,Fonctionnement[Montant (€HT)])+SUMIF(Invest[Affectation matrice],$AB$3,Invest[Amortissement HT + intérêts]))*BC18</f>
        <v>0</v>
      </c>
      <c r="C18" s="198">
        <f>(SUMIF(Fonctionnement[Affectation matrice],$AB$3,Fonctionnement[Montant (€HT)])+SUMIF(Invest[Affectation matrice],$AB$3,Invest[Amortissement HT + intérêts]))*BD18</f>
        <v>0</v>
      </c>
      <c r="D18" s="198">
        <f>(SUMIF(Fonctionnement[Affectation matrice],$AB$3,Fonctionnement[Montant (€HT)])+SUMIF(Invest[Affectation matrice],$AB$3,Invest[Amortissement HT + intérêts]))*BE18</f>
        <v>0</v>
      </c>
      <c r="E18" s="198">
        <f>(SUMIF(Fonctionnement[Affectation matrice],$AB$3,Fonctionnement[Montant (€HT)])+SUMIF(Invest[Affectation matrice],$AB$3,Invest[Amortissement HT + intérêts]))*BF18</f>
        <v>0</v>
      </c>
      <c r="F18" s="198">
        <f>(SUMIF(Fonctionnement[Affectation matrice],$AB$3,Fonctionnement[Montant (€HT)])+SUMIF(Invest[Affectation matrice],$AB$3,Invest[Amortissement HT + intérêts]))*BG18</f>
        <v>0</v>
      </c>
      <c r="G18" s="198">
        <f>(SUMIF(Fonctionnement[Affectation matrice],$AB$3,Fonctionnement[Montant (€HT)])+SUMIF(Invest[Affectation matrice],$AB$3,Invest[Amortissement HT + intérêts]))*BH18</f>
        <v>0</v>
      </c>
      <c r="H18" s="198">
        <f>(SUMIF(Fonctionnement[Affectation matrice],$AB$3,Fonctionnement[Montant (€HT)])+SUMIF(Invest[Affectation matrice],$AB$3,Invest[Amortissement HT + intérêts]))*BI18</f>
        <v>0</v>
      </c>
      <c r="I18" s="198">
        <f>(SUMIF(Fonctionnement[Affectation matrice],$AB$3,Fonctionnement[Montant (€HT)])+SUMIF(Invest[Affectation matrice],$AB$3,Invest[Amortissement HT + intérêts]))*BJ18</f>
        <v>0</v>
      </c>
      <c r="J18" s="198">
        <f>(SUMIF(Fonctionnement[Affectation matrice],$AB$3,Fonctionnement[Montant (€HT)])+SUMIF(Invest[Affectation matrice],$AB$3,Invest[Amortissement HT + intérêts]))*BK18</f>
        <v>0</v>
      </c>
      <c r="K18" s="198">
        <f>(SUMIF(Fonctionnement[Affectation matrice],$AB$3,Fonctionnement[Montant (€HT)])+SUMIF(Invest[Affectation matrice],$AB$3,Invest[Amortissement HT + intérêts]))*BL18</f>
        <v>0</v>
      </c>
      <c r="L18" s="198">
        <f>(SUMIF(Fonctionnement[Affectation matrice],$AB$3,Fonctionnement[Montant (€HT)])+SUMIF(Invest[Affectation matrice],$AB$3,Invest[Amortissement HT + intérêts]))*BM18</f>
        <v>0</v>
      </c>
      <c r="M18" s="198">
        <f>(SUMIF(Fonctionnement[Affectation matrice],$AB$3,Fonctionnement[Montant (€HT)])+SUMIF(Invest[Affectation matrice],$AB$3,Invest[Amortissement HT + intérêts]))*BN18</f>
        <v>0</v>
      </c>
      <c r="N18" s="198">
        <f>(SUMIF(Fonctionnement[Affectation matrice],$AB$3,Fonctionnement[Montant (€HT)])+SUMIF(Invest[Affectation matrice],$AB$3,Invest[Amortissement HT + intérêts]))*BO18</f>
        <v>0</v>
      </c>
      <c r="O18" s="198">
        <f>(SUMIF(Fonctionnement[Affectation matrice],$AB$3,Fonctionnement[Montant (€HT)])+SUMIF(Invest[Affectation matrice],$AB$3,Invest[Amortissement HT + intérêts]))*BP18</f>
        <v>0</v>
      </c>
      <c r="P18" s="198">
        <f>(SUMIF(Fonctionnement[Affectation matrice],$AB$3,Fonctionnement[Montant (€HT)])+SUMIF(Invest[Affectation matrice],$AB$3,Invest[Amortissement HT + intérêts]))*BQ18</f>
        <v>0</v>
      </c>
      <c r="Q18" s="198">
        <f>(SUMIF(Fonctionnement[Affectation matrice],$AB$3,Fonctionnement[Montant (€HT)])+SUMIF(Invest[Affectation matrice],$AB$3,Invest[Amortissement HT + intérêts]))*BR18</f>
        <v>0</v>
      </c>
      <c r="R18" s="198">
        <f>(SUMIF(Fonctionnement[Affectation matrice],$AB$3,Fonctionnement[Montant (€HT)])+SUMIF(Invest[Affectation matrice],$AB$3,Invest[Amortissement HT + intérêts]))*BS18</f>
        <v>0</v>
      </c>
      <c r="S18" s="198">
        <f>(SUMIF(Fonctionnement[Affectation matrice],$AB$3,Fonctionnement[Montant (€HT)])+SUMIF(Invest[Affectation matrice],$AB$3,Invest[Amortissement HT + intérêts]))*BT18</f>
        <v>0</v>
      </c>
      <c r="T18" s="198">
        <f>(SUMIF(Fonctionnement[Affectation matrice],$AB$3,Fonctionnement[Montant (€HT)])+SUMIF(Invest[Affectation matrice],$AB$3,Invest[Amortissement HT + intérêts]))*BU18</f>
        <v>0</v>
      </c>
      <c r="U18" s="198">
        <f>(SUMIF(Fonctionnement[Affectation matrice],$AB$3,Fonctionnement[Montant (€HT)])+SUMIF(Invest[Affectation matrice],$AB$3,Invest[Amortissement HT + intérêts]))*BV18</f>
        <v>0</v>
      </c>
      <c r="V18" s="198">
        <f>(SUMIF(Fonctionnement[Affectation matrice],$AB$3,Fonctionnement[Montant (€HT)])+SUMIF(Invest[Affectation matrice],$AB$3,Invest[Amortissement HT + intérêts]))*BW18</f>
        <v>0</v>
      </c>
      <c r="W18" s="198">
        <f>(SUMIF(Fonctionnement[Affectation matrice],$AB$3,Fonctionnement[Montant (€HT)])+SUMIF(Invest[Affectation matrice],$AB$3,Invest[Amortissement HT + intérêts]))*BX18</f>
        <v>0</v>
      </c>
      <c r="X18" s="198">
        <f>(SUMIF(Fonctionnement[Affectation matrice],$AB$3,Fonctionnement[Montant (€HT)])+SUMIF(Invest[Affectation matrice],$AB$3,Invest[Amortissement HT + intérêts]))*BY18</f>
        <v>0</v>
      </c>
      <c r="Y18" s="198">
        <f>(SUMIF(Fonctionnement[Affectation matrice],$AB$3,Fonctionnement[Montant (€HT)])+SUMIF(Invest[Affectation matrice],$AB$3,Invest[Amortissement HT + intérêts]))*BZ18</f>
        <v>0</v>
      </c>
      <c r="Z18" s="198">
        <f>(SUMIF(Fonctionnement[Affectation matrice],$AB$3,Fonctionnement[Montant (€HT)])+SUMIF(Invest[Affectation matrice],$AB$3,Invest[Amortissement HT + intérêts]))*CA18</f>
        <v>0</v>
      </c>
      <c r="AA18" s="199"/>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283">
        <f t="shared" si="4"/>
        <v>0</v>
      </c>
      <c r="BC18" s="61">
        <f t="shared" si="2"/>
        <v>0</v>
      </c>
      <c r="BD18" s="61">
        <f t="shared" si="2"/>
        <v>0</v>
      </c>
      <c r="BE18" s="61">
        <f t="shared" si="2"/>
        <v>0</v>
      </c>
      <c r="BF18" s="61">
        <f t="shared" si="2"/>
        <v>0</v>
      </c>
      <c r="BG18" s="61">
        <f t="shared" si="2"/>
        <v>0</v>
      </c>
      <c r="BH18" s="61">
        <f t="shared" si="2"/>
        <v>0</v>
      </c>
      <c r="BI18" s="61">
        <f t="shared" si="2"/>
        <v>0</v>
      </c>
      <c r="BJ18" s="61">
        <f t="shared" si="2"/>
        <v>0</v>
      </c>
      <c r="BK18" s="61">
        <f t="shared" si="2"/>
        <v>0</v>
      </c>
      <c r="BL18" s="61">
        <f t="shared" si="2"/>
        <v>0</v>
      </c>
      <c r="BM18" s="61">
        <f t="shared" si="2"/>
        <v>0</v>
      </c>
      <c r="BN18" s="61">
        <f t="shared" si="2"/>
        <v>0</v>
      </c>
      <c r="BO18" s="61">
        <f t="shared" si="2"/>
        <v>0</v>
      </c>
      <c r="BP18" s="61">
        <f t="shared" si="2"/>
        <v>0</v>
      </c>
      <c r="BQ18" s="61">
        <f t="shared" si="2"/>
        <v>0</v>
      </c>
      <c r="BR18" s="61">
        <f t="shared" si="2"/>
        <v>0</v>
      </c>
      <c r="BS18" s="61">
        <f t="shared" si="3"/>
        <v>0</v>
      </c>
      <c r="BT18" s="61">
        <f t="shared" si="3"/>
        <v>0</v>
      </c>
      <c r="BU18" s="61">
        <f t="shared" si="3"/>
        <v>0</v>
      </c>
      <c r="BV18" s="61">
        <f t="shared" si="3"/>
        <v>0</v>
      </c>
      <c r="BW18" s="61">
        <f t="shared" si="3"/>
        <v>0</v>
      </c>
      <c r="BX18" s="61">
        <f t="shared" si="3"/>
        <v>0</v>
      </c>
      <c r="BY18" s="61">
        <f t="shared" si="3"/>
        <v>0</v>
      </c>
      <c r="BZ18" s="61">
        <f t="shared" si="3"/>
        <v>0</v>
      </c>
      <c r="CA18" s="61">
        <f t="shared" si="3"/>
        <v>0</v>
      </c>
      <c r="CB18" s="61">
        <f t="shared" si="5"/>
        <v>0</v>
      </c>
      <c r="CD18" s="200">
        <f>(SUMIF(Fonctionnement[Affectation matrice],$AB$3,Fonctionnement[TVA acquittée])+SUMIF(Invest[Affectation matrice],$AB$3,Invest[TVA acquittée]))*BC18</f>
        <v>0</v>
      </c>
      <c r="CE18" s="200">
        <f>(SUMIF(Fonctionnement[Affectation matrice],$AB$3,Fonctionnement[TVA acquittée])+SUMIF(Invest[Affectation matrice],$AB$3,Invest[TVA acquittée]))*BD18</f>
        <v>0</v>
      </c>
      <c r="CF18" s="200">
        <f>(SUMIF(Fonctionnement[Affectation matrice],$AB$3,Fonctionnement[TVA acquittée])+SUMIF(Invest[Affectation matrice],$AB$3,Invest[TVA acquittée]))*BE18</f>
        <v>0</v>
      </c>
      <c r="CG18" s="200">
        <f>(SUMIF(Fonctionnement[Affectation matrice],$AB$3,Fonctionnement[TVA acquittée])+SUMIF(Invest[Affectation matrice],$AB$3,Invest[TVA acquittée]))*BF18</f>
        <v>0</v>
      </c>
      <c r="CH18" s="200">
        <f>(SUMIF(Fonctionnement[Affectation matrice],$AB$3,Fonctionnement[TVA acquittée])+SUMIF(Invest[Affectation matrice],$AB$3,Invest[TVA acquittée]))*BG18</f>
        <v>0</v>
      </c>
      <c r="CI18" s="200">
        <f>(SUMIF(Fonctionnement[Affectation matrice],$AB$3,Fonctionnement[TVA acquittée])+SUMIF(Invest[Affectation matrice],$AB$3,Invest[TVA acquittée]))*BH18</f>
        <v>0</v>
      </c>
      <c r="CJ18" s="200">
        <f>(SUMIF(Fonctionnement[Affectation matrice],$AB$3,Fonctionnement[TVA acquittée])+SUMIF(Invest[Affectation matrice],$AB$3,Invest[TVA acquittée]))*BI18</f>
        <v>0</v>
      </c>
      <c r="CK18" s="200">
        <f>(SUMIF(Fonctionnement[Affectation matrice],$AB$3,Fonctionnement[TVA acquittée])+SUMIF(Invest[Affectation matrice],$AB$3,Invest[TVA acquittée]))*BJ18</f>
        <v>0</v>
      </c>
      <c r="CL18" s="200">
        <f>(SUMIF(Fonctionnement[Affectation matrice],$AB$3,Fonctionnement[TVA acquittée])+SUMIF(Invest[Affectation matrice],$AB$3,Invest[TVA acquittée]))*BK18</f>
        <v>0</v>
      </c>
      <c r="CM18" s="200">
        <f>(SUMIF(Fonctionnement[Affectation matrice],$AB$3,Fonctionnement[TVA acquittée])+SUMIF(Invest[Affectation matrice],$AB$3,Invest[TVA acquittée]))*BL18</f>
        <v>0</v>
      </c>
      <c r="CN18" s="200">
        <f>(SUMIF(Fonctionnement[Affectation matrice],$AB$3,Fonctionnement[TVA acquittée])+SUMIF(Invest[Affectation matrice],$AB$3,Invest[TVA acquittée]))*BM18</f>
        <v>0</v>
      </c>
      <c r="CO18" s="200">
        <f>(SUMIF(Fonctionnement[Affectation matrice],$AB$3,Fonctionnement[TVA acquittée])+SUMIF(Invest[Affectation matrice],$AB$3,Invest[TVA acquittée]))*BN18</f>
        <v>0</v>
      </c>
      <c r="CP18" s="200">
        <f>(SUMIF(Fonctionnement[Affectation matrice],$AB$3,Fonctionnement[TVA acquittée])+SUMIF(Invest[Affectation matrice],$AB$3,Invest[TVA acquittée]))*BO18</f>
        <v>0</v>
      </c>
      <c r="CQ18" s="200">
        <f>(SUMIF(Fonctionnement[Affectation matrice],$AB$3,Fonctionnement[TVA acquittée])+SUMIF(Invest[Affectation matrice],$AB$3,Invest[TVA acquittée]))*BP18</f>
        <v>0</v>
      </c>
      <c r="CR18" s="200">
        <f>(SUMIF(Fonctionnement[Affectation matrice],$AB$3,Fonctionnement[TVA acquittée])+SUMIF(Invest[Affectation matrice],$AB$3,Invest[TVA acquittée]))*BQ18</f>
        <v>0</v>
      </c>
      <c r="CS18" s="200">
        <f>(SUMIF(Fonctionnement[Affectation matrice],$AB$3,Fonctionnement[TVA acquittée])+SUMIF(Invest[Affectation matrice],$AB$3,Invest[TVA acquittée]))*BR18</f>
        <v>0</v>
      </c>
      <c r="CT18" s="200">
        <f>(SUMIF(Fonctionnement[Affectation matrice],$AB$3,Fonctionnement[TVA acquittée])+SUMIF(Invest[Affectation matrice],$AB$3,Invest[TVA acquittée]))*BS18</f>
        <v>0</v>
      </c>
      <c r="CU18" s="200">
        <f>(SUMIF(Fonctionnement[Affectation matrice],$AB$3,Fonctionnement[TVA acquittée])+SUMIF(Invest[Affectation matrice],$AB$3,Invest[TVA acquittée]))*BT18</f>
        <v>0</v>
      </c>
      <c r="CV18" s="200">
        <f>(SUMIF(Fonctionnement[Affectation matrice],$AB$3,Fonctionnement[TVA acquittée])+SUMIF(Invest[Affectation matrice],$AB$3,Invest[TVA acquittée]))*BU18</f>
        <v>0</v>
      </c>
      <c r="CW18" s="200">
        <f>(SUMIF(Fonctionnement[Affectation matrice],$AB$3,Fonctionnement[TVA acquittée])+SUMIF(Invest[Affectation matrice],$AB$3,Invest[TVA acquittée]))*BV18</f>
        <v>0</v>
      </c>
      <c r="CX18" s="200">
        <f>(SUMIF(Fonctionnement[Affectation matrice],$AB$3,Fonctionnement[TVA acquittée])+SUMIF(Invest[Affectation matrice],$AB$3,Invest[TVA acquittée]))*BW18</f>
        <v>0</v>
      </c>
      <c r="CY18" s="200">
        <f>(SUMIF(Fonctionnement[Affectation matrice],$AB$3,Fonctionnement[TVA acquittée])+SUMIF(Invest[Affectation matrice],$AB$3,Invest[TVA acquittée]))*BX18</f>
        <v>0</v>
      </c>
      <c r="CZ18" s="200">
        <f>(SUMIF(Fonctionnement[Affectation matrice],$AB$3,Fonctionnement[TVA acquittée])+SUMIF(Invest[Affectation matrice],$AB$3,Invest[TVA acquittée]))*BY18</f>
        <v>0</v>
      </c>
      <c r="DA18" s="200">
        <f>(SUMIF(Fonctionnement[Affectation matrice],$AB$3,Fonctionnement[TVA acquittée])+SUMIF(Invest[Affectation matrice],$AB$3,Invest[TVA acquittée]))*BZ18</f>
        <v>0</v>
      </c>
      <c r="DB18" s="200">
        <f>(SUMIF(Fonctionnement[Affectation matrice],$AB$3,Fonctionnement[TVA acquittée])+SUMIF(Invest[Affectation matrice],$AB$3,Invest[TVA acquittée]))*CA18</f>
        <v>0</v>
      </c>
    </row>
    <row r="19" spans="1:106" ht="12.75" hidden="1" customHeight="1" x14ac:dyDescent="0.25">
      <c r="A19" s="42">
        <f>Matrice[[#This Row],[Ligne de la matrice]]</f>
        <v>0</v>
      </c>
      <c r="B19" s="198">
        <f>(SUMIF(Fonctionnement[Affectation matrice],$AB$3,Fonctionnement[Montant (€HT)])+SUMIF(Invest[Affectation matrice],$AB$3,Invest[Amortissement HT + intérêts]))*BC19</f>
        <v>0</v>
      </c>
      <c r="C19" s="198">
        <f>(SUMIF(Fonctionnement[Affectation matrice],$AB$3,Fonctionnement[Montant (€HT)])+SUMIF(Invest[Affectation matrice],$AB$3,Invest[Amortissement HT + intérêts]))*BD19</f>
        <v>0</v>
      </c>
      <c r="D19" s="198">
        <f>(SUMIF(Fonctionnement[Affectation matrice],$AB$3,Fonctionnement[Montant (€HT)])+SUMIF(Invest[Affectation matrice],$AB$3,Invest[Amortissement HT + intérêts]))*BE19</f>
        <v>0</v>
      </c>
      <c r="E19" s="198">
        <f>(SUMIF(Fonctionnement[Affectation matrice],$AB$3,Fonctionnement[Montant (€HT)])+SUMIF(Invest[Affectation matrice],$AB$3,Invest[Amortissement HT + intérêts]))*BF19</f>
        <v>0</v>
      </c>
      <c r="F19" s="198">
        <f>(SUMIF(Fonctionnement[Affectation matrice],$AB$3,Fonctionnement[Montant (€HT)])+SUMIF(Invest[Affectation matrice],$AB$3,Invest[Amortissement HT + intérêts]))*BG19</f>
        <v>0</v>
      </c>
      <c r="G19" s="198">
        <f>(SUMIF(Fonctionnement[Affectation matrice],$AB$3,Fonctionnement[Montant (€HT)])+SUMIF(Invest[Affectation matrice],$AB$3,Invest[Amortissement HT + intérêts]))*BH19</f>
        <v>0</v>
      </c>
      <c r="H19" s="198">
        <f>(SUMIF(Fonctionnement[Affectation matrice],$AB$3,Fonctionnement[Montant (€HT)])+SUMIF(Invest[Affectation matrice],$AB$3,Invest[Amortissement HT + intérêts]))*BI19</f>
        <v>0</v>
      </c>
      <c r="I19" s="198">
        <f>(SUMIF(Fonctionnement[Affectation matrice],$AB$3,Fonctionnement[Montant (€HT)])+SUMIF(Invest[Affectation matrice],$AB$3,Invest[Amortissement HT + intérêts]))*BJ19</f>
        <v>0</v>
      </c>
      <c r="J19" s="198">
        <f>(SUMIF(Fonctionnement[Affectation matrice],$AB$3,Fonctionnement[Montant (€HT)])+SUMIF(Invest[Affectation matrice],$AB$3,Invest[Amortissement HT + intérêts]))*BK19</f>
        <v>0</v>
      </c>
      <c r="K19" s="198">
        <f>(SUMIF(Fonctionnement[Affectation matrice],$AB$3,Fonctionnement[Montant (€HT)])+SUMIF(Invest[Affectation matrice],$AB$3,Invest[Amortissement HT + intérêts]))*BL19</f>
        <v>0</v>
      </c>
      <c r="L19" s="198">
        <f>(SUMIF(Fonctionnement[Affectation matrice],$AB$3,Fonctionnement[Montant (€HT)])+SUMIF(Invest[Affectation matrice],$AB$3,Invest[Amortissement HT + intérêts]))*BM19</f>
        <v>0</v>
      </c>
      <c r="M19" s="198">
        <f>(SUMIF(Fonctionnement[Affectation matrice],$AB$3,Fonctionnement[Montant (€HT)])+SUMIF(Invest[Affectation matrice],$AB$3,Invest[Amortissement HT + intérêts]))*BN19</f>
        <v>0</v>
      </c>
      <c r="N19" s="198">
        <f>(SUMIF(Fonctionnement[Affectation matrice],$AB$3,Fonctionnement[Montant (€HT)])+SUMIF(Invest[Affectation matrice],$AB$3,Invest[Amortissement HT + intérêts]))*BO19</f>
        <v>0</v>
      </c>
      <c r="O19" s="198">
        <f>(SUMIF(Fonctionnement[Affectation matrice],$AB$3,Fonctionnement[Montant (€HT)])+SUMIF(Invest[Affectation matrice],$AB$3,Invest[Amortissement HT + intérêts]))*BP19</f>
        <v>0</v>
      </c>
      <c r="P19" s="198">
        <f>(SUMIF(Fonctionnement[Affectation matrice],$AB$3,Fonctionnement[Montant (€HT)])+SUMIF(Invest[Affectation matrice],$AB$3,Invest[Amortissement HT + intérêts]))*BQ19</f>
        <v>0</v>
      </c>
      <c r="Q19" s="198">
        <f>(SUMIF(Fonctionnement[Affectation matrice],$AB$3,Fonctionnement[Montant (€HT)])+SUMIF(Invest[Affectation matrice],$AB$3,Invest[Amortissement HT + intérêts]))*BR19</f>
        <v>0</v>
      </c>
      <c r="R19" s="198">
        <f>(SUMIF(Fonctionnement[Affectation matrice],$AB$3,Fonctionnement[Montant (€HT)])+SUMIF(Invest[Affectation matrice],$AB$3,Invest[Amortissement HT + intérêts]))*BS19</f>
        <v>0</v>
      </c>
      <c r="S19" s="198">
        <f>(SUMIF(Fonctionnement[Affectation matrice],$AB$3,Fonctionnement[Montant (€HT)])+SUMIF(Invest[Affectation matrice],$AB$3,Invest[Amortissement HT + intérêts]))*BT19</f>
        <v>0</v>
      </c>
      <c r="T19" s="198">
        <f>(SUMIF(Fonctionnement[Affectation matrice],$AB$3,Fonctionnement[Montant (€HT)])+SUMIF(Invest[Affectation matrice],$AB$3,Invest[Amortissement HT + intérêts]))*BU19</f>
        <v>0</v>
      </c>
      <c r="U19" s="198">
        <f>(SUMIF(Fonctionnement[Affectation matrice],$AB$3,Fonctionnement[Montant (€HT)])+SUMIF(Invest[Affectation matrice],$AB$3,Invest[Amortissement HT + intérêts]))*BV19</f>
        <v>0</v>
      </c>
      <c r="V19" s="198">
        <f>(SUMIF(Fonctionnement[Affectation matrice],$AB$3,Fonctionnement[Montant (€HT)])+SUMIF(Invest[Affectation matrice],$AB$3,Invest[Amortissement HT + intérêts]))*BW19</f>
        <v>0</v>
      </c>
      <c r="W19" s="198">
        <f>(SUMIF(Fonctionnement[Affectation matrice],$AB$3,Fonctionnement[Montant (€HT)])+SUMIF(Invest[Affectation matrice],$AB$3,Invest[Amortissement HT + intérêts]))*BX19</f>
        <v>0</v>
      </c>
      <c r="X19" s="198">
        <f>(SUMIF(Fonctionnement[Affectation matrice],$AB$3,Fonctionnement[Montant (€HT)])+SUMIF(Invest[Affectation matrice],$AB$3,Invest[Amortissement HT + intérêts]))*BY19</f>
        <v>0</v>
      </c>
      <c r="Y19" s="198">
        <f>(SUMIF(Fonctionnement[Affectation matrice],$AB$3,Fonctionnement[Montant (€HT)])+SUMIF(Invest[Affectation matrice],$AB$3,Invest[Amortissement HT + intérêts]))*BZ19</f>
        <v>0</v>
      </c>
      <c r="Z19" s="198">
        <f>(SUMIF(Fonctionnement[Affectation matrice],$AB$3,Fonctionnement[Montant (€HT)])+SUMIF(Invest[Affectation matrice],$AB$3,Invest[Amortissement HT + intérêts]))*CA19</f>
        <v>0</v>
      </c>
      <c r="AA19" s="199"/>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283">
        <f t="shared" si="4"/>
        <v>0</v>
      </c>
      <c r="BC19" s="61">
        <f t="shared" si="2"/>
        <v>0</v>
      </c>
      <c r="BD19" s="61">
        <f t="shared" si="2"/>
        <v>0</v>
      </c>
      <c r="BE19" s="61">
        <f t="shared" si="2"/>
        <v>0</v>
      </c>
      <c r="BF19" s="61">
        <f t="shared" si="2"/>
        <v>0</v>
      </c>
      <c r="BG19" s="61">
        <f t="shared" si="2"/>
        <v>0</v>
      </c>
      <c r="BH19" s="61">
        <f t="shared" si="2"/>
        <v>0</v>
      </c>
      <c r="BI19" s="61">
        <f t="shared" si="2"/>
        <v>0</v>
      </c>
      <c r="BJ19" s="61">
        <f t="shared" si="2"/>
        <v>0</v>
      </c>
      <c r="BK19" s="61">
        <f t="shared" si="2"/>
        <v>0</v>
      </c>
      <c r="BL19" s="61">
        <f t="shared" si="2"/>
        <v>0</v>
      </c>
      <c r="BM19" s="61">
        <f t="shared" si="2"/>
        <v>0</v>
      </c>
      <c r="BN19" s="61">
        <f t="shared" si="2"/>
        <v>0</v>
      </c>
      <c r="BO19" s="61">
        <f t="shared" si="2"/>
        <v>0</v>
      </c>
      <c r="BP19" s="61">
        <f t="shared" si="2"/>
        <v>0</v>
      </c>
      <c r="BQ19" s="61">
        <f t="shared" si="2"/>
        <v>0</v>
      </c>
      <c r="BR19" s="61">
        <f t="shared" si="2"/>
        <v>0</v>
      </c>
      <c r="BS19" s="61">
        <f t="shared" si="3"/>
        <v>0</v>
      </c>
      <c r="BT19" s="61">
        <f t="shared" si="3"/>
        <v>0</v>
      </c>
      <c r="BU19" s="61">
        <f t="shared" si="3"/>
        <v>0</v>
      </c>
      <c r="BV19" s="61">
        <f t="shared" si="3"/>
        <v>0</v>
      </c>
      <c r="BW19" s="61">
        <f t="shared" si="3"/>
        <v>0</v>
      </c>
      <c r="BX19" s="61">
        <f t="shared" si="3"/>
        <v>0</v>
      </c>
      <c r="BY19" s="61">
        <f t="shared" si="3"/>
        <v>0</v>
      </c>
      <c r="BZ19" s="61">
        <f t="shared" si="3"/>
        <v>0</v>
      </c>
      <c r="CA19" s="61">
        <f t="shared" si="3"/>
        <v>0</v>
      </c>
      <c r="CB19" s="61">
        <f t="shared" si="5"/>
        <v>0</v>
      </c>
      <c r="CD19" s="200">
        <f>(SUMIF(Fonctionnement[Affectation matrice],$AB$3,Fonctionnement[TVA acquittée])+SUMIF(Invest[Affectation matrice],$AB$3,Invest[TVA acquittée]))*BC19</f>
        <v>0</v>
      </c>
      <c r="CE19" s="200">
        <f>(SUMIF(Fonctionnement[Affectation matrice],$AB$3,Fonctionnement[TVA acquittée])+SUMIF(Invest[Affectation matrice],$AB$3,Invest[TVA acquittée]))*BD19</f>
        <v>0</v>
      </c>
      <c r="CF19" s="200">
        <f>(SUMIF(Fonctionnement[Affectation matrice],$AB$3,Fonctionnement[TVA acquittée])+SUMIF(Invest[Affectation matrice],$AB$3,Invest[TVA acquittée]))*BE19</f>
        <v>0</v>
      </c>
      <c r="CG19" s="200">
        <f>(SUMIF(Fonctionnement[Affectation matrice],$AB$3,Fonctionnement[TVA acquittée])+SUMIF(Invest[Affectation matrice],$AB$3,Invest[TVA acquittée]))*BF19</f>
        <v>0</v>
      </c>
      <c r="CH19" s="200">
        <f>(SUMIF(Fonctionnement[Affectation matrice],$AB$3,Fonctionnement[TVA acquittée])+SUMIF(Invest[Affectation matrice],$AB$3,Invest[TVA acquittée]))*BG19</f>
        <v>0</v>
      </c>
      <c r="CI19" s="200">
        <f>(SUMIF(Fonctionnement[Affectation matrice],$AB$3,Fonctionnement[TVA acquittée])+SUMIF(Invest[Affectation matrice],$AB$3,Invest[TVA acquittée]))*BH19</f>
        <v>0</v>
      </c>
      <c r="CJ19" s="200">
        <f>(SUMIF(Fonctionnement[Affectation matrice],$AB$3,Fonctionnement[TVA acquittée])+SUMIF(Invest[Affectation matrice],$AB$3,Invest[TVA acquittée]))*BI19</f>
        <v>0</v>
      </c>
      <c r="CK19" s="200">
        <f>(SUMIF(Fonctionnement[Affectation matrice],$AB$3,Fonctionnement[TVA acquittée])+SUMIF(Invest[Affectation matrice],$AB$3,Invest[TVA acquittée]))*BJ19</f>
        <v>0</v>
      </c>
      <c r="CL19" s="200">
        <f>(SUMIF(Fonctionnement[Affectation matrice],$AB$3,Fonctionnement[TVA acquittée])+SUMIF(Invest[Affectation matrice],$AB$3,Invest[TVA acquittée]))*BK19</f>
        <v>0</v>
      </c>
      <c r="CM19" s="200">
        <f>(SUMIF(Fonctionnement[Affectation matrice],$AB$3,Fonctionnement[TVA acquittée])+SUMIF(Invest[Affectation matrice],$AB$3,Invest[TVA acquittée]))*BL19</f>
        <v>0</v>
      </c>
      <c r="CN19" s="200">
        <f>(SUMIF(Fonctionnement[Affectation matrice],$AB$3,Fonctionnement[TVA acquittée])+SUMIF(Invest[Affectation matrice],$AB$3,Invest[TVA acquittée]))*BM19</f>
        <v>0</v>
      </c>
      <c r="CO19" s="200">
        <f>(SUMIF(Fonctionnement[Affectation matrice],$AB$3,Fonctionnement[TVA acquittée])+SUMIF(Invest[Affectation matrice],$AB$3,Invest[TVA acquittée]))*BN19</f>
        <v>0</v>
      </c>
      <c r="CP19" s="200">
        <f>(SUMIF(Fonctionnement[Affectation matrice],$AB$3,Fonctionnement[TVA acquittée])+SUMIF(Invest[Affectation matrice],$AB$3,Invest[TVA acquittée]))*BO19</f>
        <v>0</v>
      </c>
      <c r="CQ19" s="200">
        <f>(SUMIF(Fonctionnement[Affectation matrice],$AB$3,Fonctionnement[TVA acquittée])+SUMIF(Invest[Affectation matrice],$AB$3,Invest[TVA acquittée]))*BP19</f>
        <v>0</v>
      </c>
      <c r="CR19" s="200">
        <f>(SUMIF(Fonctionnement[Affectation matrice],$AB$3,Fonctionnement[TVA acquittée])+SUMIF(Invest[Affectation matrice],$AB$3,Invest[TVA acquittée]))*BQ19</f>
        <v>0</v>
      </c>
      <c r="CS19" s="200">
        <f>(SUMIF(Fonctionnement[Affectation matrice],$AB$3,Fonctionnement[TVA acquittée])+SUMIF(Invest[Affectation matrice],$AB$3,Invest[TVA acquittée]))*BR19</f>
        <v>0</v>
      </c>
      <c r="CT19" s="200">
        <f>(SUMIF(Fonctionnement[Affectation matrice],$AB$3,Fonctionnement[TVA acquittée])+SUMIF(Invest[Affectation matrice],$AB$3,Invest[TVA acquittée]))*BS19</f>
        <v>0</v>
      </c>
      <c r="CU19" s="200">
        <f>(SUMIF(Fonctionnement[Affectation matrice],$AB$3,Fonctionnement[TVA acquittée])+SUMIF(Invest[Affectation matrice],$AB$3,Invest[TVA acquittée]))*BT19</f>
        <v>0</v>
      </c>
      <c r="CV19" s="200">
        <f>(SUMIF(Fonctionnement[Affectation matrice],$AB$3,Fonctionnement[TVA acquittée])+SUMIF(Invest[Affectation matrice],$AB$3,Invest[TVA acquittée]))*BU19</f>
        <v>0</v>
      </c>
      <c r="CW19" s="200">
        <f>(SUMIF(Fonctionnement[Affectation matrice],$AB$3,Fonctionnement[TVA acquittée])+SUMIF(Invest[Affectation matrice],$AB$3,Invest[TVA acquittée]))*BV19</f>
        <v>0</v>
      </c>
      <c r="CX19" s="200">
        <f>(SUMIF(Fonctionnement[Affectation matrice],$AB$3,Fonctionnement[TVA acquittée])+SUMIF(Invest[Affectation matrice],$AB$3,Invest[TVA acquittée]))*BW19</f>
        <v>0</v>
      </c>
      <c r="CY19" s="200">
        <f>(SUMIF(Fonctionnement[Affectation matrice],$AB$3,Fonctionnement[TVA acquittée])+SUMIF(Invest[Affectation matrice],$AB$3,Invest[TVA acquittée]))*BX19</f>
        <v>0</v>
      </c>
      <c r="CZ19" s="200">
        <f>(SUMIF(Fonctionnement[Affectation matrice],$AB$3,Fonctionnement[TVA acquittée])+SUMIF(Invest[Affectation matrice],$AB$3,Invest[TVA acquittée]))*BY19</f>
        <v>0</v>
      </c>
      <c r="DA19" s="200">
        <f>(SUMIF(Fonctionnement[Affectation matrice],$AB$3,Fonctionnement[TVA acquittée])+SUMIF(Invest[Affectation matrice],$AB$3,Invest[TVA acquittée]))*BZ19</f>
        <v>0</v>
      </c>
      <c r="DB19" s="200">
        <f>(SUMIF(Fonctionnement[Affectation matrice],$AB$3,Fonctionnement[TVA acquittée])+SUMIF(Invest[Affectation matrice],$AB$3,Invest[TVA acquittée]))*CA19</f>
        <v>0</v>
      </c>
    </row>
    <row r="20" spans="1:106" ht="12.75" hidden="1" customHeight="1" x14ac:dyDescent="0.25">
      <c r="A20" s="42">
        <f>Matrice[[#This Row],[Ligne de la matrice]]</f>
        <v>0</v>
      </c>
      <c r="B20" s="198">
        <f>(SUMIF(Fonctionnement[Affectation matrice],$AB$3,Fonctionnement[Montant (€HT)])+SUMIF(Invest[Affectation matrice],$AB$3,Invest[Amortissement HT + intérêts]))*BC20</f>
        <v>0</v>
      </c>
      <c r="C20" s="198">
        <f>(SUMIF(Fonctionnement[Affectation matrice],$AB$3,Fonctionnement[Montant (€HT)])+SUMIF(Invest[Affectation matrice],$AB$3,Invest[Amortissement HT + intérêts]))*BD20</f>
        <v>0</v>
      </c>
      <c r="D20" s="198">
        <f>(SUMIF(Fonctionnement[Affectation matrice],$AB$3,Fonctionnement[Montant (€HT)])+SUMIF(Invest[Affectation matrice],$AB$3,Invest[Amortissement HT + intérêts]))*BE20</f>
        <v>0</v>
      </c>
      <c r="E20" s="198">
        <f>(SUMIF(Fonctionnement[Affectation matrice],$AB$3,Fonctionnement[Montant (€HT)])+SUMIF(Invest[Affectation matrice],$AB$3,Invest[Amortissement HT + intérêts]))*BF20</f>
        <v>0</v>
      </c>
      <c r="F20" s="198">
        <f>(SUMIF(Fonctionnement[Affectation matrice],$AB$3,Fonctionnement[Montant (€HT)])+SUMIF(Invest[Affectation matrice],$AB$3,Invest[Amortissement HT + intérêts]))*BG20</f>
        <v>0</v>
      </c>
      <c r="G20" s="198">
        <f>(SUMIF(Fonctionnement[Affectation matrice],$AB$3,Fonctionnement[Montant (€HT)])+SUMIF(Invest[Affectation matrice],$AB$3,Invest[Amortissement HT + intérêts]))*BH20</f>
        <v>0</v>
      </c>
      <c r="H20" s="198">
        <f>(SUMIF(Fonctionnement[Affectation matrice],$AB$3,Fonctionnement[Montant (€HT)])+SUMIF(Invest[Affectation matrice],$AB$3,Invest[Amortissement HT + intérêts]))*BI20</f>
        <v>0</v>
      </c>
      <c r="I20" s="198">
        <f>(SUMIF(Fonctionnement[Affectation matrice],$AB$3,Fonctionnement[Montant (€HT)])+SUMIF(Invest[Affectation matrice],$AB$3,Invest[Amortissement HT + intérêts]))*BJ20</f>
        <v>0</v>
      </c>
      <c r="J20" s="198">
        <f>(SUMIF(Fonctionnement[Affectation matrice],$AB$3,Fonctionnement[Montant (€HT)])+SUMIF(Invest[Affectation matrice],$AB$3,Invest[Amortissement HT + intérêts]))*BK20</f>
        <v>0</v>
      </c>
      <c r="K20" s="198">
        <f>(SUMIF(Fonctionnement[Affectation matrice],$AB$3,Fonctionnement[Montant (€HT)])+SUMIF(Invest[Affectation matrice],$AB$3,Invest[Amortissement HT + intérêts]))*BL20</f>
        <v>0</v>
      </c>
      <c r="L20" s="198">
        <f>(SUMIF(Fonctionnement[Affectation matrice],$AB$3,Fonctionnement[Montant (€HT)])+SUMIF(Invest[Affectation matrice],$AB$3,Invest[Amortissement HT + intérêts]))*BM20</f>
        <v>0</v>
      </c>
      <c r="M20" s="198">
        <f>(SUMIF(Fonctionnement[Affectation matrice],$AB$3,Fonctionnement[Montant (€HT)])+SUMIF(Invest[Affectation matrice],$AB$3,Invest[Amortissement HT + intérêts]))*BN20</f>
        <v>0</v>
      </c>
      <c r="N20" s="198">
        <f>(SUMIF(Fonctionnement[Affectation matrice],$AB$3,Fonctionnement[Montant (€HT)])+SUMIF(Invest[Affectation matrice],$AB$3,Invest[Amortissement HT + intérêts]))*BO20</f>
        <v>0</v>
      </c>
      <c r="O20" s="198">
        <f>(SUMIF(Fonctionnement[Affectation matrice],$AB$3,Fonctionnement[Montant (€HT)])+SUMIF(Invest[Affectation matrice],$AB$3,Invest[Amortissement HT + intérêts]))*BP20</f>
        <v>0</v>
      </c>
      <c r="P20" s="198">
        <f>(SUMIF(Fonctionnement[Affectation matrice],$AB$3,Fonctionnement[Montant (€HT)])+SUMIF(Invest[Affectation matrice],$AB$3,Invest[Amortissement HT + intérêts]))*BQ20</f>
        <v>0</v>
      </c>
      <c r="Q20" s="198">
        <f>(SUMIF(Fonctionnement[Affectation matrice],$AB$3,Fonctionnement[Montant (€HT)])+SUMIF(Invest[Affectation matrice],$AB$3,Invest[Amortissement HT + intérêts]))*BR20</f>
        <v>0</v>
      </c>
      <c r="R20" s="198">
        <f>(SUMIF(Fonctionnement[Affectation matrice],$AB$3,Fonctionnement[Montant (€HT)])+SUMIF(Invest[Affectation matrice],$AB$3,Invest[Amortissement HT + intérêts]))*BS20</f>
        <v>0</v>
      </c>
      <c r="S20" s="198">
        <f>(SUMIF(Fonctionnement[Affectation matrice],$AB$3,Fonctionnement[Montant (€HT)])+SUMIF(Invest[Affectation matrice],$AB$3,Invest[Amortissement HT + intérêts]))*BT20</f>
        <v>0</v>
      </c>
      <c r="T20" s="198">
        <f>(SUMIF(Fonctionnement[Affectation matrice],$AB$3,Fonctionnement[Montant (€HT)])+SUMIF(Invest[Affectation matrice],$AB$3,Invest[Amortissement HT + intérêts]))*BU20</f>
        <v>0</v>
      </c>
      <c r="U20" s="198">
        <f>(SUMIF(Fonctionnement[Affectation matrice],$AB$3,Fonctionnement[Montant (€HT)])+SUMIF(Invest[Affectation matrice],$AB$3,Invest[Amortissement HT + intérêts]))*BV20</f>
        <v>0</v>
      </c>
      <c r="V20" s="198">
        <f>(SUMIF(Fonctionnement[Affectation matrice],$AB$3,Fonctionnement[Montant (€HT)])+SUMIF(Invest[Affectation matrice],$AB$3,Invest[Amortissement HT + intérêts]))*BW20</f>
        <v>0</v>
      </c>
      <c r="W20" s="198">
        <f>(SUMIF(Fonctionnement[Affectation matrice],$AB$3,Fonctionnement[Montant (€HT)])+SUMIF(Invest[Affectation matrice],$AB$3,Invest[Amortissement HT + intérêts]))*BX20</f>
        <v>0</v>
      </c>
      <c r="X20" s="198">
        <f>(SUMIF(Fonctionnement[Affectation matrice],$AB$3,Fonctionnement[Montant (€HT)])+SUMIF(Invest[Affectation matrice],$AB$3,Invest[Amortissement HT + intérêts]))*BY20</f>
        <v>0</v>
      </c>
      <c r="Y20" s="198">
        <f>(SUMIF(Fonctionnement[Affectation matrice],$AB$3,Fonctionnement[Montant (€HT)])+SUMIF(Invest[Affectation matrice],$AB$3,Invest[Amortissement HT + intérêts]))*BZ20</f>
        <v>0</v>
      </c>
      <c r="Z20" s="198">
        <f>(SUMIF(Fonctionnement[Affectation matrice],$AB$3,Fonctionnement[Montant (€HT)])+SUMIF(Invest[Affectation matrice],$AB$3,Invest[Amortissement HT + intérêts]))*CA20</f>
        <v>0</v>
      </c>
      <c r="AA20" s="199"/>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283">
        <f t="shared" si="4"/>
        <v>0</v>
      </c>
      <c r="BC20" s="61">
        <f t="shared" si="2"/>
        <v>0</v>
      </c>
      <c r="BD20" s="61">
        <f t="shared" si="2"/>
        <v>0</v>
      </c>
      <c r="BE20" s="61">
        <f t="shared" si="2"/>
        <v>0</v>
      </c>
      <c r="BF20" s="61">
        <f t="shared" si="2"/>
        <v>0</v>
      </c>
      <c r="BG20" s="61">
        <f t="shared" si="2"/>
        <v>0</v>
      </c>
      <c r="BH20" s="61">
        <f t="shared" si="2"/>
        <v>0</v>
      </c>
      <c r="BI20" s="61">
        <f t="shared" si="2"/>
        <v>0</v>
      </c>
      <c r="BJ20" s="61">
        <f t="shared" si="2"/>
        <v>0</v>
      </c>
      <c r="BK20" s="61">
        <f t="shared" si="2"/>
        <v>0</v>
      </c>
      <c r="BL20" s="61">
        <f t="shared" si="2"/>
        <v>0</v>
      </c>
      <c r="BM20" s="61">
        <f t="shared" si="2"/>
        <v>0</v>
      </c>
      <c r="BN20" s="61">
        <f t="shared" si="2"/>
        <v>0</v>
      </c>
      <c r="BO20" s="61">
        <f t="shared" si="2"/>
        <v>0</v>
      </c>
      <c r="BP20" s="61">
        <f t="shared" si="2"/>
        <v>0</v>
      </c>
      <c r="BQ20" s="61">
        <f t="shared" si="2"/>
        <v>0</v>
      </c>
      <c r="BR20" s="61">
        <f t="shared" ref="BR20:BR22" si="6">IF($BA$53=0,0,AQ20/$BA$53)</f>
        <v>0</v>
      </c>
      <c r="BS20" s="61">
        <f t="shared" si="3"/>
        <v>0</v>
      </c>
      <c r="BT20" s="61">
        <f t="shared" si="3"/>
        <v>0</v>
      </c>
      <c r="BU20" s="61">
        <f t="shared" si="3"/>
        <v>0</v>
      </c>
      <c r="BV20" s="61">
        <f t="shared" si="3"/>
        <v>0</v>
      </c>
      <c r="BW20" s="61">
        <f t="shared" si="3"/>
        <v>0</v>
      </c>
      <c r="BX20" s="61">
        <f t="shared" si="3"/>
        <v>0</v>
      </c>
      <c r="BY20" s="61">
        <f t="shared" si="3"/>
        <v>0</v>
      </c>
      <c r="BZ20" s="61">
        <f t="shared" si="3"/>
        <v>0</v>
      </c>
      <c r="CA20" s="61">
        <f t="shared" si="3"/>
        <v>0</v>
      </c>
      <c r="CB20" s="61">
        <f t="shared" si="5"/>
        <v>0</v>
      </c>
      <c r="CD20" s="200">
        <f>(SUMIF(Fonctionnement[Affectation matrice],$AB$3,Fonctionnement[TVA acquittée])+SUMIF(Invest[Affectation matrice],$AB$3,Invest[TVA acquittée]))*BC20</f>
        <v>0</v>
      </c>
      <c r="CE20" s="200">
        <f>(SUMIF(Fonctionnement[Affectation matrice],$AB$3,Fonctionnement[TVA acquittée])+SUMIF(Invest[Affectation matrice],$AB$3,Invest[TVA acquittée]))*BD20</f>
        <v>0</v>
      </c>
      <c r="CF20" s="200">
        <f>(SUMIF(Fonctionnement[Affectation matrice],$AB$3,Fonctionnement[TVA acquittée])+SUMIF(Invest[Affectation matrice],$AB$3,Invest[TVA acquittée]))*BE20</f>
        <v>0</v>
      </c>
      <c r="CG20" s="200">
        <f>(SUMIF(Fonctionnement[Affectation matrice],$AB$3,Fonctionnement[TVA acquittée])+SUMIF(Invest[Affectation matrice],$AB$3,Invest[TVA acquittée]))*BF20</f>
        <v>0</v>
      </c>
      <c r="CH20" s="200">
        <f>(SUMIF(Fonctionnement[Affectation matrice],$AB$3,Fonctionnement[TVA acquittée])+SUMIF(Invest[Affectation matrice],$AB$3,Invest[TVA acquittée]))*BG20</f>
        <v>0</v>
      </c>
      <c r="CI20" s="200">
        <f>(SUMIF(Fonctionnement[Affectation matrice],$AB$3,Fonctionnement[TVA acquittée])+SUMIF(Invest[Affectation matrice],$AB$3,Invest[TVA acquittée]))*BH20</f>
        <v>0</v>
      </c>
      <c r="CJ20" s="200">
        <f>(SUMIF(Fonctionnement[Affectation matrice],$AB$3,Fonctionnement[TVA acquittée])+SUMIF(Invest[Affectation matrice],$AB$3,Invest[TVA acquittée]))*BI20</f>
        <v>0</v>
      </c>
      <c r="CK20" s="200">
        <f>(SUMIF(Fonctionnement[Affectation matrice],$AB$3,Fonctionnement[TVA acquittée])+SUMIF(Invest[Affectation matrice],$AB$3,Invest[TVA acquittée]))*BJ20</f>
        <v>0</v>
      </c>
      <c r="CL20" s="200">
        <f>(SUMIF(Fonctionnement[Affectation matrice],$AB$3,Fonctionnement[TVA acquittée])+SUMIF(Invest[Affectation matrice],$AB$3,Invest[TVA acquittée]))*BK20</f>
        <v>0</v>
      </c>
      <c r="CM20" s="200">
        <f>(SUMIF(Fonctionnement[Affectation matrice],$AB$3,Fonctionnement[TVA acquittée])+SUMIF(Invest[Affectation matrice],$AB$3,Invest[TVA acquittée]))*BL20</f>
        <v>0</v>
      </c>
      <c r="CN20" s="200">
        <f>(SUMIF(Fonctionnement[Affectation matrice],$AB$3,Fonctionnement[TVA acquittée])+SUMIF(Invest[Affectation matrice],$AB$3,Invest[TVA acquittée]))*BM20</f>
        <v>0</v>
      </c>
      <c r="CO20" s="200">
        <f>(SUMIF(Fonctionnement[Affectation matrice],$AB$3,Fonctionnement[TVA acquittée])+SUMIF(Invest[Affectation matrice],$AB$3,Invest[TVA acquittée]))*BN20</f>
        <v>0</v>
      </c>
      <c r="CP20" s="200">
        <f>(SUMIF(Fonctionnement[Affectation matrice],$AB$3,Fonctionnement[TVA acquittée])+SUMIF(Invest[Affectation matrice],$AB$3,Invest[TVA acquittée]))*BO20</f>
        <v>0</v>
      </c>
      <c r="CQ20" s="200">
        <f>(SUMIF(Fonctionnement[Affectation matrice],$AB$3,Fonctionnement[TVA acquittée])+SUMIF(Invest[Affectation matrice],$AB$3,Invest[TVA acquittée]))*BP20</f>
        <v>0</v>
      </c>
      <c r="CR20" s="200">
        <f>(SUMIF(Fonctionnement[Affectation matrice],$AB$3,Fonctionnement[TVA acquittée])+SUMIF(Invest[Affectation matrice],$AB$3,Invest[TVA acquittée]))*BQ20</f>
        <v>0</v>
      </c>
      <c r="CS20" s="200">
        <f>(SUMIF(Fonctionnement[Affectation matrice],$AB$3,Fonctionnement[TVA acquittée])+SUMIF(Invest[Affectation matrice],$AB$3,Invest[TVA acquittée]))*BR20</f>
        <v>0</v>
      </c>
      <c r="CT20" s="200">
        <f>(SUMIF(Fonctionnement[Affectation matrice],$AB$3,Fonctionnement[TVA acquittée])+SUMIF(Invest[Affectation matrice],$AB$3,Invest[TVA acquittée]))*BS20</f>
        <v>0</v>
      </c>
      <c r="CU20" s="200">
        <f>(SUMIF(Fonctionnement[Affectation matrice],$AB$3,Fonctionnement[TVA acquittée])+SUMIF(Invest[Affectation matrice],$AB$3,Invest[TVA acquittée]))*BT20</f>
        <v>0</v>
      </c>
      <c r="CV20" s="200">
        <f>(SUMIF(Fonctionnement[Affectation matrice],$AB$3,Fonctionnement[TVA acquittée])+SUMIF(Invest[Affectation matrice],$AB$3,Invest[TVA acquittée]))*BU20</f>
        <v>0</v>
      </c>
      <c r="CW20" s="200">
        <f>(SUMIF(Fonctionnement[Affectation matrice],$AB$3,Fonctionnement[TVA acquittée])+SUMIF(Invest[Affectation matrice],$AB$3,Invest[TVA acquittée]))*BV20</f>
        <v>0</v>
      </c>
      <c r="CX20" s="200">
        <f>(SUMIF(Fonctionnement[Affectation matrice],$AB$3,Fonctionnement[TVA acquittée])+SUMIF(Invest[Affectation matrice],$AB$3,Invest[TVA acquittée]))*BW20</f>
        <v>0</v>
      </c>
      <c r="CY20" s="200">
        <f>(SUMIF(Fonctionnement[Affectation matrice],$AB$3,Fonctionnement[TVA acquittée])+SUMIF(Invest[Affectation matrice],$AB$3,Invest[TVA acquittée]))*BX20</f>
        <v>0</v>
      </c>
      <c r="CZ20" s="200">
        <f>(SUMIF(Fonctionnement[Affectation matrice],$AB$3,Fonctionnement[TVA acquittée])+SUMIF(Invest[Affectation matrice],$AB$3,Invest[TVA acquittée]))*BY20</f>
        <v>0</v>
      </c>
      <c r="DA20" s="200">
        <f>(SUMIF(Fonctionnement[Affectation matrice],$AB$3,Fonctionnement[TVA acquittée])+SUMIF(Invest[Affectation matrice],$AB$3,Invest[TVA acquittée]))*BZ20</f>
        <v>0</v>
      </c>
      <c r="DB20" s="200">
        <f>(SUMIF(Fonctionnement[Affectation matrice],$AB$3,Fonctionnement[TVA acquittée])+SUMIF(Invest[Affectation matrice],$AB$3,Invest[TVA acquittée]))*CA20</f>
        <v>0</v>
      </c>
    </row>
    <row r="21" spans="1:106" s="22" customFormat="1" ht="12.75" hidden="1" customHeight="1" x14ac:dyDescent="0.25">
      <c r="A21" s="42">
        <f>Matrice[[#This Row],[Ligne de la matrice]]</f>
        <v>0</v>
      </c>
      <c r="B21" s="198">
        <f>(SUMIF(Fonctionnement[Affectation matrice],$AB$3,Fonctionnement[Montant (€HT)])+SUMIF(Invest[Affectation matrice],$AB$3,Invest[Amortissement HT + intérêts]))*BC21</f>
        <v>0</v>
      </c>
      <c r="C21" s="198">
        <f>(SUMIF(Fonctionnement[Affectation matrice],$AB$3,Fonctionnement[Montant (€HT)])+SUMIF(Invest[Affectation matrice],$AB$3,Invest[Amortissement HT + intérêts]))*BD21</f>
        <v>0</v>
      </c>
      <c r="D21" s="198">
        <f>(SUMIF(Fonctionnement[Affectation matrice],$AB$3,Fonctionnement[Montant (€HT)])+SUMIF(Invest[Affectation matrice],$AB$3,Invest[Amortissement HT + intérêts]))*BE21</f>
        <v>0</v>
      </c>
      <c r="E21" s="198">
        <f>(SUMIF(Fonctionnement[Affectation matrice],$AB$3,Fonctionnement[Montant (€HT)])+SUMIF(Invest[Affectation matrice],$AB$3,Invest[Amortissement HT + intérêts]))*BF21</f>
        <v>0</v>
      </c>
      <c r="F21" s="198">
        <f>(SUMIF(Fonctionnement[Affectation matrice],$AB$3,Fonctionnement[Montant (€HT)])+SUMIF(Invest[Affectation matrice],$AB$3,Invest[Amortissement HT + intérêts]))*BG21</f>
        <v>0</v>
      </c>
      <c r="G21" s="198">
        <f>(SUMIF(Fonctionnement[Affectation matrice],$AB$3,Fonctionnement[Montant (€HT)])+SUMIF(Invest[Affectation matrice],$AB$3,Invest[Amortissement HT + intérêts]))*BH21</f>
        <v>0</v>
      </c>
      <c r="H21" s="198">
        <f>(SUMIF(Fonctionnement[Affectation matrice],$AB$3,Fonctionnement[Montant (€HT)])+SUMIF(Invest[Affectation matrice],$AB$3,Invest[Amortissement HT + intérêts]))*BI21</f>
        <v>0</v>
      </c>
      <c r="I21" s="198">
        <f>(SUMIF(Fonctionnement[Affectation matrice],$AB$3,Fonctionnement[Montant (€HT)])+SUMIF(Invest[Affectation matrice],$AB$3,Invest[Amortissement HT + intérêts]))*BJ21</f>
        <v>0</v>
      </c>
      <c r="J21" s="198">
        <f>(SUMIF(Fonctionnement[Affectation matrice],$AB$3,Fonctionnement[Montant (€HT)])+SUMIF(Invest[Affectation matrice],$AB$3,Invest[Amortissement HT + intérêts]))*BK21</f>
        <v>0</v>
      </c>
      <c r="K21" s="198">
        <f>(SUMIF(Fonctionnement[Affectation matrice],$AB$3,Fonctionnement[Montant (€HT)])+SUMIF(Invest[Affectation matrice],$AB$3,Invest[Amortissement HT + intérêts]))*BL21</f>
        <v>0</v>
      </c>
      <c r="L21" s="198">
        <f>(SUMIF(Fonctionnement[Affectation matrice],$AB$3,Fonctionnement[Montant (€HT)])+SUMIF(Invest[Affectation matrice],$AB$3,Invest[Amortissement HT + intérêts]))*BM21</f>
        <v>0</v>
      </c>
      <c r="M21" s="198">
        <f>(SUMIF(Fonctionnement[Affectation matrice],$AB$3,Fonctionnement[Montant (€HT)])+SUMIF(Invest[Affectation matrice],$AB$3,Invest[Amortissement HT + intérêts]))*BN21</f>
        <v>0</v>
      </c>
      <c r="N21" s="198">
        <f>(SUMIF(Fonctionnement[Affectation matrice],$AB$3,Fonctionnement[Montant (€HT)])+SUMIF(Invest[Affectation matrice],$AB$3,Invest[Amortissement HT + intérêts]))*BO21</f>
        <v>0</v>
      </c>
      <c r="O21" s="198">
        <f>(SUMIF(Fonctionnement[Affectation matrice],$AB$3,Fonctionnement[Montant (€HT)])+SUMIF(Invest[Affectation matrice],$AB$3,Invest[Amortissement HT + intérêts]))*BP21</f>
        <v>0</v>
      </c>
      <c r="P21" s="198">
        <f>(SUMIF(Fonctionnement[Affectation matrice],$AB$3,Fonctionnement[Montant (€HT)])+SUMIF(Invest[Affectation matrice],$AB$3,Invest[Amortissement HT + intérêts]))*BQ21</f>
        <v>0</v>
      </c>
      <c r="Q21" s="198">
        <f>(SUMIF(Fonctionnement[Affectation matrice],$AB$3,Fonctionnement[Montant (€HT)])+SUMIF(Invest[Affectation matrice],$AB$3,Invest[Amortissement HT + intérêts]))*BR21</f>
        <v>0</v>
      </c>
      <c r="R21" s="198">
        <f>(SUMIF(Fonctionnement[Affectation matrice],$AB$3,Fonctionnement[Montant (€HT)])+SUMIF(Invest[Affectation matrice],$AB$3,Invest[Amortissement HT + intérêts]))*BS21</f>
        <v>0</v>
      </c>
      <c r="S21" s="198">
        <f>(SUMIF(Fonctionnement[Affectation matrice],$AB$3,Fonctionnement[Montant (€HT)])+SUMIF(Invest[Affectation matrice],$AB$3,Invest[Amortissement HT + intérêts]))*BT21</f>
        <v>0</v>
      </c>
      <c r="T21" s="198">
        <f>(SUMIF(Fonctionnement[Affectation matrice],$AB$3,Fonctionnement[Montant (€HT)])+SUMIF(Invest[Affectation matrice],$AB$3,Invest[Amortissement HT + intérêts]))*BU21</f>
        <v>0</v>
      </c>
      <c r="U21" s="198">
        <f>(SUMIF(Fonctionnement[Affectation matrice],$AB$3,Fonctionnement[Montant (€HT)])+SUMIF(Invest[Affectation matrice],$AB$3,Invest[Amortissement HT + intérêts]))*BV21</f>
        <v>0</v>
      </c>
      <c r="V21" s="198">
        <f>(SUMIF(Fonctionnement[Affectation matrice],$AB$3,Fonctionnement[Montant (€HT)])+SUMIF(Invest[Affectation matrice],$AB$3,Invest[Amortissement HT + intérêts]))*BW21</f>
        <v>0</v>
      </c>
      <c r="W21" s="198">
        <f>(SUMIF(Fonctionnement[Affectation matrice],$AB$3,Fonctionnement[Montant (€HT)])+SUMIF(Invest[Affectation matrice],$AB$3,Invest[Amortissement HT + intérêts]))*BX21</f>
        <v>0</v>
      </c>
      <c r="X21" s="198">
        <f>(SUMIF(Fonctionnement[Affectation matrice],$AB$3,Fonctionnement[Montant (€HT)])+SUMIF(Invest[Affectation matrice],$AB$3,Invest[Amortissement HT + intérêts]))*BY21</f>
        <v>0</v>
      </c>
      <c r="Y21" s="198">
        <f>(SUMIF(Fonctionnement[Affectation matrice],$AB$3,Fonctionnement[Montant (€HT)])+SUMIF(Invest[Affectation matrice],$AB$3,Invest[Amortissement HT + intérêts]))*BZ21</f>
        <v>0</v>
      </c>
      <c r="Z21" s="198">
        <f>(SUMIF(Fonctionnement[Affectation matrice],$AB$3,Fonctionnement[Montant (€HT)])+SUMIF(Invest[Affectation matrice],$AB$3,Invest[Amortissement HT + intérêts]))*CA21</f>
        <v>0</v>
      </c>
      <c r="AA21" s="199"/>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283">
        <f t="shared" si="4"/>
        <v>0</v>
      </c>
      <c r="BB21" s="7"/>
      <c r="BC21" s="61">
        <f t="shared" ref="BC21:BQ22" si="7">IF($BA$53=0,0,AB21/$BA$53)</f>
        <v>0</v>
      </c>
      <c r="BD21" s="61">
        <f t="shared" si="7"/>
        <v>0</v>
      </c>
      <c r="BE21" s="61">
        <f t="shared" si="7"/>
        <v>0</v>
      </c>
      <c r="BF21" s="61">
        <f t="shared" si="7"/>
        <v>0</v>
      </c>
      <c r="BG21" s="61">
        <f t="shared" si="7"/>
        <v>0</v>
      </c>
      <c r="BH21" s="61">
        <f t="shared" si="7"/>
        <v>0</v>
      </c>
      <c r="BI21" s="61">
        <f t="shared" si="7"/>
        <v>0</v>
      </c>
      <c r="BJ21" s="61">
        <f t="shared" si="7"/>
        <v>0</v>
      </c>
      <c r="BK21" s="61">
        <f t="shared" si="7"/>
        <v>0</v>
      </c>
      <c r="BL21" s="61">
        <f t="shared" si="7"/>
        <v>0</v>
      </c>
      <c r="BM21" s="61">
        <f t="shared" si="7"/>
        <v>0</v>
      </c>
      <c r="BN21" s="61">
        <f t="shared" si="7"/>
        <v>0</v>
      </c>
      <c r="BO21" s="61">
        <f t="shared" si="7"/>
        <v>0</v>
      </c>
      <c r="BP21" s="61">
        <f t="shared" si="7"/>
        <v>0</v>
      </c>
      <c r="BQ21" s="61">
        <f t="shared" si="7"/>
        <v>0</v>
      </c>
      <c r="BR21" s="61">
        <f t="shared" si="6"/>
        <v>0</v>
      </c>
      <c r="BS21" s="61">
        <f t="shared" si="3"/>
        <v>0</v>
      </c>
      <c r="BT21" s="61">
        <f t="shared" si="3"/>
        <v>0</v>
      </c>
      <c r="BU21" s="61">
        <f t="shared" si="3"/>
        <v>0</v>
      </c>
      <c r="BV21" s="61">
        <f t="shared" si="3"/>
        <v>0</v>
      </c>
      <c r="BW21" s="61">
        <f t="shared" si="3"/>
        <v>0</v>
      </c>
      <c r="BX21" s="61">
        <f t="shared" si="3"/>
        <v>0</v>
      </c>
      <c r="BY21" s="61">
        <f t="shared" si="3"/>
        <v>0</v>
      </c>
      <c r="BZ21" s="61">
        <f t="shared" si="3"/>
        <v>0</v>
      </c>
      <c r="CA21" s="61">
        <f t="shared" si="3"/>
        <v>0</v>
      </c>
      <c r="CB21" s="61">
        <f t="shared" si="5"/>
        <v>0</v>
      </c>
      <c r="CD21" s="200">
        <f>(SUMIF(Fonctionnement[Affectation matrice],$AB$3,Fonctionnement[TVA acquittée])+SUMIF(Invest[Affectation matrice],$AB$3,Invest[TVA acquittée]))*BC21</f>
        <v>0</v>
      </c>
      <c r="CE21" s="200">
        <f>(SUMIF(Fonctionnement[Affectation matrice],$AB$3,Fonctionnement[TVA acquittée])+SUMIF(Invest[Affectation matrice],$AB$3,Invest[TVA acquittée]))*BD21</f>
        <v>0</v>
      </c>
      <c r="CF21" s="200">
        <f>(SUMIF(Fonctionnement[Affectation matrice],$AB$3,Fonctionnement[TVA acquittée])+SUMIF(Invest[Affectation matrice],$AB$3,Invest[TVA acquittée]))*BE21</f>
        <v>0</v>
      </c>
      <c r="CG21" s="200">
        <f>(SUMIF(Fonctionnement[Affectation matrice],$AB$3,Fonctionnement[TVA acquittée])+SUMIF(Invest[Affectation matrice],$AB$3,Invest[TVA acquittée]))*BF21</f>
        <v>0</v>
      </c>
      <c r="CH21" s="200">
        <f>(SUMIF(Fonctionnement[Affectation matrice],$AB$3,Fonctionnement[TVA acquittée])+SUMIF(Invest[Affectation matrice],$AB$3,Invest[TVA acquittée]))*BG21</f>
        <v>0</v>
      </c>
      <c r="CI21" s="200">
        <f>(SUMIF(Fonctionnement[Affectation matrice],$AB$3,Fonctionnement[TVA acquittée])+SUMIF(Invest[Affectation matrice],$AB$3,Invest[TVA acquittée]))*BH21</f>
        <v>0</v>
      </c>
      <c r="CJ21" s="200">
        <f>(SUMIF(Fonctionnement[Affectation matrice],$AB$3,Fonctionnement[TVA acquittée])+SUMIF(Invest[Affectation matrice],$AB$3,Invest[TVA acquittée]))*BI21</f>
        <v>0</v>
      </c>
      <c r="CK21" s="200">
        <f>(SUMIF(Fonctionnement[Affectation matrice],$AB$3,Fonctionnement[TVA acquittée])+SUMIF(Invest[Affectation matrice],$AB$3,Invest[TVA acquittée]))*BJ21</f>
        <v>0</v>
      </c>
      <c r="CL21" s="200">
        <f>(SUMIF(Fonctionnement[Affectation matrice],$AB$3,Fonctionnement[TVA acquittée])+SUMIF(Invest[Affectation matrice],$AB$3,Invest[TVA acquittée]))*BK21</f>
        <v>0</v>
      </c>
      <c r="CM21" s="200">
        <f>(SUMIF(Fonctionnement[Affectation matrice],$AB$3,Fonctionnement[TVA acquittée])+SUMIF(Invest[Affectation matrice],$AB$3,Invest[TVA acquittée]))*BL21</f>
        <v>0</v>
      </c>
      <c r="CN21" s="200">
        <f>(SUMIF(Fonctionnement[Affectation matrice],$AB$3,Fonctionnement[TVA acquittée])+SUMIF(Invest[Affectation matrice],$AB$3,Invest[TVA acquittée]))*BM21</f>
        <v>0</v>
      </c>
      <c r="CO21" s="200">
        <f>(SUMIF(Fonctionnement[Affectation matrice],$AB$3,Fonctionnement[TVA acquittée])+SUMIF(Invest[Affectation matrice],$AB$3,Invest[TVA acquittée]))*BN21</f>
        <v>0</v>
      </c>
      <c r="CP21" s="200">
        <f>(SUMIF(Fonctionnement[Affectation matrice],$AB$3,Fonctionnement[TVA acquittée])+SUMIF(Invest[Affectation matrice],$AB$3,Invest[TVA acquittée]))*BO21</f>
        <v>0</v>
      </c>
      <c r="CQ21" s="200">
        <f>(SUMIF(Fonctionnement[Affectation matrice],$AB$3,Fonctionnement[TVA acquittée])+SUMIF(Invest[Affectation matrice],$AB$3,Invest[TVA acquittée]))*BP21</f>
        <v>0</v>
      </c>
      <c r="CR21" s="200">
        <f>(SUMIF(Fonctionnement[Affectation matrice],$AB$3,Fonctionnement[TVA acquittée])+SUMIF(Invest[Affectation matrice],$AB$3,Invest[TVA acquittée]))*BQ21</f>
        <v>0</v>
      </c>
      <c r="CS21" s="200">
        <f>(SUMIF(Fonctionnement[Affectation matrice],$AB$3,Fonctionnement[TVA acquittée])+SUMIF(Invest[Affectation matrice],$AB$3,Invest[TVA acquittée]))*BR21</f>
        <v>0</v>
      </c>
      <c r="CT21" s="200">
        <f>(SUMIF(Fonctionnement[Affectation matrice],$AB$3,Fonctionnement[TVA acquittée])+SUMIF(Invest[Affectation matrice],$AB$3,Invest[TVA acquittée]))*BS21</f>
        <v>0</v>
      </c>
      <c r="CU21" s="200">
        <f>(SUMIF(Fonctionnement[Affectation matrice],$AB$3,Fonctionnement[TVA acquittée])+SUMIF(Invest[Affectation matrice],$AB$3,Invest[TVA acquittée]))*BT21</f>
        <v>0</v>
      </c>
      <c r="CV21" s="200">
        <f>(SUMIF(Fonctionnement[Affectation matrice],$AB$3,Fonctionnement[TVA acquittée])+SUMIF(Invest[Affectation matrice],$AB$3,Invest[TVA acquittée]))*BU21</f>
        <v>0</v>
      </c>
      <c r="CW21" s="200">
        <f>(SUMIF(Fonctionnement[Affectation matrice],$AB$3,Fonctionnement[TVA acquittée])+SUMIF(Invest[Affectation matrice],$AB$3,Invest[TVA acquittée]))*BV21</f>
        <v>0</v>
      </c>
      <c r="CX21" s="200">
        <f>(SUMIF(Fonctionnement[Affectation matrice],$AB$3,Fonctionnement[TVA acquittée])+SUMIF(Invest[Affectation matrice],$AB$3,Invest[TVA acquittée]))*BW21</f>
        <v>0</v>
      </c>
      <c r="CY21" s="200">
        <f>(SUMIF(Fonctionnement[Affectation matrice],$AB$3,Fonctionnement[TVA acquittée])+SUMIF(Invest[Affectation matrice],$AB$3,Invest[TVA acquittée]))*BX21</f>
        <v>0</v>
      </c>
      <c r="CZ21" s="200">
        <f>(SUMIF(Fonctionnement[Affectation matrice],$AB$3,Fonctionnement[TVA acquittée])+SUMIF(Invest[Affectation matrice],$AB$3,Invest[TVA acquittée]))*BY21</f>
        <v>0</v>
      </c>
      <c r="DA21" s="200">
        <f>(SUMIF(Fonctionnement[Affectation matrice],$AB$3,Fonctionnement[TVA acquittée])+SUMIF(Invest[Affectation matrice],$AB$3,Invest[TVA acquittée]))*BZ21</f>
        <v>0</v>
      </c>
      <c r="DB21" s="200">
        <f>(SUMIF(Fonctionnement[Affectation matrice],$AB$3,Fonctionnement[TVA acquittée])+SUMIF(Invest[Affectation matrice],$AB$3,Invest[TVA acquittée]))*CA21</f>
        <v>0</v>
      </c>
    </row>
    <row r="22" spans="1:106" s="22" customFormat="1" ht="12.75" hidden="1" customHeight="1" x14ac:dyDescent="0.25">
      <c r="A22" s="42">
        <f>Matrice[[#This Row],[Ligne de la matrice]]</f>
        <v>0</v>
      </c>
      <c r="B22" s="198">
        <f>(SUMIF(Fonctionnement[Affectation matrice],$AB$3,Fonctionnement[Montant (€HT)])+SUMIF(Invest[Affectation matrice],$AB$3,Invest[Amortissement HT + intérêts]))*BC22</f>
        <v>0</v>
      </c>
      <c r="C22" s="198">
        <f>(SUMIF(Fonctionnement[Affectation matrice],$AB$3,Fonctionnement[Montant (€HT)])+SUMIF(Invest[Affectation matrice],$AB$3,Invest[Amortissement HT + intérêts]))*BD22</f>
        <v>0</v>
      </c>
      <c r="D22" s="198">
        <f>(SUMIF(Fonctionnement[Affectation matrice],$AB$3,Fonctionnement[Montant (€HT)])+SUMIF(Invest[Affectation matrice],$AB$3,Invest[Amortissement HT + intérêts]))*BE22</f>
        <v>0</v>
      </c>
      <c r="E22" s="198">
        <f>(SUMIF(Fonctionnement[Affectation matrice],$AB$3,Fonctionnement[Montant (€HT)])+SUMIF(Invest[Affectation matrice],$AB$3,Invest[Amortissement HT + intérêts]))*BF22</f>
        <v>0</v>
      </c>
      <c r="F22" s="198">
        <f>(SUMIF(Fonctionnement[Affectation matrice],$AB$3,Fonctionnement[Montant (€HT)])+SUMIF(Invest[Affectation matrice],$AB$3,Invest[Amortissement HT + intérêts]))*BG22</f>
        <v>0</v>
      </c>
      <c r="G22" s="198">
        <f>(SUMIF(Fonctionnement[Affectation matrice],$AB$3,Fonctionnement[Montant (€HT)])+SUMIF(Invest[Affectation matrice],$AB$3,Invest[Amortissement HT + intérêts]))*BH22</f>
        <v>0</v>
      </c>
      <c r="H22" s="198">
        <f>(SUMIF(Fonctionnement[Affectation matrice],$AB$3,Fonctionnement[Montant (€HT)])+SUMIF(Invest[Affectation matrice],$AB$3,Invest[Amortissement HT + intérêts]))*BI22</f>
        <v>0</v>
      </c>
      <c r="I22" s="198">
        <f>(SUMIF(Fonctionnement[Affectation matrice],$AB$3,Fonctionnement[Montant (€HT)])+SUMIF(Invest[Affectation matrice],$AB$3,Invest[Amortissement HT + intérêts]))*BJ22</f>
        <v>0</v>
      </c>
      <c r="J22" s="198">
        <f>(SUMIF(Fonctionnement[Affectation matrice],$AB$3,Fonctionnement[Montant (€HT)])+SUMIF(Invest[Affectation matrice],$AB$3,Invest[Amortissement HT + intérêts]))*BK22</f>
        <v>0</v>
      </c>
      <c r="K22" s="198">
        <f>(SUMIF(Fonctionnement[Affectation matrice],$AB$3,Fonctionnement[Montant (€HT)])+SUMIF(Invest[Affectation matrice],$AB$3,Invest[Amortissement HT + intérêts]))*BL22</f>
        <v>0</v>
      </c>
      <c r="L22" s="198">
        <f>(SUMIF(Fonctionnement[Affectation matrice],$AB$3,Fonctionnement[Montant (€HT)])+SUMIF(Invest[Affectation matrice],$AB$3,Invest[Amortissement HT + intérêts]))*BM22</f>
        <v>0</v>
      </c>
      <c r="M22" s="198">
        <f>(SUMIF(Fonctionnement[Affectation matrice],$AB$3,Fonctionnement[Montant (€HT)])+SUMIF(Invest[Affectation matrice],$AB$3,Invest[Amortissement HT + intérêts]))*BN22</f>
        <v>0</v>
      </c>
      <c r="N22" s="198">
        <f>(SUMIF(Fonctionnement[Affectation matrice],$AB$3,Fonctionnement[Montant (€HT)])+SUMIF(Invest[Affectation matrice],$AB$3,Invest[Amortissement HT + intérêts]))*BO22</f>
        <v>0</v>
      </c>
      <c r="O22" s="198">
        <f>(SUMIF(Fonctionnement[Affectation matrice],$AB$3,Fonctionnement[Montant (€HT)])+SUMIF(Invest[Affectation matrice],$AB$3,Invest[Amortissement HT + intérêts]))*BP22</f>
        <v>0</v>
      </c>
      <c r="P22" s="198">
        <f>(SUMIF(Fonctionnement[Affectation matrice],$AB$3,Fonctionnement[Montant (€HT)])+SUMIF(Invest[Affectation matrice],$AB$3,Invest[Amortissement HT + intérêts]))*BQ22</f>
        <v>0</v>
      </c>
      <c r="Q22" s="198">
        <f>(SUMIF(Fonctionnement[Affectation matrice],$AB$3,Fonctionnement[Montant (€HT)])+SUMIF(Invest[Affectation matrice],$AB$3,Invest[Amortissement HT + intérêts]))*BR22</f>
        <v>0</v>
      </c>
      <c r="R22" s="198">
        <f>(SUMIF(Fonctionnement[Affectation matrice],$AB$3,Fonctionnement[Montant (€HT)])+SUMIF(Invest[Affectation matrice],$AB$3,Invest[Amortissement HT + intérêts]))*BS22</f>
        <v>0</v>
      </c>
      <c r="S22" s="198">
        <f>(SUMIF(Fonctionnement[Affectation matrice],$AB$3,Fonctionnement[Montant (€HT)])+SUMIF(Invest[Affectation matrice],$AB$3,Invest[Amortissement HT + intérêts]))*BT22</f>
        <v>0</v>
      </c>
      <c r="T22" s="198">
        <f>(SUMIF(Fonctionnement[Affectation matrice],$AB$3,Fonctionnement[Montant (€HT)])+SUMIF(Invest[Affectation matrice],$AB$3,Invest[Amortissement HT + intérêts]))*BU22</f>
        <v>0</v>
      </c>
      <c r="U22" s="198">
        <f>(SUMIF(Fonctionnement[Affectation matrice],$AB$3,Fonctionnement[Montant (€HT)])+SUMIF(Invest[Affectation matrice],$AB$3,Invest[Amortissement HT + intérêts]))*BV22</f>
        <v>0</v>
      </c>
      <c r="V22" s="198">
        <f>(SUMIF(Fonctionnement[Affectation matrice],$AB$3,Fonctionnement[Montant (€HT)])+SUMIF(Invest[Affectation matrice],$AB$3,Invest[Amortissement HT + intérêts]))*BW22</f>
        <v>0</v>
      </c>
      <c r="W22" s="198">
        <f>(SUMIF(Fonctionnement[Affectation matrice],$AB$3,Fonctionnement[Montant (€HT)])+SUMIF(Invest[Affectation matrice],$AB$3,Invest[Amortissement HT + intérêts]))*BX22</f>
        <v>0</v>
      </c>
      <c r="X22" s="198">
        <f>(SUMIF(Fonctionnement[Affectation matrice],$AB$3,Fonctionnement[Montant (€HT)])+SUMIF(Invest[Affectation matrice],$AB$3,Invest[Amortissement HT + intérêts]))*BY22</f>
        <v>0</v>
      </c>
      <c r="Y22" s="198">
        <f>(SUMIF(Fonctionnement[Affectation matrice],$AB$3,Fonctionnement[Montant (€HT)])+SUMIF(Invest[Affectation matrice],$AB$3,Invest[Amortissement HT + intérêts]))*BZ22</f>
        <v>0</v>
      </c>
      <c r="Z22" s="198">
        <f>(SUMIF(Fonctionnement[Affectation matrice],$AB$3,Fonctionnement[Montant (€HT)])+SUMIF(Invest[Affectation matrice],$AB$3,Invest[Amortissement HT + intérêts]))*CA22</f>
        <v>0</v>
      </c>
      <c r="AA22" s="199"/>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283">
        <f t="shared" si="4"/>
        <v>0</v>
      </c>
      <c r="BB22" s="7"/>
      <c r="BC22" s="61">
        <f t="shared" si="7"/>
        <v>0</v>
      </c>
      <c r="BD22" s="61">
        <f t="shared" si="7"/>
        <v>0</v>
      </c>
      <c r="BE22" s="61">
        <f t="shared" si="7"/>
        <v>0</v>
      </c>
      <c r="BF22" s="61">
        <f t="shared" si="7"/>
        <v>0</v>
      </c>
      <c r="BG22" s="61">
        <f t="shared" si="7"/>
        <v>0</v>
      </c>
      <c r="BH22" s="61">
        <f t="shared" si="7"/>
        <v>0</v>
      </c>
      <c r="BI22" s="61">
        <f t="shared" si="7"/>
        <v>0</v>
      </c>
      <c r="BJ22" s="61">
        <f t="shared" si="7"/>
        <v>0</v>
      </c>
      <c r="BK22" s="61">
        <f t="shared" si="7"/>
        <v>0</v>
      </c>
      <c r="BL22" s="61">
        <f t="shared" si="7"/>
        <v>0</v>
      </c>
      <c r="BM22" s="61">
        <f t="shared" si="7"/>
        <v>0</v>
      </c>
      <c r="BN22" s="61">
        <f t="shared" si="7"/>
        <v>0</v>
      </c>
      <c r="BO22" s="61">
        <f t="shared" si="7"/>
        <v>0</v>
      </c>
      <c r="BP22" s="61">
        <f t="shared" si="7"/>
        <v>0</v>
      </c>
      <c r="BQ22" s="61">
        <f t="shared" si="7"/>
        <v>0</v>
      </c>
      <c r="BR22" s="61">
        <f t="shared" si="6"/>
        <v>0</v>
      </c>
      <c r="BS22" s="61">
        <f t="shared" si="3"/>
        <v>0</v>
      </c>
      <c r="BT22" s="61">
        <f t="shared" si="3"/>
        <v>0</v>
      </c>
      <c r="BU22" s="61">
        <f t="shared" si="3"/>
        <v>0</v>
      </c>
      <c r="BV22" s="61">
        <f t="shared" si="3"/>
        <v>0</v>
      </c>
      <c r="BW22" s="61">
        <f t="shared" si="3"/>
        <v>0</v>
      </c>
      <c r="BX22" s="61">
        <f t="shared" si="3"/>
        <v>0</v>
      </c>
      <c r="BY22" s="61">
        <f t="shared" si="3"/>
        <v>0</v>
      </c>
      <c r="BZ22" s="61">
        <f t="shared" si="3"/>
        <v>0</v>
      </c>
      <c r="CA22" s="61">
        <f t="shared" si="3"/>
        <v>0</v>
      </c>
      <c r="CB22" s="61">
        <f t="shared" si="5"/>
        <v>0</v>
      </c>
      <c r="CD22" s="200">
        <f>(SUMIF(Fonctionnement[Affectation matrice],$AB$3,Fonctionnement[TVA acquittée])+SUMIF(Invest[Affectation matrice],$AB$3,Invest[TVA acquittée]))*BC22</f>
        <v>0</v>
      </c>
      <c r="CE22" s="200">
        <f>(SUMIF(Fonctionnement[Affectation matrice],$AB$3,Fonctionnement[TVA acquittée])+SUMIF(Invest[Affectation matrice],$AB$3,Invest[TVA acquittée]))*BD22</f>
        <v>0</v>
      </c>
      <c r="CF22" s="200">
        <f>(SUMIF(Fonctionnement[Affectation matrice],$AB$3,Fonctionnement[TVA acquittée])+SUMIF(Invest[Affectation matrice],$AB$3,Invest[TVA acquittée]))*BE22</f>
        <v>0</v>
      </c>
      <c r="CG22" s="200">
        <f>(SUMIF(Fonctionnement[Affectation matrice],$AB$3,Fonctionnement[TVA acquittée])+SUMIF(Invest[Affectation matrice],$AB$3,Invest[TVA acquittée]))*BF22</f>
        <v>0</v>
      </c>
      <c r="CH22" s="200">
        <f>(SUMIF(Fonctionnement[Affectation matrice],$AB$3,Fonctionnement[TVA acquittée])+SUMIF(Invest[Affectation matrice],$AB$3,Invest[TVA acquittée]))*BG22</f>
        <v>0</v>
      </c>
      <c r="CI22" s="200">
        <f>(SUMIF(Fonctionnement[Affectation matrice],$AB$3,Fonctionnement[TVA acquittée])+SUMIF(Invest[Affectation matrice],$AB$3,Invest[TVA acquittée]))*BH22</f>
        <v>0</v>
      </c>
      <c r="CJ22" s="200">
        <f>(SUMIF(Fonctionnement[Affectation matrice],$AB$3,Fonctionnement[TVA acquittée])+SUMIF(Invest[Affectation matrice],$AB$3,Invest[TVA acquittée]))*BI22</f>
        <v>0</v>
      </c>
      <c r="CK22" s="200">
        <f>(SUMIF(Fonctionnement[Affectation matrice],$AB$3,Fonctionnement[TVA acquittée])+SUMIF(Invest[Affectation matrice],$AB$3,Invest[TVA acquittée]))*BJ22</f>
        <v>0</v>
      </c>
      <c r="CL22" s="200">
        <f>(SUMIF(Fonctionnement[Affectation matrice],$AB$3,Fonctionnement[TVA acquittée])+SUMIF(Invest[Affectation matrice],$AB$3,Invest[TVA acquittée]))*BK22</f>
        <v>0</v>
      </c>
      <c r="CM22" s="200">
        <f>(SUMIF(Fonctionnement[Affectation matrice],$AB$3,Fonctionnement[TVA acquittée])+SUMIF(Invest[Affectation matrice],$AB$3,Invest[TVA acquittée]))*BL22</f>
        <v>0</v>
      </c>
      <c r="CN22" s="200">
        <f>(SUMIF(Fonctionnement[Affectation matrice],$AB$3,Fonctionnement[TVA acquittée])+SUMIF(Invest[Affectation matrice],$AB$3,Invest[TVA acquittée]))*BM22</f>
        <v>0</v>
      </c>
      <c r="CO22" s="200">
        <f>(SUMIF(Fonctionnement[Affectation matrice],$AB$3,Fonctionnement[TVA acquittée])+SUMIF(Invest[Affectation matrice],$AB$3,Invest[TVA acquittée]))*BN22</f>
        <v>0</v>
      </c>
      <c r="CP22" s="200">
        <f>(SUMIF(Fonctionnement[Affectation matrice],$AB$3,Fonctionnement[TVA acquittée])+SUMIF(Invest[Affectation matrice],$AB$3,Invest[TVA acquittée]))*BO22</f>
        <v>0</v>
      </c>
      <c r="CQ22" s="200">
        <f>(SUMIF(Fonctionnement[Affectation matrice],$AB$3,Fonctionnement[TVA acquittée])+SUMIF(Invest[Affectation matrice],$AB$3,Invest[TVA acquittée]))*BP22</f>
        <v>0</v>
      </c>
      <c r="CR22" s="200">
        <f>(SUMIF(Fonctionnement[Affectation matrice],$AB$3,Fonctionnement[TVA acquittée])+SUMIF(Invest[Affectation matrice],$AB$3,Invest[TVA acquittée]))*BQ22</f>
        <v>0</v>
      </c>
      <c r="CS22" s="200">
        <f>(SUMIF(Fonctionnement[Affectation matrice],$AB$3,Fonctionnement[TVA acquittée])+SUMIF(Invest[Affectation matrice],$AB$3,Invest[TVA acquittée]))*BR22</f>
        <v>0</v>
      </c>
      <c r="CT22" s="200">
        <f>(SUMIF(Fonctionnement[Affectation matrice],$AB$3,Fonctionnement[TVA acquittée])+SUMIF(Invest[Affectation matrice],$AB$3,Invest[TVA acquittée]))*BS22</f>
        <v>0</v>
      </c>
      <c r="CU22" s="200">
        <f>(SUMIF(Fonctionnement[Affectation matrice],$AB$3,Fonctionnement[TVA acquittée])+SUMIF(Invest[Affectation matrice],$AB$3,Invest[TVA acquittée]))*BT22</f>
        <v>0</v>
      </c>
      <c r="CV22" s="200">
        <f>(SUMIF(Fonctionnement[Affectation matrice],$AB$3,Fonctionnement[TVA acquittée])+SUMIF(Invest[Affectation matrice],$AB$3,Invest[TVA acquittée]))*BU22</f>
        <v>0</v>
      </c>
      <c r="CW22" s="200">
        <f>(SUMIF(Fonctionnement[Affectation matrice],$AB$3,Fonctionnement[TVA acquittée])+SUMIF(Invest[Affectation matrice],$AB$3,Invest[TVA acquittée]))*BV22</f>
        <v>0</v>
      </c>
      <c r="CX22" s="200">
        <f>(SUMIF(Fonctionnement[Affectation matrice],$AB$3,Fonctionnement[TVA acquittée])+SUMIF(Invest[Affectation matrice],$AB$3,Invest[TVA acquittée]))*BW22</f>
        <v>0</v>
      </c>
      <c r="CY22" s="200">
        <f>(SUMIF(Fonctionnement[Affectation matrice],$AB$3,Fonctionnement[TVA acquittée])+SUMIF(Invest[Affectation matrice],$AB$3,Invest[TVA acquittée]))*BX22</f>
        <v>0</v>
      </c>
      <c r="CZ22" s="200">
        <f>(SUMIF(Fonctionnement[Affectation matrice],$AB$3,Fonctionnement[TVA acquittée])+SUMIF(Invest[Affectation matrice],$AB$3,Invest[TVA acquittée]))*BY22</f>
        <v>0</v>
      </c>
      <c r="DA22" s="200">
        <f>(SUMIF(Fonctionnement[Affectation matrice],$AB$3,Fonctionnement[TVA acquittée])+SUMIF(Invest[Affectation matrice],$AB$3,Invest[TVA acquittée]))*BZ22</f>
        <v>0</v>
      </c>
      <c r="DB22" s="200">
        <f>(SUMIF(Fonctionnement[Affectation matrice],$AB$3,Fonctionnement[TVA acquittée])+SUMIF(Invest[Affectation matrice],$AB$3,Invest[TVA acquittée]))*CA22</f>
        <v>0</v>
      </c>
    </row>
    <row r="23" spans="1:106" s="205" customFormat="1" ht="12.75" hidden="1" customHeight="1" x14ac:dyDescent="0.25">
      <c r="A23" s="186"/>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2"/>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03"/>
      <c r="BB23" s="204"/>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row>
    <row r="24" spans="1:106" s="22" customFormat="1" ht="12.75" hidden="1" customHeight="1" x14ac:dyDescent="0.25">
      <c r="A24" s="42" t="str">
        <f>Matrice[[#This Row],[Ligne de la matrice]]</f>
        <v>Ventes de produits et d'énergie</v>
      </c>
      <c r="B24" s="198">
        <f>(SUMIF(Fonctionnement[Affectation matrice],$AB$3,Fonctionnement[Montant (€HT)])+SUMIF(Invest[Affectation matrice],$AB$3,Invest[Amortissement HT + intérêts]))*BC24</f>
        <v>0</v>
      </c>
      <c r="C24" s="198">
        <f>(SUMIF(Fonctionnement[Affectation matrice],$AB$3,Fonctionnement[Montant (€HT)])+SUMIF(Invest[Affectation matrice],$AB$3,Invest[Amortissement HT + intérêts]))*BD24</f>
        <v>0</v>
      </c>
      <c r="D24" s="198">
        <f>(SUMIF(Fonctionnement[Affectation matrice],$AB$3,Fonctionnement[Montant (€HT)])+SUMIF(Invest[Affectation matrice],$AB$3,Invest[Amortissement HT + intérêts]))*BE24</f>
        <v>0</v>
      </c>
      <c r="E24" s="198">
        <f>(SUMIF(Fonctionnement[Affectation matrice],$AB$3,Fonctionnement[Montant (€HT)])+SUMIF(Invest[Affectation matrice],$AB$3,Invest[Amortissement HT + intérêts]))*BF24</f>
        <v>0</v>
      </c>
      <c r="F24" s="198">
        <f>(SUMIF(Fonctionnement[Affectation matrice],$AB$3,Fonctionnement[Montant (€HT)])+SUMIF(Invest[Affectation matrice],$AB$3,Invest[Amortissement HT + intérêts]))*BG24</f>
        <v>0</v>
      </c>
      <c r="G24" s="198">
        <f>(SUMIF(Fonctionnement[Affectation matrice],$AB$3,Fonctionnement[Montant (€HT)])+SUMIF(Invest[Affectation matrice],$AB$3,Invest[Amortissement HT + intérêts]))*BH24</f>
        <v>0</v>
      </c>
      <c r="H24" s="198">
        <f>(SUMIF(Fonctionnement[Affectation matrice],$AB$3,Fonctionnement[Montant (€HT)])+SUMIF(Invest[Affectation matrice],$AB$3,Invest[Amortissement HT + intérêts]))*BI24</f>
        <v>0</v>
      </c>
      <c r="I24" s="198">
        <f>(SUMIF(Fonctionnement[Affectation matrice],$AB$3,Fonctionnement[Montant (€HT)])+SUMIF(Invest[Affectation matrice],$AB$3,Invest[Amortissement HT + intérêts]))*BJ24</f>
        <v>0</v>
      </c>
      <c r="J24" s="198">
        <f>(SUMIF(Fonctionnement[Affectation matrice],$AB$3,Fonctionnement[Montant (€HT)])+SUMIF(Invest[Affectation matrice],$AB$3,Invest[Amortissement HT + intérêts]))*BK24</f>
        <v>0</v>
      </c>
      <c r="K24" s="198">
        <f>(SUMIF(Fonctionnement[Affectation matrice],$AB$3,Fonctionnement[Montant (€HT)])+SUMIF(Invest[Affectation matrice],$AB$3,Invest[Amortissement HT + intérêts]))*BL24</f>
        <v>0</v>
      </c>
      <c r="L24" s="198">
        <f>(SUMIF(Fonctionnement[Affectation matrice],$AB$3,Fonctionnement[Montant (€HT)])+SUMIF(Invest[Affectation matrice],$AB$3,Invest[Amortissement HT + intérêts]))*BM24</f>
        <v>0</v>
      </c>
      <c r="M24" s="198">
        <f>(SUMIF(Fonctionnement[Affectation matrice],$AB$3,Fonctionnement[Montant (€HT)])+SUMIF(Invest[Affectation matrice],$AB$3,Invest[Amortissement HT + intérêts]))*BN24</f>
        <v>0</v>
      </c>
      <c r="N24" s="198">
        <f>(SUMIF(Fonctionnement[Affectation matrice],$AB$3,Fonctionnement[Montant (€HT)])+SUMIF(Invest[Affectation matrice],$AB$3,Invest[Amortissement HT + intérêts]))*BO24</f>
        <v>0</v>
      </c>
      <c r="O24" s="198">
        <f>(SUMIF(Fonctionnement[Affectation matrice],$AB$3,Fonctionnement[Montant (€HT)])+SUMIF(Invest[Affectation matrice],$AB$3,Invest[Amortissement HT + intérêts]))*BP24</f>
        <v>0</v>
      </c>
      <c r="P24" s="198">
        <f>(SUMIF(Fonctionnement[Affectation matrice],$AB$3,Fonctionnement[Montant (€HT)])+SUMIF(Invest[Affectation matrice],$AB$3,Invest[Amortissement HT + intérêts]))*BQ24</f>
        <v>0</v>
      </c>
      <c r="Q24" s="198">
        <f>(SUMIF(Fonctionnement[Affectation matrice],$AB$3,Fonctionnement[Montant (€HT)])+SUMIF(Invest[Affectation matrice],$AB$3,Invest[Amortissement HT + intérêts]))*BR24</f>
        <v>0</v>
      </c>
      <c r="R24" s="198">
        <f>(SUMIF(Fonctionnement[Affectation matrice],$AB$3,Fonctionnement[Montant (€HT)])+SUMIF(Invest[Affectation matrice],$AB$3,Invest[Amortissement HT + intérêts]))*BS24</f>
        <v>0</v>
      </c>
      <c r="S24" s="198">
        <f>(SUMIF(Fonctionnement[Affectation matrice],$AB$3,Fonctionnement[Montant (€HT)])+SUMIF(Invest[Affectation matrice],$AB$3,Invest[Amortissement HT + intérêts]))*BT24</f>
        <v>0</v>
      </c>
      <c r="T24" s="198">
        <f>(SUMIF(Fonctionnement[Affectation matrice],$AB$3,Fonctionnement[Montant (€HT)])+SUMIF(Invest[Affectation matrice],$AB$3,Invest[Amortissement HT + intérêts]))*BU24</f>
        <v>0</v>
      </c>
      <c r="U24" s="198">
        <f>(SUMIF(Fonctionnement[Affectation matrice],$AB$3,Fonctionnement[Montant (€HT)])+SUMIF(Invest[Affectation matrice],$AB$3,Invest[Amortissement HT + intérêts]))*BV24</f>
        <v>0</v>
      </c>
      <c r="V24" s="198">
        <f>(SUMIF(Fonctionnement[Affectation matrice],$AB$3,Fonctionnement[Montant (€HT)])+SUMIF(Invest[Affectation matrice],$AB$3,Invest[Amortissement HT + intérêts]))*BW24</f>
        <v>0</v>
      </c>
      <c r="W24" s="198">
        <f>(SUMIF(Fonctionnement[Affectation matrice],$AB$3,Fonctionnement[Montant (€HT)])+SUMIF(Invest[Affectation matrice],$AB$3,Invest[Amortissement HT + intérêts]))*BX24</f>
        <v>0</v>
      </c>
      <c r="X24" s="198">
        <f>(SUMIF(Fonctionnement[Affectation matrice],$AB$3,Fonctionnement[Montant (€HT)])+SUMIF(Invest[Affectation matrice],$AB$3,Invest[Amortissement HT + intérêts]))*BY24</f>
        <v>0</v>
      </c>
      <c r="Y24" s="198">
        <f>(SUMIF(Fonctionnement[Affectation matrice],$AB$3,Fonctionnement[Montant (€HT)])+SUMIF(Invest[Affectation matrice],$AB$3,Invest[Amortissement HT + intérêts]))*BZ24</f>
        <v>0</v>
      </c>
      <c r="Z24" s="198">
        <f>(SUMIF(Fonctionnement[Affectation matrice],$AB$3,Fonctionnement[Montant (€HT)])+SUMIF(Invest[Affectation matrice],$AB$3,Invest[Amortissement HT + intérêts]))*CA24</f>
        <v>0</v>
      </c>
      <c r="AA24" s="199"/>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283">
        <f t="shared" si="4"/>
        <v>0</v>
      </c>
      <c r="BB24" s="7"/>
      <c r="BC24" s="61">
        <f t="shared" ref="BC24:BR33" si="8">IF($BA$53=0,0,AB24/$BA$53)</f>
        <v>0</v>
      </c>
      <c r="BD24" s="61">
        <f t="shared" si="8"/>
        <v>0</v>
      </c>
      <c r="BE24" s="61">
        <f t="shared" si="8"/>
        <v>0</v>
      </c>
      <c r="BF24" s="61">
        <f t="shared" si="8"/>
        <v>0</v>
      </c>
      <c r="BG24" s="61">
        <f t="shared" si="8"/>
        <v>0</v>
      </c>
      <c r="BH24" s="61">
        <f t="shared" si="8"/>
        <v>0</v>
      </c>
      <c r="BI24" s="61">
        <f t="shared" si="8"/>
        <v>0</v>
      </c>
      <c r="BJ24" s="61">
        <f t="shared" si="8"/>
        <v>0</v>
      </c>
      <c r="BK24" s="61">
        <f t="shared" si="8"/>
        <v>0</v>
      </c>
      <c r="BL24" s="61">
        <f t="shared" si="8"/>
        <v>0</v>
      </c>
      <c r="BM24" s="61">
        <f t="shared" si="8"/>
        <v>0</v>
      </c>
      <c r="BN24" s="61">
        <f t="shared" si="8"/>
        <v>0</v>
      </c>
      <c r="BO24" s="61">
        <f t="shared" si="8"/>
        <v>0</v>
      </c>
      <c r="BP24" s="61">
        <f t="shared" si="8"/>
        <v>0</v>
      </c>
      <c r="BQ24" s="61">
        <f t="shared" si="8"/>
        <v>0</v>
      </c>
      <c r="BR24" s="61">
        <f t="shared" si="8"/>
        <v>0</v>
      </c>
      <c r="BS24" s="61">
        <f t="shared" ref="BS24:CA33" si="9">IF($BA$53=0,0,AR24/$BA$53)</f>
        <v>0</v>
      </c>
      <c r="BT24" s="61">
        <f t="shared" si="9"/>
        <v>0</v>
      </c>
      <c r="BU24" s="61">
        <f t="shared" si="9"/>
        <v>0</v>
      </c>
      <c r="BV24" s="61">
        <f t="shared" si="9"/>
        <v>0</v>
      </c>
      <c r="BW24" s="61">
        <f t="shared" si="9"/>
        <v>0</v>
      </c>
      <c r="BX24" s="61">
        <f t="shared" si="9"/>
        <v>0</v>
      </c>
      <c r="BY24" s="61">
        <f t="shared" si="9"/>
        <v>0</v>
      </c>
      <c r="BZ24" s="61">
        <f t="shared" si="9"/>
        <v>0</v>
      </c>
      <c r="CA24" s="61">
        <f t="shared" si="9"/>
        <v>0</v>
      </c>
      <c r="CB24" s="61">
        <f t="shared" si="5"/>
        <v>0</v>
      </c>
      <c r="CD24" s="200">
        <f>(SUMIF(Fonctionnement[Affectation matrice],$AB$3,Fonctionnement[TVA acquittée])+SUMIF(Invest[Affectation matrice],$AB$3,Invest[TVA acquittée]))*BC24</f>
        <v>0</v>
      </c>
      <c r="CE24" s="200">
        <f>(SUMIF(Fonctionnement[Affectation matrice],$AB$3,Fonctionnement[TVA acquittée])+SUMIF(Invest[Affectation matrice],$AB$3,Invest[TVA acquittée]))*BD24</f>
        <v>0</v>
      </c>
      <c r="CF24" s="200">
        <f>(SUMIF(Fonctionnement[Affectation matrice],$AB$3,Fonctionnement[TVA acquittée])+SUMIF(Invest[Affectation matrice],$AB$3,Invest[TVA acquittée]))*BE24</f>
        <v>0</v>
      </c>
      <c r="CG24" s="200">
        <f>(SUMIF(Fonctionnement[Affectation matrice],$AB$3,Fonctionnement[TVA acquittée])+SUMIF(Invest[Affectation matrice],$AB$3,Invest[TVA acquittée]))*BF24</f>
        <v>0</v>
      </c>
      <c r="CH24" s="200">
        <f>(SUMIF(Fonctionnement[Affectation matrice],$AB$3,Fonctionnement[TVA acquittée])+SUMIF(Invest[Affectation matrice],$AB$3,Invest[TVA acquittée]))*BG24</f>
        <v>0</v>
      </c>
      <c r="CI24" s="200">
        <f>(SUMIF(Fonctionnement[Affectation matrice],$AB$3,Fonctionnement[TVA acquittée])+SUMIF(Invest[Affectation matrice],$AB$3,Invest[TVA acquittée]))*BH24</f>
        <v>0</v>
      </c>
      <c r="CJ24" s="200">
        <f>(SUMIF(Fonctionnement[Affectation matrice],$AB$3,Fonctionnement[TVA acquittée])+SUMIF(Invest[Affectation matrice],$AB$3,Invest[TVA acquittée]))*BI24</f>
        <v>0</v>
      </c>
      <c r="CK24" s="200">
        <f>(SUMIF(Fonctionnement[Affectation matrice],$AB$3,Fonctionnement[TVA acquittée])+SUMIF(Invest[Affectation matrice],$AB$3,Invest[TVA acquittée]))*BJ24</f>
        <v>0</v>
      </c>
      <c r="CL24" s="200">
        <f>(SUMIF(Fonctionnement[Affectation matrice],$AB$3,Fonctionnement[TVA acquittée])+SUMIF(Invest[Affectation matrice],$AB$3,Invest[TVA acquittée]))*BK24</f>
        <v>0</v>
      </c>
      <c r="CM24" s="200">
        <f>(SUMIF(Fonctionnement[Affectation matrice],$AB$3,Fonctionnement[TVA acquittée])+SUMIF(Invest[Affectation matrice],$AB$3,Invest[TVA acquittée]))*BL24</f>
        <v>0</v>
      </c>
      <c r="CN24" s="200">
        <f>(SUMIF(Fonctionnement[Affectation matrice],$AB$3,Fonctionnement[TVA acquittée])+SUMIF(Invest[Affectation matrice],$AB$3,Invest[TVA acquittée]))*BM24</f>
        <v>0</v>
      </c>
      <c r="CO24" s="200">
        <f>(SUMIF(Fonctionnement[Affectation matrice],$AB$3,Fonctionnement[TVA acquittée])+SUMIF(Invest[Affectation matrice],$AB$3,Invest[TVA acquittée]))*BN24</f>
        <v>0</v>
      </c>
      <c r="CP24" s="200">
        <f>(SUMIF(Fonctionnement[Affectation matrice],$AB$3,Fonctionnement[TVA acquittée])+SUMIF(Invest[Affectation matrice],$AB$3,Invest[TVA acquittée]))*BO24</f>
        <v>0</v>
      </c>
      <c r="CQ24" s="200">
        <f>(SUMIF(Fonctionnement[Affectation matrice],$AB$3,Fonctionnement[TVA acquittée])+SUMIF(Invest[Affectation matrice],$AB$3,Invest[TVA acquittée]))*BP24</f>
        <v>0</v>
      </c>
      <c r="CR24" s="200">
        <f>(SUMIF(Fonctionnement[Affectation matrice],$AB$3,Fonctionnement[TVA acquittée])+SUMIF(Invest[Affectation matrice],$AB$3,Invest[TVA acquittée]))*BQ24</f>
        <v>0</v>
      </c>
      <c r="CS24" s="200">
        <f>(SUMIF(Fonctionnement[Affectation matrice],$AB$3,Fonctionnement[TVA acquittée])+SUMIF(Invest[Affectation matrice],$AB$3,Invest[TVA acquittée]))*BR24</f>
        <v>0</v>
      </c>
      <c r="CT24" s="200">
        <f>(SUMIF(Fonctionnement[Affectation matrice],$AB$3,Fonctionnement[TVA acquittée])+SUMIF(Invest[Affectation matrice],$AB$3,Invest[TVA acquittée]))*BS24</f>
        <v>0</v>
      </c>
      <c r="CU24" s="200">
        <f>(SUMIF(Fonctionnement[Affectation matrice],$AB$3,Fonctionnement[TVA acquittée])+SUMIF(Invest[Affectation matrice],$AB$3,Invest[TVA acquittée]))*BT24</f>
        <v>0</v>
      </c>
      <c r="CV24" s="200">
        <f>(SUMIF(Fonctionnement[Affectation matrice],$AB$3,Fonctionnement[TVA acquittée])+SUMIF(Invest[Affectation matrice],$AB$3,Invest[TVA acquittée]))*BU24</f>
        <v>0</v>
      </c>
      <c r="CW24" s="200">
        <f>(SUMIF(Fonctionnement[Affectation matrice],$AB$3,Fonctionnement[TVA acquittée])+SUMIF(Invest[Affectation matrice],$AB$3,Invest[TVA acquittée]))*BV24</f>
        <v>0</v>
      </c>
      <c r="CX24" s="200">
        <f>(SUMIF(Fonctionnement[Affectation matrice],$AB$3,Fonctionnement[TVA acquittée])+SUMIF(Invest[Affectation matrice],$AB$3,Invest[TVA acquittée]))*BW24</f>
        <v>0</v>
      </c>
      <c r="CY24" s="200">
        <f>(SUMIF(Fonctionnement[Affectation matrice],$AB$3,Fonctionnement[TVA acquittée])+SUMIF(Invest[Affectation matrice],$AB$3,Invest[TVA acquittée]))*BX24</f>
        <v>0</v>
      </c>
      <c r="CZ24" s="200">
        <f>(SUMIF(Fonctionnement[Affectation matrice],$AB$3,Fonctionnement[TVA acquittée])+SUMIF(Invest[Affectation matrice],$AB$3,Invest[TVA acquittée]))*BY24</f>
        <v>0</v>
      </c>
      <c r="DA24" s="200">
        <f>(SUMIF(Fonctionnement[Affectation matrice],$AB$3,Fonctionnement[TVA acquittée])+SUMIF(Invest[Affectation matrice],$AB$3,Invest[TVA acquittée]))*BZ24</f>
        <v>0</v>
      </c>
      <c r="DB24" s="200">
        <f>(SUMIF(Fonctionnement[Affectation matrice],$AB$3,Fonctionnement[TVA acquittée])+SUMIF(Invest[Affectation matrice],$AB$3,Invest[TVA acquittée]))*CA24</f>
        <v>0</v>
      </c>
    </row>
    <row r="25" spans="1:106" s="22" customFormat="1" ht="12.75" hidden="1" customHeight="1" x14ac:dyDescent="0.25">
      <c r="A25" s="42" t="str">
        <f>Matrice[[#This Row],[Ligne de la matrice]]</f>
        <v>Matériaux</v>
      </c>
      <c r="B25" s="198">
        <f>(SUMIF(Fonctionnement[Affectation matrice],$AB$3,Fonctionnement[Montant (€HT)])+SUMIF(Invest[Affectation matrice],$AB$3,Invest[Amortissement HT + intérêts]))*BC25</f>
        <v>0</v>
      </c>
      <c r="C25" s="198">
        <f>(SUMIF(Fonctionnement[Affectation matrice],$AB$3,Fonctionnement[Montant (€HT)])+SUMIF(Invest[Affectation matrice],$AB$3,Invest[Amortissement HT + intérêts]))*BD25</f>
        <v>0</v>
      </c>
      <c r="D25" s="198">
        <f>(SUMIF(Fonctionnement[Affectation matrice],$AB$3,Fonctionnement[Montant (€HT)])+SUMIF(Invest[Affectation matrice],$AB$3,Invest[Amortissement HT + intérêts]))*BE25</f>
        <v>0</v>
      </c>
      <c r="E25" s="198">
        <f>(SUMIF(Fonctionnement[Affectation matrice],$AB$3,Fonctionnement[Montant (€HT)])+SUMIF(Invest[Affectation matrice],$AB$3,Invest[Amortissement HT + intérêts]))*BF25</f>
        <v>0</v>
      </c>
      <c r="F25" s="198">
        <f>(SUMIF(Fonctionnement[Affectation matrice],$AB$3,Fonctionnement[Montant (€HT)])+SUMIF(Invest[Affectation matrice],$AB$3,Invest[Amortissement HT + intérêts]))*BG25</f>
        <v>0</v>
      </c>
      <c r="G25" s="198">
        <f>(SUMIF(Fonctionnement[Affectation matrice],$AB$3,Fonctionnement[Montant (€HT)])+SUMIF(Invest[Affectation matrice],$AB$3,Invest[Amortissement HT + intérêts]))*BH25</f>
        <v>0</v>
      </c>
      <c r="H25" s="198">
        <f>(SUMIF(Fonctionnement[Affectation matrice],$AB$3,Fonctionnement[Montant (€HT)])+SUMIF(Invest[Affectation matrice],$AB$3,Invest[Amortissement HT + intérêts]))*BI25</f>
        <v>0</v>
      </c>
      <c r="I25" s="198">
        <f>(SUMIF(Fonctionnement[Affectation matrice],$AB$3,Fonctionnement[Montant (€HT)])+SUMIF(Invest[Affectation matrice],$AB$3,Invest[Amortissement HT + intérêts]))*BJ25</f>
        <v>0</v>
      </c>
      <c r="J25" s="198">
        <f>(SUMIF(Fonctionnement[Affectation matrice],$AB$3,Fonctionnement[Montant (€HT)])+SUMIF(Invest[Affectation matrice],$AB$3,Invest[Amortissement HT + intérêts]))*BK25</f>
        <v>0</v>
      </c>
      <c r="K25" s="198">
        <f>(SUMIF(Fonctionnement[Affectation matrice],$AB$3,Fonctionnement[Montant (€HT)])+SUMIF(Invest[Affectation matrice],$AB$3,Invest[Amortissement HT + intérêts]))*BL25</f>
        <v>0</v>
      </c>
      <c r="L25" s="198">
        <f>(SUMIF(Fonctionnement[Affectation matrice],$AB$3,Fonctionnement[Montant (€HT)])+SUMIF(Invest[Affectation matrice],$AB$3,Invest[Amortissement HT + intérêts]))*BM25</f>
        <v>0</v>
      </c>
      <c r="M25" s="198">
        <f>(SUMIF(Fonctionnement[Affectation matrice],$AB$3,Fonctionnement[Montant (€HT)])+SUMIF(Invest[Affectation matrice],$AB$3,Invest[Amortissement HT + intérêts]))*BN25</f>
        <v>0</v>
      </c>
      <c r="N25" s="198">
        <f>(SUMIF(Fonctionnement[Affectation matrice],$AB$3,Fonctionnement[Montant (€HT)])+SUMIF(Invest[Affectation matrice],$AB$3,Invest[Amortissement HT + intérêts]))*BO25</f>
        <v>0</v>
      </c>
      <c r="O25" s="198">
        <f>(SUMIF(Fonctionnement[Affectation matrice],$AB$3,Fonctionnement[Montant (€HT)])+SUMIF(Invest[Affectation matrice],$AB$3,Invest[Amortissement HT + intérêts]))*BP25</f>
        <v>0</v>
      </c>
      <c r="P25" s="198">
        <f>(SUMIF(Fonctionnement[Affectation matrice],$AB$3,Fonctionnement[Montant (€HT)])+SUMIF(Invest[Affectation matrice],$AB$3,Invest[Amortissement HT + intérêts]))*BQ25</f>
        <v>0</v>
      </c>
      <c r="Q25" s="198">
        <f>(SUMIF(Fonctionnement[Affectation matrice],$AB$3,Fonctionnement[Montant (€HT)])+SUMIF(Invest[Affectation matrice],$AB$3,Invest[Amortissement HT + intérêts]))*BR25</f>
        <v>0</v>
      </c>
      <c r="R25" s="198">
        <f>(SUMIF(Fonctionnement[Affectation matrice],$AB$3,Fonctionnement[Montant (€HT)])+SUMIF(Invest[Affectation matrice],$AB$3,Invest[Amortissement HT + intérêts]))*BS25</f>
        <v>0</v>
      </c>
      <c r="S25" s="198">
        <f>(SUMIF(Fonctionnement[Affectation matrice],$AB$3,Fonctionnement[Montant (€HT)])+SUMIF(Invest[Affectation matrice],$AB$3,Invest[Amortissement HT + intérêts]))*BT25</f>
        <v>0</v>
      </c>
      <c r="T25" s="198">
        <f>(SUMIF(Fonctionnement[Affectation matrice],$AB$3,Fonctionnement[Montant (€HT)])+SUMIF(Invest[Affectation matrice],$AB$3,Invest[Amortissement HT + intérêts]))*BU25</f>
        <v>0</v>
      </c>
      <c r="U25" s="198">
        <f>(SUMIF(Fonctionnement[Affectation matrice],$AB$3,Fonctionnement[Montant (€HT)])+SUMIF(Invest[Affectation matrice],$AB$3,Invest[Amortissement HT + intérêts]))*BV25</f>
        <v>0</v>
      </c>
      <c r="V25" s="198">
        <f>(SUMIF(Fonctionnement[Affectation matrice],$AB$3,Fonctionnement[Montant (€HT)])+SUMIF(Invest[Affectation matrice],$AB$3,Invest[Amortissement HT + intérêts]))*BW25</f>
        <v>0</v>
      </c>
      <c r="W25" s="198">
        <f>(SUMIF(Fonctionnement[Affectation matrice],$AB$3,Fonctionnement[Montant (€HT)])+SUMIF(Invest[Affectation matrice],$AB$3,Invest[Amortissement HT + intérêts]))*BX25</f>
        <v>0</v>
      </c>
      <c r="X25" s="198">
        <f>(SUMIF(Fonctionnement[Affectation matrice],$AB$3,Fonctionnement[Montant (€HT)])+SUMIF(Invest[Affectation matrice],$AB$3,Invest[Amortissement HT + intérêts]))*BY25</f>
        <v>0</v>
      </c>
      <c r="Y25" s="198">
        <f>(SUMIF(Fonctionnement[Affectation matrice],$AB$3,Fonctionnement[Montant (€HT)])+SUMIF(Invest[Affectation matrice],$AB$3,Invest[Amortissement HT + intérêts]))*BZ25</f>
        <v>0</v>
      </c>
      <c r="Z25" s="198">
        <f>(SUMIF(Fonctionnement[Affectation matrice],$AB$3,Fonctionnement[Montant (€HT)])+SUMIF(Invest[Affectation matrice],$AB$3,Invest[Amortissement HT + intérêts]))*CA25</f>
        <v>0</v>
      </c>
      <c r="AA25" s="199"/>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283">
        <f t="shared" si="4"/>
        <v>0</v>
      </c>
      <c r="BB25" s="7"/>
      <c r="BC25" s="61">
        <f t="shared" si="8"/>
        <v>0</v>
      </c>
      <c r="BD25" s="61">
        <f t="shared" si="8"/>
        <v>0</v>
      </c>
      <c r="BE25" s="61">
        <f t="shared" si="8"/>
        <v>0</v>
      </c>
      <c r="BF25" s="61">
        <f t="shared" si="8"/>
        <v>0</v>
      </c>
      <c r="BG25" s="61">
        <f t="shared" si="8"/>
        <v>0</v>
      </c>
      <c r="BH25" s="61">
        <f t="shared" si="8"/>
        <v>0</v>
      </c>
      <c r="BI25" s="61">
        <f t="shared" si="8"/>
        <v>0</v>
      </c>
      <c r="BJ25" s="61">
        <f t="shared" si="8"/>
        <v>0</v>
      </c>
      <c r="BK25" s="61">
        <f t="shared" si="8"/>
        <v>0</v>
      </c>
      <c r="BL25" s="61">
        <f t="shared" si="8"/>
        <v>0</v>
      </c>
      <c r="BM25" s="61">
        <f t="shared" si="8"/>
        <v>0</v>
      </c>
      <c r="BN25" s="61">
        <f t="shared" si="8"/>
        <v>0</v>
      </c>
      <c r="BO25" s="61">
        <f t="shared" si="8"/>
        <v>0</v>
      </c>
      <c r="BP25" s="61">
        <f t="shared" si="8"/>
        <v>0</v>
      </c>
      <c r="BQ25" s="61">
        <f t="shared" si="8"/>
        <v>0</v>
      </c>
      <c r="BR25" s="61">
        <f t="shared" si="8"/>
        <v>0</v>
      </c>
      <c r="BS25" s="61">
        <f t="shared" si="9"/>
        <v>0</v>
      </c>
      <c r="BT25" s="61">
        <f t="shared" si="9"/>
        <v>0</v>
      </c>
      <c r="BU25" s="61">
        <f t="shared" si="9"/>
        <v>0</v>
      </c>
      <c r="BV25" s="61">
        <f t="shared" si="9"/>
        <v>0</v>
      </c>
      <c r="BW25" s="61">
        <f t="shared" si="9"/>
        <v>0</v>
      </c>
      <c r="BX25" s="61">
        <f t="shared" si="9"/>
        <v>0</v>
      </c>
      <c r="BY25" s="61">
        <f t="shared" si="9"/>
        <v>0</v>
      </c>
      <c r="BZ25" s="61">
        <f t="shared" si="9"/>
        <v>0</v>
      </c>
      <c r="CA25" s="61">
        <f t="shared" si="9"/>
        <v>0</v>
      </c>
      <c r="CB25" s="61">
        <f t="shared" si="5"/>
        <v>0</v>
      </c>
      <c r="CD25" s="200">
        <f>(SUMIF(Fonctionnement[Affectation matrice],$AB$3,Fonctionnement[TVA acquittée])+SUMIF(Invest[Affectation matrice],$AB$3,Invest[TVA acquittée]))*BC25</f>
        <v>0</v>
      </c>
      <c r="CE25" s="200">
        <f>(SUMIF(Fonctionnement[Affectation matrice],$AB$3,Fonctionnement[TVA acquittée])+SUMIF(Invest[Affectation matrice],$AB$3,Invest[TVA acquittée]))*BD25</f>
        <v>0</v>
      </c>
      <c r="CF25" s="200">
        <f>(SUMIF(Fonctionnement[Affectation matrice],$AB$3,Fonctionnement[TVA acquittée])+SUMIF(Invest[Affectation matrice],$AB$3,Invest[TVA acquittée]))*BE25</f>
        <v>0</v>
      </c>
      <c r="CG25" s="200">
        <f>(SUMIF(Fonctionnement[Affectation matrice],$AB$3,Fonctionnement[TVA acquittée])+SUMIF(Invest[Affectation matrice],$AB$3,Invest[TVA acquittée]))*BF25</f>
        <v>0</v>
      </c>
      <c r="CH25" s="200">
        <f>(SUMIF(Fonctionnement[Affectation matrice],$AB$3,Fonctionnement[TVA acquittée])+SUMIF(Invest[Affectation matrice],$AB$3,Invest[TVA acquittée]))*BG25</f>
        <v>0</v>
      </c>
      <c r="CI25" s="200">
        <f>(SUMIF(Fonctionnement[Affectation matrice],$AB$3,Fonctionnement[TVA acquittée])+SUMIF(Invest[Affectation matrice],$AB$3,Invest[TVA acquittée]))*BH25</f>
        <v>0</v>
      </c>
      <c r="CJ25" s="200">
        <f>(SUMIF(Fonctionnement[Affectation matrice],$AB$3,Fonctionnement[TVA acquittée])+SUMIF(Invest[Affectation matrice],$AB$3,Invest[TVA acquittée]))*BI25</f>
        <v>0</v>
      </c>
      <c r="CK25" s="200">
        <f>(SUMIF(Fonctionnement[Affectation matrice],$AB$3,Fonctionnement[TVA acquittée])+SUMIF(Invest[Affectation matrice],$AB$3,Invest[TVA acquittée]))*BJ25</f>
        <v>0</v>
      </c>
      <c r="CL25" s="200">
        <f>(SUMIF(Fonctionnement[Affectation matrice],$AB$3,Fonctionnement[TVA acquittée])+SUMIF(Invest[Affectation matrice],$AB$3,Invest[TVA acquittée]))*BK25</f>
        <v>0</v>
      </c>
      <c r="CM25" s="200">
        <f>(SUMIF(Fonctionnement[Affectation matrice],$AB$3,Fonctionnement[TVA acquittée])+SUMIF(Invest[Affectation matrice],$AB$3,Invest[TVA acquittée]))*BL25</f>
        <v>0</v>
      </c>
      <c r="CN25" s="200">
        <f>(SUMIF(Fonctionnement[Affectation matrice],$AB$3,Fonctionnement[TVA acquittée])+SUMIF(Invest[Affectation matrice],$AB$3,Invest[TVA acquittée]))*BM25</f>
        <v>0</v>
      </c>
      <c r="CO25" s="200">
        <f>(SUMIF(Fonctionnement[Affectation matrice],$AB$3,Fonctionnement[TVA acquittée])+SUMIF(Invest[Affectation matrice],$AB$3,Invest[TVA acquittée]))*BN25</f>
        <v>0</v>
      </c>
      <c r="CP25" s="200">
        <f>(SUMIF(Fonctionnement[Affectation matrice],$AB$3,Fonctionnement[TVA acquittée])+SUMIF(Invest[Affectation matrice],$AB$3,Invest[TVA acquittée]))*BO25</f>
        <v>0</v>
      </c>
      <c r="CQ25" s="200">
        <f>(SUMIF(Fonctionnement[Affectation matrice],$AB$3,Fonctionnement[TVA acquittée])+SUMIF(Invest[Affectation matrice],$AB$3,Invest[TVA acquittée]))*BP25</f>
        <v>0</v>
      </c>
      <c r="CR25" s="200">
        <f>(SUMIF(Fonctionnement[Affectation matrice],$AB$3,Fonctionnement[TVA acquittée])+SUMIF(Invest[Affectation matrice],$AB$3,Invest[TVA acquittée]))*BQ25</f>
        <v>0</v>
      </c>
      <c r="CS25" s="200">
        <f>(SUMIF(Fonctionnement[Affectation matrice],$AB$3,Fonctionnement[TVA acquittée])+SUMIF(Invest[Affectation matrice],$AB$3,Invest[TVA acquittée]))*BR25</f>
        <v>0</v>
      </c>
      <c r="CT25" s="200">
        <f>(SUMIF(Fonctionnement[Affectation matrice],$AB$3,Fonctionnement[TVA acquittée])+SUMIF(Invest[Affectation matrice],$AB$3,Invest[TVA acquittée]))*BS25</f>
        <v>0</v>
      </c>
      <c r="CU25" s="200">
        <f>(SUMIF(Fonctionnement[Affectation matrice],$AB$3,Fonctionnement[TVA acquittée])+SUMIF(Invest[Affectation matrice],$AB$3,Invest[TVA acquittée]))*BT25</f>
        <v>0</v>
      </c>
      <c r="CV25" s="200">
        <f>(SUMIF(Fonctionnement[Affectation matrice],$AB$3,Fonctionnement[TVA acquittée])+SUMIF(Invest[Affectation matrice],$AB$3,Invest[TVA acquittée]))*BU25</f>
        <v>0</v>
      </c>
      <c r="CW25" s="200">
        <f>(SUMIF(Fonctionnement[Affectation matrice],$AB$3,Fonctionnement[TVA acquittée])+SUMIF(Invest[Affectation matrice],$AB$3,Invest[TVA acquittée]))*BV25</f>
        <v>0</v>
      </c>
      <c r="CX25" s="200">
        <f>(SUMIF(Fonctionnement[Affectation matrice],$AB$3,Fonctionnement[TVA acquittée])+SUMIF(Invest[Affectation matrice],$AB$3,Invest[TVA acquittée]))*BW25</f>
        <v>0</v>
      </c>
      <c r="CY25" s="200">
        <f>(SUMIF(Fonctionnement[Affectation matrice],$AB$3,Fonctionnement[TVA acquittée])+SUMIF(Invest[Affectation matrice],$AB$3,Invest[TVA acquittée]))*BX25</f>
        <v>0</v>
      </c>
      <c r="CZ25" s="200">
        <f>(SUMIF(Fonctionnement[Affectation matrice],$AB$3,Fonctionnement[TVA acquittée])+SUMIF(Invest[Affectation matrice],$AB$3,Invest[TVA acquittée]))*BY25</f>
        <v>0</v>
      </c>
      <c r="DA25" s="200">
        <f>(SUMIF(Fonctionnement[Affectation matrice],$AB$3,Fonctionnement[TVA acquittée])+SUMIF(Invest[Affectation matrice],$AB$3,Invest[TVA acquittée]))*BZ25</f>
        <v>0</v>
      </c>
      <c r="DB25" s="200">
        <f>(SUMIF(Fonctionnement[Affectation matrice],$AB$3,Fonctionnement[TVA acquittée])+SUMIF(Invest[Affectation matrice],$AB$3,Invest[TVA acquittée]))*CA25</f>
        <v>0</v>
      </c>
    </row>
    <row r="26" spans="1:106" s="22" customFormat="1" ht="12.75" hidden="1" customHeight="1" x14ac:dyDescent="0.25">
      <c r="A26" s="42" t="str">
        <f>Matrice[[#This Row],[Ligne de la matrice]]</f>
        <v>Compost</v>
      </c>
      <c r="B26" s="198">
        <f>(SUMIF(Fonctionnement[Affectation matrice],$AB$3,Fonctionnement[Montant (€HT)])+SUMIF(Invest[Affectation matrice],$AB$3,Invest[Amortissement HT + intérêts]))*BC26</f>
        <v>0</v>
      </c>
      <c r="C26" s="198">
        <f>(SUMIF(Fonctionnement[Affectation matrice],$AB$3,Fonctionnement[Montant (€HT)])+SUMIF(Invest[Affectation matrice],$AB$3,Invest[Amortissement HT + intérêts]))*BD26</f>
        <v>0</v>
      </c>
      <c r="D26" s="198">
        <f>(SUMIF(Fonctionnement[Affectation matrice],$AB$3,Fonctionnement[Montant (€HT)])+SUMIF(Invest[Affectation matrice],$AB$3,Invest[Amortissement HT + intérêts]))*BE26</f>
        <v>0</v>
      </c>
      <c r="E26" s="198">
        <f>(SUMIF(Fonctionnement[Affectation matrice],$AB$3,Fonctionnement[Montant (€HT)])+SUMIF(Invest[Affectation matrice],$AB$3,Invest[Amortissement HT + intérêts]))*BF26</f>
        <v>0</v>
      </c>
      <c r="F26" s="198">
        <f>(SUMIF(Fonctionnement[Affectation matrice],$AB$3,Fonctionnement[Montant (€HT)])+SUMIF(Invest[Affectation matrice],$AB$3,Invest[Amortissement HT + intérêts]))*BG26</f>
        <v>0</v>
      </c>
      <c r="G26" s="198">
        <f>(SUMIF(Fonctionnement[Affectation matrice],$AB$3,Fonctionnement[Montant (€HT)])+SUMIF(Invest[Affectation matrice],$AB$3,Invest[Amortissement HT + intérêts]))*BH26</f>
        <v>0</v>
      </c>
      <c r="H26" s="198">
        <f>(SUMIF(Fonctionnement[Affectation matrice],$AB$3,Fonctionnement[Montant (€HT)])+SUMIF(Invest[Affectation matrice],$AB$3,Invest[Amortissement HT + intérêts]))*BI26</f>
        <v>0</v>
      </c>
      <c r="I26" s="198">
        <f>(SUMIF(Fonctionnement[Affectation matrice],$AB$3,Fonctionnement[Montant (€HT)])+SUMIF(Invest[Affectation matrice],$AB$3,Invest[Amortissement HT + intérêts]))*BJ26</f>
        <v>0</v>
      </c>
      <c r="J26" s="198">
        <f>(SUMIF(Fonctionnement[Affectation matrice],$AB$3,Fonctionnement[Montant (€HT)])+SUMIF(Invest[Affectation matrice],$AB$3,Invest[Amortissement HT + intérêts]))*BK26</f>
        <v>0</v>
      </c>
      <c r="K26" s="198">
        <f>(SUMIF(Fonctionnement[Affectation matrice],$AB$3,Fonctionnement[Montant (€HT)])+SUMIF(Invest[Affectation matrice],$AB$3,Invest[Amortissement HT + intérêts]))*BL26</f>
        <v>0</v>
      </c>
      <c r="L26" s="198">
        <f>(SUMIF(Fonctionnement[Affectation matrice],$AB$3,Fonctionnement[Montant (€HT)])+SUMIF(Invest[Affectation matrice],$AB$3,Invest[Amortissement HT + intérêts]))*BM26</f>
        <v>0</v>
      </c>
      <c r="M26" s="198">
        <f>(SUMIF(Fonctionnement[Affectation matrice],$AB$3,Fonctionnement[Montant (€HT)])+SUMIF(Invest[Affectation matrice],$AB$3,Invest[Amortissement HT + intérêts]))*BN26</f>
        <v>0</v>
      </c>
      <c r="N26" s="198">
        <f>(SUMIF(Fonctionnement[Affectation matrice],$AB$3,Fonctionnement[Montant (€HT)])+SUMIF(Invest[Affectation matrice],$AB$3,Invest[Amortissement HT + intérêts]))*BO26</f>
        <v>0</v>
      </c>
      <c r="O26" s="198">
        <f>(SUMIF(Fonctionnement[Affectation matrice],$AB$3,Fonctionnement[Montant (€HT)])+SUMIF(Invest[Affectation matrice],$AB$3,Invest[Amortissement HT + intérêts]))*BP26</f>
        <v>0</v>
      </c>
      <c r="P26" s="198">
        <f>(SUMIF(Fonctionnement[Affectation matrice],$AB$3,Fonctionnement[Montant (€HT)])+SUMIF(Invest[Affectation matrice],$AB$3,Invest[Amortissement HT + intérêts]))*BQ26</f>
        <v>0</v>
      </c>
      <c r="Q26" s="198">
        <f>(SUMIF(Fonctionnement[Affectation matrice],$AB$3,Fonctionnement[Montant (€HT)])+SUMIF(Invest[Affectation matrice],$AB$3,Invest[Amortissement HT + intérêts]))*BR26</f>
        <v>0</v>
      </c>
      <c r="R26" s="198">
        <f>(SUMIF(Fonctionnement[Affectation matrice],$AB$3,Fonctionnement[Montant (€HT)])+SUMIF(Invest[Affectation matrice],$AB$3,Invest[Amortissement HT + intérêts]))*BS26</f>
        <v>0</v>
      </c>
      <c r="S26" s="198">
        <f>(SUMIF(Fonctionnement[Affectation matrice],$AB$3,Fonctionnement[Montant (€HT)])+SUMIF(Invest[Affectation matrice],$AB$3,Invest[Amortissement HT + intérêts]))*BT26</f>
        <v>0</v>
      </c>
      <c r="T26" s="198">
        <f>(SUMIF(Fonctionnement[Affectation matrice],$AB$3,Fonctionnement[Montant (€HT)])+SUMIF(Invest[Affectation matrice],$AB$3,Invest[Amortissement HT + intérêts]))*BU26</f>
        <v>0</v>
      </c>
      <c r="U26" s="198">
        <f>(SUMIF(Fonctionnement[Affectation matrice],$AB$3,Fonctionnement[Montant (€HT)])+SUMIF(Invest[Affectation matrice],$AB$3,Invest[Amortissement HT + intérêts]))*BV26</f>
        <v>0</v>
      </c>
      <c r="V26" s="198">
        <f>(SUMIF(Fonctionnement[Affectation matrice],$AB$3,Fonctionnement[Montant (€HT)])+SUMIF(Invest[Affectation matrice],$AB$3,Invest[Amortissement HT + intérêts]))*BW26</f>
        <v>0</v>
      </c>
      <c r="W26" s="198">
        <f>(SUMIF(Fonctionnement[Affectation matrice],$AB$3,Fonctionnement[Montant (€HT)])+SUMIF(Invest[Affectation matrice],$AB$3,Invest[Amortissement HT + intérêts]))*BX26</f>
        <v>0</v>
      </c>
      <c r="X26" s="198">
        <f>(SUMIF(Fonctionnement[Affectation matrice],$AB$3,Fonctionnement[Montant (€HT)])+SUMIF(Invest[Affectation matrice],$AB$3,Invest[Amortissement HT + intérêts]))*BY26</f>
        <v>0</v>
      </c>
      <c r="Y26" s="198">
        <f>(SUMIF(Fonctionnement[Affectation matrice],$AB$3,Fonctionnement[Montant (€HT)])+SUMIF(Invest[Affectation matrice],$AB$3,Invest[Amortissement HT + intérêts]))*BZ26</f>
        <v>0</v>
      </c>
      <c r="Z26" s="198">
        <f>(SUMIF(Fonctionnement[Affectation matrice],$AB$3,Fonctionnement[Montant (€HT)])+SUMIF(Invest[Affectation matrice],$AB$3,Invest[Amortissement HT + intérêts]))*CA26</f>
        <v>0</v>
      </c>
      <c r="AA26" s="199"/>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283">
        <f t="shared" si="4"/>
        <v>0</v>
      </c>
      <c r="BB26" s="7"/>
      <c r="BC26" s="61">
        <f t="shared" si="8"/>
        <v>0</v>
      </c>
      <c r="BD26" s="61">
        <f t="shared" si="8"/>
        <v>0</v>
      </c>
      <c r="BE26" s="61">
        <f t="shared" si="8"/>
        <v>0</v>
      </c>
      <c r="BF26" s="61">
        <f t="shared" si="8"/>
        <v>0</v>
      </c>
      <c r="BG26" s="61">
        <f t="shared" si="8"/>
        <v>0</v>
      </c>
      <c r="BH26" s="61">
        <f t="shared" si="8"/>
        <v>0</v>
      </c>
      <c r="BI26" s="61">
        <f t="shared" si="8"/>
        <v>0</v>
      </c>
      <c r="BJ26" s="61">
        <f t="shared" si="8"/>
        <v>0</v>
      </c>
      <c r="BK26" s="61">
        <f t="shared" si="8"/>
        <v>0</v>
      </c>
      <c r="BL26" s="61">
        <f t="shared" si="8"/>
        <v>0</v>
      </c>
      <c r="BM26" s="61">
        <f t="shared" si="8"/>
        <v>0</v>
      </c>
      <c r="BN26" s="61">
        <f t="shared" si="8"/>
        <v>0</v>
      </c>
      <c r="BO26" s="61">
        <f t="shared" si="8"/>
        <v>0</v>
      </c>
      <c r="BP26" s="61">
        <f t="shared" si="8"/>
        <v>0</v>
      </c>
      <c r="BQ26" s="61">
        <f t="shared" si="8"/>
        <v>0</v>
      </c>
      <c r="BR26" s="61">
        <f t="shared" si="8"/>
        <v>0</v>
      </c>
      <c r="BS26" s="61">
        <f t="shared" si="9"/>
        <v>0</v>
      </c>
      <c r="BT26" s="61">
        <f t="shared" si="9"/>
        <v>0</v>
      </c>
      <c r="BU26" s="61">
        <f t="shared" si="9"/>
        <v>0</v>
      </c>
      <c r="BV26" s="61">
        <f t="shared" si="9"/>
        <v>0</v>
      </c>
      <c r="BW26" s="61">
        <f t="shared" si="9"/>
        <v>0</v>
      </c>
      <c r="BX26" s="61">
        <f t="shared" si="9"/>
        <v>0</v>
      </c>
      <c r="BY26" s="61">
        <f t="shared" si="9"/>
        <v>0</v>
      </c>
      <c r="BZ26" s="61">
        <f t="shared" si="9"/>
        <v>0</v>
      </c>
      <c r="CA26" s="61">
        <f t="shared" si="9"/>
        <v>0</v>
      </c>
      <c r="CB26" s="61">
        <f t="shared" si="5"/>
        <v>0</v>
      </c>
      <c r="CD26" s="200">
        <f>(SUMIF(Fonctionnement[Affectation matrice],$AB$3,Fonctionnement[TVA acquittée])+SUMIF(Invest[Affectation matrice],$AB$3,Invest[TVA acquittée]))*BC26</f>
        <v>0</v>
      </c>
      <c r="CE26" s="200">
        <f>(SUMIF(Fonctionnement[Affectation matrice],$AB$3,Fonctionnement[TVA acquittée])+SUMIF(Invest[Affectation matrice],$AB$3,Invest[TVA acquittée]))*BD26</f>
        <v>0</v>
      </c>
      <c r="CF26" s="200">
        <f>(SUMIF(Fonctionnement[Affectation matrice],$AB$3,Fonctionnement[TVA acquittée])+SUMIF(Invest[Affectation matrice],$AB$3,Invest[TVA acquittée]))*BE26</f>
        <v>0</v>
      </c>
      <c r="CG26" s="200">
        <f>(SUMIF(Fonctionnement[Affectation matrice],$AB$3,Fonctionnement[TVA acquittée])+SUMIF(Invest[Affectation matrice],$AB$3,Invest[TVA acquittée]))*BF26</f>
        <v>0</v>
      </c>
      <c r="CH26" s="200">
        <f>(SUMIF(Fonctionnement[Affectation matrice],$AB$3,Fonctionnement[TVA acquittée])+SUMIF(Invest[Affectation matrice],$AB$3,Invest[TVA acquittée]))*BG26</f>
        <v>0</v>
      </c>
      <c r="CI26" s="200">
        <f>(SUMIF(Fonctionnement[Affectation matrice],$AB$3,Fonctionnement[TVA acquittée])+SUMIF(Invest[Affectation matrice],$AB$3,Invest[TVA acquittée]))*BH26</f>
        <v>0</v>
      </c>
      <c r="CJ26" s="200">
        <f>(SUMIF(Fonctionnement[Affectation matrice],$AB$3,Fonctionnement[TVA acquittée])+SUMIF(Invest[Affectation matrice],$AB$3,Invest[TVA acquittée]))*BI26</f>
        <v>0</v>
      </c>
      <c r="CK26" s="200">
        <f>(SUMIF(Fonctionnement[Affectation matrice],$AB$3,Fonctionnement[TVA acquittée])+SUMIF(Invest[Affectation matrice],$AB$3,Invest[TVA acquittée]))*BJ26</f>
        <v>0</v>
      </c>
      <c r="CL26" s="200">
        <f>(SUMIF(Fonctionnement[Affectation matrice],$AB$3,Fonctionnement[TVA acquittée])+SUMIF(Invest[Affectation matrice],$AB$3,Invest[TVA acquittée]))*BK26</f>
        <v>0</v>
      </c>
      <c r="CM26" s="200">
        <f>(SUMIF(Fonctionnement[Affectation matrice],$AB$3,Fonctionnement[TVA acquittée])+SUMIF(Invest[Affectation matrice],$AB$3,Invest[TVA acquittée]))*BL26</f>
        <v>0</v>
      </c>
      <c r="CN26" s="200">
        <f>(SUMIF(Fonctionnement[Affectation matrice],$AB$3,Fonctionnement[TVA acquittée])+SUMIF(Invest[Affectation matrice],$AB$3,Invest[TVA acquittée]))*BM26</f>
        <v>0</v>
      </c>
      <c r="CO26" s="200">
        <f>(SUMIF(Fonctionnement[Affectation matrice],$AB$3,Fonctionnement[TVA acquittée])+SUMIF(Invest[Affectation matrice],$AB$3,Invest[TVA acquittée]))*BN26</f>
        <v>0</v>
      </c>
      <c r="CP26" s="200">
        <f>(SUMIF(Fonctionnement[Affectation matrice],$AB$3,Fonctionnement[TVA acquittée])+SUMIF(Invest[Affectation matrice],$AB$3,Invest[TVA acquittée]))*BO26</f>
        <v>0</v>
      </c>
      <c r="CQ26" s="200">
        <f>(SUMIF(Fonctionnement[Affectation matrice],$AB$3,Fonctionnement[TVA acquittée])+SUMIF(Invest[Affectation matrice],$AB$3,Invest[TVA acquittée]))*BP26</f>
        <v>0</v>
      </c>
      <c r="CR26" s="200">
        <f>(SUMIF(Fonctionnement[Affectation matrice],$AB$3,Fonctionnement[TVA acquittée])+SUMIF(Invest[Affectation matrice],$AB$3,Invest[TVA acquittée]))*BQ26</f>
        <v>0</v>
      </c>
      <c r="CS26" s="200">
        <f>(SUMIF(Fonctionnement[Affectation matrice],$AB$3,Fonctionnement[TVA acquittée])+SUMIF(Invest[Affectation matrice],$AB$3,Invest[TVA acquittée]))*BR26</f>
        <v>0</v>
      </c>
      <c r="CT26" s="200">
        <f>(SUMIF(Fonctionnement[Affectation matrice],$AB$3,Fonctionnement[TVA acquittée])+SUMIF(Invest[Affectation matrice],$AB$3,Invest[TVA acquittée]))*BS26</f>
        <v>0</v>
      </c>
      <c r="CU26" s="200">
        <f>(SUMIF(Fonctionnement[Affectation matrice],$AB$3,Fonctionnement[TVA acquittée])+SUMIF(Invest[Affectation matrice],$AB$3,Invest[TVA acquittée]))*BT26</f>
        <v>0</v>
      </c>
      <c r="CV26" s="200">
        <f>(SUMIF(Fonctionnement[Affectation matrice],$AB$3,Fonctionnement[TVA acquittée])+SUMIF(Invest[Affectation matrice],$AB$3,Invest[TVA acquittée]))*BU26</f>
        <v>0</v>
      </c>
      <c r="CW26" s="200">
        <f>(SUMIF(Fonctionnement[Affectation matrice],$AB$3,Fonctionnement[TVA acquittée])+SUMIF(Invest[Affectation matrice],$AB$3,Invest[TVA acquittée]))*BV26</f>
        <v>0</v>
      </c>
      <c r="CX26" s="200">
        <f>(SUMIF(Fonctionnement[Affectation matrice],$AB$3,Fonctionnement[TVA acquittée])+SUMIF(Invest[Affectation matrice],$AB$3,Invest[TVA acquittée]))*BW26</f>
        <v>0</v>
      </c>
      <c r="CY26" s="200">
        <f>(SUMIF(Fonctionnement[Affectation matrice],$AB$3,Fonctionnement[TVA acquittée])+SUMIF(Invest[Affectation matrice],$AB$3,Invest[TVA acquittée]))*BX26</f>
        <v>0</v>
      </c>
      <c r="CZ26" s="200">
        <f>(SUMIF(Fonctionnement[Affectation matrice],$AB$3,Fonctionnement[TVA acquittée])+SUMIF(Invest[Affectation matrice],$AB$3,Invest[TVA acquittée]))*BY26</f>
        <v>0</v>
      </c>
      <c r="DA26" s="200">
        <f>(SUMIF(Fonctionnement[Affectation matrice],$AB$3,Fonctionnement[TVA acquittée])+SUMIF(Invest[Affectation matrice],$AB$3,Invest[TVA acquittée]))*BZ26</f>
        <v>0</v>
      </c>
      <c r="DB26" s="200">
        <f>(SUMIF(Fonctionnement[Affectation matrice],$AB$3,Fonctionnement[TVA acquittée])+SUMIF(Invest[Affectation matrice],$AB$3,Invest[TVA acquittée]))*CA26</f>
        <v>0</v>
      </c>
    </row>
    <row r="27" spans="1:106" s="22" customFormat="1" ht="12.75" hidden="1" customHeight="1" x14ac:dyDescent="0.25">
      <c r="A27" s="42" t="str">
        <f>Matrice[[#This Row],[Ligne de la matrice]]</f>
        <v>Énergie</v>
      </c>
      <c r="B27" s="198">
        <f>(SUMIF(Fonctionnement[Affectation matrice],$AB$3,Fonctionnement[Montant (€HT)])+SUMIF(Invest[Affectation matrice],$AB$3,Invest[Amortissement HT + intérêts]))*BC27</f>
        <v>0</v>
      </c>
      <c r="C27" s="198">
        <f>(SUMIF(Fonctionnement[Affectation matrice],$AB$3,Fonctionnement[Montant (€HT)])+SUMIF(Invest[Affectation matrice],$AB$3,Invest[Amortissement HT + intérêts]))*BD27</f>
        <v>0</v>
      </c>
      <c r="D27" s="198">
        <f>(SUMIF(Fonctionnement[Affectation matrice],$AB$3,Fonctionnement[Montant (€HT)])+SUMIF(Invest[Affectation matrice],$AB$3,Invest[Amortissement HT + intérêts]))*BE27</f>
        <v>0</v>
      </c>
      <c r="E27" s="198">
        <f>(SUMIF(Fonctionnement[Affectation matrice],$AB$3,Fonctionnement[Montant (€HT)])+SUMIF(Invest[Affectation matrice],$AB$3,Invest[Amortissement HT + intérêts]))*BF27</f>
        <v>0</v>
      </c>
      <c r="F27" s="198">
        <f>(SUMIF(Fonctionnement[Affectation matrice],$AB$3,Fonctionnement[Montant (€HT)])+SUMIF(Invest[Affectation matrice],$AB$3,Invest[Amortissement HT + intérêts]))*BG27</f>
        <v>0</v>
      </c>
      <c r="G27" s="198">
        <f>(SUMIF(Fonctionnement[Affectation matrice],$AB$3,Fonctionnement[Montant (€HT)])+SUMIF(Invest[Affectation matrice],$AB$3,Invest[Amortissement HT + intérêts]))*BH27</f>
        <v>0</v>
      </c>
      <c r="H27" s="198">
        <f>(SUMIF(Fonctionnement[Affectation matrice],$AB$3,Fonctionnement[Montant (€HT)])+SUMIF(Invest[Affectation matrice],$AB$3,Invest[Amortissement HT + intérêts]))*BI27</f>
        <v>0</v>
      </c>
      <c r="I27" s="198">
        <f>(SUMIF(Fonctionnement[Affectation matrice],$AB$3,Fonctionnement[Montant (€HT)])+SUMIF(Invest[Affectation matrice],$AB$3,Invest[Amortissement HT + intérêts]))*BJ27</f>
        <v>0</v>
      </c>
      <c r="J27" s="198">
        <f>(SUMIF(Fonctionnement[Affectation matrice],$AB$3,Fonctionnement[Montant (€HT)])+SUMIF(Invest[Affectation matrice],$AB$3,Invest[Amortissement HT + intérêts]))*BK27</f>
        <v>0</v>
      </c>
      <c r="K27" s="198">
        <f>(SUMIF(Fonctionnement[Affectation matrice],$AB$3,Fonctionnement[Montant (€HT)])+SUMIF(Invest[Affectation matrice],$AB$3,Invest[Amortissement HT + intérêts]))*BL27</f>
        <v>0</v>
      </c>
      <c r="L27" s="198">
        <f>(SUMIF(Fonctionnement[Affectation matrice],$AB$3,Fonctionnement[Montant (€HT)])+SUMIF(Invest[Affectation matrice],$AB$3,Invest[Amortissement HT + intérêts]))*BM27</f>
        <v>0</v>
      </c>
      <c r="M27" s="198">
        <f>(SUMIF(Fonctionnement[Affectation matrice],$AB$3,Fonctionnement[Montant (€HT)])+SUMIF(Invest[Affectation matrice],$AB$3,Invest[Amortissement HT + intérêts]))*BN27</f>
        <v>0</v>
      </c>
      <c r="N27" s="198">
        <f>(SUMIF(Fonctionnement[Affectation matrice],$AB$3,Fonctionnement[Montant (€HT)])+SUMIF(Invest[Affectation matrice],$AB$3,Invest[Amortissement HT + intérêts]))*BO27</f>
        <v>0</v>
      </c>
      <c r="O27" s="198">
        <f>(SUMIF(Fonctionnement[Affectation matrice],$AB$3,Fonctionnement[Montant (€HT)])+SUMIF(Invest[Affectation matrice],$AB$3,Invest[Amortissement HT + intérêts]))*BP27</f>
        <v>0</v>
      </c>
      <c r="P27" s="198">
        <f>(SUMIF(Fonctionnement[Affectation matrice],$AB$3,Fonctionnement[Montant (€HT)])+SUMIF(Invest[Affectation matrice],$AB$3,Invest[Amortissement HT + intérêts]))*BQ27</f>
        <v>0</v>
      </c>
      <c r="Q27" s="198">
        <f>(SUMIF(Fonctionnement[Affectation matrice],$AB$3,Fonctionnement[Montant (€HT)])+SUMIF(Invest[Affectation matrice],$AB$3,Invest[Amortissement HT + intérêts]))*BR27</f>
        <v>0</v>
      </c>
      <c r="R27" s="198">
        <f>(SUMIF(Fonctionnement[Affectation matrice],$AB$3,Fonctionnement[Montant (€HT)])+SUMIF(Invest[Affectation matrice],$AB$3,Invest[Amortissement HT + intérêts]))*BS27</f>
        <v>0</v>
      </c>
      <c r="S27" s="198">
        <f>(SUMIF(Fonctionnement[Affectation matrice],$AB$3,Fonctionnement[Montant (€HT)])+SUMIF(Invest[Affectation matrice],$AB$3,Invest[Amortissement HT + intérêts]))*BT27</f>
        <v>0</v>
      </c>
      <c r="T27" s="198">
        <f>(SUMIF(Fonctionnement[Affectation matrice],$AB$3,Fonctionnement[Montant (€HT)])+SUMIF(Invest[Affectation matrice],$AB$3,Invest[Amortissement HT + intérêts]))*BU27</f>
        <v>0</v>
      </c>
      <c r="U27" s="198">
        <f>(SUMIF(Fonctionnement[Affectation matrice],$AB$3,Fonctionnement[Montant (€HT)])+SUMIF(Invest[Affectation matrice],$AB$3,Invest[Amortissement HT + intérêts]))*BV27</f>
        <v>0</v>
      </c>
      <c r="V27" s="198">
        <f>(SUMIF(Fonctionnement[Affectation matrice],$AB$3,Fonctionnement[Montant (€HT)])+SUMIF(Invest[Affectation matrice],$AB$3,Invest[Amortissement HT + intérêts]))*BW27</f>
        <v>0</v>
      </c>
      <c r="W27" s="198">
        <f>(SUMIF(Fonctionnement[Affectation matrice],$AB$3,Fonctionnement[Montant (€HT)])+SUMIF(Invest[Affectation matrice],$AB$3,Invest[Amortissement HT + intérêts]))*BX27</f>
        <v>0</v>
      </c>
      <c r="X27" s="198">
        <f>(SUMIF(Fonctionnement[Affectation matrice],$AB$3,Fonctionnement[Montant (€HT)])+SUMIF(Invest[Affectation matrice],$AB$3,Invest[Amortissement HT + intérêts]))*BY27</f>
        <v>0</v>
      </c>
      <c r="Y27" s="198">
        <f>(SUMIF(Fonctionnement[Affectation matrice],$AB$3,Fonctionnement[Montant (€HT)])+SUMIF(Invest[Affectation matrice],$AB$3,Invest[Amortissement HT + intérêts]))*BZ27</f>
        <v>0</v>
      </c>
      <c r="Z27" s="198">
        <f>(SUMIF(Fonctionnement[Affectation matrice],$AB$3,Fonctionnement[Montant (€HT)])+SUMIF(Invest[Affectation matrice],$AB$3,Invest[Amortissement HT + intérêts]))*CA27</f>
        <v>0</v>
      </c>
      <c r="AA27" s="199"/>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283">
        <f t="shared" si="4"/>
        <v>0</v>
      </c>
      <c r="BB27" s="7"/>
      <c r="BC27" s="61">
        <f t="shared" si="8"/>
        <v>0</v>
      </c>
      <c r="BD27" s="61">
        <f t="shared" si="8"/>
        <v>0</v>
      </c>
      <c r="BE27" s="61">
        <f t="shared" si="8"/>
        <v>0</v>
      </c>
      <c r="BF27" s="61">
        <f t="shared" si="8"/>
        <v>0</v>
      </c>
      <c r="BG27" s="61">
        <f t="shared" si="8"/>
        <v>0</v>
      </c>
      <c r="BH27" s="61">
        <f t="shared" si="8"/>
        <v>0</v>
      </c>
      <c r="BI27" s="61">
        <f t="shared" si="8"/>
        <v>0</v>
      </c>
      <c r="BJ27" s="61">
        <f t="shared" si="8"/>
        <v>0</v>
      </c>
      <c r="BK27" s="61">
        <f t="shared" si="8"/>
        <v>0</v>
      </c>
      <c r="BL27" s="61">
        <f t="shared" si="8"/>
        <v>0</v>
      </c>
      <c r="BM27" s="61">
        <f t="shared" si="8"/>
        <v>0</v>
      </c>
      <c r="BN27" s="61">
        <f t="shared" si="8"/>
        <v>0</v>
      </c>
      <c r="BO27" s="61">
        <f t="shared" si="8"/>
        <v>0</v>
      </c>
      <c r="BP27" s="61">
        <f t="shared" si="8"/>
        <v>0</v>
      </c>
      <c r="BQ27" s="61">
        <f t="shared" si="8"/>
        <v>0</v>
      </c>
      <c r="BR27" s="61">
        <f t="shared" si="8"/>
        <v>0</v>
      </c>
      <c r="BS27" s="61">
        <f t="shared" si="9"/>
        <v>0</v>
      </c>
      <c r="BT27" s="61">
        <f t="shared" si="9"/>
        <v>0</v>
      </c>
      <c r="BU27" s="61">
        <f t="shared" si="9"/>
        <v>0</v>
      </c>
      <c r="BV27" s="61">
        <f t="shared" si="9"/>
        <v>0</v>
      </c>
      <c r="BW27" s="61">
        <f t="shared" si="9"/>
        <v>0</v>
      </c>
      <c r="BX27" s="61">
        <f t="shared" si="9"/>
        <v>0</v>
      </c>
      <c r="BY27" s="61">
        <f t="shared" si="9"/>
        <v>0</v>
      </c>
      <c r="BZ27" s="61">
        <f t="shared" si="9"/>
        <v>0</v>
      </c>
      <c r="CA27" s="61">
        <f t="shared" si="9"/>
        <v>0</v>
      </c>
      <c r="CB27" s="61">
        <f t="shared" si="5"/>
        <v>0</v>
      </c>
      <c r="CD27" s="200">
        <f>(SUMIF(Fonctionnement[Affectation matrice],$AB$3,Fonctionnement[TVA acquittée])+SUMIF(Invest[Affectation matrice],$AB$3,Invest[TVA acquittée]))*BC27</f>
        <v>0</v>
      </c>
      <c r="CE27" s="200">
        <f>(SUMIF(Fonctionnement[Affectation matrice],$AB$3,Fonctionnement[TVA acquittée])+SUMIF(Invest[Affectation matrice],$AB$3,Invest[TVA acquittée]))*BD27</f>
        <v>0</v>
      </c>
      <c r="CF27" s="200">
        <f>(SUMIF(Fonctionnement[Affectation matrice],$AB$3,Fonctionnement[TVA acquittée])+SUMIF(Invest[Affectation matrice],$AB$3,Invest[TVA acquittée]))*BE27</f>
        <v>0</v>
      </c>
      <c r="CG27" s="200">
        <f>(SUMIF(Fonctionnement[Affectation matrice],$AB$3,Fonctionnement[TVA acquittée])+SUMIF(Invest[Affectation matrice],$AB$3,Invest[TVA acquittée]))*BF27</f>
        <v>0</v>
      </c>
      <c r="CH27" s="200">
        <f>(SUMIF(Fonctionnement[Affectation matrice],$AB$3,Fonctionnement[TVA acquittée])+SUMIF(Invest[Affectation matrice],$AB$3,Invest[TVA acquittée]))*BG27</f>
        <v>0</v>
      </c>
      <c r="CI27" s="200">
        <f>(SUMIF(Fonctionnement[Affectation matrice],$AB$3,Fonctionnement[TVA acquittée])+SUMIF(Invest[Affectation matrice],$AB$3,Invest[TVA acquittée]))*BH27</f>
        <v>0</v>
      </c>
      <c r="CJ27" s="200">
        <f>(SUMIF(Fonctionnement[Affectation matrice],$AB$3,Fonctionnement[TVA acquittée])+SUMIF(Invest[Affectation matrice],$AB$3,Invest[TVA acquittée]))*BI27</f>
        <v>0</v>
      </c>
      <c r="CK27" s="200">
        <f>(SUMIF(Fonctionnement[Affectation matrice],$AB$3,Fonctionnement[TVA acquittée])+SUMIF(Invest[Affectation matrice],$AB$3,Invest[TVA acquittée]))*BJ27</f>
        <v>0</v>
      </c>
      <c r="CL27" s="200">
        <f>(SUMIF(Fonctionnement[Affectation matrice],$AB$3,Fonctionnement[TVA acquittée])+SUMIF(Invest[Affectation matrice],$AB$3,Invest[TVA acquittée]))*BK27</f>
        <v>0</v>
      </c>
      <c r="CM27" s="200">
        <f>(SUMIF(Fonctionnement[Affectation matrice],$AB$3,Fonctionnement[TVA acquittée])+SUMIF(Invest[Affectation matrice],$AB$3,Invest[TVA acquittée]))*BL27</f>
        <v>0</v>
      </c>
      <c r="CN27" s="200">
        <f>(SUMIF(Fonctionnement[Affectation matrice],$AB$3,Fonctionnement[TVA acquittée])+SUMIF(Invest[Affectation matrice],$AB$3,Invest[TVA acquittée]))*BM27</f>
        <v>0</v>
      </c>
      <c r="CO27" s="200">
        <f>(SUMIF(Fonctionnement[Affectation matrice],$AB$3,Fonctionnement[TVA acquittée])+SUMIF(Invest[Affectation matrice],$AB$3,Invest[TVA acquittée]))*BN27</f>
        <v>0</v>
      </c>
      <c r="CP27" s="200">
        <f>(SUMIF(Fonctionnement[Affectation matrice],$AB$3,Fonctionnement[TVA acquittée])+SUMIF(Invest[Affectation matrice],$AB$3,Invest[TVA acquittée]))*BO27</f>
        <v>0</v>
      </c>
      <c r="CQ27" s="200">
        <f>(SUMIF(Fonctionnement[Affectation matrice],$AB$3,Fonctionnement[TVA acquittée])+SUMIF(Invest[Affectation matrice],$AB$3,Invest[TVA acquittée]))*BP27</f>
        <v>0</v>
      </c>
      <c r="CR27" s="200">
        <f>(SUMIF(Fonctionnement[Affectation matrice],$AB$3,Fonctionnement[TVA acquittée])+SUMIF(Invest[Affectation matrice],$AB$3,Invest[TVA acquittée]))*BQ27</f>
        <v>0</v>
      </c>
      <c r="CS27" s="200">
        <f>(SUMIF(Fonctionnement[Affectation matrice],$AB$3,Fonctionnement[TVA acquittée])+SUMIF(Invest[Affectation matrice],$AB$3,Invest[TVA acquittée]))*BR27</f>
        <v>0</v>
      </c>
      <c r="CT27" s="200">
        <f>(SUMIF(Fonctionnement[Affectation matrice],$AB$3,Fonctionnement[TVA acquittée])+SUMIF(Invest[Affectation matrice],$AB$3,Invest[TVA acquittée]))*BS27</f>
        <v>0</v>
      </c>
      <c r="CU27" s="200">
        <f>(SUMIF(Fonctionnement[Affectation matrice],$AB$3,Fonctionnement[TVA acquittée])+SUMIF(Invest[Affectation matrice],$AB$3,Invest[TVA acquittée]))*BT27</f>
        <v>0</v>
      </c>
      <c r="CV27" s="200">
        <f>(SUMIF(Fonctionnement[Affectation matrice],$AB$3,Fonctionnement[TVA acquittée])+SUMIF(Invest[Affectation matrice],$AB$3,Invest[TVA acquittée]))*BU27</f>
        <v>0</v>
      </c>
      <c r="CW27" s="200">
        <f>(SUMIF(Fonctionnement[Affectation matrice],$AB$3,Fonctionnement[TVA acquittée])+SUMIF(Invest[Affectation matrice],$AB$3,Invest[TVA acquittée]))*BV27</f>
        <v>0</v>
      </c>
      <c r="CX27" s="200">
        <f>(SUMIF(Fonctionnement[Affectation matrice],$AB$3,Fonctionnement[TVA acquittée])+SUMIF(Invest[Affectation matrice],$AB$3,Invest[TVA acquittée]))*BW27</f>
        <v>0</v>
      </c>
      <c r="CY27" s="200">
        <f>(SUMIF(Fonctionnement[Affectation matrice],$AB$3,Fonctionnement[TVA acquittée])+SUMIF(Invest[Affectation matrice],$AB$3,Invest[TVA acquittée]))*BX27</f>
        <v>0</v>
      </c>
      <c r="CZ27" s="200">
        <f>(SUMIF(Fonctionnement[Affectation matrice],$AB$3,Fonctionnement[TVA acquittée])+SUMIF(Invest[Affectation matrice],$AB$3,Invest[TVA acquittée]))*BY27</f>
        <v>0</v>
      </c>
      <c r="DA27" s="200">
        <f>(SUMIF(Fonctionnement[Affectation matrice],$AB$3,Fonctionnement[TVA acquittée])+SUMIF(Invest[Affectation matrice],$AB$3,Invest[TVA acquittée]))*BZ27</f>
        <v>0</v>
      </c>
      <c r="DB27" s="200">
        <f>(SUMIF(Fonctionnement[Affectation matrice],$AB$3,Fonctionnement[TVA acquittée])+SUMIF(Invest[Affectation matrice],$AB$3,Invest[TVA acquittée]))*CA27</f>
        <v>0</v>
      </c>
    </row>
    <row r="28" spans="1:106" s="22" customFormat="1" ht="12.75" hidden="1" customHeight="1" x14ac:dyDescent="0.25">
      <c r="A28" s="42" t="str">
        <f>Matrice[[#This Row],[Ligne de la matrice]]</f>
        <v>Prestation à des tiers</v>
      </c>
      <c r="B28" s="198">
        <f>(SUMIF(Fonctionnement[Affectation matrice],$AB$3,Fonctionnement[Montant (€HT)])+SUMIF(Invest[Affectation matrice],$AB$3,Invest[Amortissement HT + intérêts]))*BC28</f>
        <v>0</v>
      </c>
      <c r="C28" s="198">
        <f>(SUMIF(Fonctionnement[Affectation matrice],$AB$3,Fonctionnement[Montant (€HT)])+SUMIF(Invest[Affectation matrice],$AB$3,Invest[Amortissement HT + intérêts]))*BD28</f>
        <v>0</v>
      </c>
      <c r="D28" s="198">
        <f>(SUMIF(Fonctionnement[Affectation matrice],$AB$3,Fonctionnement[Montant (€HT)])+SUMIF(Invest[Affectation matrice],$AB$3,Invest[Amortissement HT + intérêts]))*BE28</f>
        <v>0</v>
      </c>
      <c r="E28" s="198">
        <f>(SUMIF(Fonctionnement[Affectation matrice],$AB$3,Fonctionnement[Montant (€HT)])+SUMIF(Invest[Affectation matrice],$AB$3,Invest[Amortissement HT + intérêts]))*BF28</f>
        <v>0</v>
      </c>
      <c r="F28" s="198">
        <f>(SUMIF(Fonctionnement[Affectation matrice],$AB$3,Fonctionnement[Montant (€HT)])+SUMIF(Invest[Affectation matrice],$AB$3,Invest[Amortissement HT + intérêts]))*BG28</f>
        <v>0</v>
      </c>
      <c r="G28" s="198">
        <f>(SUMIF(Fonctionnement[Affectation matrice],$AB$3,Fonctionnement[Montant (€HT)])+SUMIF(Invest[Affectation matrice],$AB$3,Invest[Amortissement HT + intérêts]))*BH28</f>
        <v>0</v>
      </c>
      <c r="H28" s="198">
        <f>(SUMIF(Fonctionnement[Affectation matrice],$AB$3,Fonctionnement[Montant (€HT)])+SUMIF(Invest[Affectation matrice],$AB$3,Invest[Amortissement HT + intérêts]))*BI28</f>
        <v>0</v>
      </c>
      <c r="I28" s="198">
        <f>(SUMIF(Fonctionnement[Affectation matrice],$AB$3,Fonctionnement[Montant (€HT)])+SUMIF(Invest[Affectation matrice],$AB$3,Invest[Amortissement HT + intérêts]))*BJ28</f>
        <v>0</v>
      </c>
      <c r="J28" s="198">
        <f>(SUMIF(Fonctionnement[Affectation matrice],$AB$3,Fonctionnement[Montant (€HT)])+SUMIF(Invest[Affectation matrice],$AB$3,Invest[Amortissement HT + intérêts]))*BK28</f>
        <v>0</v>
      </c>
      <c r="K28" s="198">
        <f>(SUMIF(Fonctionnement[Affectation matrice],$AB$3,Fonctionnement[Montant (€HT)])+SUMIF(Invest[Affectation matrice],$AB$3,Invest[Amortissement HT + intérêts]))*BL28</f>
        <v>0</v>
      </c>
      <c r="L28" s="198">
        <f>(SUMIF(Fonctionnement[Affectation matrice],$AB$3,Fonctionnement[Montant (€HT)])+SUMIF(Invest[Affectation matrice],$AB$3,Invest[Amortissement HT + intérêts]))*BM28</f>
        <v>0</v>
      </c>
      <c r="M28" s="198">
        <f>(SUMIF(Fonctionnement[Affectation matrice],$AB$3,Fonctionnement[Montant (€HT)])+SUMIF(Invest[Affectation matrice],$AB$3,Invest[Amortissement HT + intérêts]))*BN28</f>
        <v>0</v>
      </c>
      <c r="N28" s="198">
        <f>(SUMIF(Fonctionnement[Affectation matrice],$AB$3,Fonctionnement[Montant (€HT)])+SUMIF(Invest[Affectation matrice],$AB$3,Invest[Amortissement HT + intérêts]))*BO28</f>
        <v>0</v>
      </c>
      <c r="O28" s="198">
        <f>(SUMIF(Fonctionnement[Affectation matrice],$AB$3,Fonctionnement[Montant (€HT)])+SUMIF(Invest[Affectation matrice],$AB$3,Invest[Amortissement HT + intérêts]))*BP28</f>
        <v>0</v>
      </c>
      <c r="P28" s="198">
        <f>(SUMIF(Fonctionnement[Affectation matrice],$AB$3,Fonctionnement[Montant (€HT)])+SUMIF(Invest[Affectation matrice],$AB$3,Invest[Amortissement HT + intérêts]))*BQ28</f>
        <v>0</v>
      </c>
      <c r="Q28" s="198">
        <f>(SUMIF(Fonctionnement[Affectation matrice],$AB$3,Fonctionnement[Montant (€HT)])+SUMIF(Invest[Affectation matrice],$AB$3,Invest[Amortissement HT + intérêts]))*BR28</f>
        <v>0</v>
      </c>
      <c r="R28" s="198">
        <f>(SUMIF(Fonctionnement[Affectation matrice],$AB$3,Fonctionnement[Montant (€HT)])+SUMIF(Invest[Affectation matrice],$AB$3,Invest[Amortissement HT + intérêts]))*BS28</f>
        <v>0</v>
      </c>
      <c r="S28" s="198">
        <f>(SUMIF(Fonctionnement[Affectation matrice],$AB$3,Fonctionnement[Montant (€HT)])+SUMIF(Invest[Affectation matrice],$AB$3,Invest[Amortissement HT + intérêts]))*BT28</f>
        <v>0</v>
      </c>
      <c r="T28" s="198">
        <f>(SUMIF(Fonctionnement[Affectation matrice],$AB$3,Fonctionnement[Montant (€HT)])+SUMIF(Invest[Affectation matrice],$AB$3,Invest[Amortissement HT + intérêts]))*BU28</f>
        <v>0</v>
      </c>
      <c r="U28" s="198">
        <f>(SUMIF(Fonctionnement[Affectation matrice],$AB$3,Fonctionnement[Montant (€HT)])+SUMIF(Invest[Affectation matrice],$AB$3,Invest[Amortissement HT + intérêts]))*BV28</f>
        <v>0</v>
      </c>
      <c r="V28" s="198">
        <f>(SUMIF(Fonctionnement[Affectation matrice],$AB$3,Fonctionnement[Montant (€HT)])+SUMIF(Invest[Affectation matrice],$AB$3,Invest[Amortissement HT + intérêts]))*BW28</f>
        <v>0</v>
      </c>
      <c r="W28" s="198">
        <f>(SUMIF(Fonctionnement[Affectation matrice],$AB$3,Fonctionnement[Montant (€HT)])+SUMIF(Invest[Affectation matrice],$AB$3,Invest[Amortissement HT + intérêts]))*BX28</f>
        <v>0</v>
      </c>
      <c r="X28" s="198">
        <f>(SUMIF(Fonctionnement[Affectation matrice],$AB$3,Fonctionnement[Montant (€HT)])+SUMIF(Invest[Affectation matrice],$AB$3,Invest[Amortissement HT + intérêts]))*BY28</f>
        <v>0</v>
      </c>
      <c r="Y28" s="198">
        <f>(SUMIF(Fonctionnement[Affectation matrice],$AB$3,Fonctionnement[Montant (€HT)])+SUMIF(Invest[Affectation matrice],$AB$3,Invest[Amortissement HT + intérêts]))*BZ28</f>
        <v>0</v>
      </c>
      <c r="Z28" s="198">
        <f>(SUMIF(Fonctionnement[Affectation matrice],$AB$3,Fonctionnement[Montant (€HT)])+SUMIF(Invest[Affectation matrice],$AB$3,Invest[Amortissement HT + intérêts]))*CA28</f>
        <v>0</v>
      </c>
      <c r="AA28" s="199"/>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283">
        <f t="shared" si="4"/>
        <v>0</v>
      </c>
      <c r="BB28" s="7"/>
      <c r="BC28" s="61">
        <f t="shared" si="8"/>
        <v>0</v>
      </c>
      <c r="BD28" s="61">
        <f t="shared" si="8"/>
        <v>0</v>
      </c>
      <c r="BE28" s="61">
        <f t="shared" si="8"/>
        <v>0</v>
      </c>
      <c r="BF28" s="61">
        <f t="shared" si="8"/>
        <v>0</v>
      </c>
      <c r="BG28" s="61">
        <f t="shared" si="8"/>
        <v>0</v>
      </c>
      <c r="BH28" s="61">
        <f t="shared" si="8"/>
        <v>0</v>
      </c>
      <c r="BI28" s="61">
        <f t="shared" si="8"/>
        <v>0</v>
      </c>
      <c r="BJ28" s="61">
        <f t="shared" si="8"/>
        <v>0</v>
      </c>
      <c r="BK28" s="61">
        <f t="shared" si="8"/>
        <v>0</v>
      </c>
      <c r="BL28" s="61">
        <f t="shared" si="8"/>
        <v>0</v>
      </c>
      <c r="BM28" s="61">
        <f t="shared" si="8"/>
        <v>0</v>
      </c>
      <c r="BN28" s="61">
        <f t="shared" si="8"/>
        <v>0</v>
      </c>
      <c r="BO28" s="61">
        <f t="shared" si="8"/>
        <v>0</v>
      </c>
      <c r="BP28" s="61">
        <f t="shared" si="8"/>
        <v>0</v>
      </c>
      <c r="BQ28" s="61">
        <f t="shared" si="8"/>
        <v>0</v>
      </c>
      <c r="BR28" s="61">
        <f t="shared" si="8"/>
        <v>0</v>
      </c>
      <c r="BS28" s="61">
        <f t="shared" si="9"/>
        <v>0</v>
      </c>
      <c r="BT28" s="61">
        <f t="shared" si="9"/>
        <v>0</v>
      </c>
      <c r="BU28" s="61">
        <f t="shared" si="9"/>
        <v>0</v>
      </c>
      <c r="BV28" s="61">
        <f t="shared" si="9"/>
        <v>0</v>
      </c>
      <c r="BW28" s="61">
        <f t="shared" si="9"/>
        <v>0</v>
      </c>
      <c r="BX28" s="61">
        <f t="shared" si="9"/>
        <v>0</v>
      </c>
      <c r="BY28" s="61">
        <f t="shared" si="9"/>
        <v>0</v>
      </c>
      <c r="BZ28" s="61">
        <f t="shared" si="9"/>
        <v>0</v>
      </c>
      <c r="CA28" s="61">
        <f t="shared" si="9"/>
        <v>0</v>
      </c>
      <c r="CB28" s="61">
        <f t="shared" si="5"/>
        <v>0</v>
      </c>
      <c r="CD28" s="200">
        <f>(SUMIF(Fonctionnement[Affectation matrice],$AB$3,Fonctionnement[TVA acquittée])+SUMIF(Invest[Affectation matrice],$AB$3,Invest[TVA acquittée]))*BC28</f>
        <v>0</v>
      </c>
      <c r="CE28" s="200">
        <f>(SUMIF(Fonctionnement[Affectation matrice],$AB$3,Fonctionnement[TVA acquittée])+SUMIF(Invest[Affectation matrice],$AB$3,Invest[TVA acquittée]))*BD28</f>
        <v>0</v>
      </c>
      <c r="CF28" s="200">
        <f>(SUMIF(Fonctionnement[Affectation matrice],$AB$3,Fonctionnement[TVA acquittée])+SUMIF(Invest[Affectation matrice],$AB$3,Invest[TVA acquittée]))*BE28</f>
        <v>0</v>
      </c>
      <c r="CG28" s="200">
        <f>(SUMIF(Fonctionnement[Affectation matrice],$AB$3,Fonctionnement[TVA acquittée])+SUMIF(Invest[Affectation matrice],$AB$3,Invest[TVA acquittée]))*BF28</f>
        <v>0</v>
      </c>
      <c r="CH28" s="200">
        <f>(SUMIF(Fonctionnement[Affectation matrice],$AB$3,Fonctionnement[TVA acquittée])+SUMIF(Invest[Affectation matrice],$AB$3,Invest[TVA acquittée]))*BG28</f>
        <v>0</v>
      </c>
      <c r="CI28" s="200">
        <f>(SUMIF(Fonctionnement[Affectation matrice],$AB$3,Fonctionnement[TVA acquittée])+SUMIF(Invest[Affectation matrice],$AB$3,Invest[TVA acquittée]))*BH28</f>
        <v>0</v>
      </c>
      <c r="CJ28" s="200">
        <f>(SUMIF(Fonctionnement[Affectation matrice],$AB$3,Fonctionnement[TVA acquittée])+SUMIF(Invest[Affectation matrice],$AB$3,Invest[TVA acquittée]))*BI28</f>
        <v>0</v>
      </c>
      <c r="CK28" s="200">
        <f>(SUMIF(Fonctionnement[Affectation matrice],$AB$3,Fonctionnement[TVA acquittée])+SUMIF(Invest[Affectation matrice],$AB$3,Invest[TVA acquittée]))*BJ28</f>
        <v>0</v>
      </c>
      <c r="CL28" s="200">
        <f>(SUMIF(Fonctionnement[Affectation matrice],$AB$3,Fonctionnement[TVA acquittée])+SUMIF(Invest[Affectation matrice],$AB$3,Invest[TVA acquittée]))*BK28</f>
        <v>0</v>
      </c>
      <c r="CM28" s="200">
        <f>(SUMIF(Fonctionnement[Affectation matrice],$AB$3,Fonctionnement[TVA acquittée])+SUMIF(Invest[Affectation matrice],$AB$3,Invest[TVA acquittée]))*BL28</f>
        <v>0</v>
      </c>
      <c r="CN28" s="200">
        <f>(SUMIF(Fonctionnement[Affectation matrice],$AB$3,Fonctionnement[TVA acquittée])+SUMIF(Invest[Affectation matrice],$AB$3,Invest[TVA acquittée]))*BM28</f>
        <v>0</v>
      </c>
      <c r="CO28" s="200">
        <f>(SUMIF(Fonctionnement[Affectation matrice],$AB$3,Fonctionnement[TVA acquittée])+SUMIF(Invest[Affectation matrice],$AB$3,Invest[TVA acquittée]))*BN28</f>
        <v>0</v>
      </c>
      <c r="CP28" s="200">
        <f>(SUMIF(Fonctionnement[Affectation matrice],$AB$3,Fonctionnement[TVA acquittée])+SUMIF(Invest[Affectation matrice],$AB$3,Invest[TVA acquittée]))*BO28</f>
        <v>0</v>
      </c>
      <c r="CQ28" s="200">
        <f>(SUMIF(Fonctionnement[Affectation matrice],$AB$3,Fonctionnement[TVA acquittée])+SUMIF(Invest[Affectation matrice],$AB$3,Invest[TVA acquittée]))*BP28</f>
        <v>0</v>
      </c>
      <c r="CR28" s="200">
        <f>(SUMIF(Fonctionnement[Affectation matrice],$AB$3,Fonctionnement[TVA acquittée])+SUMIF(Invest[Affectation matrice],$AB$3,Invest[TVA acquittée]))*BQ28</f>
        <v>0</v>
      </c>
      <c r="CS28" s="200">
        <f>(SUMIF(Fonctionnement[Affectation matrice],$AB$3,Fonctionnement[TVA acquittée])+SUMIF(Invest[Affectation matrice],$AB$3,Invest[TVA acquittée]))*BR28</f>
        <v>0</v>
      </c>
      <c r="CT28" s="200">
        <f>(SUMIF(Fonctionnement[Affectation matrice],$AB$3,Fonctionnement[TVA acquittée])+SUMIF(Invest[Affectation matrice],$AB$3,Invest[TVA acquittée]))*BS28</f>
        <v>0</v>
      </c>
      <c r="CU28" s="200">
        <f>(SUMIF(Fonctionnement[Affectation matrice],$AB$3,Fonctionnement[TVA acquittée])+SUMIF(Invest[Affectation matrice],$AB$3,Invest[TVA acquittée]))*BT28</f>
        <v>0</v>
      </c>
      <c r="CV28" s="200">
        <f>(SUMIF(Fonctionnement[Affectation matrice],$AB$3,Fonctionnement[TVA acquittée])+SUMIF(Invest[Affectation matrice],$AB$3,Invest[TVA acquittée]))*BU28</f>
        <v>0</v>
      </c>
      <c r="CW28" s="200">
        <f>(SUMIF(Fonctionnement[Affectation matrice],$AB$3,Fonctionnement[TVA acquittée])+SUMIF(Invest[Affectation matrice],$AB$3,Invest[TVA acquittée]))*BV28</f>
        <v>0</v>
      </c>
      <c r="CX28" s="200">
        <f>(SUMIF(Fonctionnement[Affectation matrice],$AB$3,Fonctionnement[TVA acquittée])+SUMIF(Invest[Affectation matrice],$AB$3,Invest[TVA acquittée]))*BW28</f>
        <v>0</v>
      </c>
      <c r="CY28" s="200">
        <f>(SUMIF(Fonctionnement[Affectation matrice],$AB$3,Fonctionnement[TVA acquittée])+SUMIF(Invest[Affectation matrice],$AB$3,Invest[TVA acquittée]))*BX28</f>
        <v>0</v>
      </c>
      <c r="CZ28" s="200">
        <f>(SUMIF(Fonctionnement[Affectation matrice],$AB$3,Fonctionnement[TVA acquittée])+SUMIF(Invest[Affectation matrice],$AB$3,Invest[TVA acquittée]))*BY28</f>
        <v>0</v>
      </c>
      <c r="DA28" s="200">
        <f>(SUMIF(Fonctionnement[Affectation matrice],$AB$3,Fonctionnement[TVA acquittée])+SUMIF(Invest[Affectation matrice],$AB$3,Invest[TVA acquittée]))*BZ28</f>
        <v>0</v>
      </c>
      <c r="DB28" s="200">
        <f>(SUMIF(Fonctionnement[Affectation matrice],$AB$3,Fonctionnement[TVA acquittée])+SUMIF(Invest[Affectation matrice],$AB$3,Invest[TVA acquittée]))*CA28</f>
        <v>0</v>
      </c>
    </row>
    <row r="29" spans="1:106" s="22" customFormat="1" ht="12.75" hidden="1" customHeight="1" x14ac:dyDescent="0.25">
      <c r="A29" s="42" t="str">
        <f>Matrice[[#This Row],[Ligne de la matrice]]</f>
        <v>Autres produits</v>
      </c>
      <c r="B29" s="198">
        <f>(SUMIF(Fonctionnement[Affectation matrice],$AB$3,Fonctionnement[Montant (€HT)])+SUMIF(Invest[Affectation matrice],$AB$3,Invest[Amortissement HT + intérêts]))*BC29</f>
        <v>0</v>
      </c>
      <c r="C29" s="198">
        <f>(SUMIF(Fonctionnement[Affectation matrice],$AB$3,Fonctionnement[Montant (€HT)])+SUMIF(Invest[Affectation matrice],$AB$3,Invest[Amortissement HT + intérêts]))*BD29</f>
        <v>0</v>
      </c>
      <c r="D29" s="198">
        <f>(SUMIF(Fonctionnement[Affectation matrice],$AB$3,Fonctionnement[Montant (€HT)])+SUMIF(Invest[Affectation matrice],$AB$3,Invest[Amortissement HT + intérêts]))*BE29</f>
        <v>0</v>
      </c>
      <c r="E29" s="198">
        <f>(SUMIF(Fonctionnement[Affectation matrice],$AB$3,Fonctionnement[Montant (€HT)])+SUMIF(Invest[Affectation matrice],$AB$3,Invest[Amortissement HT + intérêts]))*BF29</f>
        <v>0</v>
      </c>
      <c r="F29" s="198">
        <f>(SUMIF(Fonctionnement[Affectation matrice],$AB$3,Fonctionnement[Montant (€HT)])+SUMIF(Invest[Affectation matrice],$AB$3,Invest[Amortissement HT + intérêts]))*BG29</f>
        <v>0</v>
      </c>
      <c r="G29" s="198">
        <f>(SUMIF(Fonctionnement[Affectation matrice],$AB$3,Fonctionnement[Montant (€HT)])+SUMIF(Invest[Affectation matrice],$AB$3,Invest[Amortissement HT + intérêts]))*BH29</f>
        <v>0</v>
      </c>
      <c r="H29" s="198">
        <f>(SUMIF(Fonctionnement[Affectation matrice],$AB$3,Fonctionnement[Montant (€HT)])+SUMIF(Invest[Affectation matrice],$AB$3,Invest[Amortissement HT + intérêts]))*BI29</f>
        <v>0</v>
      </c>
      <c r="I29" s="198">
        <f>(SUMIF(Fonctionnement[Affectation matrice],$AB$3,Fonctionnement[Montant (€HT)])+SUMIF(Invest[Affectation matrice],$AB$3,Invest[Amortissement HT + intérêts]))*BJ29</f>
        <v>0</v>
      </c>
      <c r="J29" s="198">
        <f>(SUMIF(Fonctionnement[Affectation matrice],$AB$3,Fonctionnement[Montant (€HT)])+SUMIF(Invest[Affectation matrice],$AB$3,Invest[Amortissement HT + intérêts]))*BK29</f>
        <v>0</v>
      </c>
      <c r="K29" s="198">
        <f>(SUMIF(Fonctionnement[Affectation matrice],$AB$3,Fonctionnement[Montant (€HT)])+SUMIF(Invest[Affectation matrice],$AB$3,Invest[Amortissement HT + intérêts]))*BL29</f>
        <v>0</v>
      </c>
      <c r="L29" s="198">
        <f>(SUMIF(Fonctionnement[Affectation matrice],$AB$3,Fonctionnement[Montant (€HT)])+SUMIF(Invest[Affectation matrice],$AB$3,Invest[Amortissement HT + intérêts]))*BM29</f>
        <v>0</v>
      </c>
      <c r="M29" s="198">
        <f>(SUMIF(Fonctionnement[Affectation matrice],$AB$3,Fonctionnement[Montant (€HT)])+SUMIF(Invest[Affectation matrice],$AB$3,Invest[Amortissement HT + intérêts]))*BN29</f>
        <v>0</v>
      </c>
      <c r="N29" s="198">
        <f>(SUMIF(Fonctionnement[Affectation matrice],$AB$3,Fonctionnement[Montant (€HT)])+SUMIF(Invest[Affectation matrice],$AB$3,Invest[Amortissement HT + intérêts]))*BO29</f>
        <v>0</v>
      </c>
      <c r="O29" s="198">
        <f>(SUMIF(Fonctionnement[Affectation matrice],$AB$3,Fonctionnement[Montant (€HT)])+SUMIF(Invest[Affectation matrice],$AB$3,Invest[Amortissement HT + intérêts]))*BP29</f>
        <v>0</v>
      </c>
      <c r="P29" s="198">
        <f>(SUMIF(Fonctionnement[Affectation matrice],$AB$3,Fonctionnement[Montant (€HT)])+SUMIF(Invest[Affectation matrice],$AB$3,Invest[Amortissement HT + intérêts]))*BQ29</f>
        <v>0</v>
      </c>
      <c r="Q29" s="198">
        <f>(SUMIF(Fonctionnement[Affectation matrice],$AB$3,Fonctionnement[Montant (€HT)])+SUMIF(Invest[Affectation matrice],$AB$3,Invest[Amortissement HT + intérêts]))*BR29</f>
        <v>0</v>
      </c>
      <c r="R29" s="198">
        <f>(SUMIF(Fonctionnement[Affectation matrice],$AB$3,Fonctionnement[Montant (€HT)])+SUMIF(Invest[Affectation matrice],$AB$3,Invest[Amortissement HT + intérêts]))*BS29</f>
        <v>0</v>
      </c>
      <c r="S29" s="198">
        <f>(SUMIF(Fonctionnement[Affectation matrice],$AB$3,Fonctionnement[Montant (€HT)])+SUMIF(Invest[Affectation matrice],$AB$3,Invest[Amortissement HT + intérêts]))*BT29</f>
        <v>0</v>
      </c>
      <c r="T29" s="198">
        <f>(SUMIF(Fonctionnement[Affectation matrice],$AB$3,Fonctionnement[Montant (€HT)])+SUMIF(Invest[Affectation matrice],$AB$3,Invest[Amortissement HT + intérêts]))*BU29</f>
        <v>0</v>
      </c>
      <c r="U29" s="198">
        <f>(SUMIF(Fonctionnement[Affectation matrice],$AB$3,Fonctionnement[Montant (€HT)])+SUMIF(Invest[Affectation matrice],$AB$3,Invest[Amortissement HT + intérêts]))*BV29</f>
        <v>0</v>
      </c>
      <c r="V29" s="198">
        <f>(SUMIF(Fonctionnement[Affectation matrice],$AB$3,Fonctionnement[Montant (€HT)])+SUMIF(Invest[Affectation matrice],$AB$3,Invest[Amortissement HT + intérêts]))*BW29</f>
        <v>0</v>
      </c>
      <c r="W29" s="198">
        <f>(SUMIF(Fonctionnement[Affectation matrice],$AB$3,Fonctionnement[Montant (€HT)])+SUMIF(Invest[Affectation matrice],$AB$3,Invest[Amortissement HT + intérêts]))*BX29</f>
        <v>0</v>
      </c>
      <c r="X29" s="198">
        <f>(SUMIF(Fonctionnement[Affectation matrice],$AB$3,Fonctionnement[Montant (€HT)])+SUMIF(Invest[Affectation matrice],$AB$3,Invest[Amortissement HT + intérêts]))*BY29</f>
        <v>0</v>
      </c>
      <c r="Y29" s="198">
        <f>(SUMIF(Fonctionnement[Affectation matrice],$AB$3,Fonctionnement[Montant (€HT)])+SUMIF(Invest[Affectation matrice],$AB$3,Invest[Amortissement HT + intérêts]))*BZ29</f>
        <v>0</v>
      </c>
      <c r="Z29" s="198">
        <f>(SUMIF(Fonctionnement[Affectation matrice],$AB$3,Fonctionnement[Montant (€HT)])+SUMIF(Invest[Affectation matrice],$AB$3,Invest[Amortissement HT + intérêts]))*CA29</f>
        <v>0</v>
      </c>
      <c r="AA29" s="199"/>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283">
        <f t="shared" si="4"/>
        <v>0</v>
      </c>
      <c r="BB29" s="7"/>
      <c r="BC29" s="61">
        <f t="shared" si="8"/>
        <v>0</v>
      </c>
      <c r="BD29" s="61">
        <f t="shared" si="8"/>
        <v>0</v>
      </c>
      <c r="BE29" s="61">
        <f t="shared" si="8"/>
        <v>0</v>
      </c>
      <c r="BF29" s="61">
        <f t="shared" si="8"/>
        <v>0</v>
      </c>
      <c r="BG29" s="61">
        <f t="shared" si="8"/>
        <v>0</v>
      </c>
      <c r="BH29" s="61">
        <f t="shared" si="8"/>
        <v>0</v>
      </c>
      <c r="BI29" s="61">
        <f t="shared" si="8"/>
        <v>0</v>
      </c>
      <c r="BJ29" s="61">
        <f t="shared" si="8"/>
        <v>0</v>
      </c>
      <c r="BK29" s="61">
        <f t="shared" si="8"/>
        <v>0</v>
      </c>
      <c r="BL29" s="61">
        <f t="shared" si="8"/>
        <v>0</v>
      </c>
      <c r="BM29" s="61">
        <f t="shared" si="8"/>
        <v>0</v>
      </c>
      <c r="BN29" s="61">
        <f t="shared" si="8"/>
        <v>0</v>
      </c>
      <c r="BO29" s="61">
        <f t="shared" si="8"/>
        <v>0</v>
      </c>
      <c r="BP29" s="61">
        <f t="shared" si="8"/>
        <v>0</v>
      </c>
      <c r="BQ29" s="61">
        <f t="shared" si="8"/>
        <v>0</v>
      </c>
      <c r="BR29" s="61">
        <f t="shared" si="8"/>
        <v>0</v>
      </c>
      <c r="BS29" s="61">
        <f t="shared" si="9"/>
        <v>0</v>
      </c>
      <c r="BT29" s="61">
        <f t="shared" si="9"/>
        <v>0</v>
      </c>
      <c r="BU29" s="61">
        <f t="shared" si="9"/>
        <v>0</v>
      </c>
      <c r="BV29" s="61">
        <f t="shared" si="9"/>
        <v>0</v>
      </c>
      <c r="BW29" s="61">
        <f t="shared" si="9"/>
        <v>0</v>
      </c>
      <c r="BX29" s="61">
        <f t="shared" si="9"/>
        <v>0</v>
      </c>
      <c r="BY29" s="61">
        <f t="shared" si="9"/>
        <v>0</v>
      </c>
      <c r="BZ29" s="61">
        <f t="shared" si="9"/>
        <v>0</v>
      </c>
      <c r="CA29" s="61">
        <f t="shared" si="9"/>
        <v>0</v>
      </c>
      <c r="CB29" s="61">
        <f t="shared" si="5"/>
        <v>0</v>
      </c>
      <c r="CD29" s="200">
        <f>(SUMIF(Fonctionnement[Affectation matrice],$AB$3,Fonctionnement[TVA acquittée])+SUMIF(Invest[Affectation matrice],$AB$3,Invest[TVA acquittée]))*BC29</f>
        <v>0</v>
      </c>
      <c r="CE29" s="200">
        <f>(SUMIF(Fonctionnement[Affectation matrice],$AB$3,Fonctionnement[TVA acquittée])+SUMIF(Invest[Affectation matrice],$AB$3,Invest[TVA acquittée]))*BD29</f>
        <v>0</v>
      </c>
      <c r="CF29" s="200">
        <f>(SUMIF(Fonctionnement[Affectation matrice],$AB$3,Fonctionnement[TVA acquittée])+SUMIF(Invest[Affectation matrice],$AB$3,Invest[TVA acquittée]))*BE29</f>
        <v>0</v>
      </c>
      <c r="CG29" s="200">
        <f>(SUMIF(Fonctionnement[Affectation matrice],$AB$3,Fonctionnement[TVA acquittée])+SUMIF(Invest[Affectation matrice],$AB$3,Invest[TVA acquittée]))*BF29</f>
        <v>0</v>
      </c>
      <c r="CH29" s="200">
        <f>(SUMIF(Fonctionnement[Affectation matrice],$AB$3,Fonctionnement[TVA acquittée])+SUMIF(Invest[Affectation matrice],$AB$3,Invest[TVA acquittée]))*BG29</f>
        <v>0</v>
      </c>
      <c r="CI29" s="200">
        <f>(SUMIF(Fonctionnement[Affectation matrice],$AB$3,Fonctionnement[TVA acquittée])+SUMIF(Invest[Affectation matrice],$AB$3,Invest[TVA acquittée]))*BH29</f>
        <v>0</v>
      </c>
      <c r="CJ29" s="200">
        <f>(SUMIF(Fonctionnement[Affectation matrice],$AB$3,Fonctionnement[TVA acquittée])+SUMIF(Invest[Affectation matrice],$AB$3,Invest[TVA acquittée]))*BI29</f>
        <v>0</v>
      </c>
      <c r="CK29" s="200">
        <f>(SUMIF(Fonctionnement[Affectation matrice],$AB$3,Fonctionnement[TVA acquittée])+SUMIF(Invest[Affectation matrice],$AB$3,Invest[TVA acquittée]))*BJ29</f>
        <v>0</v>
      </c>
      <c r="CL29" s="200">
        <f>(SUMIF(Fonctionnement[Affectation matrice],$AB$3,Fonctionnement[TVA acquittée])+SUMIF(Invest[Affectation matrice],$AB$3,Invest[TVA acquittée]))*BK29</f>
        <v>0</v>
      </c>
      <c r="CM29" s="200">
        <f>(SUMIF(Fonctionnement[Affectation matrice],$AB$3,Fonctionnement[TVA acquittée])+SUMIF(Invest[Affectation matrice],$AB$3,Invest[TVA acquittée]))*BL29</f>
        <v>0</v>
      </c>
      <c r="CN29" s="200">
        <f>(SUMIF(Fonctionnement[Affectation matrice],$AB$3,Fonctionnement[TVA acquittée])+SUMIF(Invest[Affectation matrice],$AB$3,Invest[TVA acquittée]))*BM29</f>
        <v>0</v>
      </c>
      <c r="CO29" s="200">
        <f>(SUMIF(Fonctionnement[Affectation matrice],$AB$3,Fonctionnement[TVA acquittée])+SUMIF(Invest[Affectation matrice],$AB$3,Invest[TVA acquittée]))*BN29</f>
        <v>0</v>
      </c>
      <c r="CP29" s="200">
        <f>(SUMIF(Fonctionnement[Affectation matrice],$AB$3,Fonctionnement[TVA acquittée])+SUMIF(Invest[Affectation matrice],$AB$3,Invest[TVA acquittée]))*BO29</f>
        <v>0</v>
      </c>
      <c r="CQ29" s="200">
        <f>(SUMIF(Fonctionnement[Affectation matrice],$AB$3,Fonctionnement[TVA acquittée])+SUMIF(Invest[Affectation matrice],$AB$3,Invest[TVA acquittée]))*BP29</f>
        <v>0</v>
      </c>
      <c r="CR29" s="200">
        <f>(SUMIF(Fonctionnement[Affectation matrice],$AB$3,Fonctionnement[TVA acquittée])+SUMIF(Invest[Affectation matrice],$AB$3,Invest[TVA acquittée]))*BQ29</f>
        <v>0</v>
      </c>
      <c r="CS29" s="200">
        <f>(SUMIF(Fonctionnement[Affectation matrice],$AB$3,Fonctionnement[TVA acquittée])+SUMIF(Invest[Affectation matrice],$AB$3,Invest[TVA acquittée]))*BR29</f>
        <v>0</v>
      </c>
      <c r="CT29" s="200">
        <f>(SUMIF(Fonctionnement[Affectation matrice],$AB$3,Fonctionnement[TVA acquittée])+SUMIF(Invest[Affectation matrice],$AB$3,Invest[TVA acquittée]))*BS29</f>
        <v>0</v>
      </c>
      <c r="CU29" s="200">
        <f>(SUMIF(Fonctionnement[Affectation matrice],$AB$3,Fonctionnement[TVA acquittée])+SUMIF(Invest[Affectation matrice],$AB$3,Invest[TVA acquittée]))*BT29</f>
        <v>0</v>
      </c>
      <c r="CV29" s="200">
        <f>(SUMIF(Fonctionnement[Affectation matrice],$AB$3,Fonctionnement[TVA acquittée])+SUMIF(Invest[Affectation matrice],$AB$3,Invest[TVA acquittée]))*BU29</f>
        <v>0</v>
      </c>
      <c r="CW29" s="200">
        <f>(SUMIF(Fonctionnement[Affectation matrice],$AB$3,Fonctionnement[TVA acquittée])+SUMIF(Invest[Affectation matrice],$AB$3,Invest[TVA acquittée]))*BV29</f>
        <v>0</v>
      </c>
      <c r="CX29" s="200">
        <f>(SUMIF(Fonctionnement[Affectation matrice],$AB$3,Fonctionnement[TVA acquittée])+SUMIF(Invest[Affectation matrice],$AB$3,Invest[TVA acquittée]))*BW29</f>
        <v>0</v>
      </c>
      <c r="CY29" s="200">
        <f>(SUMIF(Fonctionnement[Affectation matrice],$AB$3,Fonctionnement[TVA acquittée])+SUMIF(Invest[Affectation matrice],$AB$3,Invest[TVA acquittée]))*BX29</f>
        <v>0</v>
      </c>
      <c r="CZ29" s="200">
        <f>(SUMIF(Fonctionnement[Affectation matrice],$AB$3,Fonctionnement[TVA acquittée])+SUMIF(Invest[Affectation matrice],$AB$3,Invest[TVA acquittée]))*BY29</f>
        <v>0</v>
      </c>
      <c r="DA29" s="200">
        <f>(SUMIF(Fonctionnement[Affectation matrice],$AB$3,Fonctionnement[TVA acquittée])+SUMIF(Invest[Affectation matrice],$AB$3,Invest[TVA acquittée]))*BZ29</f>
        <v>0</v>
      </c>
      <c r="DB29" s="200">
        <f>(SUMIF(Fonctionnement[Affectation matrice],$AB$3,Fonctionnement[TVA acquittée])+SUMIF(Invest[Affectation matrice],$AB$3,Invest[TVA acquittée]))*CA29</f>
        <v>0</v>
      </c>
    </row>
    <row r="30" spans="1:106" s="22" customFormat="1" ht="12.75" hidden="1" customHeight="1" x14ac:dyDescent="0.25">
      <c r="A30" s="42" t="str">
        <f>Matrice[[#This Row],[Ligne de la matrice]]</f>
        <v>Tous soutiens des sociétés agréées</v>
      </c>
      <c r="B30" s="198">
        <f>(SUMIF(Fonctionnement[Affectation matrice],$AB$3,Fonctionnement[Montant (€HT)])+SUMIF(Invest[Affectation matrice],$AB$3,Invest[Amortissement HT + intérêts]))*BC30</f>
        <v>0</v>
      </c>
      <c r="C30" s="198">
        <f>(SUMIF(Fonctionnement[Affectation matrice],$AB$3,Fonctionnement[Montant (€HT)])+SUMIF(Invest[Affectation matrice],$AB$3,Invest[Amortissement HT + intérêts]))*BD30</f>
        <v>0</v>
      </c>
      <c r="D30" s="198">
        <f>(SUMIF(Fonctionnement[Affectation matrice],$AB$3,Fonctionnement[Montant (€HT)])+SUMIF(Invest[Affectation matrice],$AB$3,Invest[Amortissement HT + intérêts]))*BE30</f>
        <v>0</v>
      </c>
      <c r="E30" s="198">
        <f>(SUMIF(Fonctionnement[Affectation matrice],$AB$3,Fonctionnement[Montant (€HT)])+SUMIF(Invest[Affectation matrice],$AB$3,Invest[Amortissement HT + intérêts]))*BF30</f>
        <v>0</v>
      </c>
      <c r="F30" s="198">
        <f>(SUMIF(Fonctionnement[Affectation matrice],$AB$3,Fonctionnement[Montant (€HT)])+SUMIF(Invest[Affectation matrice],$AB$3,Invest[Amortissement HT + intérêts]))*BG30</f>
        <v>0</v>
      </c>
      <c r="G30" s="198">
        <f>(SUMIF(Fonctionnement[Affectation matrice],$AB$3,Fonctionnement[Montant (€HT)])+SUMIF(Invest[Affectation matrice],$AB$3,Invest[Amortissement HT + intérêts]))*BH30</f>
        <v>0</v>
      </c>
      <c r="H30" s="198">
        <f>(SUMIF(Fonctionnement[Affectation matrice],$AB$3,Fonctionnement[Montant (€HT)])+SUMIF(Invest[Affectation matrice],$AB$3,Invest[Amortissement HT + intérêts]))*BI30</f>
        <v>0</v>
      </c>
      <c r="I30" s="198">
        <f>(SUMIF(Fonctionnement[Affectation matrice],$AB$3,Fonctionnement[Montant (€HT)])+SUMIF(Invest[Affectation matrice],$AB$3,Invest[Amortissement HT + intérêts]))*BJ30</f>
        <v>0</v>
      </c>
      <c r="J30" s="198">
        <f>(SUMIF(Fonctionnement[Affectation matrice],$AB$3,Fonctionnement[Montant (€HT)])+SUMIF(Invest[Affectation matrice],$AB$3,Invest[Amortissement HT + intérêts]))*BK30</f>
        <v>0</v>
      </c>
      <c r="K30" s="198">
        <f>(SUMIF(Fonctionnement[Affectation matrice],$AB$3,Fonctionnement[Montant (€HT)])+SUMIF(Invest[Affectation matrice],$AB$3,Invest[Amortissement HT + intérêts]))*BL30</f>
        <v>0</v>
      </c>
      <c r="L30" s="198">
        <f>(SUMIF(Fonctionnement[Affectation matrice],$AB$3,Fonctionnement[Montant (€HT)])+SUMIF(Invest[Affectation matrice],$AB$3,Invest[Amortissement HT + intérêts]))*BM30</f>
        <v>0</v>
      </c>
      <c r="M30" s="198">
        <f>(SUMIF(Fonctionnement[Affectation matrice],$AB$3,Fonctionnement[Montant (€HT)])+SUMIF(Invest[Affectation matrice],$AB$3,Invest[Amortissement HT + intérêts]))*BN30</f>
        <v>0</v>
      </c>
      <c r="N30" s="198">
        <f>(SUMIF(Fonctionnement[Affectation matrice],$AB$3,Fonctionnement[Montant (€HT)])+SUMIF(Invest[Affectation matrice],$AB$3,Invest[Amortissement HT + intérêts]))*BO30</f>
        <v>0</v>
      </c>
      <c r="O30" s="198">
        <f>(SUMIF(Fonctionnement[Affectation matrice],$AB$3,Fonctionnement[Montant (€HT)])+SUMIF(Invest[Affectation matrice],$AB$3,Invest[Amortissement HT + intérêts]))*BP30</f>
        <v>0</v>
      </c>
      <c r="P30" s="198">
        <f>(SUMIF(Fonctionnement[Affectation matrice],$AB$3,Fonctionnement[Montant (€HT)])+SUMIF(Invest[Affectation matrice],$AB$3,Invest[Amortissement HT + intérêts]))*BQ30</f>
        <v>0</v>
      </c>
      <c r="Q30" s="198">
        <f>(SUMIF(Fonctionnement[Affectation matrice],$AB$3,Fonctionnement[Montant (€HT)])+SUMIF(Invest[Affectation matrice],$AB$3,Invest[Amortissement HT + intérêts]))*BR30</f>
        <v>0</v>
      </c>
      <c r="R30" s="198">
        <f>(SUMIF(Fonctionnement[Affectation matrice],$AB$3,Fonctionnement[Montant (€HT)])+SUMIF(Invest[Affectation matrice],$AB$3,Invest[Amortissement HT + intérêts]))*BS30</f>
        <v>0</v>
      </c>
      <c r="S30" s="198">
        <f>(SUMIF(Fonctionnement[Affectation matrice],$AB$3,Fonctionnement[Montant (€HT)])+SUMIF(Invest[Affectation matrice],$AB$3,Invest[Amortissement HT + intérêts]))*BT30</f>
        <v>0</v>
      </c>
      <c r="T30" s="198">
        <f>(SUMIF(Fonctionnement[Affectation matrice],$AB$3,Fonctionnement[Montant (€HT)])+SUMIF(Invest[Affectation matrice],$AB$3,Invest[Amortissement HT + intérêts]))*BU30</f>
        <v>0</v>
      </c>
      <c r="U30" s="198">
        <f>(SUMIF(Fonctionnement[Affectation matrice],$AB$3,Fonctionnement[Montant (€HT)])+SUMIF(Invest[Affectation matrice],$AB$3,Invest[Amortissement HT + intérêts]))*BV30</f>
        <v>0</v>
      </c>
      <c r="V30" s="198">
        <f>(SUMIF(Fonctionnement[Affectation matrice],$AB$3,Fonctionnement[Montant (€HT)])+SUMIF(Invest[Affectation matrice],$AB$3,Invest[Amortissement HT + intérêts]))*BW30</f>
        <v>0</v>
      </c>
      <c r="W30" s="198">
        <f>(SUMIF(Fonctionnement[Affectation matrice],$AB$3,Fonctionnement[Montant (€HT)])+SUMIF(Invest[Affectation matrice],$AB$3,Invest[Amortissement HT + intérêts]))*BX30</f>
        <v>0</v>
      </c>
      <c r="X30" s="198">
        <f>(SUMIF(Fonctionnement[Affectation matrice],$AB$3,Fonctionnement[Montant (€HT)])+SUMIF(Invest[Affectation matrice],$AB$3,Invest[Amortissement HT + intérêts]))*BY30</f>
        <v>0</v>
      </c>
      <c r="Y30" s="198">
        <f>(SUMIF(Fonctionnement[Affectation matrice],$AB$3,Fonctionnement[Montant (€HT)])+SUMIF(Invest[Affectation matrice],$AB$3,Invest[Amortissement HT + intérêts]))*BZ30</f>
        <v>0</v>
      </c>
      <c r="Z30" s="198">
        <f>(SUMIF(Fonctionnement[Affectation matrice],$AB$3,Fonctionnement[Montant (€HT)])+SUMIF(Invest[Affectation matrice],$AB$3,Invest[Amortissement HT + intérêts]))*CA30</f>
        <v>0</v>
      </c>
      <c r="AA30" s="199"/>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283">
        <f t="shared" si="4"/>
        <v>0</v>
      </c>
      <c r="BB30" s="7"/>
      <c r="BC30" s="61">
        <f t="shared" si="8"/>
        <v>0</v>
      </c>
      <c r="BD30" s="61">
        <f t="shared" si="8"/>
        <v>0</v>
      </c>
      <c r="BE30" s="61">
        <f t="shared" si="8"/>
        <v>0</v>
      </c>
      <c r="BF30" s="61">
        <f t="shared" si="8"/>
        <v>0</v>
      </c>
      <c r="BG30" s="61">
        <f t="shared" si="8"/>
        <v>0</v>
      </c>
      <c r="BH30" s="61">
        <f t="shared" si="8"/>
        <v>0</v>
      </c>
      <c r="BI30" s="61">
        <f t="shared" si="8"/>
        <v>0</v>
      </c>
      <c r="BJ30" s="61">
        <f t="shared" si="8"/>
        <v>0</v>
      </c>
      <c r="BK30" s="61">
        <f t="shared" si="8"/>
        <v>0</v>
      </c>
      <c r="BL30" s="61">
        <f t="shared" si="8"/>
        <v>0</v>
      </c>
      <c r="BM30" s="61">
        <f t="shared" si="8"/>
        <v>0</v>
      </c>
      <c r="BN30" s="61">
        <f t="shared" si="8"/>
        <v>0</v>
      </c>
      <c r="BO30" s="61">
        <f t="shared" si="8"/>
        <v>0</v>
      </c>
      <c r="BP30" s="61">
        <f t="shared" si="8"/>
        <v>0</v>
      </c>
      <c r="BQ30" s="61">
        <f t="shared" si="8"/>
        <v>0</v>
      </c>
      <c r="BR30" s="61">
        <f t="shared" si="8"/>
        <v>0</v>
      </c>
      <c r="BS30" s="61">
        <f t="shared" si="9"/>
        <v>0</v>
      </c>
      <c r="BT30" s="61">
        <f t="shared" si="9"/>
        <v>0</v>
      </c>
      <c r="BU30" s="61">
        <f t="shared" si="9"/>
        <v>0</v>
      </c>
      <c r="BV30" s="61">
        <f t="shared" si="9"/>
        <v>0</v>
      </c>
      <c r="BW30" s="61">
        <f t="shared" si="9"/>
        <v>0</v>
      </c>
      <c r="BX30" s="61">
        <f t="shared" si="9"/>
        <v>0</v>
      </c>
      <c r="BY30" s="61">
        <f t="shared" si="9"/>
        <v>0</v>
      </c>
      <c r="BZ30" s="61">
        <f t="shared" si="9"/>
        <v>0</v>
      </c>
      <c r="CA30" s="61">
        <f t="shared" si="9"/>
        <v>0</v>
      </c>
      <c r="CB30" s="61">
        <f t="shared" si="5"/>
        <v>0</v>
      </c>
      <c r="CD30" s="200">
        <f>(SUMIF(Fonctionnement[Affectation matrice],$AB$3,Fonctionnement[TVA acquittée])+SUMIF(Invest[Affectation matrice],$AB$3,Invest[TVA acquittée]))*BC30</f>
        <v>0</v>
      </c>
      <c r="CE30" s="200">
        <f>(SUMIF(Fonctionnement[Affectation matrice],$AB$3,Fonctionnement[TVA acquittée])+SUMIF(Invest[Affectation matrice],$AB$3,Invest[TVA acquittée]))*BD30</f>
        <v>0</v>
      </c>
      <c r="CF30" s="200">
        <f>(SUMIF(Fonctionnement[Affectation matrice],$AB$3,Fonctionnement[TVA acquittée])+SUMIF(Invest[Affectation matrice],$AB$3,Invest[TVA acquittée]))*BE30</f>
        <v>0</v>
      </c>
      <c r="CG30" s="200">
        <f>(SUMIF(Fonctionnement[Affectation matrice],$AB$3,Fonctionnement[TVA acquittée])+SUMIF(Invest[Affectation matrice],$AB$3,Invest[TVA acquittée]))*BF30</f>
        <v>0</v>
      </c>
      <c r="CH30" s="200">
        <f>(SUMIF(Fonctionnement[Affectation matrice],$AB$3,Fonctionnement[TVA acquittée])+SUMIF(Invest[Affectation matrice],$AB$3,Invest[TVA acquittée]))*BG30</f>
        <v>0</v>
      </c>
      <c r="CI30" s="200">
        <f>(SUMIF(Fonctionnement[Affectation matrice],$AB$3,Fonctionnement[TVA acquittée])+SUMIF(Invest[Affectation matrice],$AB$3,Invest[TVA acquittée]))*BH30</f>
        <v>0</v>
      </c>
      <c r="CJ30" s="200">
        <f>(SUMIF(Fonctionnement[Affectation matrice],$AB$3,Fonctionnement[TVA acquittée])+SUMIF(Invest[Affectation matrice],$AB$3,Invest[TVA acquittée]))*BI30</f>
        <v>0</v>
      </c>
      <c r="CK30" s="200">
        <f>(SUMIF(Fonctionnement[Affectation matrice],$AB$3,Fonctionnement[TVA acquittée])+SUMIF(Invest[Affectation matrice],$AB$3,Invest[TVA acquittée]))*BJ30</f>
        <v>0</v>
      </c>
      <c r="CL30" s="200">
        <f>(SUMIF(Fonctionnement[Affectation matrice],$AB$3,Fonctionnement[TVA acquittée])+SUMIF(Invest[Affectation matrice],$AB$3,Invest[TVA acquittée]))*BK30</f>
        <v>0</v>
      </c>
      <c r="CM30" s="200">
        <f>(SUMIF(Fonctionnement[Affectation matrice],$AB$3,Fonctionnement[TVA acquittée])+SUMIF(Invest[Affectation matrice],$AB$3,Invest[TVA acquittée]))*BL30</f>
        <v>0</v>
      </c>
      <c r="CN30" s="200">
        <f>(SUMIF(Fonctionnement[Affectation matrice],$AB$3,Fonctionnement[TVA acquittée])+SUMIF(Invest[Affectation matrice],$AB$3,Invest[TVA acquittée]))*BM30</f>
        <v>0</v>
      </c>
      <c r="CO30" s="200">
        <f>(SUMIF(Fonctionnement[Affectation matrice],$AB$3,Fonctionnement[TVA acquittée])+SUMIF(Invest[Affectation matrice],$AB$3,Invest[TVA acquittée]))*BN30</f>
        <v>0</v>
      </c>
      <c r="CP30" s="200">
        <f>(SUMIF(Fonctionnement[Affectation matrice],$AB$3,Fonctionnement[TVA acquittée])+SUMIF(Invest[Affectation matrice],$AB$3,Invest[TVA acquittée]))*BO30</f>
        <v>0</v>
      </c>
      <c r="CQ30" s="200">
        <f>(SUMIF(Fonctionnement[Affectation matrice],$AB$3,Fonctionnement[TVA acquittée])+SUMIF(Invest[Affectation matrice],$AB$3,Invest[TVA acquittée]))*BP30</f>
        <v>0</v>
      </c>
      <c r="CR30" s="200">
        <f>(SUMIF(Fonctionnement[Affectation matrice],$AB$3,Fonctionnement[TVA acquittée])+SUMIF(Invest[Affectation matrice],$AB$3,Invest[TVA acquittée]))*BQ30</f>
        <v>0</v>
      </c>
      <c r="CS30" s="200">
        <f>(SUMIF(Fonctionnement[Affectation matrice],$AB$3,Fonctionnement[TVA acquittée])+SUMIF(Invest[Affectation matrice],$AB$3,Invest[TVA acquittée]))*BR30</f>
        <v>0</v>
      </c>
      <c r="CT30" s="200">
        <f>(SUMIF(Fonctionnement[Affectation matrice],$AB$3,Fonctionnement[TVA acquittée])+SUMIF(Invest[Affectation matrice],$AB$3,Invest[TVA acquittée]))*BS30</f>
        <v>0</v>
      </c>
      <c r="CU30" s="200">
        <f>(SUMIF(Fonctionnement[Affectation matrice],$AB$3,Fonctionnement[TVA acquittée])+SUMIF(Invest[Affectation matrice],$AB$3,Invest[TVA acquittée]))*BT30</f>
        <v>0</v>
      </c>
      <c r="CV30" s="200">
        <f>(SUMIF(Fonctionnement[Affectation matrice],$AB$3,Fonctionnement[TVA acquittée])+SUMIF(Invest[Affectation matrice],$AB$3,Invest[TVA acquittée]))*BU30</f>
        <v>0</v>
      </c>
      <c r="CW30" s="200">
        <f>(SUMIF(Fonctionnement[Affectation matrice],$AB$3,Fonctionnement[TVA acquittée])+SUMIF(Invest[Affectation matrice],$AB$3,Invest[TVA acquittée]))*BV30</f>
        <v>0</v>
      </c>
      <c r="CX30" s="200">
        <f>(SUMIF(Fonctionnement[Affectation matrice],$AB$3,Fonctionnement[TVA acquittée])+SUMIF(Invest[Affectation matrice],$AB$3,Invest[TVA acquittée]))*BW30</f>
        <v>0</v>
      </c>
      <c r="CY30" s="200">
        <f>(SUMIF(Fonctionnement[Affectation matrice],$AB$3,Fonctionnement[TVA acquittée])+SUMIF(Invest[Affectation matrice],$AB$3,Invest[TVA acquittée]))*BX30</f>
        <v>0</v>
      </c>
      <c r="CZ30" s="200">
        <f>(SUMIF(Fonctionnement[Affectation matrice],$AB$3,Fonctionnement[TVA acquittée])+SUMIF(Invest[Affectation matrice],$AB$3,Invest[TVA acquittée]))*BY30</f>
        <v>0</v>
      </c>
      <c r="DA30" s="200">
        <f>(SUMIF(Fonctionnement[Affectation matrice],$AB$3,Fonctionnement[TVA acquittée])+SUMIF(Invest[Affectation matrice],$AB$3,Invest[TVA acquittée]))*BZ30</f>
        <v>0</v>
      </c>
      <c r="DB30" s="200">
        <f>(SUMIF(Fonctionnement[Affectation matrice],$AB$3,Fonctionnement[TVA acquittée])+SUMIF(Invest[Affectation matrice],$AB$3,Invest[TVA acquittée]))*CA30</f>
        <v>0</v>
      </c>
    </row>
    <row r="31" spans="1:106" s="22" customFormat="1" ht="12.75" hidden="1" customHeight="1" x14ac:dyDescent="0.25">
      <c r="A31" s="42" t="str">
        <f>Matrice[[#This Row],[Ligne de la matrice]]</f>
        <v>Reprises des subventions d'investissement</v>
      </c>
      <c r="B31" s="198">
        <f>(SUMIF(Fonctionnement[Affectation matrice],$AB$3,Fonctionnement[Montant (€HT)])+SUMIF(Invest[Affectation matrice],$AB$3,Invest[Amortissement HT + intérêts]))*BC31</f>
        <v>0</v>
      </c>
      <c r="C31" s="198">
        <f>(SUMIF(Fonctionnement[Affectation matrice],$AB$3,Fonctionnement[Montant (€HT)])+SUMIF(Invest[Affectation matrice],$AB$3,Invest[Amortissement HT + intérêts]))*BD31</f>
        <v>0</v>
      </c>
      <c r="D31" s="198">
        <f>(SUMIF(Fonctionnement[Affectation matrice],$AB$3,Fonctionnement[Montant (€HT)])+SUMIF(Invest[Affectation matrice],$AB$3,Invest[Amortissement HT + intérêts]))*BE31</f>
        <v>0</v>
      </c>
      <c r="E31" s="198">
        <f>(SUMIF(Fonctionnement[Affectation matrice],$AB$3,Fonctionnement[Montant (€HT)])+SUMIF(Invest[Affectation matrice],$AB$3,Invest[Amortissement HT + intérêts]))*BF31</f>
        <v>0</v>
      </c>
      <c r="F31" s="198">
        <f>(SUMIF(Fonctionnement[Affectation matrice],$AB$3,Fonctionnement[Montant (€HT)])+SUMIF(Invest[Affectation matrice],$AB$3,Invest[Amortissement HT + intérêts]))*BG31</f>
        <v>0</v>
      </c>
      <c r="G31" s="198">
        <f>(SUMIF(Fonctionnement[Affectation matrice],$AB$3,Fonctionnement[Montant (€HT)])+SUMIF(Invest[Affectation matrice],$AB$3,Invest[Amortissement HT + intérêts]))*BH31</f>
        <v>0</v>
      </c>
      <c r="H31" s="198">
        <f>(SUMIF(Fonctionnement[Affectation matrice],$AB$3,Fonctionnement[Montant (€HT)])+SUMIF(Invest[Affectation matrice],$AB$3,Invest[Amortissement HT + intérêts]))*BI31</f>
        <v>0</v>
      </c>
      <c r="I31" s="198">
        <f>(SUMIF(Fonctionnement[Affectation matrice],$AB$3,Fonctionnement[Montant (€HT)])+SUMIF(Invest[Affectation matrice],$AB$3,Invest[Amortissement HT + intérêts]))*BJ31</f>
        <v>0</v>
      </c>
      <c r="J31" s="198">
        <f>(SUMIF(Fonctionnement[Affectation matrice],$AB$3,Fonctionnement[Montant (€HT)])+SUMIF(Invest[Affectation matrice],$AB$3,Invest[Amortissement HT + intérêts]))*BK31</f>
        <v>0</v>
      </c>
      <c r="K31" s="198">
        <f>(SUMIF(Fonctionnement[Affectation matrice],$AB$3,Fonctionnement[Montant (€HT)])+SUMIF(Invest[Affectation matrice],$AB$3,Invest[Amortissement HT + intérêts]))*BL31</f>
        <v>0</v>
      </c>
      <c r="L31" s="198">
        <f>(SUMIF(Fonctionnement[Affectation matrice],$AB$3,Fonctionnement[Montant (€HT)])+SUMIF(Invest[Affectation matrice],$AB$3,Invest[Amortissement HT + intérêts]))*BM31</f>
        <v>0</v>
      </c>
      <c r="M31" s="198">
        <f>(SUMIF(Fonctionnement[Affectation matrice],$AB$3,Fonctionnement[Montant (€HT)])+SUMIF(Invest[Affectation matrice],$AB$3,Invest[Amortissement HT + intérêts]))*BN31</f>
        <v>0</v>
      </c>
      <c r="N31" s="198">
        <f>(SUMIF(Fonctionnement[Affectation matrice],$AB$3,Fonctionnement[Montant (€HT)])+SUMIF(Invest[Affectation matrice],$AB$3,Invest[Amortissement HT + intérêts]))*BO31</f>
        <v>0</v>
      </c>
      <c r="O31" s="198">
        <f>(SUMIF(Fonctionnement[Affectation matrice],$AB$3,Fonctionnement[Montant (€HT)])+SUMIF(Invest[Affectation matrice],$AB$3,Invest[Amortissement HT + intérêts]))*BP31</f>
        <v>0</v>
      </c>
      <c r="P31" s="198">
        <f>(SUMIF(Fonctionnement[Affectation matrice],$AB$3,Fonctionnement[Montant (€HT)])+SUMIF(Invest[Affectation matrice],$AB$3,Invest[Amortissement HT + intérêts]))*BQ31</f>
        <v>0</v>
      </c>
      <c r="Q31" s="198">
        <f>(SUMIF(Fonctionnement[Affectation matrice],$AB$3,Fonctionnement[Montant (€HT)])+SUMIF(Invest[Affectation matrice],$AB$3,Invest[Amortissement HT + intérêts]))*BR31</f>
        <v>0</v>
      </c>
      <c r="R31" s="198">
        <f>(SUMIF(Fonctionnement[Affectation matrice],$AB$3,Fonctionnement[Montant (€HT)])+SUMIF(Invest[Affectation matrice],$AB$3,Invest[Amortissement HT + intérêts]))*BS31</f>
        <v>0</v>
      </c>
      <c r="S31" s="198">
        <f>(SUMIF(Fonctionnement[Affectation matrice],$AB$3,Fonctionnement[Montant (€HT)])+SUMIF(Invest[Affectation matrice],$AB$3,Invest[Amortissement HT + intérêts]))*BT31</f>
        <v>0</v>
      </c>
      <c r="T31" s="198">
        <f>(SUMIF(Fonctionnement[Affectation matrice],$AB$3,Fonctionnement[Montant (€HT)])+SUMIF(Invest[Affectation matrice],$AB$3,Invest[Amortissement HT + intérêts]))*BU31</f>
        <v>0</v>
      </c>
      <c r="U31" s="198">
        <f>(SUMIF(Fonctionnement[Affectation matrice],$AB$3,Fonctionnement[Montant (€HT)])+SUMIF(Invest[Affectation matrice],$AB$3,Invest[Amortissement HT + intérêts]))*BV31</f>
        <v>0</v>
      </c>
      <c r="V31" s="198">
        <f>(SUMIF(Fonctionnement[Affectation matrice],$AB$3,Fonctionnement[Montant (€HT)])+SUMIF(Invest[Affectation matrice],$AB$3,Invest[Amortissement HT + intérêts]))*BW31</f>
        <v>0</v>
      </c>
      <c r="W31" s="198">
        <f>(SUMIF(Fonctionnement[Affectation matrice],$AB$3,Fonctionnement[Montant (€HT)])+SUMIF(Invest[Affectation matrice],$AB$3,Invest[Amortissement HT + intérêts]))*BX31</f>
        <v>0</v>
      </c>
      <c r="X31" s="198">
        <f>(SUMIF(Fonctionnement[Affectation matrice],$AB$3,Fonctionnement[Montant (€HT)])+SUMIF(Invest[Affectation matrice],$AB$3,Invest[Amortissement HT + intérêts]))*BY31</f>
        <v>0</v>
      </c>
      <c r="Y31" s="198">
        <f>(SUMIF(Fonctionnement[Affectation matrice],$AB$3,Fonctionnement[Montant (€HT)])+SUMIF(Invest[Affectation matrice],$AB$3,Invest[Amortissement HT + intérêts]))*BZ31</f>
        <v>0</v>
      </c>
      <c r="Z31" s="198">
        <f>(SUMIF(Fonctionnement[Affectation matrice],$AB$3,Fonctionnement[Montant (€HT)])+SUMIF(Invest[Affectation matrice],$AB$3,Invest[Amortissement HT + intérêts]))*CA31</f>
        <v>0</v>
      </c>
      <c r="AA31" s="199"/>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283">
        <f t="shared" si="4"/>
        <v>0</v>
      </c>
      <c r="BB31" s="7"/>
      <c r="BC31" s="61">
        <f t="shared" si="8"/>
        <v>0</v>
      </c>
      <c r="BD31" s="61">
        <f t="shared" si="8"/>
        <v>0</v>
      </c>
      <c r="BE31" s="61">
        <f t="shared" si="8"/>
        <v>0</v>
      </c>
      <c r="BF31" s="61">
        <f t="shared" si="8"/>
        <v>0</v>
      </c>
      <c r="BG31" s="61">
        <f t="shared" si="8"/>
        <v>0</v>
      </c>
      <c r="BH31" s="61">
        <f t="shared" si="8"/>
        <v>0</v>
      </c>
      <c r="BI31" s="61">
        <f t="shared" si="8"/>
        <v>0</v>
      </c>
      <c r="BJ31" s="61">
        <f t="shared" si="8"/>
        <v>0</v>
      </c>
      <c r="BK31" s="61">
        <f t="shared" si="8"/>
        <v>0</v>
      </c>
      <c r="BL31" s="61">
        <f t="shared" si="8"/>
        <v>0</v>
      </c>
      <c r="BM31" s="61">
        <f t="shared" si="8"/>
        <v>0</v>
      </c>
      <c r="BN31" s="61">
        <f t="shared" si="8"/>
        <v>0</v>
      </c>
      <c r="BO31" s="61">
        <f t="shared" si="8"/>
        <v>0</v>
      </c>
      <c r="BP31" s="61">
        <f t="shared" si="8"/>
        <v>0</v>
      </c>
      <c r="BQ31" s="61">
        <f t="shared" si="8"/>
        <v>0</v>
      </c>
      <c r="BR31" s="61">
        <f t="shared" si="8"/>
        <v>0</v>
      </c>
      <c r="BS31" s="61">
        <f t="shared" si="9"/>
        <v>0</v>
      </c>
      <c r="BT31" s="61">
        <f t="shared" si="9"/>
        <v>0</v>
      </c>
      <c r="BU31" s="61">
        <f t="shared" si="9"/>
        <v>0</v>
      </c>
      <c r="BV31" s="61">
        <f t="shared" si="9"/>
        <v>0</v>
      </c>
      <c r="BW31" s="61">
        <f t="shared" si="9"/>
        <v>0</v>
      </c>
      <c r="BX31" s="61">
        <f t="shared" si="9"/>
        <v>0</v>
      </c>
      <c r="BY31" s="61">
        <f t="shared" si="9"/>
        <v>0</v>
      </c>
      <c r="BZ31" s="61">
        <f t="shared" si="9"/>
        <v>0</v>
      </c>
      <c r="CA31" s="61">
        <f t="shared" si="9"/>
        <v>0</v>
      </c>
      <c r="CB31" s="61">
        <f t="shared" si="5"/>
        <v>0</v>
      </c>
      <c r="CD31" s="200">
        <f>(SUMIF(Fonctionnement[Affectation matrice],$AB$3,Fonctionnement[TVA acquittée])+SUMIF(Invest[Affectation matrice],$AB$3,Invest[TVA acquittée]))*BC31</f>
        <v>0</v>
      </c>
      <c r="CE31" s="200">
        <f>(SUMIF(Fonctionnement[Affectation matrice],$AB$3,Fonctionnement[TVA acquittée])+SUMIF(Invest[Affectation matrice],$AB$3,Invest[TVA acquittée]))*BD31</f>
        <v>0</v>
      </c>
      <c r="CF31" s="200">
        <f>(SUMIF(Fonctionnement[Affectation matrice],$AB$3,Fonctionnement[TVA acquittée])+SUMIF(Invest[Affectation matrice],$AB$3,Invest[TVA acquittée]))*BE31</f>
        <v>0</v>
      </c>
      <c r="CG31" s="200">
        <f>(SUMIF(Fonctionnement[Affectation matrice],$AB$3,Fonctionnement[TVA acquittée])+SUMIF(Invest[Affectation matrice],$AB$3,Invest[TVA acquittée]))*BF31</f>
        <v>0</v>
      </c>
      <c r="CH31" s="200">
        <f>(SUMIF(Fonctionnement[Affectation matrice],$AB$3,Fonctionnement[TVA acquittée])+SUMIF(Invest[Affectation matrice],$AB$3,Invest[TVA acquittée]))*BG31</f>
        <v>0</v>
      </c>
      <c r="CI31" s="200">
        <f>(SUMIF(Fonctionnement[Affectation matrice],$AB$3,Fonctionnement[TVA acquittée])+SUMIF(Invest[Affectation matrice],$AB$3,Invest[TVA acquittée]))*BH31</f>
        <v>0</v>
      </c>
      <c r="CJ31" s="200">
        <f>(SUMIF(Fonctionnement[Affectation matrice],$AB$3,Fonctionnement[TVA acquittée])+SUMIF(Invest[Affectation matrice],$AB$3,Invest[TVA acquittée]))*BI31</f>
        <v>0</v>
      </c>
      <c r="CK31" s="200">
        <f>(SUMIF(Fonctionnement[Affectation matrice],$AB$3,Fonctionnement[TVA acquittée])+SUMIF(Invest[Affectation matrice],$AB$3,Invest[TVA acquittée]))*BJ31</f>
        <v>0</v>
      </c>
      <c r="CL31" s="200">
        <f>(SUMIF(Fonctionnement[Affectation matrice],$AB$3,Fonctionnement[TVA acquittée])+SUMIF(Invest[Affectation matrice],$AB$3,Invest[TVA acquittée]))*BK31</f>
        <v>0</v>
      </c>
      <c r="CM31" s="200">
        <f>(SUMIF(Fonctionnement[Affectation matrice],$AB$3,Fonctionnement[TVA acquittée])+SUMIF(Invest[Affectation matrice],$AB$3,Invest[TVA acquittée]))*BL31</f>
        <v>0</v>
      </c>
      <c r="CN31" s="200">
        <f>(SUMIF(Fonctionnement[Affectation matrice],$AB$3,Fonctionnement[TVA acquittée])+SUMIF(Invest[Affectation matrice],$AB$3,Invest[TVA acquittée]))*BM31</f>
        <v>0</v>
      </c>
      <c r="CO31" s="200">
        <f>(SUMIF(Fonctionnement[Affectation matrice],$AB$3,Fonctionnement[TVA acquittée])+SUMIF(Invest[Affectation matrice],$AB$3,Invest[TVA acquittée]))*BN31</f>
        <v>0</v>
      </c>
      <c r="CP31" s="200">
        <f>(SUMIF(Fonctionnement[Affectation matrice],$AB$3,Fonctionnement[TVA acquittée])+SUMIF(Invest[Affectation matrice],$AB$3,Invest[TVA acquittée]))*BO31</f>
        <v>0</v>
      </c>
      <c r="CQ31" s="200">
        <f>(SUMIF(Fonctionnement[Affectation matrice],$AB$3,Fonctionnement[TVA acquittée])+SUMIF(Invest[Affectation matrice],$AB$3,Invest[TVA acquittée]))*BP31</f>
        <v>0</v>
      </c>
      <c r="CR31" s="200">
        <f>(SUMIF(Fonctionnement[Affectation matrice],$AB$3,Fonctionnement[TVA acquittée])+SUMIF(Invest[Affectation matrice],$AB$3,Invest[TVA acquittée]))*BQ31</f>
        <v>0</v>
      </c>
      <c r="CS31" s="200">
        <f>(SUMIF(Fonctionnement[Affectation matrice],$AB$3,Fonctionnement[TVA acquittée])+SUMIF(Invest[Affectation matrice],$AB$3,Invest[TVA acquittée]))*BR31</f>
        <v>0</v>
      </c>
      <c r="CT31" s="200">
        <f>(SUMIF(Fonctionnement[Affectation matrice],$AB$3,Fonctionnement[TVA acquittée])+SUMIF(Invest[Affectation matrice],$AB$3,Invest[TVA acquittée]))*BS31</f>
        <v>0</v>
      </c>
      <c r="CU31" s="200">
        <f>(SUMIF(Fonctionnement[Affectation matrice],$AB$3,Fonctionnement[TVA acquittée])+SUMIF(Invest[Affectation matrice],$AB$3,Invest[TVA acquittée]))*BT31</f>
        <v>0</v>
      </c>
      <c r="CV31" s="200">
        <f>(SUMIF(Fonctionnement[Affectation matrice],$AB$3,Fonctionnement[TVA acquittée])+SUMIF(Invest[Affectation matrice],$AB$3,Invest[TVA acquittée]))*BU31</f>
        <v>0</v>
      </c>
      <c r="CW31" s="200">
        <f>(SUMIF(Fonctionnement[Affectation matrice],$AB$3,Fonctionnement[TVA acquittée])+SUMIF(Invest[Affectation matrice],$AB$3,Invest[TVA acquittée]))*BV31</f>
        <v>0</v>
      </c>
      <c r="CX31" s="200">
        <f>(SUMIF(Fonctionnement[Affectation matrice],$AB$3,Fonctionnement[TVA acquittée])+SUMIF(Invest[Affectation matrice],$AB$3,Invest[TVA acquittée]))*BW31</f>
        <v>0</v>
      </c>
      <c r="CY31" s="200">
        <f>(SUMIF(Fonctionnement[Affectation matrice],$AB$3,Fonctionnement[TVA acquittée])+SUMIF(Invest[Affectation matrice],$AB$3,Invest[TVA acquittée]))*BX31</f>
        <v>0</v>
      </c>
      <c r="CZ31" s="200">
        <f>(SUMIF(Fonctionnement[Affectation matrice],$AB$3,Fonctionnement[TVA acquittée])+SUMIF(Invest[Affectation matrice],$AB$3,Invest[TVA acquittée]))*BY31</f>
        <v>0</v>
      </c>
      <c r="DA31" s="200">
        <f>(SUMIF(Fonctionnement[Affectation matrice],$AB$3,Fonctionnement[TVA acquittée])+SUMIF(Invest[Affectation matrice],$AB$3,Invest[TVA acquittée]))*BZ31</f>
        <v>0</v>
      </c>
      <c r="DB31" s="200">
        <f>(SUMIF(Fonctionnement[Affectation matrice],$AB$3,Fonctionnement[TVA acquittée])+SUMIF(Invest[Affectation matrice],$AB$3,Invest[TVA acquittée]))*CA31</f>
        <v>0</v>
      </c>
    </row>
    <row r="32" spans="1:106" s="22" customFormat="1" ht="12.75" hidden="1" customHeight="1" x14ac:dyDescent="0.25">
      <c r="A32" s="42" t="str">
        <f>Matrice[[#This Row],[Ligne de la matrice]]</f>
        <v>Subventions de fonctionnement</v>
      </c>
      <c r="B32" s="198">
        <f>(SUMIF(Fonctionnement[Affectation matrice],$AB$3,Fonctionnement[Montant (€HT)])+SUMIF(Invest[Affectation matrice],$AB$3,Invest[Amortissement HT + intérêts]))*BC32</f>
        <v>0</v>
      </c>
      <c r="C32" s="198">
        <f>(SUMIF(Fonctionnement[Affectation matrice],$AB$3,Fonctionnement[Montant (€HT)])+SUMIF(Invest[Affectation matrice],$AB$3,Invest[Amortissement HT + intérêts]))*BD32</f>
        <v>0</v>
      </c>
      <c r="D32" s="198">
        <f>(SUMIF(Fonctionnement[Affectation matrice],$AB$3,Fonctionnement[Montant (€HT)])+SUMIF(Invest[Affectation matrice],$AB$3,Invest[Amortissement HT + intérêts]))*BE32</f>
        <v>0</v>
      </c>
      <c r="E32" s="198">
        <f>(SUMIF(Fonctionnement[Affectation matrice],$AB$3,Fonctionnement[Montant (€HT)])+SUMIF(Invest[Affectation matrice],$AB$3,Invest[Amortissement HT + intérêts]))*BF32</f>
        <v>0</v>
      </c>
      <c r="F32" s="198">
        <f>(SUMIF(Fonctionnement[Affectation matrice],$AB$3,Fonctionnement[Montant (€HT)])+SUMIF(Invest[Affectation matrice],$AB$3,Invest[Amortissement HT + intérêts]))*BG32</f>
        <v>0</v>
      </c>
      <c r="G32" s="198">
        <f>(SUMIF(Fonctionnement[Affectation matrice],$AB$3,Fonctionnement[Montant (€HT)])+SUMIF(Invest[Affectation matrice],$AB$3,Invest[Amortissement HT + intérêts]))*BH32</f>
        <v>0</v>
      </c>
      <c r="H32" s="198">
        <f>(SUMIF(Fonctionnement[Affectation matrice],$AB$3,Fonctionnement[Montant (€HT)])+SUMIF(Invest[Affectation matrice],$AB$3,Invest[Amortissement HT + intérêts]))*BI32</f>
        <v>0</v>
      </c>
      <c r="I32" s="198">
        <f>(SUMIF(Fonctionnement[Affectation matrice],$AB$3,Fonctionnement[Montant (€HT)])+SUMIF(Invest[Affectation matrice],$AB$3,Invest[Amortissement HT + intérêts]))*BJ32</f>
        <v>0</v>
      </c>
      <c r="J32" s="198">
        <f>(SUMIF(Fonctionnement[Affectation matrice],$AB$3,Fonctionnement[Montant (€HT)])+SUMIF(Invest[Affectation matrice],$AB$3,Invest[Amortissement HT + intérêts]))*BK32</f>
        <v>0</v>
      </c>
      <c r="K32" s="198">
        <f>(SUMIF(Fonctionnement[Affectation matrice],$AB$3,Fonctionnement[Montant (€HT)])+SUMIF(Invest[Affectation matrice],$AB$3,Invest[Amortissement HT + intérêts]))*BL32</f>
        <v>0</v>
      </c>
      <c r="L32" s="198">
        <f>(SUMIF(Fonctionnement[Affectation matrice],$AB$3,Fonctionnement[Montant (€HT)])+SUMIF(Invest[Affectation matrice],$AB$3,Invest[Amortissement HT + intérêts]))*BM32</f>
        <v>0</v>
      </c>
      <c r="M32" s="198">
        <f>(SUMIF(Fonctionnement[Affectation matrice],$AB$3,Fonctionnement[Montant (€HT)])+SUMIF(Invest[Affectation matrice],$AB$3,Invest[Amortissement HT + intérêts]))*BN32</f>
        <v>0</v>
      </c>
      <c r="N32" s="198">
        <f>(SUMIF(Fonctionnement[Affectation matrice],$AB$3,Fonctionnement[Montant (€HT)])+SUMIF(Invest[Affectation matrice],$AB$3,Invest[Amortissement HT + intérêts]))*BO32</f>
        <v>0</v>
      </c>
      <c r="O32" s="198">
        <f>(SUMIF(Fonctionnement[Affectation matrice],$AB$3,Fonctionnement[Montant (€HT)])+SUMIF(Invest[Affectation matrice],$AB$3,Invest[Amortissement HT + intérêts]))*BP32</f>
        <v>0</v>
      </c>
      <c r="P32" s="198">
        <f>(SUMIF(Fonctionnement[Affectation matrice],$AB$3,Fonctionnement[Montant (€HT)])+SUMIF(Invest[Affectation matrice],$AB$3,Invest[Amortissement HT + intérêts]))*BQ32</f>
        <v>0</v>
      </c>
      <c r="Q32" s="198">
        <f>(SUMIF(Fonctionnement[Affectation matrice],$AB$3,Fonctionnement[Montant (€HT)])+SUMIF(Invest[Affectation matrice],$AB$3,Invest[Amortissement HT + intérêts]))*BR32</f>
        <v>0</v>
      </c>
      <c r="R32" s="198">
        <f>(SUMIF(Fonctionnement[Affectation matrice],$AB$3,Fonctionnement[Montant (€HT)])+SUMIF(Invest[Affectation matrice],$AB$3,Invest[Amortissement HT + intérêts]))*BS32</f>
        <v>0</v>
      </c>
      <c r="S32" s="198">
        <f>(SUMIF(Fonctionnement[Affectation matrice],$AB$3,Fonctionnement[Montant (€HT)])+SUMIF(Invest[Affectation matrice],$AB$3,Invest[Amortissement HT + intérêts]))*BT32</f>
        <v>0</v>
      </c>
      <c r="T32" s="198">
        <f>(SUMIF(Fonctionnement[Affectation matrice],$AB$3,Fonctionnement[Montant (€HT)])+SUMIF(Invest[Affectation matrice],$AB$3,Invest[Amortissement HT + intérêts]))*BU32</f>
        <v>0</v>
      </c>
      <c r="U32" s="198">
        <f>(SUMIF(Fonctionnement[Affectation matrice],$AB$3,Fonctionnement[Montant (€HT)])+SUMIF(Invest[Affectation matrice],$AB$3,Invest[Amortissement HT + intérêts]))*BV32</f>
        <v>0</v>
      </c>
      <c r="V32" s="198">
        <f>(SUMIF(Fonctionnement[Affectation matrice],$AB$3,Fonctionnement[Montant (€HT)])+SUMIF(Invest[Affectation matrice],$AB$3,Invest[Amortissement HT + intérêts]))*BW32</f>
        <v>0</v>
      </c>
      <c r="W32" s="198">
        <f>(SUMIF(Fonctionnement[Affectation matrice],$AB$3,Fonctionnement[Montant (€HT)])+SUMIF(Invest[Affectation matrice],$AB$3,Invest[Amortissement HT + intérêts]))*BX32</f>
        <v>0</v>
      </c>
      <c r="X32" s="198">
        <f>(SUMIF(Fonctionnement[Affectation matrice],$AB$3,Fonctionnement[Montant (€HT)])+SUMIF(Invest[Affectation matrice],$AB$3,Invest[Amortissement HT + intérêts]))*BY32</f>
        <v>0</v>
      </c>
      <c r="Y32" s="198">
        <f>(SUMIF(Fonctionnement[Affectation matrice],$AB$3,Fonctionnement[Montant (€HT)])+SUMIF(Invest[Affectation matrice],$AB$3,Invest[Amortissement HT + intérêts]))*BZ32</f>
        <v>0</v>
      </c>
      <c r="Z32" s="198">
        <f>(SUMIF(Fonctionnement[Affectation matrice],$AB$3,Fonctionnement[Montant (€HT)])+SUMIF(Invest[Affectation matrice],$AB$3,Invest[Amortissement HT + intérêts]))*CA32</f>
        <v>0</v>
      </c>
      <c r="AA32" s="199"/>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283">
        <f t="shared" si="4"/>
        <v>0</v>
      </c>
      <c r="BB32" s="7"/>
      <c r="BC32" s="61">
        <f t="shared" si="8"/>
        <v>0</v>
      </c>
      <c r="BD32" s="61">
        <f t="shared" si="8"/>
        <v>0</v>
      </c>
      <c r="BE32" s="61">
        <f t="shared" si="8"/>
        <v>0</v>
      </c>
      <c r="BF32" s="61">
        <f t="shared" si="8"/>
        <v>0</v>
      </c>
      <c r="BG32" s="61">
        <f t="shared" si="8"/>
        <v>0</v>
      </c>
      <c r="BH32" s="61">
        <f t="shared" si="8"/>
        <v>0</v>
      </c>
      <c r="BI32" s="61">
        <f t="shared" si="8"/>
        <v>0</v>
      </c>
      <c r="BJ32" s="61">
        <f t="shared" si="8"/>
        <v>0</v>
      </c>
      <c r="BK32" s="61">
        <f t="shared" si="8"/>
        <v>0</v>
      </c>
      <c r="BL32" s="61">
        <f t="shared" si="8"/>
        <v>0</v>
      </c>
      <c r="BM32" s="61">
        <f t="shared" si="8"/>
        <v>0</v>
      </c>
      <c r="BN32" s="61">
        <f t="shared" si="8"/>
        <v>0</v>
      </c>
      <c r="BO32" s="61">
        <f t="shared" si="8"/>
        <v>0</v>
      </c>
      <c r="BP32" s="61">
        <f t="shared" si="8"/>
        <v>0</v>
      </c>
      <c r="BQ32" s="61">
        <f t="shared" si="8"/>
        <v>0</v>
      </c>
      <c r="BR32" s="61">
        <f t="shared" si="8"/>
        <v>0</v>
      </c>
      <c r="BS32" s="61">
        <f t="shared" si="9"/>
        <v>0</v>
      </c>
      <c r="BT32" s="61">
        <f t="shared" si="9"/>
        <v>0</v>
      </c>
      <c r="BU32" s="61">
        <f t="shared" si="9"/>
        <v>0</v>
      </c>
      <c r="BV32" s="61">
        <f t="shared" si="9"/>
        <v>0</v>
      </c>
      <c r="BW32" s="61">
        <f t="shared" si="9"/>
        <v>0</v>
      </c>
      <c r="BX32" s="61">
        <f t="shared" si="9"/>
        <v>0</v>
      </c>
      <c r="BY32" s="61">
        <f t="shared" si="9"/>
        <v>0</v>
      </c>
      <c r="BZ32" s="61">
        <f t="shared" si="9"/>
        <v>0</v>
      </c>
      <c r="CA32" s="61">
        <f t="shared" si="9"/>
        <v>0</v>
      </c>
      <c r="CB32" s="61">
        <f t="shared" si="5"/>
        <v>0</v>
      </c>
      <c r="CD32" s="200">
        <f>(SUMIF(Fonctionnement[Affectation matrice],$AB$3,Fonctionnement[TVA acquittée])+SUMIF(Invest[Affectation matrice],$AB$3,Invest[TVA acquittée]))*BC32</f>
        <v>0</v>
      </c>
      <c r="CE32" s="200">
        <f>(SUMIF(Fonctionnement[Affectation matrice],$AB$3,Fonctionnement[TVA acquittée])+SUMIF(Invest[Affectation matrice],$AB$3,Invest[TVA acquittée]))*BD32</f>
        <v>0</v>
      </c>
      <c r="CF32" s="200">
        <f>(SUMIF(Fonctionnement[Affectation matrice],$AB$3,Fonctionnement[TVA acquittée])+SUMIF(Invest[Affectation matrice],$AB$3,Invest[TVA acquittée]))*BE32</f>
        <v>0</v>
      </c>
      <c r="CG32" s="200">
        <f>(SUMIF(Fonctionnement[Affectation matrice],$AB$3,Fonctionnement[TVA acquittée])+SUMIF(Invest[Affectation matrice],$AB$3,Invest[TVA acquittée]))*BF32</f>
        <v>0</v>
      </c>
      <c r="CH32" s="200">
        <f>(SUMIF(Fonctionnement[Affectation matrice],$AB$3,Fonctionnement[TVA acquittée])+SUMIF(Invest[Affectation matrice],$AB$3,Invest[TVA acquittée]))*BG32</f>
        <v>0</v>
      </c>
      <c r="CI32" s="200">
        <f>(SUMIF(Fonctionnement[Affectation matrice],$AB$3,Fonctionnement[TVA acquittée])+SUMIF(Invest[Affectation matrice],$AB$3,Invest[TVA acquittée]))*BH32</f>
        <v>0</v>
      </c>
      <c r="CJ32" s="200">
        <f>(SUMIF(Fonctionnement[Affectation matrice],$AB$3,Fonctionnement[TVA acquittée])+SUMIF(Invest[Affectation matrice],$AB$3,Invest[TVA acquittée]))*BI32</f>
        <v>0</v>
      </c>
      <c r="CK32" s="200">
        <f>(SUMIF(Fonctionnement[Affectation matrice],$AB$3,Fonctionnement[TVA acquittée])+SUMIF(Invest[Affectation matrice],$AB$3,Invest[TVA acquittée]))*BJ32</f>
        <v>0</v>
      </c>
      <c r="CL32" s="200">
        <f>(SUMIF(Fonctionnement[Affectation matrice],$AB$3,Fonctionnement[TVA acquittée])+SUMIF(Invest[Affectation matrice],$AB$3,Invest[TVA acquittée]))*BK32</f>
        <v>0</v>
      </c>
      <c r="CM32" s="200">
        <f>(SUMIF(Fonctionnement[Affectation matrice],$AB$3,Fonctionnement[TVA acquittée])+SUMIF(Invest[Affectation matrice],$AB$3,Invest[TVA acquittée]))*BL32</f>
        <v>0</v>
      </c>
      <c r="CN32" s="200">
        <f>(SUMIF(Fonctionnement[Affectation matrice],$AB$3,Fonctionnement[TVA acquittée])+SUMIF(Invest[Affectation matrice],$AB$3,Invest[TVA acquittée]))*BM32</f>
        <v>0</v>
      </c>
      <c r="CO32" s="200">
        <f>(SUMIF(Fonctionnement[Affectation matrice],$AB$3,Fonctionnement[TVA acquittée])+SUMIF(Invest[Affectation matrice],$AB$3,Invest[TVA acquittée]))*BN32</f>
        <v>0</v>
      </c>
      <c r="CP32" s="200">
        <f>(SUMIF(Fonctionnement[Affectation matrice],$AB$3,Fonctionnement[TVA acquittée])+SUMIF(Invest[Affectation matrice],$AB$3,Invest[TVA acquittée]))*BO32</f>
        <v>0</v>
      </c>
      <c r="CQ32" s="200">
        <f>(SUMIF(Fonctionnement[Affectation matrice],$AB$3,Fonctionnement[TVA acquittée])+SUMIF(Invest[Affectation matrice],$AB$3,Invest[TVA acquittée]))*BP32</f>
        <v>0</v>
      </c>
      <c r="CR32" s="200">
        <f>(SUMIF(Fonctionnement[Affectation matrice],$AB$3,Fonctionnement[TVA acquittée])+SUMIF(Invest[Affectation matrice],$AB$3,Invest[TVA acquittée]))*BQ32</f>
        <v>0</v>
      </c>
      <c r="CS32" s="200">
        <f>(SUMIF(Fonctionnement[Affectation matrice],$AB$3,Fonctionnement[TVA acquittée])+SUMIF(Invest[Affectation matrice],$AB$3,Invest[TVA acquittée]))*BR32</f>
        <v>0</v>
      </c>
      <c r="CT32" s="200">
        <f>(SUMIF(Fonctionnement[Affectation matrice],$AB$3,Fonctionnement[TVA acquittée])+SUMIF(Invest[Affectation matrice],$AB$3,Invest[TVA acquittée]))*BS32</f>
        <v>0</v>
      </c>
      <c r="CU32" s="200">
        <f>(SUMIF(Fonctionnement[Affectation matrice],$AB$3,Fonctionnement[TVA acquittée])+SUMIF(Invest[Affectation matrice],$AB$3,Invest[TVA acquittée]))*BT32</f>
        <v>0</v>
      </c>
      <c r="CV32" s="200">
        <f>(SUMIF(Fonctionnement[Affectation matrice],$AB$3,Fonctionnement[TVA acquittée])+SUMIF(Invest[Affectation matrice],$AB$3,Invest[TVA acquittée]))*BU32</f>
        <v>0</v>
      </c>
      <c r="CW32" s="200">
        <f>(SUMIF(Fonctionnement[Affectation matrice],$AB$3,Fonctionnement[TVA acquittée])+SUMIF(Invest[Affectation matrice],$AB$3,Invest[TVA acquittée]))*BV32</f>
        <v>0</v>
      </c>
      <c r="CX32" s="200">
        <f>(SUMIF(Fonctionnement[Affectation matrice],$AB$3,Fonctionnement[TVA acquittée])+SUMIF(Invest[Affectation matrice],$AB$3,Invest[TVA acquittée]))*BW32</f>
        <v>0</v>
      </c>
      <c r="CY32" s="200">
        <f>(SUMIF(Fonctionnement[Affectation matrice],$AB$3,Fonctionnement[TVA acquittée])+SUMIF(Invest[Affectation matrice],$AB$3,Invest[TVA acquittée]))*BX32</f>
        <v>0</v>
      </c>
      <c r="CZ32" s="200">
        <f>(SUMIF(Fonctionnement[Affectation matrice],$AB$3,Fonctionnement[TVA acquittée])+SUMIF(Invest[Affectation matrice],$AB$3,Invest[TVA acquittée]))*BY32</f>
        <v>0</v>
      </c>
      <c r="DA32" s="200">
        <f>(SUMIF(Fonctionnement[Affectation matrice],$AB$3,Fonctionnement[TVA acquittée])+SUMIF(Invest[Affectation matrice],$AB$3,Invest[TVA acquittée]))*BZ32</f>
        <v>0</v>
      </c>
      <c r="DB32" s="200">
        <f>(SUMIF(Fonctionnement[Affectation matrice],$AB$3,Fonctionnement[TVA acquittée])+SUMIF(Invest[Affectation matrice],$AB$3,Invest[TVA acquittée]))*CA32</f>
        <v>0</v>
      </c>
    </row>
    <row r="33" spans="1:106" s="22" customFormat="1" ht="12.75" hidden="1" customHeight="1" x14ac:dyDescent="0.25">
      <c r="A33" s="42" t="str">
        <f>Matrice[[#This Row],[Ligne de la matrice]]</f>
        <v>Aides à l'emploi</v>
      </c>
      <c r="B33" s="198">
        <f>(SUMIF(Fonctionnement[Affectation matrice],$AB$3,Fonctionnement[Montant (€HT)])+SUMIF(Invest[Affectation matrice],$AB$3,Invest[Amortissement HT + intérêts]))*BC33</f>
        <v>0</v>
      </c>
      <c r="C33" s="198">
        <f>(SUMIF(Fonctionnement[Affectation matrice],$AB$3,Fonctionnement[Montant (€HT)])+SUMIF(Invest[Affectation matrice],$AB$3,Invest[Amortissement HT + intérêts]))*BD33</f>
        <v>0</v>
      </c>
      <c r="D33" s="198">
        <f>(SUMIF(Fonctionnement[Affectation matrice],$AB$3,Fonctionnement[Montant (€HT)])+SUMIF(Invest[Affectation matrice],$AB$3,Invest[Amortissement HT + intérêts]))*BE33</f>
        <v>0</v>
      </c>
      <c r="E33" s="198">
        <f>(SUMIF(Fonctionnement[Affectation matrice],$AB$3,Fonctionnement[Montant (€HT)])+SUMIF(Invest[Affectation matrice],$AB$3,Invest[Amortissement HT + intérêts]))*BF33</f>
        <v>0</v>
      </c>
      <c r="F33" s="198">
        <f>(SUMIF(Fonctionnement[Affectation matrice],$AB$3,Fonctionnement[Montant (€HT)])+SUMIF(Invest[Affectation matrice],$AB$3,Invest[Amortissement HT + intérêts]))*BG33</f>
        <v>0</v>
      </c>
      <c r="G33" s="198">
        <f>(SUMIF(Fonctionnement[Affectation matrice],$AB$3,Fonctionnement[Montant (€HT)])+SUMIF(Invest[Affectation matrice],$AB$3,Invest[Amortissement HT + intérêts]))*BH33</f>
        <v>0</v>
      </c>
      <c r="H33" s="198">
        <f>(SUMIF(Fonctionnement[Affectation matrice],$AB$3,Fonctionnement[Montant (€HT)])+SUMIF(Invest[Affectation matrice],$AB$3,Invest[Amortissement HT + intérêts]))*BI33</f>
        <v>0</v>
      </c>
      <c r="I33" s="198">
        <f>(SUMIF(Fonctionnement[Affectation matrice],$AB$3,Fonctionnement[Montant (€HT)])+SUMIF(Invest[Affectation matrice],$AB$3,Invest[Amortissement HT + intérêts]))*BJ33</f>
        <v>0</v>
      </c>
      <c r="J33" s="198">
        <f>(SUMIF(Fonctionnement[Affectation matrice],$AB$3,Fonctionnement[Montant (€HT)])+SUMIF(Invest[Affectation matrice],$AB$3,Invest[Amortissement HT + intérêts]))*BK33</f>
        <v>0</v>
      </c>
      <c r="K33" s="198">
        <f>(SUMIF(Fonctionnement[Affectation matrice],$AB$3,Fonctionnement[Montant (€HT)])+SUMIF(Invest[Affectation matrice],$AB$3,Invest[Amortissement HT + intérêts]))*BL33</f>
        <v>0</v>
      </c>
      <c r="L33" s="198">
        <f>(SUMIF(Fonctionnement[Affectation matrice],$AB$3,Fonctionnement[Montant (€HT)])+SUMIF(Invest[Affectation matrice],$AB$3,Invest[Amortissement HT + intérêts]))*BM33</f>
        <v>0</v>
      </c>
      <c r="M33" s="198">
        <f>(SUMIF(Fonctionnement[Affectation matrice],$AB$3,Fonctionnement[Montant (€HT)])+SUMIF(Invest[Affectation matrice],$AB$3,Invest[Amortissement HT + intérêts]))*BN33</f>
        <v>0</v>
      </c>
      <c r="N33" s="198">
        <f>(SUMIF(Fonctionnement[Affectation matrice],$AB$3,Fonctionnement[Montant (€HT)])+SUMIF(Invest[Affectation matrice],$AB$3,Invest[Amortissement HT + intérêts]))*BO33</f>
        <v>0</v>
      </c>
      <c r="O33" s="198">
        <f>(SUMIF(Fonctionnement[Affectation matrice],$AB$3,Fonctionnement[Montant (€HT)])+SUMIF(Invest[Affectation matrice],$AB$3,Invest[Amortissement HT + intérêts]))*BP33</f>
        <v>0</v>
      </c>
      <c r="P33" s="198">
        <f>(SUMIF(Fonctionnement[Affectation matrice],$AB$3,Fonctionnement[Montant (€HT)])+SUMIF(Invest[Affectation matrice],$AB$3,Invest[Amortissement HT + intérêts]))*BQ33</f>
        <v>0</v>
      </c>
      <c r="Q33" s="198">
        <f>(SUMIF(Fonctionnement[Affectation matrice],$AB$3,Fonctionnement[Montant (€HT)])+SUMIF(Invest[Affectation matrice],$AB$3,Invest[Amortissement HT + intérêts]))*BR33</f>
        <v>0</v>
      </c>
      <c r="R33" s="198">
        <f>(SUMIF(Fonctionnement[Affectation matrice],$AB$3,Fonctionnement[Montant (€HT)])+SUMIF(Invest[Affectation matrice],$AB$3,Invest[Amortissement HT + intérêts]))*BS33</f>
        <v>0</v>
      </c>
      <c r="S33" s="198">
        <f>(SUMIF(Fonctionnement[Affectation matrice],$AB$3,Fonctionnement[Montant (€HT)])+SUMIF(Invest[Affectation matrice],$AB$3,Invest[Amortissement HT + intérêts]))*BT33</f>
        <v>0</v>
      </c>
      <c r="T33" s="198">
        <f>(SUMIF(Fonctionnement[Affectation matrice],$AB$3,Fonctionnement[Montant (€HT)])+SUMIF(Invest[Affectation matrice],$AB$3,Invest[Amortissement HT + intérêts]))*BU33</f>
        <v>0</v>
      </c>
      <c r="U33" s="198">
        <f>(SUMIF(Fonctionnement[Affectation matrice],$AB$3,Fonctionnement[Montant (€HT)])+SUMIF(Invest[Affectation matrice],$AB$3,Invest[Amortissement HT + intérêts]))*BV33</f>
        <v>0</v>
      </c>
      <c r="V33" s="198">
        <f>(SUMIF(Fonctionnement[Affectation matrice],$AB$3,Fonctionnement[Montant (€HT)])+SUMIF(Invest[Affectation matrice],$AB$3,Invest[Amortissement HT + intérêts]))*BW33</f>
        <v>0</v>
      </c>
      <c r="W33" s="198">
        <f>(SUMIF(Fonctionnement[Affectation matrice],$AB$3,Fonctionnement[Montant (€HT)])+SUMIF(Invest[Affectation matrice],$AB$3,Invest[Amortissement HT + intérêts]))*BX33</f>
        <v>0</v>
      </c>
      <c r="X33" s="198">
        <f>(SUMIF(Fonctionnement[Affectation matrice],$AB$3,Fonctionnement[Montant (€HT)])+SUMIF(Invest[Affectation matrice],$AB$3,Invest[Amortissement HT + intérêts]))*BY33</f>
        <v>0</v>
      </c>
      <c r="Y33" s="198">
        <f>(SUMIF(Fonctionnement[Affectation matrice],$AB$3,Fonctionnement[Montant (€HT)])+SUMIF(Invest[Affectation matrice],$AB$3,Invest[Amortissement HT + intérêts]))*BZ33</f>
        <v>0</v>
      </c>
      <c r="Z33" s="198">
        <f>(SUMIF(Fonctionnement[Affectation matrice],$AB$3,Fonctionnement[Montant (€HT)])+SUMIF(Invest[Affectation matrice],$AB$3,Invest[Amortissement HT + intérêts]))*CA33</f>
        <v>0</v>
      </c>
      <c r="AA33" s="199"/>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283">
        <f t="shared" si="4"/>
        <v>0</v>
      </c>
      <c r="BB33" s="7"/>
      <c r="BC33" s="61">
        <f t="shared" si="8"/>
        <v>0</v>
      </c>
      <c r="BD33" s="61">
        <f t="shared" si="8"/>
        <v>0</v>
      </c>
      <c r="BE33" s="61">
        <f t="shared" si="8"/>
        <v>0</v>
      </c>
      <c r="BF33" s="61">
        <f t="shared" si="8"/>
        <v>0</v>
      </c>
      <c r="BG33" s="61">
        <f t="shared" si="8"/>
        <v>0</v>
      </c>
      <c r="BH33" s="61">
        <f t="shared" si="8"/>
        <v>0</v>
      </c>
      <c r="BI33" s="61">
        <f t="shared" si="8"/>
        <v>0</v>
      </c>
      <c r="BJ33" s="61">
        <f t="shared" si="8"/>
        <v>0</v>
      </c>
      <c r="BK33" s="61">
        <f t="shared" si="8"/>
        <v>0</v>
      </c>
      <c r="BL33" s="61">
        <f t="shared" si="8"/>
        <v>0</v>
      </c>
      <c r="BM33" s="61">
        <f t="shared" si="8"/>
        <v>0</v>
      </c>
      <c r="BN33" s="61">
        <f t="shared" si="8"/>
        <v>0</v>
      </c>
      <c r="BO33" s="61">
        <f t="shared" si="8"/>
        <v>0</v>
      </c>
      <c r="BP33" s="61">
        <f t="shared" si="8"/>
        <v>0</v>
      </c>
      <c r="BQ33" s="61">
        <f t="shared" si="8"/>
        <v>0</v>
      </c>
      <c r="BR33" s="61">
        <f t="shared" si="8"/>
        <v>0</v>
      </c>
      <c r="BS33" s="61">
        <f t="shared" si="9"/>
        <v>0</v>
      </c>
      <c r="BT33" s="61">
        <f t="shared" si="9"/>
        <v>0</v>
      </c>
      <c r="BU33" s="61">
        <f t="shared" si="9"/>
        <v>0</v>
      </c>
      <c r="BV33" s="61">
        <f t="shared" si="9"/>
        <v>0</v>
      </c>
      <c r="BW33" s="61">
        <f t="shared" si="9"/>
        <v>0</v>
      </c>
      <c r="BX33" s="61">
        <f t="shared" si="9"/>
        <v>0</v>
      </c>
      <c r="BY33" s="61">
        <f t="shared" si="9"/>
        <v>0</v>
      </c>
      <c r="BZ33" s="61">
        <f t="shared" si="9"/>
        <v>0</v>
      </c>
      <c r="CA33" s="61">
        <f t="shared" si="9"/>
        <v>0</v>
      </c>
      <c r="CB33" s="61">
        <f t="shared" si="5"/>
        <v>0</v>
      </c>
      <c r="CD33" s="200">
        <f>(SUMIF(Fonctionnement[Affectation matrice],$AB$3,Fonctionnement[TVA acquittée])+SUMIF(Invest[Affectation matrice],$AB$3,Invest[TVA acquittée]))*BC33</f>
        <v>0</v>
      </c>
      <c r="CE33" s="200">
        <f>(SUMIF(Fonctionnement[Affectation matrice],$AB$3,Fonctionnement[TVA acquittée])+SUMIF(Invest[Affectation matrice],$AB$3,Invest[TVA acquittée]))*BD33</f>
        <v>0</v>
      </c>
      <c r="CF33" s="200">
        <f>(SUMIF(Fonctionnement[Affectation matrice],$AB$3,Fonctionnement[TVA acquittée])+SUMIF(Invest[Affectation matrice],$AB$3,Invest[TVA acquittée]))*BE33</f>
        <v>0</v>
      </c>
      <c r="CG33" s="200">
        <f>(SUMIF(Fonctionnement[Affectation matrice],$AB$3,Fonctionnement[TVA acquittée])+SUMIF(Invest[Affectation matrice],$AB$3,Invest[TVA acquittée]))*BF33</f>
        <v>0</v>
      </c>
      <c r="CH33" s="200">
        <f>(SUMIF(Fonctionnement[Affectation matrice],$AB$3,Fonctionnement[TVA acquittée])+SUMIF(Invest[Affectation matrice],$AB$3,Invest[TVA acquittée]))*BG33</f>
        <v>0</v>
      </c>
      <c r="CI33" s="200">
        <f>(SUMIF(Fonctionnement[Affectation matrice],$AB$3,Fonctionnement[TVA acquittée])+SUMIF(Invest[Affectation matrice],$AB$3,Invest[TVA acquittée]))*BH33</f>
        <v>0</v>
      </c>
      <c r="CJ33" s="200">
        <f>(SUMIF(Fonctionnement[Affectation matrice],$AB$3,Fonctionnement[TVA acquittée])+SUMIF(Invest[Affectation matrice],$AB$3,Invest[TVA acquittée]))*BI33</f>
        <v>0</v>
      </c>
      <c r="CK33" s="200">
        <f>(SUMIF(Fonctionnement[Affectation matrice],$AB$3,Fonctionnement[TVA acquittée])+SUMIF(Invest[Affectation matrice],$AB$3,Invest[TVA acquittée]))*BJ33</f>
        <v>0</v>
      </c>
      <c r="CL33" s="200">
        <f>(SUMIF(Fonctionnement[Affectation matrice],$AB$3,Fonctionnement[TVA acquittée])+SUMIF(Invest[Affectation matrice],$AB$3,Invest[TVA acquittée]))*BK33</f>
        <v>0</v>
      </c>
      <c r="CM33" s="200">
        <f>(SUMIF(Fonctionnement[Affectation matrice],$AB$3,Fonctionnement[TVA acquittée])+SUMIF(Invest[Affectation matrice],$AB$3,Invest[TVA acquittée]))*BL33</f>
        <v>0</v>
      </c>
      <c r="CN33" s="200">
        <f>(SUMIF(Fonctionnement[Affectation matrice],$AB$3,Fonctionnement[TVA acquittée])+SUMIF(Invest[Affectation matrice],$AB$3,Invest[TVA acquittée]))*BM33</f>
        <v>0</v>
      </c>
      <c r="CO33" s="200">
        <f>(SUMIF(Fonctionnement[Affectation matrice],$AB$3,Fonctionnement[TVA acquittée])+SUMIF(Invest[Affectation matrice],$AB$3,Invest[TVA acquittée]))*BN33</f>
        <v>0</v>
      </c>
      <c r="CP33" s="200">
        <f>(SUMIF(Fonctionnement[Affectation matrice],$AB$3,Fonctionnement[TVA acquittée])+SUMIF(Invest[Affectation matrice],$AB$3,Invest[TVA acquittée]))*BO33</f>
        <v>0</v>
      </c>
      <c r="CQ33" s="200">
        <f>(SUMIF(Fonctionnement[Affectation matrice],$AB$3,Fonctionnement[TVA acquittée])+SUMIF(Invest[Affectation matrice],$AB$3,Invest[TVA acquittée]))*BP33</f>
        <v>0</v>
      </c>
      <c r="CR33" s="200">
        <f>(SUMIF(Fonctionnement[Affectation matrice],$AB$3,Fonctionnement[TVA acquittée])+SUMIF(Invest[Affectation matrice],$AB$3,Invest[TVA acquittée]))*BQ33</f>
        <v>0</v>
      </c>
      <c r="CS33" s="200">
        <f>(SUMIF(Fonctionnement[Affectation matrice],$AB$3,Fonctionnement[TVA acquittée])+SUMIF(Invest[Affectation matrice],$AB$3,Invest[TVA acquittée]))*BR33</f>
        <v>0</v>
      </c>
      <c r="CT33" s="200">
        <f>(SUMIF(Fonctionnement[Affectation matrice],$AB$3,Fonctionnement[TVA acquittée])+SUMIF(Invest[Affectation matrice],$AB$3,Invest[TVA acquittée]))*BS33</f>
        <v>0</v>
      </c>
      <c r="CU33" s="200">
        <f>(SUMIF(Fonctionnement[Affectation matrice],$AB$3,Fonctionnement[TVA acquittée])+SUMIF(Invest[Affectation matrice],$AB$3,Invest[TVA acquittée]))*BT33</f>
        <v>0</v>
      </c>
      <c r="CV33" s="200">
        <f>(SUMIF(Fonctionnement[Affectation matrice],$AB$3,Fonctionnement[TVA acquittée])+SUMIF(Invest[Affectation matrice],$AB$3,Invest[TVA acquittée]))*BU33</f>
        <v>0</v>
      </c>
      <c r="CW33" s="200">
        <f>(SUMIF(Fonctionnement[Affectation matrice],$AB$3,Fonctionnement[TVA acquittée])+SUMIF(Invest[Affectation matrice],$AB$3,Invest[TVA acquittée]))*BV33</f>
        <v>0</v>
      </c>
      <c r="CX33" s="200">
        <f>(SUMIF(Fonctionnement[Affectation matrice],$AB$3,Fonctionnement[TVA acquittée])+SUMIF(Invest[Affectation matrice],$AB$3,Invest[TVA acquittée]))*BW33</f>
        <v>0</v>
      </c>
      <c r="CY33" s="200">
        <f>(SUMIF(Fonctionnement[Affectation matrice],$AB$3,Fonctionnement[TVA acquittée])+SUMIF(Invest[Affectation matrice],$AB$3,Invest[TVA acquittée]))*BX33</f>
        <v>0</v>
      </c>
      <c r="CZ33" s="200">
        <f>(SUMIF(Fonctionnement[Affectation matrice],$AB$3,Fonctionnement[TVA acquittée])+SUMIF(Invest[Affectation matrice],$AB$3,Invest[TVA acquittée]))*BY33</f>
        <v>0</v>
      </c>
      <c r="DA33" s="200">
        <f>(SUMIF(Fonctionnement[Affectation matrice],$AB$3,Fonctionnement[TVA acquittée])+SUMIF(Invest[Affectation matrice],$AB$3,Invest[TVA acquittée]))*BZ33</f>
        <v>0</v>
      </c>
      <c r="DB33" s="200">
        <f>(SUMIF(Fonctionnement[Affectation matrice],$AB$3,Fonctionnement[TVA acquittée])+SUMIF(Invest[Affectation matrice],$AB$3,Invest[TVA acquittée]))*CA33</f>
        <v>0</v>
      </c>
    </row>
    <row r="34" spans="1:106" s="205" customFormat="1" ht="12.75" hidden="1" customHeight="1" x14ac:dyDescent="0.25">
      <c r="A34" s="186"/>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2"/>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03"/>
      <c r="BB34" s="204"/>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row>
    <row r="35" spans="1:106" s="22" customFormat="1" ht="12.75" hidden="1" customHeight="1" x14ac:dyDescent="0.25">
      <c r="A35" s="42" t="str">
        <f>Matrice[[#This Row],[Ligne de la matrice]]</f>
        <v>TVA acquittée</v>
      </c>
      <c r="B35" s="198">
        <f>(SUMIF(Fonctionnement[Affectation matrice],$AB$3,Fonctionnement[Montant (€HT)])+SUMIF(Invest[Affectation matrice],$AB$3,Invest[Amortissement HT + intérêts]))*BC35</f>
        <v>0</v>
      </c>
      <c r="C35" s="198">
        <f>(SUMIF(Fonctionnement[Affectation matrice],$AB$3,Fonctionnement[Montant (€HT)])+SUMIF(Invest[Affectation matrice],$AB$3,Invest[Amortissement HT + intérêts]))*BD35</f>
        <v>0</v>
      </c>
      <c r="D35" s="198">
        <f>(SUMIF(Fonctionnement[Affectation matrice],$AB$3,Fonctionnement[Montant (€HT)])+SUMIF(Invest[Affectation matrice],$AB$3,Invest[Amortissement HT + intérêts]))*BE35</f>
        <v>0</v>
      </c>
      <c r="E35" s="198">
        <f>(SUMIF(Fonctionnement[Affectation matrice],$AB$3,Fonctionnement[Montant (€HT)])+SUMIF(Invest[Affectation matrice],$AB$3,Invest[Amortissement HT + intérêts]))*BF35</f>
        <v>0</v>
      </c>
      <c r="F35" s="198">
        <f>(SUMIF(Fonctionnement[Affectation matrice],$AB$3,Fonctionnement[Montant (€HT)])+SUMIF(Invest[Affectation matrice],$AB$3,Invest[Amortissement HT + intérêts]))*BG35</f>
        <v>0</v>
      </c>
      <c r="G35" s="198">
        <f>(SUMIF(Fonctionnement[Affectation matrice],$AB$3,Fonctionnement[Montant (€HT)])+SUMIF(Invest[Affectation matrice],$AB$3,Invest[Amortissement HT + intérêts]))*BH35</f>
        <v>0</v>
      </c>
      <c r="H35" s="198">
        <f>(SUMIF(Fonctionnement[Affectation matrice],$AB$3,Fonctionnement[Montant (€HT)])+SUMIF(Invest[Affectation matrice],$AB$3,Invest[Amortissement HT + intérêts]))*BI35</f>
        <v>0</v>
      </c>
      <c r="I35" s="198">
        <f>(SUMIF(Fonctionnement[Affectation matrice],$AB$3,Fonctionnement[Montant (€HT)])+SUMIF(Invest[Affectation matrice],$AB$3,Invest[Amortissement HT + intérêts]))*BJ35</f>
        <v>0</v>
      </c>
      <c r="J35" s="198">
        <f>(SUMIF(Fonctionnement[Affectation matrice],$AB$3,Fonctionnement[Montant (€HT)])+SUMIF(Invest[Affectation matrice],$AB$3,Invest[Amortissement HT + intérêts]))*BK35</f>
        <v>0</v>
      </c>
      <c r="K35" s="198">
        <f>(SUMIF(Fonctionnement[Affectation matrice],$AB$3,Fonctionnement[Montant (€HT)])+SUMIF(Invest[Affectation matrice],$AB$3,Invest[Amortissement HT + intérêts]))*BL35</f>
        <v>0</v>
      </c>
      <c r="L35" s="198">
        <f>(SUMIF(Fonctionnement[Affectation matrice],$AB$3,Fonctionnement[Montant (€HT)])+SUMIF(Invest[Affectation matrice],$AB$3,Invest[Amortissement HT + intérêts]))*BM35</f>
        <v>0</v>
      </c>
      <c r="M35" s="198">
        <f>(SUMIF(Fonctionnement[Affectation matrice],$AB$3,Fonctionnement[Montant (€HT)])+SUMIF(Invest[Affectation matrice],$AB$3,Invest[Amortissement HT + intérêts]))*BN35</f>
        <v>0</v>
      </c>
      <c r="N35" s="198">
        <f>(SUMIF(Fonctionnement[Affectation matrice],$AB$3,Fonctionnement[Montant (€HT)])+SUMIF(Invest[Affectation matrice],$AB$3,Invest[Amortissement HT + intérêts]))*BO35</f>
        <v>0</v>
      </c>
      <c r="O35" s="198">
        <f>(SUMIF(Fonctionnement[Affectation matrice],$AB$3,Fonctionnement[Montant (€HT)])+SUMIF(Invest[Affectation matrice],$AB$3,Invest[Amortissement HT + intérêts]))*BP35</f>
        <v>0</v>
      </c>
      <c r="P35" s="198">
        <f>(SUMIF(Fonctionnement[Affectation matrice],$AB$3,Fonctionnement[Montant (€HT)])+SUMIF(Invest[Affectation matrice],$AB$3,Invest[Amortissement HT + intérêts]))*BQ35</f>
        <v>0</v>
      </c>
      <c r="Q35" s="198">
        <f>(SUMIF(Fonctionnement[Affectation matrice],$AB$3,Fonctionnement[Montant (€HT)])+SUMIF(Invest[Affectation matrice],$AB$3,Invest[Amortissement HT + intérêts]))*BR35</f>
        <v>0</v>
      </c>
      <c r="R35" s="198">
        <f>(SUMIF(Fonctionnement[Affectation matrice],$AB$3,Fonctionnement[Montant (€HT)])+SUMIF(Invest[Affectation matrice],$AB$3,Invest[Amortissement HT + intérêts]))*BS35</f>
        <v>0</v>
      </c>
      <c r="S35" s="198">
        <f>(SUMIF(Fonctionnement[Affectation matrice],$AB$3,Fonctionnement[Montant (€HT)])+SUMIF(Invest[Affectation matrice],$AB$3,Invest[Amortissement HT + intérêts]))*BT35</f>
        <v>0</v>
      </c>
      <c r="T35" s="198">
        <f>(SUMIF(Fonctionnement[Affectation matrice],$AB$3,Fonctionnement[Montant (€HT)])+SUMIF(Invest[Affectation matrice],$AB$3,Invest[Amortissement HT + intérêts]))*BU35</f>
        <v>0</v>
      </c>
      <c r="U35" s="198">
        <f>(SUMIF(Fonctionnement[Affectation matrice],$AB$3,Fonctionnement[Montant (€HT)])+SUMIF(Invest[Affectation matrice],$AB$3,Invest[Amortissement HT + intérêts]))*BV35</f>
        <v>0</v>
      </c>
      <c r="V35" s="198">
        <f>(SUMIF(Fonctionnement[Affectation matrice],$AB$3,Fonctionnement[Montant (€HT)])+SUMIF(Invest[Affectation matrice],$AB$3,Invest[Amortissement HT + intérêts]))*BW35</f>
        <v>0</v>
      </c>
      <c r="W35" s="198">
        <f>(SUMIF(Fonctionnement[Affectation matrice],$AB$3,Fonctionnement[Montant (€HT)])+SUMIF(Invest[Affectation matrice],$AB$3,Invest[Amortissement HT + intérêts]))*BX35</f>
        <v>0</v>
      </c>
      <c r="X35" s="198">
        <f>(SUMIF(Fonctionnement[Affectation matrice],$AB$3,Fonctionnement[Montant (€HT)])+SUMIF(Invest[Affectation matrice],$AB$3,Invest[Amortissement HT + intérêts]))*BY35</f>
        <v>0</v>
      </c>
      <c r="Y35" s="198">
        <f>(SUMIF(Fonctionnement[Affectation matrice],$AB$3,Fonctionnement[Montant (€HT)])+SUMIF(Invest[Affectation matrice],$AB$3,Invest[Amortissement HT + intérêts]))*BZ35</f>
        <v>0</v>
      </c>
      <c r="Z35" s="198">
        <f>(SUMIF(Fonctionnement[Affectation matrice],$AB$3,Fonctionnement[Montant (€HT)])+SUMIF(Invest[Affectation matrice],$AB$3,Invest[Amortissement HT + intérêts]))*CA35</f>
        <v>0</v>
      </c>
      <c r="AA35" s="199"/>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283">
        <f t="shared" si="4"/>
        <v>0</v>
      </c>
      <c r="BB35" s="7"/>
      <c r="BC35" s="61">
        <f t="shared" ref="BC35:BR41" si="10">IF($BA$53=0,0,AB35/$BA$53)</f>
        <v>0</v>
      </c>
      <c r="BD35" s="61">
        <f t="shared" si="10"/>
        <v>0</v>
      </c>
      <c r="BE35" s="61">
        <f t="shared" si="10"/>
        <v>0</v>
      </c>
      <c r="BF35" s="61">
        <f t="shared" si="10"/>
        <v>0</v>
      </c>
      <c r="BG35" s="61">
        <f t="shared" si="10"/>
        <v>0</v>
      </c>
      <c r="BH35" s="61">
        <f t="shared" si="10"/>
        <v>0</v>
      </c>
      <c r="BI35" s="61">
        <f t="shared" si="10"/>
        <v>0</v>
      </c>
      <c r="BJ35" s="61">
        <f t="shared" si="10"/>
        <v>0</v>
      </c>
      <c r="BK35" s="61">
        <f t="shared" si="10"/>
        <v>0</v>
      </c>
      <c r="BL35" s="61">
        <f t="shared" si="10"/>
        <v>0</v>
      </c>
      <c r="BM35" s="61">
        <f t="shared" si="10"/>
        <v>0</v>
      </c>
      <c r="BN35" s="61">
        <f t="shared" si="10"/>
        <v>0</v>
      </c>
      <c r="BO35" s="61">
        <f t="shared" si="10"/>
        <v>0</v>
      </c>
      <c r="BP35" s="61">
        <f t="shared" si="10"/>
        <v>0</v>
      </c>
      <c r="BQ35" s="61">
        <f t="shared" si="10"/>
        <v>0</v>
      </c>
      <c r="BR35" s="61">
        <f t="shared" si="10"/>
        <v>0</v>
      </c>
      <c r="BS35" s="61">
        <f t="shared" ref="BM35:CA41" si="11">IF($BA$53=0,0,AR35/$BA$53)</f>
        <v>0</v>
      </c>
      <c r="BT35" s="61">
        <f t="shared" si="11"/>
        <v>0</v>
      </c>
      <c r="BU35" s="61">
        <f t="shared" si="11"/>
        <v>0</v>
      </c>
      <c r="BV35" s="61">
        <f t="shared" si="11"/>
        <v>0</v>
      </c>
      <c r="BW35" s="61">
        <f t="shared" si="11"/>
        <v>0</v>
      </c>
      <c r="BX35" s="61">
        <f t="shared" si="11"/>
        <v>0</v>
      </c>
      <c r="BY35" s="61">
        <f t="shared" si="11"/>
        <v>0</v>
      </c>
      <c r="BZ35" s="61">
        <f t="shared" si="11"/>
        <v>0</v>
      </c>
      <c r="CA35" s="61">
        <f t="shared" si="11"/>
        <v>0</v>
      </c>
      <c r="CB35" s="61">
        <f t="shared" si="5"/>
        <v>0</v>
      </c>
      <c r="CD35" s="200">
        <f>(SUMIF(Fonctionnement[Affectation matrice],$AB$3,Fonctionnement[TVA acquittée])+SUMIF(Invest[Affectation matrice],$AB$3,Invest[TVA acquittée]))*BC35</f>
        <v>0</v>
      </c>
      <c r="CE35" s="200">
        <f>(SUMIF(Fonctionnement[Affectation matrice],$AB$3,Fonctionnement[TVA acquittée])+SUMIF(Invest[Affectation matrice],$AB$3,Invest[TVA acquittée]))*BD35</f>
        <v>0</v>
      </c>
      <c r="CF35" s="200">
        <f>(SUMIF(Fonctionnement[Affectation matrice],$AB$3,Fonctionnement[TVA acquittée])+SUMIF(Invest[Affectation matrice],$AB$3,Invest[TVA acquittée]))*BE35</f>
        <v>0</v>
      </c>
      <c r="CG35" s="200">
        <f>(SUMIF(Fonctionnement[Affectation matrice],$AB$3,Fonctionnement[TVA acquittée])+SUMIF(Invest[Affectation matrice],$AB$3,Invest[TVA acquittée]))*BF35</f>
        <v>0</v>
      </c>
      <c r="CH35" s="200">
        <f>(SUMIF(Fonctionnement[Affectation matrice],$AB$3,Fonctionnement[TVA acquittée])+SUMIF(Invest[Affectation matrice],$AB$3,Invest[TVA acquittée]))*BG35</f>
        <v>0</v>
      </c>
      <c r="CI35" s="200">
        <f>(SUMIF(Fonctionnement[Affectation matrice],$AB$3,Fonctionnement[TVA acquittée])+SUMIF(Invest[Affectation matrice],$AB$3,Invest[TVA acquittée]))*BH35</f>
        <v>0</v>
      </c>
      <c r="CJ35" s="200">
        <f>(SUMIF(Fonctionnement[Affectation matrice],$AB$3,Fonctionnement[TVA acquittée])+SUMIF(Invest[Affectation matrice],$AB$3,Invest[TVA acquittée]))*BI35</f>
        <v>0</v>
      </c>
      <c r="CK35" s="200">
        <f>(SUMIF(Fonctionnement[Affectation matrice],$AB$3,Fonctionnement[TVA acquittée])+SUMIF(Invest[Affectation matrice],$AB$3,Invest[TVA acquittée]))*BJ35</f>
        <v>0</v>
      </c>
      <c r="CL35" s="200">
        <f>(SUMIF(Fonctionnement[Affectation matrice],$AB$3,Fonctionnement[TVA acquittée])+SUMIF(Invest[Affectation matrice],$AB$3,Invest[TVA acquittée]))*BK35</f>
        <v>0</v>
      </c>
      <c r="CM35" s="200">
        <f>(SUMIF(Fonctionnement[Affectation matrice],$AB$3,Fonctionnement[TVA acquittée])+SUMIF(Invest[Affectation matrice],$AB$3,Invest[TVA acquittée]))*BL35</f>
        <v>0</v>
      </c>
      <c r="CN35" s="200">
        <f>(SUMIF(Fonctionnement[Affectation matrice],$AB$3,Fonctionnement[TVA acquittée])+SUMIF(Invest[Affectation matrice],$AB$3,Invest[TVA acquittée]))*BM35</f>
        <v>0</v>
      </c>
      <c r="CO35" s="200">
        <f>(SUMIF(Fonctionnement[Affectation matrice],$AB$3,Fonctionnement[TVA acquittée])+SUMIF(Invest[Affectation matrice],$AB$3,Invest[TVA acquittée]))*BN35</f>
        <v>0</v>
      </c>
      <c r="CP35" s="200">
        <f>(SUMIF(Fonctionnement[Affectation matrice],$AB$3,Fonctionnement[TVA acquittée])+SUMIF(Invest[Affectation matrice],$AB$3,Invest[TVA acquittée]))*BO35</f>
        <v>0</v>
      </c>
      <c r="CQ35" s="200">
        <f>(SUMIF(Fonctionnement[Affectation matrice],$AB$3,Fonctionnement[TVA acquittée])+SUMIF(Invest[Affectation matrice],$AB$3,Invest[TVA acquittée]))*BP35</f>
        <v>0</v>
      </c>
      <c r="CR35" s="200">
        <f>(SUMIF(Fonctionnement[Affectation matrice],$AB$3,Fonctionnement[TVA acquittée])+SUMIF(Invest[Affectation matrice],$AB$3,Invest[TVA acquittée]))*BQ35</f>
        <v>0</v>
      </c>
      <c r="CS35" s="200">
        <f>(SUMIF(Fonctionnement[Affectation matrice],$AB$3,Fonctionnement[TVA acquittée])+SUMIF(Invest[Affectation matrice],$AB$3,Invest[TVA acquittée]))*BR35</f>
        <v>0</v>
      </c>
      <c r="CT35" s="200">
        <f>(SUMIF(Fonctionnement[Affectation matrice],$AB$3,Fonctionnement[TVA acquittée])+SUMIF(Invest[Affectation matrice],$AB$3,Invest[TVA acquittée]))*BS35</f>
        <v>0</v>
      </c>
      <c r="CU35" s="200">
        <f>(SUMIF(Fonctionnement[Affectation matrice],$AB$3,Fonctionnement[TVA acquittée])+SUMIF(Invest[Affectation matrice],$AB$3,Invest[TVA acquittée]))*BT35</f>
        <v>0</v>
      </c>
      <c r="CV35" s="200">
        <f>(SUMIF(Fonctionnement[Affectation matrice],$AB$3,Fonctionnement[TVA acquittée])+SUMIF(Invest[Affectation matrice],$AB$3,Invest[TVA acquittée]))*BU35</f>
        <v>0</v>
      </c>
      <c r="CW35" s="200">
        <f>(SUMIF(Fonctionnement[Affectation matrice],$AB$3,Fonctionnement[TVA acquittée])+SUMIF(Invest[Affectation matrice],$AB$3,Invest[TVA acquittée]))*BV35</f>
        <v>0</v>
      </c>
      <c r="CX35" s="200">
        <f>(SUMIF(Fonctionnement[Affectation matrice],$AB$3,Fonctionnement[TVA acquittée])+SUMIF(Invest[Affectation matrice],$AB$3,Invest[TVA acquittée]))*BW35</f>
        <v>0</v>
      </c>
      <c r="CY35" s="200">
        <f>(SUMIF(Fonctionnement[Affectation matrice],$AB$3,Fonctionnement[TVA acquittée])+SUMIF(Invest[Affectation matrice],$AB$3,Invest[TVA acquittée]))*BX35</f>
        <v>0</v>
      </c>
      <c r="CZ35" s="200">
        <f>(SUMIF(Fonctionnement[Affectation matrice],$AB$3,Fonctionnement[TVA acquittée])+SUMIF(Invest[Affectation matrice],$AB$3,Invest[TVA acquittée]))*BY35</f>
        <v>0</v>
      </c>
      <c r="DA35" s="200">
        <f>(SUMIF(Fonctionnement[Affectation matrice],$AB$3,Fonctionnement[TVA acquittée])+SUMIF(Invest[Affectation matrice],$AB$3,Invest[TVA acquittée]))*BZ35</f>
        <v>0</v>
      </c>
      <c r="DB35" s="200">
        <f>(SUMIF(Fonctionnement[Affectation matrice],$AB$3,Fonctionnement[TVA acquittée])+SUMIF(Invest[Affectation matrice],$AB$3,Invest[TVA acquittée]))*CA35</f>
        <v>0</v>
      </c>
    </row>
    <row r="36" spans="1:106" s="22" customFormat="1" ht="12.75" hidden="1" customHeight="1" x14ac:dyDescent="0.25">
      <c r="A36" s="42" t="str">
        <f>Matrice[[#This Row],[Ligne de la matrice]]</f>
        <v>TEOM</v>
      </c>
      <c r="B36" s="198">
        <f>(SUMIF(Fonctionnement[Affectation matrice],$AB$3,Fonctionnement[Montant (€HT)])+SUMIF(Invest[Affectation matrice],$AB$3,Invest[Amortissement HT + intérêts]))*BC36</f>
        <v>0</v>
      </c>
      <c r="C36" s="198">
        <f>(SUMIF(Fonctionnement[Affectation matrice],$AB$3,Fonctionnement[Montant (€HT)])+SUMIF(Invest[Affectation matrice],$AB$3,Invest[Amortissement HT + intérêts]))*BD36</f>
        <v>0</v>
      </c>
      <c r="D36" s="198">
        <f>(SUMIF(Fonctionnement[Affectation matrice],$AB$3,Fonctionnement[Montant (€HT)])+SUMIF(Invest[Affectation matrice],$AB$3,Invest[Amortissement HT + intérêts]))*BE36</f>
        <v>0</v>
      </c>
      <c r="E36" s="198">
        <f>(SUMIF(Fonctionnement[Affectation matrice],$AB$3,Fonctionnement[Montant (€HT)])+SUMIF(Invest[Affectation matrice],$AB$3,Invest[Amortissement HT + intérêts]))*BF36</f>
        <v>0</v>
      </c>
      <c r="F36" s="198">
        <f>(SUMIF(Fonctionnement[Affectation matrice],$AB$3,Fonctionnement[Montant (€HT)])+SUMIF(Invest[Affectation matrice],$AB$3,Invest[Amortissement HT + intérêts]))*BG36</f>
        <v>0</v>
      </c>
      <c r="G36" s="198">
        <f>(SUMIF(Fonctionnement[Affectation matrice],$AB$3,Fonctionnement[Montant (€HT)])+SUMIF(Invest[Affectation matrice],$AB$3,Invest[Amortissement HT + intérêts]))*BH36</f>
        <v>0</v>
      </c>
      <c r="H36" s="198">
        <f>(SUMIF(Fonctionnement[Affectation matrice],$AB$3,Fonctionnement[Montant (€HT)])+SUMIF(Invest[Affectation matrice],$AB$3,Invest[Amortissement HT + intérêts]))*BI36</f>
        <v>0</v>
      </c>
      <c r="I36" s="198">
        <f>(SUMIF(Fonctionnement[Affectation matrice],$AB$3,Fonctionnement[Montant (€HT)])+SUMIF(Invest[Affectation matrice],$AB$3,Invest[Amortissement HT + intérêts]))*BJ36</f>
        <v>0</v>
      </c>
      <c r="J36" s="198">
        <f>(SUMIF(Fonctionnement[Affectation matrice],$AB$3,Fonctionnement[Montant (€HT)])+SUMIF(Invest[Affectation matrice],$AB$3,Invest[Amortissement HT + intérêts]))*BK36</f>
        <v>0</v>
      </c>
      <c r="K36" s="198">
        <f>(SUMIF(Fonctionnement[Affectation matrice],$AB$3,Fonctionnement[Montant (€HT)])+SUMIF(Invest[Affectation matrice],$AB$3,Invest[Amortissement HT + intérêts]))*BL36</f>
        <v>0</v>
      </c>
      <c r="L36" s="198">
        <f>(SUMIF(Fonctionnement[Affectation matrice],$AB$3,Fonctionnement[Montant (€HT)])+SUMIF(Invest[Affectation matrice],$AB$3,Invest[Amortissement HT + intérêts]))*BM36</f>
        <v>0</v>
      </c>
      <c r="M36" s="198">
        <f>(SUMIF(Fonctionnement[Affectation matrice],$AB$3,Fonctionnement[Montant (€HT)])+SUMIF(Invest[Affectation matrice],$AB$3,Invest[Amortissement HT + intérêts]))*BN36</f>
        <v>0</v>
      </c>
      <c r="N36" s="198">
        <f>(SUMIF(Fonctionnement[Affectation matrice],$AB$3,Fonctionnement[Montant (€HT)])+SUMIF(Invest[Affectation matrice],$AB$3,Invest[Amortissement HT + intérêts]))*BO36</f>
        <v>0</v>
      </c>
      <c r="O36" s="198">
        <f>(SUMIF(Fonctionnement[Affectation matrice],$AB$3,Fonctionnement[Montant (€HT)])+SUMIF(Invest[Affectation matrice],$AB$3,Invest[Amortissement HT + intérêts]))*BP36</f>
        <v>0</v>
      </c>
      <c r="P36" s="198">
        <f>(SUMIF(Fonctionnement[Affectation matrice],$AB$3,Fonctionnement[Montant (€HT)])+SUMIF(Invest[Affectation matrice],$AB$3,Invest[Amortissement HT + intérêts]))*BQ36</f>
        <v>0</v>
      </c>
      <c r="Q36" s="198">
        <f>(SUMIF(Fonctionnement[Affectation matrice],$AB$3,Fonctionnement[Montant (€HT)])+SUMIF(Invest[Affectation matrice],$AB$3,Invest[Amortissement HT + intérêts]))*BR36</f>
        <v>0</v>
      </c>
      <c r="R36" s="198">
        <f>(SUMIF(Fonctionnement[Affectation matrice],$AB$3,Fonctionnement[Montant (€HT)])+SUMIF(Invest[Affectation matrice],$AB$3,Invest[Amortissement HT + intérêts]))*BS36</f>
        <v>0</v>
      </c>
      <c r="S36" s="198">
        <f>(SUMIF(Fonctionnement[Affectation matrice],$AB$3,Fonctionnement[Montant (€HT)])+SUMIF(Invest[Affectation matrice],$AB$3,Invest[Amortissement HT + intérêts]))*BT36</f>
        <v>0</v>
      </c>
      <c r="T36" s="198">
        <f>(SUMIF(Fonctionnement[Affectation matrice],$AB$3,Fonctionnement[Montant (€HT)])+SUMIF(Invest[Affectation matrice],$AB$3,Invest[Amortissement HT + intérêts]))*BU36</f>
        <v>0</v>
      </c>
      <c r="U36" s="198">
        <f>(SUMIF(Fonctionnement[Affectation matrice],$AB$3,Fonctionnement[Montant (€HT)])+SUMIF(Invest[Affectation matrice],$AB$3,Invest[Amortissement HT + intérêts]))*BV36</f>
        <v>0</v>
      </c>
      <c r="V36" s="198">
        <f>(SUMIF(Fonctionnement[Affectation matrice],$AB$3,Fonctionnement[Montant (€HT)])+SUMIF(Invest[Affectation matrice],$AB$3,Invest[Amortissement HT + intérêts]))*BW36</f>
        <v>0</v>
      </c>
      <c r="W36" s="198">
        <f>(SUMIF(Fonctionnement[Affectation matrice],$AB$3,Fonctionnement[Montant (€HT)])+SUMIF(Invest[Affectation matrice],$AB$3,Invest[Amortissement HT + intérêts]))*BX36</f>
        <v>0</v>
      </c>
      <c r="X36" s="198">
        <f>(SUMIF(Fonctionnement[Affectation matrice],$AB$3,Fonctionnement[Montant (€HT)])+SUMIF(Invest[Affectation matrice],$AB$3,Invest[Amortissement HT + intérêts]))*BY36</f>
        <v>0</v>
      </c>
      <c r="Y36" s="198">
        <f>(SUMIF(Fonctionnement[Affectation matrice],$AB$3,Fonctionnement[Montant (€HT)])+SUMIF(Invest[Affectation matrice],$AB$3,Invest[Amortissement HT + intérêts]))*BZ36</f>
        <v>0</v>
      </c>
      <c r="Z36" s="198">
        <f>(SUMIF(Fonctionnement[Affectation matrice],$AB$3,Fonctionnement[Montant (€HT)])+SUMIF(Invest[Affectation matrice],$AB$3,Invest[Amortissement HT + intérêts]))*CA36</f>
        <v>0</v>
      </c>
      <c r="AA36" s="199"/>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283">
        <f t="shared" si="4"/>
        <v>0</v>
      </c>
      <c r="BB36" s="7"/>
      <c r="BC36" s="61">
        <f t="shared" si="10"/>
        <v>0</v>
      </c>
      <c r="BD36" s="61">
        <f t="shared" si="10"/>
        <v>0</v>
      </c>
      <c r="BE36" s="61">
        <f t="shared" si="10"/>
        <v>0</v>
      </c>
      <c r="BF36" s="61">
        <f t="shared" si="10"/>
        <v>0</v>
      </c>
      <c r="BG36" s="61">
        <f t="shared" si="10"/>
        <v>0</v>
      </c>
      <c r="BH36" s="61">
        <f t="shared" si="10"/>
        <v>0</v>
      </c>
      <c r="BI36" s="61">
        <f t="shared" si="10"/>
        <v>0</v>
      </c>
      <c r="BJ36" s="61">
        <f t="shared" si="10"/>
        <v>0</v>
      </c>
      <c r="BK36" s="61">
        <f t="shared" si="10"/>
        <v>0</v>
      </c>
      <c r="BL36" s="61">
        <f t="shared" si="10"/>
        <v>0</v>
      </c>
      <c r="BM36" s="61">
        <f t="shared" si="11"/>
        <v>0</v>
      </c>
      <c r="BN36" s="61">
        <f t="shared" si="11"/>
        <v>0</v>
      </c>
      <c r="BO36" s="61">
        <f t="shared" si="11"/>
        <v>0</v>
      </c>
      <c r="BP36" s="61">
        <f t="shared" si="11"/>
        <v>0</v>
      </c>
      <c r="BQ36" s="61">
        <f t="shared" si="11"/>
        <v>0</v>
      </c>
      <c r="BR36" s="61">
        <f t="shared" si="11"/>
        <v>0</v>
      </c>
      <c r="BS36" s="61">
        <f t="shared" si="11"/>
        <v>0</v>
      </c>
      <c r="BT36" s="61">
        <f t="shared" si="11"/>
        <v>0</v>
      </c>
      <c r="BU36" s="61">
        <f t="shared" si="11"/>
        <v>0</v>
      </c>
      <c r="BV36" s="61">
        <f t="shared" si="11"/>
        <v>0</v>
      </c>
      <c r="BW36" s="61">
        <f t="shared" si="11"/>
        <v>0</v>
      </c>
      <c r="BX36" s="61">
        <f t="shared" si="11"/>
        <v>0</v>
      </c>
      <c r="BY36" s="61">
        <f t="shared" si="11"/>
        <v>0</v>
      </c>
      <c r="BZ36" s="61">
        <f t="shared" si="11"/>
        <v>0</v>
      </c>
      <c r="CA36" s="61">
        <f t="shared" si="11"/>
        <v>0</v>
      </c>
      <c r="CB36" s="61">
        <f t="shared" si="5"/>
        <v>0</v>
      </c>
      <c r="CD36" s="200">
        <f>(SUMIF(Fonctionnement[Affectation matrice],$AB$3,Fonctionnement[TVA acquittée])+SUMIF(Invest[Affectation matrice],$AB$3,Invest[TVA acquittée]))*BC36</f>
        <v>0</v>
      </c>
      <c r="CE36" s="200">
        <f>(SUMIF(Fonctionnement[Affectation matrice],$AB$3,Fonctionnement[TVA acquittée])+SUMIF(Invest[Affectation matrice],$AB$3,Invest[TVA acquittée]))*BD36</f>
        <v>0</v>
      </c>
      <c r="CF36" s="200">
        <f>(SUMIF(Fonctionnement[Affectation matrice],$AB$3,Fonctionnement[TVA acquittée])+SUMIF(Invest[Affectation matrice],$AB$3,Invest[TVA acquittée]))*BE36</f>
        <v>0</v>
      </c>
      <c r="CG36" s="200">
        <f>(SUMIF(Fonctionnement[Affectation matrice],$AB$3,Fonctionnement[TVA acquittée])+SUMIF(Invest[Affectation matrice],$AB$3,Invest[TVA acquittée]))*BF36</f>
        <v>0</v>
      </c>
      <c r="CH36" s="200">
        <f>(SUMIF(Fonctionnement[Affectation matrice],$AB$3,Fonctionnement[TVA acquittée])+SUMIF(Invest[Affectation matrice],$AB$3,Invest[TVA acquittée]))*BG36</f>
        <v>0</v>
      </c>
      <c r="CI36" s="200">
        <f>(SUMIF(Fonctionnement[Affectation matrice],$AB$3,Fonctionnement[TVA acquittée])+SUMIF(Invest[Affectation matrice],$AB$3,Invest[TVA acquittée]))*BH36</f>
        <v>0</v>
      </c>
      <c r="CJ36" s="200">
        <f>(SUMIF(Fonctionnement[Affectation matrice],$AB$3,Fonctionnement[TVA acquittée])+SUMIF(Invest[Affectation matrice],$AB$3,Invest[TVA acquittée]))*BI36</f>
        <v>0</v>
      </c>
      <c r="CK36" s="200">
        <f>(SUMIF(Fonctionnement[Affectation matrice],$AB$3,Fonctionnement[TVA acquittée])+SUMIF(Invest[Affectation matrice],$AB$3,Invest[TVA acquittée]))*BJ36</f>
        <v>0</v>
      </c>
      <c r="CL36" s="200">
        <f>(SUMIF(Fonctionnement[Affectation matrice],$AB$3,Fonctionnement[TVA acquittée])+SUMIF(Invest[Affectation matrice],$AB$3,Invest[TVA acquittée]))*BK36</f>
        <v>0</v>
      </c>
      <c r="CM36" s="200">
        <f>(SUMIF(Fonctionnement[Affectation matrice],$AB$3,Fonctionnement[TVA acquittée])+SUMIF(Invest[Affectation matrice],$AB$3,Invest[TVA acquittée]))*BL36</f>
        <v>0</v>
      </c>
      <c r="CN36" s="200">
        <f>(SUMIF(Fonctionnement[Affectation matrice],$AB$3,Fonctionnement[TVA acquittée])+SUMIF(Invest[Affectation matrice],$AB$3,Invest[TVA acquittée]))*BM36</f>
        <v>0</v>
      </c>
      <c r="CO36" s="200">
        <f>(SUMIF(Fonctionnement[Affectation matrice],$AB$3,Fonctionnement[TVA acquittée])+SUMIF(Invest[Affectation matrice],$AB$3,Invest[TVA acquittée]))*BN36</f>
        <v>0</v>
      </c>
      <c r="CP36" s="200">
        <f>(SUMIF(Fonctionnement[Affectation matrice],$AB$3,Fonctionnement[TVA acquittée])+SUMIF(Invest[Affectation matrice],$AB$3,Invest[TVA acquittée]))*BO36</f>
        <v>0</v>
      </c>
      <c r="CQ36" s="200">
        <f>(SUMIF(Fonctionnement[Affectation matrice],$AB$3,Fonctionnement[TVA acquittée])+SUMIF(Invest[Affectation matrice],$AB$3,Invest[TVA acquittée]))*BP36</f>
        <v>0</v>
      </c>
      <c r="CR36" s="200">
        <f>(SUMIF(Fonctionnement[Affectation matrice],$AB$3,Fonctionnement[TVA acquittée])+SUMIF(Invest[Affectation matrice],$AB$3,Invest[TVA acquittée]))*BQ36</f>
        <v>0</v>
      </c>
      <c r="CS36" s="200">
        <f>(SUMIF(Fonctionnement[Affectation matrice],$AB$3,Fonctionnement[TVA acquittée])+SUMIF(Invest[Affectation matrice],$AB$3,Invest[TVA acquittée]))*BR36</f>
        <v>0</v>
      </c>
      <c r="CT36" s="200">
        <f>(SUMIF(Fonctionnement[Affectation matrice],$AB$3,Fonctionnement[TVA acquittée])+SUMIF(Invest[Affectation matrice],$AB$3,Invest[TVA acquittée]))*BS36</f>
        <v>0</v>
      </c>
      <c r="CU36" s="200">
        <f>(SUMIF(Fonctionnement[Affectation matrice],$AB$3,Fonctionnement[TVA acquittée])+SUMIF(Invest[Affectation matrice],$AB$3,Invest[TVA acquittée]))*BT36</f>
        <v>0</v>
      </c>
      <c r="CV36" s="200">
        <f>(SUMIF(Fonctionnement[Affectation matrice],$AB$3,Fonctionnement[TVA acquittée])+SUMIF(Invest[Affectation matrice],$AB$3,Invest[TVA acquittée]))*BU36</f>
        <v>0</v>
      </c>
      <c r="CW36" s="200">
        <f>(SUMIF(Fonctionnement[Affectation matrice],$AB$3,Fonctionnement[TVA acquittée])+SUMIF(Invest[Affectation matrice],$AB$3,Invest[TVA acquittée]))*BV36</f>
        <v>0</v>
      </c>
      <c r="CX36" s="200">
        <f>(SUMIF(Fonctionnement[Affectation matrice],$AB$3,Fonctionnement[TVA acquittée])+SUMIF(Invest[Affectation matrice],$AB$3,Invest[TVA acquittée]))*BW36</f>
        <v>0</v>
      </c>
      <c r="CY36" s="200">
        <f>(SUMIF(Fonctionnement[Affectation matrice],$AB$3,Fonctionnement[TVA acquittée])+SUMIF(Invest[Affectation matrice],$AB$3,Invest[TVA acquittée]))*BX36</f>
        <v>0</v>
      </c>
      <c r="CZ36" s="200">
        <f>(SUMIF(Fonctionnement[Affectation matrice],$AB$3,Fonctionnement[TVA acquittée])+SUMIF(Invest[Affectation matrice],$AB$3,Invest[TVA acquittée]))*BY36</f>
        <v>0</v>
      </c>
      <c r="DA36" s="200">
        <f>(SUMIF(Fonctionnement[Affectation matrice],$AB$3,Fonctionnement[TVA acquittée])+SUMIF(Invest[Affectation matrice],$AB$3,Invest[TVA acquittée]))*BZ36</f>
        <v>0</v>
      </c>
      <c r="DB36" s="200">
        <f>(SUMIF(Fonctionnement[Affectation matrice],$AB$3,Fonctionnement[TVA acquittée])+SUMIF(Invest[Affectation matrice],$AB$3,Invest[TVA acquittée]))*CA36</f>
        <v>0</v>
      </c>
    </row>
    <row r="37" spans="1:106" s="22" customFormat="1" ht="12.75" hidden="1" customHeight="1" x14ac:dyDescent="0.25">
      <c r="A37" s="42" t="str">
        <f>Matrice[[#This Row],[Ligne de la matrice]]</f>
        <v>REOM</v>
      </c>
      <c r="B37" s="198">
        <f>(SUMIF(Fonctionnement[Affectation matrice],$AB$3,Fonctionnement[Montant (€HT)])+SUMIF(Invest[Affectation matrice],$AB$3,Invest[Amortissement HT + intérêts]))*BC37</f>
        <v>0</v>
      </c>
      <c r="C37" s="198">
        <f>(SUMIF(Fonctionnement[Affectation matrice],$AB$3,Fonctionnement[Montant (€HT)])+SUMIF(Invest[Affectation matrice],$AB$3,Invest[Amortissement HT + intérêts]))*BD37</f>
        <v>0</v>
      </c>
      <c r="D37" s="198">
        <f>(SUMIF(Fonctionnement[Affectation matrice],$AB$3,Fonctionnement[Montant (€HT)])+SUMIF(Invest[Affectation matrice],$AB$3,Invest[Amortissement HT + intérêts]))*BE37</f>
        <v>0</v>
      </c>
      <c r="E37" s="198">
        <f>(SUMIF(Fonctionnement[Affectation matrice],$AB$3,Fonctionnement[Montant (€HT)])+SUMIF(Invest[Affectation matrice],$AB$3,Invest[Amortissement HT + intérêts]))*BF37</f>
        <v>0</v>
      </c>
      <c r="F37" s="198">
        <f>(SUMIF(Fonctionnement[Affectation matrice],$AB$3,Fonctionnement[Montant (€HT)])+SUMIF(Invest[Affectation matrice],$AB$3,Invest[Amortissement HT + intérêts]))*BG37</f>
        <v>0</v>
      </c>
      <c r="G37" s="198">
        <f>(SUMIF(Fonctionnement[Affectation matrice],$AB$3,Fonctionnement[Montant (€HT)])+SUMIF(Invest[Affectation matrice],$AB$3,Invest[Amortissement HT + intérêts]))*BH37</f>
        <v>0</v>
      </c>
      <c r="H37" s="198">
        <f>(SUMIF(Fonctionnement[Affectation matrice],$AB$3,Fonctionnement[Montant (€HT)])+SUMIF(Invest[Affectation matrice],$AB$3,Invest[Amortissement HT + intérêts]))*BI37</f>
        <v>0</v>
      </c>
      <c r="I37" s="198">
        <f>(SUMIF(Fonctionnement[Affectation matrice],$AB$3,Fonctionnement[Montant (€HT)])+SUMIF(Invest[Affectation matrice],$AB$3,Invest[Amortissement HT + intérêts]))*BJ37</f>
        <v>0</v>
      </c>
      <c r="J37" s="198">
        <f>(SUMIF(Fonctionnement[Affectation matrice],$AB$3,Fonctionnement[Montant (€HT)])+SUMIF(Invest[Affectation matrice],$AB$3,Invest[Amortissement HT + intérêts]))*BK37</f>
        <v>0</v>
      </c>
      <c r="K37" s="198">
        <f>(SUMIF(Fonctionnement[Affectation matrice],$AB$3,Fonctionnement[Montant (€HT)])+SUMIF(Invest[Affectation matrice],$AB$3,Invest[Amortissement HT + intérêts]))*BL37</f>
        <v>0</v>
      </c>
      <c r="L37" s="198">
        <f>(SUMIF(Fonctionnement[Affectation matrice],$AB$3,Fonctionnement[Montant (€HT)])+SUMIF(Invest[Affectation matrice],$AB$3,Invest[Amortissement HT + intérêts]))*BM37</f>
        <v>0</v>
      </c>
      <c r="M37" s="198">
        <f>(SUMIF(Fonctionnement[Affectation matrice],$AB$3,Fonctionnement[Montant (€HT)])+SUMIF(Invest[Affectation matrice],$AB$3,Invest[Amortissement HT + intérêts]))*BN37</f>
        <v>0</v>
      </c>
      <c r="N37" s="198">
        <f>(SUMIF(Fonctionnement[Affectation matrice],$AB$3,Fonctionnement[Montant (€HT)])+SUMIF(Invest[Affectation matrice],$AB$3,Invest[Amortissement HT + intérêts]))*BO37</f>
        <v>0</v>
      </c>
      <c r="O37" s="198">
        <f>(SUMIF(Fonctionnement[Affectation matrice],$AB$3,Fonctionnement[Montant (€HT)])+SUMIF(Invest[Affectation matrice],$AB$3,Invest[Amortissement HT + intérêts]))*BP37</f>
        <v>0</v>
      </c>
      <c r="P37" s="198">
        <f>(SUMIF(Fonctionnement[Affectation matrice],$AB$3,Fonctionnement[Montant (€HT)])+SUMIF(Invest[Affectation matrice],$AB$3,Invest[Amortissement HT + intérêts]))*BQ37</f>
        <v>0</v>
      </c>
      <c r="Q37" s="198">
        <f>(SUMIF(Fonctionnement[Affectation matrice],$AB$3,Fonctionnement[Montant (€HT)])+SUMIF(Invest[Affectation matrice],$AB$3,Invest[Amortissement HT + intérêts]))*BR37</f>
        <v>0</v>
      </c>
      <c r="R37" s="198">
        <f>(SUMIF(Fonctionnement[Affectation matrice],$AB$3,Fonctionnement[Montant (€HT)])+SUMIF(Invest[Affectation matrice],$AB$3,Invest[Amortissement HT + intérêts]))*BS37</f>
        <v>0</v>
      </c>
      <c r="S37" s="198">
        <f>(SUMIF(Fonctionnement[Affectation matrice],$AB$3,Fonctionnement[Montant (€HT)])+SUMIF(Invest[Affectation matrice],$AB$3,Invest[Amortissement HT + intérêts]))*BT37</f>
        <v>0</v>
      </c>
      <c r="T37" s="198">
        <f>(SUMIF(Fonctionnement[Affectation matrice],$AB$3,Fonctionnement[Montant (€HT)])+SUMIF(Invest[Affectation matrice],$AB$3,Invest[Amortissement HT + intérêts]))*BU37</f>
        <v>0</v>
      </c>
      <c r="U37" s="198">
        <f>(SUMIF(Fonctionnement[Affectation matrice],$AB$3,Fonctionnement[Montant (€HT)])+SUMIF(Invest[Affectation matrice],$AB$3,Invest[Amortissement HT + intérêts]))*BV37</f>
        <v>0</v>
      </c>
      <c r="V37" s="198">
        <f>(SUMIF(Fonctionnement[Affectation matrice],$AB$3,Fonctionnement[Montant (€HT)])+SUMIF(Invest[Affectation matrice],$AB$3,Invest[Amortissement HT + intérêts]))*BW37</f>
        <v>0</v>
      </c>
      <c r="W37" s="198">
        <f>(SUMIF(Fonctionnement[Affectation matrice],$AB$3,Fonctionnement[Montant (€HT)])+SUMIF(Invest[Affectation matrice],$AB$3,Invest[Amortissement HT + intérêts]))*BX37</f>
        <v>0</v>
      </c>
      <c r="X37" s="198">
        <f>(SUMIF(Fonctionnement[Affectation matrice],$AB$3,Fonctionnement[Montant (€HT)])+SUMIF(Invest[Affectation matrice],$AB$3,Invest[Amortissement HT + intérêts]))*BY37</f>
        <v>0</v>
      </c>
      <c r="Y37" s="198">
        <f>(SUMIF(Fonctionnement[Affectation matrice],$AB$3,Fonctionnement[Montant (€HT)])+SUMIF(Invest[Affectation matrice],$AB$3,Invest[Amortissement HT + intérêts]))*BZ37</f>
        <v>0</v>
      </c>
      <c r="Z37" s="198">
        <f>(SUMIF(Fonctionnement[Affectation matrice],$AB$3,Fonctionnement[Montant (€HT)])+SUMIF(Invest[Affectation matrice],$AB$3,Invest[Amortissement HT + intérêts]))*CA37</f>
        <v>0</v>
      </c>
      <c r="AA37" s="199"/>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283">
        <f t="shared" si="4"/>
        <v>0</v>
      </c>
      <c r="BB37" s="7"/>
      <c r="BC37" s="61">
        <f t="shared" si="10"/>
        <v>0</v>
      </c>
      <c r="BD37" s="61">
        <f t="shared" si="10"/>
        <v>0</v>
      </c>
      <c r="BE37" s="61">
        <f t="shared" si="10"/>
        <v>0</v>
      </c>
      <c r="BF37" s="61">
        <f t="shared" si="10"/>
        <v>0</v>
      </c>
      <c r="BG37" s="61">
        <f t="shared" si="10"/>
        <v>0</v>
      </c>
      <c r="BH37" s="61">
        <f t="shared" si="10"/>
        <v>0</v>
      </c>
      <c r="BI37" s="61">
        <f t="shared" si="10"/>
        <v>0</v>
      </c>
      <c r="BJ37" s="61">
        <f t="shared" si="10"/>
        <v>0</v>
      </c>
      <c r="BK37" s="61">
        <f t="shared" si="10"/>
        <v>0</v>
      </c>
      <c r="BL37" s="61">
        <f t="shared" si="10"/>
        <v>0</v>
      </c>
      <c r="BM37" s="61">
        <f t="shared" si="11"/>
        <v>0</v>
      </c>
      <c r="BN37" s="61">
        <f t="shared" si="11"/>
        <v>0</v>
      </c>
      <c r="BO37" s="61">
        <f t="shared" si="11"/>
        <v>0</v>
      </c>
      <c r="BP37" s="61">
        <f t="shared" si="11"/>
        <v>0</v>
      </c>
      <c r="BQ37" s="61">
        <f t="shared" si="11"/>
        <v>0</v>
      </c>
      <c r="BR37" s="61">
        <f t="shared" si="11"/>
        <v>0</v>
      </c>
      <c r="BS37" s="61">
        <f t="shared" si="11"/>
        <v>0</v>
      </c>
      <c r="BT37" s="61">
        <f t="shared" si="11"/>
        <v>0</v>
      </c>
      <c r="BU37" s="61">
        <f t="shared" si="11"/>
        <v>0</v>
      </c>
      <c r="BV37" s="61">
        <f t="shared" si="11"/>
        <v>0</v>
      </c>
      <c r="BW37" s="61">
        <f t="shared" si="11"/>
        <v>0</v>
      </c>
      <c r="BX37" s="61">
        <f t="shared" si="11"/>
        <v>0</v>
      </c>
      <c r="BY37" s="61">
        <f t="shared" si="11"/>
        <v>0</v>
      </c>
      <c r="BZ37" s="61">
        <f t="shared" si="11"/>
        <v>0</v>
      </c>
      <c r="CA37" s="61">
        <f t="shared" si="11"/>
        <v>0</v>
      </c>
      <c r="CB37" s="61">
        <f t="shared" si="5"/>
        <v>0</v>
      </c>
      <c r="CD37" s="200">
        <f>(SUMIF(Fonctionnement[Affectation matrice],$AB$3,Fonctionnement[TVA acquittée])+SUMIF(Invest[Affectation matrice],$AB$3,Invest[TVA acquittée]))*BC37</f>
        <v>0</v>
      </c>
      <c r="CE37" s="200">
        <f>(SUMIF(Fonctionnement[Affectation matrice],$AB$3,Fonctionnement[TVA acquittée])+SUMIF(Invest[Affectation matrice],$AB$3,Invest[TVA acquittée]))*BD37</f>
        <v>0</v>
      </c>
      <c r="CF37" s="200">
        <f>(SUMIF(Fonctionnement[Affectation matrice],$AB$3,Fonctionnement[TVA acquittée])+SUMIF(Invest[Affectation matrice],$AB$3,Invest[TVA acquittée]))*BE37</f>
        <v>0</v>
      </c>
      <c r="CG37" s="200">
        <f>(SUMIF(Fonctionnement[Affectation matrice],$AB$3,Fonctionnement[TVA acquittée])+SUMIF(Invest[Affectation matrice],$AB$3,Invest[TVA acquittée]))*BF37</f>
        <v>0</v>
      </c>
      <c r="CH37" s="200">
        <f>(SUMIF(Fonctionnement[Affectation matrice],$AB$3,Fonctionnement[TVA acquittée])+SUMIF(Invest[Affectation matrice],$AB$3,Invest[TVA acquittée]))*BG37</f>
        <v>0</v>
      </c>
      <c r="CI37" s="200">
        <f>(SUMIF(Fonctionnement[Affectation matrice],$AB$3,Fonctionnement[TVA acquittée])+SUMIF(Invest[Affectation matrice],$AB$3,Invest[TVA acquittée]))*BH37</f>
        <v>0</v>
      </c>
      <c r="CJ37" s="200">
        <f>(SUMIF(Fonctionnement[Affectation matrice],$AB$3,Fonctionnement[TVA acquittée])+SUMIF(Invest[Affectation matrice],$AB$3,Invest[TVA acquittée]))*BI37</f>
        <v>0</v>
      </c>
      <c r="CK37" s="200">
        <f>(SUMIF(Fonctionnement[Affectation matrice],$AB$3,Fonctionnement[TVA acquittée])+SUMIF(Invest[Affectation matrice],$AB$3,Invest[TVA acquittée]))*BJ37</f>
        <v>0</v>
      </c>
      <c r="CL37" s="200">
        <f>(SUMIF(Fonctionnement[Affectation matrice],$AB$3,Fonctionnement[TVA acquittée])+SUMIF(Invest[Affectation matrice],$AB$3,Invest[TVA acquittée]))*BK37</f>
        <v>0</v>
      </c>
      <c r="CM37" s="200">
        <f>(SUMIF(Fonctionnement[Affectation matrice],$AB$3,Fonctionnement[TVA acquittée])+SUMIF(Invest[Affectation matrice],$AB$3,Invest[TVA acquittée]))*BL37</f>
        <v>0</v>
      </c>
      <c r="CN37" s="200">
        <f>(SUMIF(Fonctionnement[Affectation matrice],$AB$3,Fonctionnement[TVA acquittée])+SUMIF(Invest[Affectation matrice],$AB$3,Invest[TVA acquittée]))*BM37</f>
        <v>0</v>
      </c>
      <c r="CO37" s="200">
        <f>(SUMIF(Fonctionnement[Affectation matrice],$AB$3,Fonctionnement[TVA acquittée])+SUMIF(Invest[Affectation matrice],$AB$3,Invest[TVA acquittée]))*BN37</f>
        <v>0</v>
      </c>
      <c r="CP37" s="200">
        <f>(SUMIF(Fonctionnement[Affectation matrice],$AB$3,Fonctionnement[TVA acquittée])+SUMIF(Invest[Affectation matrice],$AB$3,Invest[TVA acquittée]))*BO37</f>
        <v>0</v>
      </c>
      <c r="CQ37" s="200">
        <f>(SUMIF(Fonctionnement[Affectation matrice],$AB$3,Fonctionnement[TVA acquittée])+SUMIF(Invest[Affectation matrice],$AB$3,Invest[TVA acquittée]))*BP37</f>
        <v>0</v>
      </c>
      <c r="CR37" s="200">
        <f>(SUMIF(Fonctionnement[Affectation matrice],$AB$3,Fonctionnement[TVA acquittée])+SUMIF(Invest[Affectation matrice],$AB$3,Invest[TVA acquittée]))*BQ37</f>
        <v>0</v>
      </c>
      <c r="CS37" s="200">
        <f>(SUMIF(Fonctionnement[Affectation matrice],$AB$3,Fonctionnement[TVA acquittée])+SUMIF(Invest[Affectation matrice],$AB$3,Invest[TVA acquittée]))*BR37</f>
        <v>0</v>
      </c>
      <c r="CT37" s="200">
        <f>(SUMIF(Fonctionnement[Affectation matrice],$AB$3,Fonctionnement[TVA acquittée])+SUMIF(Invest[Affectation matrice],$AB$3,Invest[TVA acquittée]))*BS37</f>
        <v>0</v>
      </c>
      <c r="CU37" s="200">
        <f>(SUMIF(Fonctionnement[Affectation matrice],$AB$3,Fonctionnement[TVA acquittée])+SUMIF(Invest[Affectation matrice],$AB$3,Invest[TVA acquittée]))*BT37</f>
        <v>0</v>
      </c>
      <c r="CV37" s="200">
        <f>(SUMIF(Fonctionnement[Affectation matrice],$AB$3,Fonctionnement[TVA acquittée])+SUMIF(Invest[Affectation matrice],$AB$3,Invest[TVA acquittée]))*BU37</f>
        <v>0</v>
      </c>
      <c r="CW37" s="200">
        <f>(SUMIF(Fonctionnement[Affectation matrice],$AB$3,Fonctionnement[TVA acquittée])+SUMIF(Invest[Affectation matrice],$AB$3,Invest[TVA acquittée]))*BV37</f>
        <v>0</v>
      </c>
      <c r="CX37" s="200">
        <f>(SUMIF(Fonctionnement[Affectation matrice],$AB$3,Fonctionnement[TVA acquittée])+SUMIF(Invest[Affectation matrice],$AB$3,Invest[TVA acquittée]))*BW37</f>
        <v>0</v>
      </c>
      <c r="CY37" s="200">
        <f>(SUMIF(Fonctionnement[Affectation matrice],$AB$3,Fonctionnement[TVA acquittée])+SUMIF(Invest[Affectation matrice],$AB$3,Invest[TVA acquittée]))*BX37</f>
        <v>0</v>
      </c>
      <c r="CZ37" s="200">
        <f>(SUMIF(Fonctionnement[Affectation matrice],$AB$3,Fonctionnement[TVA acquittée])+SUMIF(Invest[Affectation matrice],$AB$3,Invest[TVA acquittée]))*BY37</f>
        <v>0</v>
      </c>
      <c r="DA37" s="200">
        <f>(SUMIF(Fonctionnement[Affectation matrice],$AB$3,Fonctionnement[TVA acquittée])+SUMIF(Invest[Affectation matrice],$AB$3,Invest[TVA acquittée]))*BZ37</f>
        <v>0</v>
      </c>
      <c r="DB37" s="200">
        <f>(SUMIF(Fonctionnement[Affectation matrice],$AB$3,Fonctionnement[TVA acquittée])+SUMIF(Invest[Affectation matrice],$AB$3,Invest[TVA acquittée]))*CA37</f>
        <v>0</v>
      </c>
    </row>
    <row r="38" spans="1:106" s="22" customFormat="1" ht="12.75" hidden="1" customHeight="1" x14ac:dyDescent="0.25">
      <c r="A38" s="42" t="str">
        <f>Matrice[[#This Row],[Ligne de la matrice]]</f>
        <v>Redevance spéciale et facturation à l'usager</v>
      </c>
      <c r="B38" s="198">
        <f>(SUMIF(Fonctionnement[Affectation matrice],$AB$3,Fonctionnement[Montant (€HT)])+SUMIF(Invest[Affectation matrice],$AB$3,Invest[Amortissement HT + intérêts]))*BC38</f>
        <v>0</v>
      </c>
      <c r="C38" s="198">
        <f>(SUMIF(Fonctionnement[Affectation matrice],$AB$3,Fonctionnement[Montant (€HT)])+SUMIF(Invest[Affectation matrice],$AB$3,Invest[Amortissement HT + intérêts]))*BD38</f>
        <v>0</v>
      </c>
      <c r="D38" s="198">
        <f>(SUMIF(Fonctionnement[Affectation matrice],$AB$3,Fonctionnement[Montant (€HT)])+SUMIF(Invest[Affectation matrice],$AB$3,Invest[Amortissement HT + intérêts]))*BE38</f>
        <v>0</v>
      </c>
      <c r="E38" s="198">
        <f>(SUMIF(Fonctionnement[Affectation matrice],$AB$3,Fonctionnement[Montant (€HT)])+SUMIF(Invest[Affectation matrice],$AB$3,Invest[Amortissement HT + intérêts]))*BF38</f>
        <v>0</v>
      </c>
      <c r="F38" s="198">
        <f>(SUMIF(Fonctionnement[Affectation matrice],$AB$3,Fonctionnement[Montant (€HT)])+SUMIF(Invest[Affectation matrice],$AB$3,Invest[Amortissement HT + intérêts]))*BG38</f>
        <v>0</v>
      </c>
      <c r="G38" s="198">
        <f>(SUMIF(Fonctionnement[Affectation matrice],$AB$3,Fonctionnement[Montant (€HT)])+SUMIF(Invest[Affectation matrice],$AB$3,Invest[Amortissement HT + intérêts]))*BH38</f>
        <v>0</v>
      </c>
      <c r="H38" s="198">
        <f>(SUMIF(Fonctionnement[Affectation matrice],$AB$3,Fonctionnement[Montant (€HT)])+SUMIF(Invest[Affectation matrice],$AB$3,Invest[Amortissement HT + intérêts]))*BI38</f>
        <v>0</v>
      </c>
      <c r="I38" s="198">
        <f>(SUMIF(Fonctionnement[Affectation matrice],$AB$3,Fonctionnement[Montant (€HT)])+SUMIF(Invest[Affectation matrice],$AB$3,Invest[Amortissement HT + intérêts]))*BJ38</f>
        <v>0</v>
      </c>
      <c r="J38" s="198">
        <f>(SUMIF(Fonctionnement[Affectation matrice],$AB$3,Fonctionnement[Montant (€HT)])+SUMIF(Invest[Affectation matrice],$AB$3,Invest[Amortissement HT + intérêts]))*BK38</f>
        <v>0</v>
      </c>
      <c r="K38" s="198">
        <f>(SUMIF(Fonctionnement[Affectation matrice],$AB$3,Fonctionnement[Montant (€HT)])+SUMIF(Invest[Affectation matrice],$AB$3,Invest[Amortissement HT + intérêts]))*BL38</f>
        <v>0</v>
      </c>
      <c r="L38" s="198">
        <f>(SUMIF(Fonctionnement[Affectation matrice],$AB$3,Fonctionnement[Montant (€HT)])+SUMIF(Invest[Affectation matrice],$AB$3,Invest[Amortissement HT + intérêts]))*BM38</f>
        <v>0</v>
      </c>
      <c r="M38" s="198">
        <f>(SUMIF(Fonctionnement[Affectation matrice],$AB$3,Fonctionnement[Montant (€HT)])+SUMIF(Invest[Affectation matrice],$AB$3,Invest[Amortissement HT + intérêts]))*BN38</f>
        <v>0</v>
      </c>
      <c r="N38" s="198">
        <f>(SUMIF(Fonctionnement[Affectation matrice],$AB$3,Fonctionnement[Montant (€HT)])+SUMIF(Invest[Affectation matrice],$AB$3,Invest[Amortissement HT + intérêts]))*BO38</f>
        <v>0</v>
      </c>
      <c r="O38" s="198">
        <f>(SUMIF(Fonctionnement[Affectation matrice],$AB$3,Fonctionnement[Montant (€HT)])+SUMIF(Invest[Affectation matrice],$AB$3,Invest[Amortissement HT + intérêts]))*BP38</f>
        <v>0</v>
      </c>
      <c r="P38" s="198">
        <f>(SUMIF(Fonctionnement[Affectation matrice],$AB$3,Fonctionnement[Montant (€HT)])+SUMIF(Invest[Affectation matrice],$AB$3,Invest[Amortissement HT + intérêts]))*BQ38</f>
        <v>0</v>
      </c>
      <c r="Q38" s="198">
        <f>(SUMIF(Fonctionnement[Affectation matrice],$AB$3,Fonctionnement[Montant (€HT)])+SUMIF(Invest[Affectation matrice],$AB$3,Invest[Amortissement HT + intérêts]))*BR38</f>
        <v>0</v>
      </c>
      <c r="R38" s="198">
        <f>(SUMIF(Fonctionnement[Affectation matrice],$AB$3,Fonctionnement[Montant (€HT)])+SUMIF(Invest[Affectation matrice],$AB$3,Invest[Amortissement HT + intérêts]))*BS38</f>
        <v>0</v>
      </c>
      <c r="S38" s="198">
        <f>(SUMIF(Fonctionnement[Affectation matrice],$AB$3,Fonctionnement[Montant (€HT)])+SUMIF(Invest[Affectation matrice],$AB$3,Invest[Amortissement HT + intérêts]))*BT38</f>
        <v>0</v>
      </c>
      <c r="T38" s="198">
        <f>(SUMIF(Fonctionnement[Affectation matrice],$AB$3,Fonctionnement[Montant (€HT)])+SUMIF(Invest[Affectation matrice],$AB$3,Invest[Amortissement HT + intérêts]))*BU38</f>
        <v>0</v>
      </c>
      <c r="U38" s="198">
        <f>(SUMIF(Fonctionnement[Affectation matrice],$AB$3,Fonctionnement[Montant (€HT)])+SUMIF(Invest[Affectation matrice],$AB$3,Invest[Amortissement HT + intérêts]))*BV38</f>
        <v>0</v>
      </c>
      <c r="V38" s="198">
        <f>(SUMIF(Fonctionnement[Affectation matrice],$AB$3,Fonctionnement[Montant (€HT)])+SUMIF(Invest[Affectation matrice],$AB$3,Invest[Amortissement HT + intérêts]))*BW38</f>
        <v>0</v>
      </c>
      <c r="W38" s="198">
        <f>(SUMIF(Fonctionnement[Affectation matrice],$AB$3,Fonctionnement[Montant (€HT)])+SUMIF(Invest[Affectation matrice],$AB$3,Invest[Amortissement HT + intérêts]))*BX38</f>
        <v>0</v>
      </c>
      <c r="X38" s="198">
        <f>(SUMIF(Fonctionnement[Affectation matrice],$AB$3,Fonctionnement[Montant (€HT)])+SUMIF(Invest[Affectation matrice],$AB$3,Invest[Amortissement HT + intérêts]))*BY38</f>
        <v>0</v>
      </c>
      <c r="Y38" s="198">
        <f>(SUMIF(Fonctionnement[Affectation matrice],$AB$3,Fonctionnement[Montant (€HT)])+SUMIF(Invest[Affectation matrice],$AB$3,Invest[Amortissement HT + intérêts]))*BZ38</f>
        <v>0</v>
      </c>
      <c r="Z38" s="198">
        <f>(SUMIF(Fonctionnement[Affectation matrice],$AB$3,Fonctionnement[Montant (€HT)])+SUMIF(Invest[Affectation matrice],$AB$3,Invest[Amortissement HT + intérêts]))*CA38</f>
        <v>0</v>
      </c>
      <c r="AA38" s="199"/>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283">
        <f t="shared" si="4"/>
        <v>0</v>
      </c>
      <c r="BB38" s="7"/>
      <c r="BC38" s="61">
        <f t="shared" si="10"/>
        <v>0</v>
      </c>
      <c r="BD38" s="61">
        <f t="shared" si="10"/>
        <v>0</v>
      </c>
      <c r="BE38" s="61">
        <f t="shared" si="10"/>
        <v>0</v>
      </c>
      <c r="BF38" s="61">
        <f t="shared" si="10"/>
        <v>0</v>
      </c>
      <c r="BG38" s="61">
        <f t="shared" si="10"/>
        <v>0</v>
      </c>
      <c r="BH38" s="61">
        <f t="shared" si="10"/>
        <v>0</v>
      </c>
      <c r="BI38" s="61">
        <f t="shared" si="10"/>
        <v>0</v>
      </c>
      <c r="BJ38" s="61">
        <f t="shared" si="10"/>
        <v>0</v>
      </c>
      <c r="BK38" s="61">
        <f t="shared" si="10"/>
        <v>0</v>
      </c>
      <c r="BL38" s="61">
        <f t="shared" si="10"/>
        <v>0</v>
      </c>
      <c r="BM38" s="61">
        <f t="shared" si="11"/>
        <v>0</v>
      </c>
      <c r="BN38" s="61">
        <f t="shared" si="11"/>
        <v>0</v>
      </c>
      <c r="BO38" s="61">
        <f t="shared" si="11"/>
        <v>0</v>
      </c>
      <c r="BP38" s="61">
        <f t="shared" si="11"/>
        <v>0</v>
      </c>
      <c r="BQ38" s="61">
        <f t="shared" si="11"/>
        <v>0</v>
      </c>
      <c r="BR38" s="61">
        <f t="shared" si="11"/>
        <v>0</v>
      </c>
      <c r="BS38" s="61">
        <f t="shared" si="11"/>
        <v>0</v>
      </c>
      <c r="BT38" s="61">
        <f t="shared" si="11"/>
        <v>0</v>
      </c>
      <c r="BU38" s="61">
        <f t="shared" si="11"/>
        <v>0</v>
      </c>
      <c r="BV38" s="61">
        <f t="shared" si="11"/>
        <v>0</v>
      </c>
      <c r="BW38" s="61">
        <f t="shared" si="11"/>
        <v>0</v>
      </c>
      <c r="BX38" s="61">
        <f t="shared" si="11"/>
        <v>0</v>
      </c>
      <c r="BY38" s="61">
        <f t="shared" si="11"/>
        <v>0</v>
      </c>
      <c r="BZ38" s="61">
        <f t="shared" si="11"/>
        <v>0</v>
      </c>
      <c r="CA38" s="61">
        <f t="shared" si="11"/>
        <v>0</v>
      </c>
      <c r="CB38" s="61">
        <f t="shared" si="5"/>
        <v>0</v>
      </c>
      <c r="CD38" s="200">
        <f>(SUMIF(Fonctionnement[Affectation matrice],$AB$3,Fonctionnement[TVA acquittée])+SUMIF(Invest[Affectation matrice],$AB$3,Invest[TVA acquittée]))*BC38</f>
        <v>0</v>
      </c>
      <c r="CE38" s="200">
        <f>(SUMIF(Fonctionnement[Affectation matrice],$AB$3,Fonctionnement[TVA acquittée])+SUMIF(Invest[Affectation matrice],$AB$3,Invest[TVA acquittée]))*BD38</f>
        <v>0</v>
      </c>
      <c r="CF38" s="200">
        <f>(SUMIF(Fonctionnement[Affectation matrice],$AB$3,Fonctionnement[TVA acquittée])+SUMIF(Invest[Affectation matrice],$AB$3,Invest[TVA acquittée]))*BE38</f>
        <v>0</v>
      </c>
      <c r="CG38" s="200">
        <f>(SUMIF(Fonctionnement[Affectation matrice],$AB$3,Fonctionnement[TVA acquittée])+SUMIF(Invest[Affectation matrice],$AB$3,Invest[TVA acquittée]))*BF38</f>
        <v>0</v>
      </c>
      <c r="CH38" s="200">
        <f>(SUMIF(Fonctionnement[Affectation matrice],$AB$3,Fonctionnement[TVA acquittée])+SUMIF(Invest[Affectation matrice],$AB$3,Invest[TVA acquittée]))*BG38</f>
        <v>0</v>
      </c>
      <c r="CI38" s="200">
        <f>(SUMIF(Fonctionnement[Affectation matrice],$AB$3,Fonctionnement[TVA acquittée])+SUMIF(Invest[Affectation matrice],$AB$3,Invest[TVA acquittée]))*BH38</f>
        <v>0</v>
      </c>
      <c r="CJ38" s="200">
        <f>(SUMIF(Fonctionnement[Affectation matrice],$AB$3,Fonctionnement[TVA acquittée])+SUMIF(Invest[Affectation matrice],$AB$3,Invest[TVA acquittée]))*BI38</f>
        <v>0</v>
      </c>
      <c r="CK38" s="200">
        <f>(SUMIF(Fonctionnement[Affectation matrice],$AB$3,Fonctionnement[TVA acquittée])+SUMIF(Invest[Affectation matrice],$AB$3,Invest[TVA acquittée]))*BJ38</f>
        <v>0</v>
      </c>
      <c r="CL38" s="200">
        <f>(SUMIF(Fonctionnement[Affectation matrice],$AB$3,Fonctionnement[TVA acquittée])+SUMIF(Invest[Affectation matrice],$AB$3,Invest[TVA acquittée]))*BK38</f>
        <v>0</v>
      </c>
      <c r="CM38" s="200">
        <f>(SUMIF(Fonctionnement[Affectation matrice],$AB$3,Fonctionnement[TVA acquittée])+SUMIF(Invest[Affectation matrice],$AB$3,Invest[TVA acquittée]))*BL38</f>
        <v>0</v>
      </c>
      <c r="CN38" s="200">
        <f>(SUMIF(Fonctionnement[Affectation matrice],$AB$3,Fonctionnement[TVA acquittée])+SUMIF(Invest[Affectation matrice],$AB$3,Invest[TVA acquittée]))*BM38</f>
        <v>0</v>
      </c>
      <c r="CO38" s="200">
        <f>(SUMIF(Fonctionnement[Affectation matrice],$AB$3,Fonctionnement[TVA acquittée])+SUMIF(Invest[Affectation matrice],$AB$3,Invest[TVA acquittée]))*BN38</f>
        <v>0</v>
      </c>
      <c r="CP38" s="200">
        <f>(SUMIF(Fonctionnement[Affectation matrice],$AB$3,Fonctionnement[TVA acquittée])+SUMIF(Invest[Affectation matrice],$AB$3,Invest[TVA acquittée]))*BO38</f>
        <v>0</v>
      </c>
      <c r="CQ38" s="200">
        <f>(SUMIF(Fonctionnement[Affectation matrice],$AB$3,Fonctionnement[TVA acquittée])+SUMIF(Invest[Affectation matrice],$AB$3,Invest[TVA acquittée]))*BP38</f>
        <v>0</v>
      </c>
      <c r="CR38" s="200">
        <f>(SUMIF(Fonctionnement[Affectation matrice],$AB$3,Fonctionnement[TVA acquittée])+SUMIF(Invest[Affectation matrice],$AB$3,Invest[TVA acquittée]))*BQ38</f>
        <v>0</v>
      </c>
      <c r="CS38" s="200">
        <f>(SUMIF(Fonctionnement[Affectation matrice],$AB$3,Fonctionnement[TVA acquittée])+SUMIF(Invest[Affectation matrice],$AB$3,Invest[TVA acquittée]))*BR38</f>
        <v>0</v>
      </c>
      <c r="CT38" s="200">
        <f>(SUMIF(Fonctionnement[Affectation matrice],$AB$3,Fonctionnement[TVA acquittée])+SUMIF(Invest[Affectation matrice],$AB$3,Invest[TVA acquittée]))*BS38</f>
        <v>0</v>
      </c>
      <c r="CU38" s="200">
        <f>(SUMIF(Fonctionnement[Affectation matrice],$AB$3,Fonctionnement[TVA acquittée])+SUMIF(Invest[Affectation matrice],$AB$3,Invest[TVA acquittée]))*BT38</f>
        <v>0</v>
      </c>
      <c r="CV38" s="200">
        <f>(SUMIF(Fonctionnement[Affectation matrice],$AB$3,Fonctionnement[TVA acquittée])+SUMIF(Invest[Affectation matrice],$AB$3,Invest[TVA acquittée]))*BU38</f>
        <v>0</v>
      </c>
      <c r="CW38" s="200">
        <f>(SUMIF(Fonctionnement[Affectation matrice],$AB$3,Fonctionnement[TVA acquittée])+SUMIF(Invest[Affectation matrice],$AB$3,Invest[TVA acquittée]))*BV38</f>
        <v>0</v>
      </c>
      <c r="CX38" s="200">
        <f>(SUMIF(Fonctionnement[Affectation matrice],$AB$3,Fonctionnement[TVA acquittée])+SUMIF(Invest[Affectation matrice],$AB$3,Invest[TVA acquittée]))*BW38</f>
        <v>0</v>
      </c>
      <c r="CY38" s="200">
        <f>(SUMIF(Fonctionnement[Affectation matrice],$AB$3,Fonctionnement[TVA acquittée])+SUMIF(Invest[Affectation matrice],$AB$3,Invest[TVA acquittée]))*BX38</f>
        <v>0</v>
      </c>
      <c r="CZ38" s="200">
        <f>(SUMIF(Fonctionnement[Affectation matrice],$AB$3,Fonctionnement[TVA acquittée])+SUMIF(Invest[Affectation matrice],$AB$3,Invest[TVA acquittée]))*BY38</f>
        <v>0</v>
      </c>
      <c r="DA38" s="200">
        <f>(SUMIF(Fonctionnement[Affectation matrice],$AB$3,Fonctionnement[TVA acquittée])+SUMIF(Invest[Affectation matrice],$AB$3,Invest[TVA acquittée]))*BZ38</f>
        <v>0</v>
      </c>
      <c r="DB38" s="200">
        <f>(SUMIF(Fonctionnement[Affectation matrice],$AB$3,Fonctionnement[TVA acquittée])+SUMIF(Invest[Affectation matrice],$AB$3,Invest[TVA acquittée]))*CA38</f>
        <v>0</v>
      </c>
    </row>
    <row r="39" spans="1:106" s="22" customFormat="1" ht="12.75" hidden="1" customHeight="1" x14ac:dyDescent="0.25">
      <c r="A39" s="42" t="str">
        <f>Matrice[[#This Row],[Ligne de la matrice]]</f>
        <v>Redevance spéciale</v>
      </c>
      <c r="B39" s="198">
        <f>(SUMIF(Fonctionnement[Affectation matrice],$AB$3,Fonctionnement[Montant (€HT)])+SUMIF(Invest[Affectation matrice],$AB$3,Invest[Amortissement HT + intérêts]))*BC39</f>
        <v>0</v>
      </c>
      <c r="C39" s="198">
        <f>(SUMIF(Fonctionnement[Affectation matrice],$AB$3,Fonctionnement[Montant (€HT)])+SUMIF(Invest[Affectation matrice],$AB$3,Invest[Amortissement HT + intérêts]))*BD39</f>
        <v>0</v>
      </c>
      <c r="D39" s="198">
        <f>(SUMIF(Fonctionnement[Affectation matrice],$AB$3,Fonctionnement[Montant (€HT)])+SUMIF(Invest[Affectation matrice],$AB$3,Invest[Amortissement HT + intérêts]))*BE39</f>
        <v>0</v>
      </c>
      <c r="E39" s="198">
        <f>(SUMIF(Fonctionnement[Affectation matrice],$AB$3,Fonctionnement[Montant (€HT)])+SUMIF(Invest[Affectation matrice],$AB$3,Invest[Amortissement HT + intérêts]))*BF39</f>
        <v>0</v>
      </c>
      <c r="F39" s="198">
        <f>(SUMIF(Fonctionnement[Affectation matrice],$AB$3,Fonctionnement[Montant (€HT)])+SUMIF(Invest[Affectation matrice],$AB$3,Invest[Amortissement HT + intérêts]))*BG39</f>
        <v>0</v>
      </c>
      <c r="G39" s="198">
        <f>(SUMIF(Fonctionnement[Affectation matrice],$AB$3,Fonctionnement[Montant (€HT)])+SUMIF(Invest[Affectation matrice],$AB$3,Invest[Amortissement HT + intérêts]))*BH39</f>
        <v>0</v>
      </c>
      <c r="H39" s="198">
        <f>(SUMIF(Fonctionnement[Affectation matrice],$AB$3,Fonctionnement[Montant (€HT)])+SUMIF(Invest[Affectation matrice],$AB$3,Invest[Amortissement HT + intérêts]))*BI39</f>
        <v>0</v>
      </c>
      <c r="I39" s="198">
        <f>(SUMIF(Fonctionnement[Affectation matrice],$AB$3,Fonctionnement[Montant (€HT)])+SUMIF(Invest[Affectation matrice],$AB$3,Invest[Amortissement HT + intérêts]))*BJ39</f>
        <v>0</v>
      </c>
      <c r="J39" s="198">
        <f>(SUMIF(Fonctionnement[Affectation matrice],$AB$3,Fonctionnement[Montant (€HT)])+SUMIF(Invest[Affectation matrice],$AB$3,Invest[Amortissement HT + intérêts]))*BK39</f>
        <v>0</v>
      </c>
      <c r="K39" s="198">
        <f>(SUMIF(Fonctionnement[Affectation matrice],$AB$3,Fonctionnement[Montant (€HT)])+SUMIF(Invest[Affectation matrice],$AB$3,Invest[Amortissement HT + intérêts]))*BL39</f>
        <v>0</v>
      </c>
      <c r="L39" s="198">
        <f>(SUMIF(Fonctionnement[Affectation matrice],$AB$3,Fonctionnement[Montant (€HT)])+SUMIF(Invest[Affectation matrice],$AB$3,Invest[Amortissement HT + intérêts]))*BM39</f>
        <v>0</v>
      </c>
      <c r="M39" s="198">
        <f>(SUMIF(Fonctionnement[Affectation matrice],$AB$3,Fonctionnement[Montant (€HT)])+SUMIF(Invest[Affectation matrice],$AB$3,Invest[Amortissement HT + intérêts]))*BN39</f>
        <v>0</v>
      </c>
      <c r="N39" s="198">
        <f>(SUMIF(Fonctionnement[Affectation matrice],$AB$3,Fonctionnement[Montant (€HT)])+SUMIF(Invest[Affectation matrice],$AB$3,Invest[Amortissement HT + intérêts]))*BO39</f>
        <v>0</v>
      </c>
      <c r="O39" s="198">
        <f>(SUMIF(Fonctionnement[Affectation matrice],$AB$3,Fonctionnement[Montant (€HT)])+SUMIF(Invest[Affectation matrice],$AB$3,Invest[Amortissement HT + intérêts]))*BP39</f>
        <v>0</v>
      </c>
      <c r="P39" s="198">
        <f>(SUMIF(Fonctionnement[Affectation matrice],$AB$3,Fonctionnement[Montant (€HT)])+SUMIF(Invest[Affectation matrice],$AB$3,Invest[Amortissement HT + intérêts]))*BQ39</f>
        <v>0</v>
      </c>
      <c r="Q39" s="198">
        <f>(SUMIF(Fonctionnement[Affectation matrice],$AB$3,Fonctionnement[Montant (€HT)])+SUMIF(Invest[Affectation matrice],$AB$3,Invest[Amortissement HT + intérêts]))*BR39</f>
        <v>0</v>
      </c>
      <c r="R39" s="198">
        <f>(SUMIF(Fonctionnement[Affectation matrice],$AB$3,Fonctionnement[Montant (€HT)])+SUMIF(Invest[Affectation matrice],$AB$3,Invest[Amortissement HT + intérêts]))*BS39</f>
        <v>0</v>
      </c>
      <c r="S39" s="198">
        <f>(SUMIF(Fonctionnement[Affectation matrice],$AB$3,Fonctionnement[Montant (€HT)])+SUMIF(Invest[Affectation matrice],$AB$3,Invest[Amortissement HT + intérêts]))*BT39</f>
        <v>0</v>
      </c>
      <c r="T39" s="198">
        <f>(SUMIF(Fonctionnement[Affectation matrice],$AB$3,Fonctionnement[Montant (€HT)])+SUMIF(Invest[Affectation matrice],$AB$3,Invest[Amortissement HT + intérêts]))*BU39</f>
        <v>0</v>
      </c>
      <c r="U39" s="198">
        <f>(SUMIF(Fonctionnement[Affectation matrice],$AB$3,Fonctionnement[Montant (€HT)])+SUMIF(Invest[Affectation matrice],$AB$3,Invest[Amortissement HT + intérêts]))*BV39</f>
        <v>0</v>
      </c>
      <c r="V39" s="198">
        <f>(SUMIF(Fonctionnement[Affectation matrice],$AB$3,Fonctionnement[Montant (€HT)])+SUMIF(Invest[Affectation matrice],$AB$3,Invest[Amortissement HT + intérêts]))*BW39</f>
        <v>0</v>
      </c>
      <c r="W39" s="198">
        <f>(SUMIF(Fonctionnement[Affectation matrice],$AB$3,Fonctionnement[Montant (€HT)])+SUMIF(Invest[Affectation matrice],$AB$3,Invest[Amortissement HT + intérêts]))*BX39</f>
        <v>0</v>
      </c>
      <c r="X39" s="198">
        <f>(SUMIF(Fonctionnement[Affectation matrice],$AB$3,Fonctionnement[Montant (€HT)])+SUMIF(Invest[Affectation matrice],$AB$3,Invest[Amortissement HT + intérêts]))*BY39</f>
        <v>0</v>
      </c>
      <c r="Y39" s="198">
        <f>(SUMIF(Fonctionnement[Affectation matrice],$AB$3,Fonctionnement[Montant (€HT)])+SUMIF(Invest[Affectation matrice],$AB$3,Invest[Amortissement HT + intérêts]))*BZ39</f>
        <v>0</v>
      </c>
      <c r="Z39" s="198">
        <f>(SUMIF(Fonctionnement[Affectation matrice],$AB$3,Fonctionnement[Montant (€HT)])+SUMIF(Invest[Affectation matrice],$AB$3,Invest[Amortissement HT + intérêts]))*CA39</f>
        <v>0</v>
      </c>
      <c r="AA39" s="199"/>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283">
        <f t="shared" si="4"/>
        <v>0</v>
      </c>
      <c r="BB39" s="7"/>
      <c r="BC39" s="61">
        <f t="shared" si="10"/>
        <v>0</v>
      </c>
      <c r="BD39" s="61">
        <f t="shared" si="10"/>
        <v>0</v>
      </c>
      <c r="BE39" s="61">
        <f t="shared" si="10"/>
        <v>0</v>
      </c>
      <c r="BF39" s="61">
        <f t="shared" si="10"/>
        <v>0</v>
      </c>
      <c r="BG39" s="61">
        <f t="shared" si="10"/>
        <v>0</v>
      </c>
      <c r="BH39" s="61">
        <f t="shared" si="10"/>
        <v>0</v>
      </c>
      <c r="BI39" s="61">
        <f t="shared" si="10"/>
        <v>0</v>
      </c>
      <c r="BJ39" s="61">
        <f t="shared" si="10"/>
        <v>0</v>
      </c>
      <c r="BK39" s="61">
        <f t="shared" si="10"/>
        <v>0</v>
      </c>
      <c r="BL39" s="61">
        <f t="shared" si="10"/>
        <v>0</v>
      </c>
      <c r="BM39" s="61">
        <f t="shared" si="11"/>
        <v>0</v>
      </c>
      <c r="BN39" s="61">
        <f t="shared" si="11"/>
        <v>0</v>
      </c>
      <c r="BO39" s="61">
        <f t="shared" si="11"/>
        <v>0</v>
      </c>
      <c r="BP39" s="61">
        <f t="shared" si="11"/>
        <v>0</v>
      </c>
      <c r="BQ39" s="61">
        <f t="shared" si="11"/>
        <v>0</v>
      </c>
      <c r="BR39" s="61">
        <f t="shared" si="11"/>
        <v>0</v>
      </c>
      <c r="BS39" s="61">
        <f t="shared" si="11"/>
        <v>0</v>
      </c>
      <c r="BT39" s="61">
        <f t="shared" si="11"/>
        <v>0</v>
      </c>
      <c r="BU39" s="61">
        <f t="shared" si="11"/>
        <v>0</v>
      </c>
      <c r="BV39" s="61">
        <f t="shared" si="11"/>
        <v>0</v>
      </c>
      <c r="BW39" s="61">
        <f t="shared" si="11"/>
        <v>0</v>
      </c>
      <c r="BX39" s="61">
        <f t="shared" si="11"/>
        <v>0</v>
      </c>
      <c r="BY39" s="61">
        <f t="shared" si="11"/>
        <v>0</v>
      </c>
      <c r="BZ39" s="61">
        <f t="shared" si="11"/>
        <v>0</v>
      </c>
      <c r="CA39" s="61">
        <f t="shared" si="11"/>
        <v>0</v>
      </c>
      <c r="CB39" s="61">
        <f t="shared" si="5"/>
        <v>0</v>
      </c>
      <c r="CD39" s="200">
        <f>(SUMIF(Fonctionnement[Affectation matrice],$AB$3,Fonctionnement[TVA acquittée])+SUMIF(Invest[Affectation matrice],$AB$3,Invest[TVA acquittée]))*BC39</f>
        <v>0</v>
      </c>
      <c r="CE39" s="200">
        <f>(SUMIF(Fonctionnement[Affectation matrice],$AB$3,Fonctionnement[TVA acquittée])+SUMIF(Invest[Affectation matrice],$AB$3,Invest[TVA acquittée]))*BD39</f>
        <v>0</v>
      </c>
      <c r="CF39" s="200">
        <f>(SUMIF(Fonctionnement[Affectation matrice],$AB$3,Fonctionnement[TVA acquittée])+SUMIF(Invest[Affectation matrice],$AB$3,Invest[TVA acquittée]))*BE39</f>
        <v>0</v>
      </c>
      <c r="CG39" s="200">
        <f>(SUMIF(Fonctionnement[Affectation matrice],$AB$3,Fonctionnement[TVA acquittée])+SUMIF(Invest[Affectation matrice],$AB$3,Invest[TVA acquittée]))*BF39</f>
        <v>0</v>
      </c>
      <c r="CH39" s="200">
        <f>(SUMIF(Fonctionnement[Affectation matrice],$AB$3,Fonctionnement[TVA acquittée])+SUMIF(Invest[Affectation matrice],$AB$3,Invest[TVA acquittée]))*BG39</f>
        <v>0</v>
      </c>
      <c r="CI39" s="200">
        <f>(SUMIF(Fonctionnement[Affectation matrice],$AB$3,Fonctionnement[TVA acquittée])+SUMIF(Invest[Affectation matrice],$AB$3,Invest[TVA acquittée]))*BH39</f>
        <v>0</v>
      </c>
      <c r="CJ39" s="200">
        <f>(SUMIF(Fonctionnement[Affectation matrice],$AB$3,Fonctionnement[TVA acquittée])+SUMIF(Invest[Affectation matrice],$AB$3,Invest[TVA acquittée]))*BI39</f>
        <v>0</v>
      </c>
      <c r="CK39" s="200">
        <f>(SUMIF(Fonctionnement[Affectation matrice],$AB$3,Fonctionnement[TVA acquittée])+SUMIF(Invest[Affectation matrice],$AB$3,Invest[TVA acquittée]))*BJ39</f>
        <v>0</v>
      </c>
      <c r="CL39" s="200">
        <f>(SUMIF(Fonctionnement[Affectation matrice],$AB$3,Fonctionnement[TVA acquittée])+SUMIF(Invest[Affectation matrice],$AB$3,Invest[TVA acquittée]))*BK39</f>
        <v>0</v>
      </c>
      <c r="CM39" s="200">
        <f>(SUMIF(Fonctionnement[Affectation matrice],$AB$3,Fonctionnement[TVA acquittée])+SUMIF(Invest[Affectation matrice],$AB$3,Invest[TVA acquittée]))*BL39</f>
        <v>0</v>
      </c>
      <c r="CN39" s="200">
        <f>(SUMIF(Fonctionnement[Affectation matrice],$AB$3,Fonctionnement[TVA acquittée])+SUMIF(Invest[Affectation matrice],$AB$3,Invest[TVA acquittée]))*BM39</f>
        <v>0</v>
      </c>
      <c r="CO39" s="200">
        <f>(SUMIF(Fonctionnement[Affectation matrice],$AB$3,Fonctionnement[TVA acquittée])+SUMIF(Invest[Affectation matrice],$AB$3,Invest[TVA acquittée]))*BN39</f>
        <v>0</v>
      </c>
      <c r="CP39" s="200">
        <f>(SUMIF(Fonctionnement[Affectation matrice],$AB$3,Fonctionnement[TVA acquittée])+SUMIF(Invest[Affectation matrice],$AB$3,Invest[TVA acquittée]))*BO39</f>
        <v>0</v>
      </c>
      <c r="CQ39" s="200">
        <f>(SUMIF(Fonctionnement[Affectation matrice],$AB$3,Fonctionnement[TVA acquittée])+SUMIF(Invest[Affectation matrice],$AB$3,Invest[TVA acquittée]))*BP39</f>
        <v>0</v>
      </c>
      <c r="CR39" s="200">
        <f>(SUMIF(Fonctionnement[Affectation matrice],$AB$3,Fonctionnement[TVA acquittée])+SUMIF(Invest[Affectation matrice],$AB$3,Invest[TVA acquittée]))*BQ39</f>
        <v>0</v>
      </c>
      <c r="CS39" s="200">
        <f>(SUMIF(Fonctionnement[Affectation matrice],$AB$3,Fonctionnement[TVA acquittée])+SUMIF(Invest[Affectation matrice],$AB$3,Invest[TVA acquittée]))*BR39</f>
        <v>0</v>
      </c>
      <c r="CT39" s="200">
        <f>(SUMIF(Fonctionnement[Affectation matrice],$AB$3,Fonctionnement[TVA acquittée])+SUMIF(Invest[Affectation matrice],$AB$3,Invest[TVA acquittée]))*BS39</f>
        <v>0</v>
      </c>
      <c r="CU39" s="200">
        <f>(SUMIF(Fonctionnement[Affectation matrice],$AB$3,Fonctionnement[TVA acquittée])+SUMIF(Invest[Affectation matrice],$AB$3,Invest[TVA acquittée]))*BT39</f>
        <v>0</v>
      </c>
      <c r="CV39" s="200">
        <f>(SUMIF(Fonctionnement[Affectation matrice],$AB$3,Fonctionnement[TVA acquittée])+SUMIF(Invest[Affectation matrice],$AB$3,Invest[TVA acquittée]))*BU39</f>
        <v>0</v>
      </c>
      <c r="CW39" s="200">
        <f>(SUMIF(Fonctionnement[Affectation matrice],$AB$3,Fonctionnement[TVA acquittée])+SUMIF(Invest[Affectation matrice],$AB$3,Invest[TVA acquittée]))*BV39</f>
        <v>0</v>
      </c>
      <c r="CX39" s="200">
        <f>(SUMIF(Fonctionnement[Affectation matrice],$AB$3,Fonctionnement[TVA acquittée])+SUMIF(Invest[Affectation matrice],$AB$3,Invest[TVA acquittée]))*BW39</f>
        <v>0</v>
      </c>
      <c r="CY39" s="200">
        <f>(SUMIF(Fonctionnement[Affectation matrice],$AB$3,Fonctionnement[TVA acquittée])+SUMIF(Invest[Affectation matrice],$AB$3,Invest[TVA acquittée]))*BX39</f>
        <v>0</v>
      </c>
      <c r="CZ39" s="200">
        <f>(SUMIF(Fonctionnement[Affectation matrice],$AB$3,Fonctionnement[TVA acquittée])+SUMIF(Invest[Affectation matrice],$AB$3,Invest[TVA acquittée]))*BY39</f>
        <v>0</v>
      </c>
      <c r="DA39" s="200">
        <f>(SUMIF(Fonctionnement[Affectation matrice],$AB$3,Fonctionnement[TVA acquittée])+SUMIF(Invest[Affectation matrice],$AB$3,Invest[TVA acquittée]))*BZ39</f>
        <v>0</v>
      </c>
      <c r="DB39" s="200">
        <f>(SUMIF(Fonctionnement[Affectation matrice],$AB$3,Fonctionnement[TVA acquittée])+SUMIF(Invest[Affectation matrice],$AB$3,Invest[TVA acquittée]))*CA39</f>
        <v>0</v>
      </c>
    </row>
    <row r="40" spans="1:106" s="22" customFormat="1" ht="12.75" hidden="1" customHeight="1" x14ac:dyDescent="0.25">
      <c r="A40" s="42" t="str">
        <f>Matrice[[#This Row],[Ligne de la matrice]]</f>
        <v>Facturation à l'usager</v>
      </c>
      <c r="B40" s="198">
        <f>(SUMIF(Fonctionnement[Affectation matrice],$AB$3,Fonctionnement[Montant (€HT)])+SUMIF(Invest[Affectation matrice],$AB$3,Invest[Amortissement HT + intérêts]))*BC40</f>
        <v>0</v>
      </c>
      <c r="C40" s="198">
        <f>(SUMIF(Fonctionnement[Affectation matrice],$AB$3,Fonctionnement[Montant (€HT)])+SUMIF(Invest[Affectation matrice],$AB$3,Invest[Amortissement HT + intérêts]))*BD40</f>
        <v>0</v>
      </c>
      <c r="D40" s="198">
        <f>(SUMIF(Fonctionnement[Affectation matrice],$AB$3,Fonctionnement[Montant (€HT)])+SUMIF(Invest[Affectation matrice],$AB$3,Invest[Amortissement HT + intérêts]))*BE40</f>
        <v>0</v>
      </c>
      <c r="E40" s="198">
        <f>(SUMIF(Fonctionnement[Affectation matrice],$AB$3,Fonctionnement[Montant (€HT)])+SUMIF(Invest[Affectation matrice],$AB$3,Invest[Amortissement HT + intérêts]))*BF40</f>
        <v>0</v>
      </c>
      <c r="F40" s="198">
        <f>(SUMIF(Fonctionnement[Affectation matrice],$AB$3,Fonctionnement[Montant (€HT)])+SUMIF(Invest[Affectation matrice],$AB$3,Invest[Amortissement HT + intérêts]))*BG40</f>
        <v>0</v>
      </c>
      <c r="G40" s="198">
        <f>(SUMIF(Fonctionnement[Affectation matrice],$AB$3,Fonctionnement[Montant (€HT)])+SUMIF(Invest[Affectation matrice],$AB$3,Invest[Amortissement HT + intérêts]))*BH40</f>
        <v>0</v>
      </c>
      <c r="H40" s="198">
        <f>(SUMIF(Fonctionnement[Affectation matrice],$AB$3,Fonctionnement[Montant (€HT)])+SUMIF(Invest[Affectation matrice],$AB$3,Invest[Amortissement HT + intérêts]))*BI40</f>
        <v>0</v>
      </c>
      <c r="I40" s="198">
        <f>(SUMIF(Fonctionnement[Affectation matrice],$AB$3,Fonctionnement[Montant (€HT)])+SUMIF(Invest[Affectation matrice],$AB$3,Invest[Amortissement HT + intérêts]))*BJ40</f>
        <v>0</v>
      </c>
      <c r="J40" s="198">
        <f>(SUMIF(Fonctionnement[Affectation matrice],$AB$3,Fonctionnement[Montant (€HT)])+SUMIF(Invest[Affectation matrice],$AB$3,Invest[Amortissement HT + intérêts]))*BK40</f>
        <v>0</v>
      </c>
      <c r="K40" s="198">
        <f>(SUMIF(Fonctionnement[Affectation matrice],$AB$3,Fonctionnement[Montant (€HT)])+SUMIF(Invest[Affectation matrice],$AB$3,Invest[Amortissement HT + intérêts]))*BL40</f>
        <v>0</v>
      </c>
      <c r="L40" s="198">
        <f>(SUMIF(Fonctionnement[Affectation matrice],$AB$3,Fonctionnement[Montant (€HT)])+SUMIF(Invest[Affectation matrice],$AB$3,Invest[Amortissement HT + intérêts]))*BM40</f>
        <v>0</v>
      </c>
      <c r="M40" s="198">
        <f>(SUMIF(Fonctionnement[Affectation matrice],$AB$3,Fonctionnement[Montant (€HT)])+SUMIF(Invest[Affectation matrice],$AB$3,Invest[Amortissement HT + intérêts]))*BN40</f>
        <v>0</v>
      </c>
      <c r="N40" s="198">
        <f>(SUMIF(Fonctionnement[Affectation matrice],$AB$3,Fonctionnement[Montant (€HT)])+SUMIF(Invest[Affectation matrice],$AB$3,Invest[Amortissement HT + intérêts]))*BO40</f>
        <v>0</v>
      </c>
      <c r="O40" s="198">
        <f>(SUMIF(Fonctionnement[Affectation matrice],$AB$3,Fonctionnement[Montant (€HT)])+SUMIF(Invest[Affectation matrice],$AB$3,Invest[Amortissement HT + intérêts]))*BP40</f>
        <v>0</v>
      </c>
      <c r="P40" s="198">
        <f>(SUMIF(Fonctionnement[Affectation matrice],$AB$3,Fonctionnement[Montant (€HT)])+SUMIF(Invest[Affectation matrice],$AB$3,Invest[Amortissement HT + intérêts]))*BQ40</f>
        <v>0</v>
      </c>
      <c r="Q40" s="198">
        <f>(SUMIF(Fonctionnement[Affectation matrice],$AB$3,Fonctionnement[Montant (€HT)])+SUMIF(Invest[Affectation matrice],$AB$3,Invest[Amortissement HT + intérêts]))*BR40</f>
        <v>0</v>
      </c>
      <c r="R40" s="198">
        <f>(SUMIF(Fonctionnement[Affectation matrice],$AB$3,Fonctionnement[Montant (€HT)])+SUMIF(Invest[Affectation matrice],$AB$3,Invest[Amortissement HT + intérêts]))*BS40</f>
        <v>0</v>
      </c>
      <c r="S40" s="198">
        <f>(SUMIF(Fonctionnement[Affectation matrice],$AB$3,Fonctionnement[Montant (€HT)])+SUMIF(Invest[Affectation matrice],$AB$3,Invest[Amortissement HT + intérêts]))*BT40</f>
        <v>0</v>
      </c>
      <c r="T40" s="198">
        <f>(SUMIF(Fonctionnement[Affectation matrice],$AB$3,Fonctionnement[Montant (€HT)])+SUMIF(Invest[Affectation matrice],$AB$3,Invest[Amortissement HT + intérêts]))*BU40</f>
        <v>0</v>
      </c>
      <c r="U40" s="198">
        <f>(SUMIF(Fonctionnement[Affectation matrice],$AB$3,Fonctionnement[Montant (€HT)])+SUMIF(Invest[Affectation matrice],$AB$3,Invest[Amortissement HT + intérêts]))*BV40</f>
        <v>0</v>
      </c>
      <c r="V40" s="198">
        <f>(SUMIF(Fonctionnement[Affectation matrice],$AB$3,Fonctionnement[Montant (€HT)])+SUMIF(Invest[Affectation matrice],$AB$3,Invest[Amortissement HT + intérêts]))*BW40</f>
        <v>0</v>
      </c>
      <c r="W40" s="198">
        <f>(SUMIF(Fonctionnement[Affectation matrice],$AB$3,Fonctionnement[Montant (€HT)])+SUMIF(Invest[Affectation matrice],$AB$3,Invest[Amortissement HT + intérêts]))*BX40</f>
        <v>0</v>
      </c>
      <c r="X40" s="198">
        <f>(SUMIF(Fonctionnement[Affectation matrice],$AB$3,Fonctionnement[Montant (€HT)])+SUMIF(Invest[Affectation matrice],$AB$3,Invest[Amortissement HT + intérêts]))*BY40</f>
        <v>0</v>
      </c>
      <c r="Y40" s="198">
        <f>(SUMIF(Fonctionnement[Affectation matrice],$AB$3,Fonctionnement[Montant (€HT)])+SUMIF(Invest[Affectation matrice],$AB$3,Invest[Amortissement HT + intérêts]))*BZ40</f>
        <v>0</v>
      </c>
      <c r="Z40" s="198">
        <f>(SUMIF(Fonctionnement[Affectation matrice],$AB$3,Fonctionnement[Montant (€HT)])+SUMIF(Invest[Affectation matrice],$AB$3,Invest[Amortissement HT + intérêts]))*CA40</f>
        <v>0</v>
      </c>
      <c r="AA40" s="199"/>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283">
        <f t="shared" si="4"/>
        <v>0</v>
      </c>
      <c r="BB40" s="7"/>
      <c r="BC40" s="61">
        <f t="shared" si="10"/>
        <v>0</v>
      </c>
      <c r="BD40" s="61">
        <f t="shared" si="10"/>
        <v>0</v>
      </c>
      <c r="BE40" s="61">
        <f t="shared" si="10"/>
        <v>0</v>
      </c>
      <c r="BF40" s="61">
        <f t="shared" si="10"/>
        <v>0</v>
      </c>
      <c r="BG40" s="61">
        <f t="shared" si="10"/>
        <v>0</v>
      </c>
      <c r="BH40" s="61">
        <f t="shared" si="10"/>
        <v>0</v>
      </c>
      <c r="BI40" s="61">
        <f t="shared" si="10"/>
        <v>0</v>
      </c>
      <c r="BJ40" s="61">
        <f t="shared" si="10"/>
        <v>0</v>
      </c>
      <c r="BK40" s="61">
        <f t="shared" si="10"/>
        <v>0</v>
      </c>
      <c r="BL40" s="61">
        <f t="shared" si="10"/>
        <v>0</v>
      </c>
      <c r="BM40" s="61">
        <f t="shared" si="11"/>
        <v>0</v>
      </c>
      <c r="BN40" s="61">
        <f t="shared" si="11"/>
        <v>0</v>
      </c>
      <c r="BO40" s="61">
        <f t="shared" si="11"/>
        <v>0</v>
      </c>
      <c r="BP40" s="61">
        <f t="shared" si="11"/>
        <v>0</v>
      </c>
      <c r="BQ40" s="61">
        <f t="shared" si="11"/>
        <v>0</v>
      </c>
      <c r="BR40" s="61">
        <f t="shared" si="11"/>
        <v>0</v>
      </c>
      <c r="BS40" s="61">
        <f t="shared" si="11"/>
        <v>0</v>
      </c>
      <c r="BT40" s="61">
        <f t="shared" si="11"/>
        <v>0</v>
      </c>
      <c r="BU40" s="61">
        <f t="shared" si="11"/>
        <v>0</v>
      </c>
      <c r="BV40" s="61">
        <f t="shared" si="11"/>
        <v>0</v>
      </c>
      <c r="BW40" s="61">
        <f t="shared" si="11"/>
        <v>0</v>
      </c>
      <c r="BX40" s="61">
        <f t="shared" si="11"/>
        <v>0</v>
      </c>
      <c r="BY40" s="61">
        <f t="shared" si="11"/>
        <v>0</v>
      </c>
      <c r="BZ40" s="61">
        <f t="shared" si="11"/>
        <v>0</v>
      </c>
      <c r="CA40" s="61">
        <f t="shared" si="11"/>
        <v>0</v>
      </c>
      <c r="CB40" s="61">
        <f t="shared" si="5"/>
        <v>0</v>
      </c>
      <c r="CD40" s="200">
        <f>(SUMIF(Fonctionnement[Affectation matrice],$AB$3,Fonctionnement[TVA acquittée])+SUMIF(Invest[Affectation matrice],$AB$3,Invest[TVA acquittée]))*BC40</f>
        <v>0</v>
      </c>
      <c r="CE40" s="200">
        <f>(SUMIF(Fonctionnement[Affectation matrice],$AB$3,Fonctionnement[TVA acquittée])+SUMIF(Invest[Affectation matrice],$AB$3,Invest[TVA acquittée]))*BD40</f>
        <v>0</v>
      </c>
      <c r="CF40" s="200">
        <f>(SUMIF(Fonctionnement[Affectation matrice],$AB$3,Fonctionnement[TVA acquittée])+SUMIF(Invest[Affectation matrice],$AB$3,Invest[TVA acquittée]))*BE40</f>
        <v>0</v>
      </c>
      <c r="CG40" s="200">
        <f>(SUMIF(Fonctionnement[Affectation matrice],$AB$3,Fonctionnement[TVA acquittée])+SUMIF(Invest[Affectation matrice],$AB$3,Invest[TVA acquittée]))*BF40</f>
        <v>0</v>
      </c>
      <c r="CH40" s="200">
        <f>(SUMIF(Fonctionnement[Affectation matrice],$AB$3,Fonctionnement[TVA acquittée])+SUMIF(Invest[Affectation matrice],$AB$3,Invest[TVA acquittée]))*BG40</f>
        <v>0</v>
      </c>
      <c r="CI40" s="200">
        <f>(SUMIF(Fonctionnement[Affectation matrice],$AB$3,Fonctionnement[TVA acquittée])+SUMIF(Invest[Affectation matrice],$AB$3,Invest[TVA acquittée]))*BH40</f>
        <v>0</v>
      </c>
      <c r="CJ40" s="200">
        <f>(SUMIF(Fonctionnement[Affectation matrice],$AB$3,Fonctionnement[TVA acquittée])+SUMIF(Invest[Affectation matrice],$AB$3,Invest[TVA acquittée]))*BI40</f>
        <v>0</v>
      </c>
      <c r="CK40" s="200">
        <f>(SUMIF(Fonctionnement[Affectation matrice],$AB$3,Fonctionnement[TVA acquittée])+SUMIF(Invest[Affectation matrice],$AB$3,Invest[TVA acquittée]))*BJ40</f>
        <v>0</v>
      </c>
      <c r="CL40" s="200">
        <f>(SUMIF(Fonctionnement[Affectation matrice],$AB$3,Fonctionnement[TVA acquittée])+SUMIF(Invest[Affectation matrice],$AB$3,Invest[TVA acquittée]))*BK40</f>
        <v>0</v>
      </c>
      <c r="CM40" s="200">
        <f>(SUMIF(Fonctionnement[Affectation matrice],$AB$3,Fonctionnement[TVA acquittée])+SUMIF(Invest[Affectation matrice],$AB$3,Invest[TVA acquittée]))*BL40</f>
        <v>0</v>
      </c>
      <c r="CN40" s="200">
        <f>(SUMIF(Fonctionnement[Affectation matrice],$AB$3,Fonctionnement[TVA acquittée])+SUMIF(Invest[Affectation matrice],$AB$3,Invest[TVA acquittée]))*BM40</f>
        <v>0</v>
      </c>
      <c r="CO40" s="200">
        <f>(SUMIF(Fonctionnement[Affectation matrice],$AB$3,Fonctionnement[TVA acquittée])+SUMIF(Invest[Affectation matrice],$AB$3,Invest[TVA acquittée]))*BN40</f>
        <v>0</v>
      </c>
      <c r="CP40" s="200">
        <f>(SUMIF(Fonctionnement[Affectation matrice],$AB$3,Fonctionnement[TVA acquittée])+SUMIF(Invest[Affectation matrice],$AB$3,Invest[TVA acquittée]))*BO40</f>
        <v>0</v>
      </c>
      <c r="CQ40" s="200">
        <f>(SUMIF(Fonctionnement[Affectation matrice],$AB$3,Fonctionnement[TVA acquittée])+SUMIF(Invest[Affectation matrice],$AB$3,Invest[TVA acquittée]))*BP40</f>
        <v>0</v>
      </c>
      <c r="CR40" s="200">
        <f>(SUMIF(Fonctionnement[Affectation matrice],$AB$3,Fonctionnement[TVA acquittée])+SUMIF(Invest[Affectation matrice],$AB$3,Invest[TVA acquittée]))*BQ40</f>
        <v>0</v>
      </c>
      <c r="CS40" s="200">
        <f>(SUMIF(Fonctionnement[Affectation matrice],$AB$3,Fonctionnement[TVA acquittée])+SUMIF(Invest[Affectation matrice],$AB$3,Invest[TVA acquittée]))*BR40</f>
        <v>0</v>
      </c>
      <c r="CT40" s="200">
        <f>(SUMIF(Fonctionnement[Affectation matrice],$AB$3,Fonctionnement[TVA acquittée])+SUMIF(Invest[Affectation matrice],$AB$3,Invest[TVA acquittée]))*BS40</f>
        <v>0</v>
      </c>
      <c r="CU40" s="200">
        <f>(SUMIF(Fonctionnement[Affectation matrice],$AB$3,Fonctionnement[TVA acquittée])+SUMIF(Invest[Affectation matrice],$AB$3,Invest[TVA acquittée]))*BT40</f>
        <v>0</v>
      </c>
      <c r="CV40" s="200">
        <f>(SUMIF(Fonctionnement[Affectation matrice],$AB$3,Fonctionnement[TVA acquittée])+SUMIF(Invest[Affectation matrice],$AB$3,Invest[TVA acquittée]))*BU40</f>
        <v>0</v>
      </c>
      <c r="CW40" s="200">
        <f>(SUMIF(Fonctionnement[Affectation matrice],$AB$3,Fonctionnement[TVA acquittée])+SUMIF(Invest[Affectation matrice],$AB$3,Invest[TVA acquittée]))*BV40</f>
        <v>0</v>
      </c>
      <c r="CX40" s="200">
        <f>(SUMIF(Fonctionnement[Affectation matrice],$AB$3,Fonctionnement[TVA acquittée])+SUMIF(Invest[Affectation matrice],$AB$3,Invest[TVA acquittée]))*BW40</f>
        <v>0</v>
      </c>
      <c r="CY40" s="200">
        <f>(SUMIF(Fonctionnement[Affectation matrice],$AB$3,Fonctionnement[TVA acquittée])+SUMIF(Invest[Affectation matrice],$AB$3,Invest[TVA acquittée]))*BX40</f>
        <v>0</v>
      </c>
      <c r="CZ40" s="200">
        <f>(SUMIF(Fonctionnement[Affectation matrice],$AB$3,Fonctionnement[TVA acquittée])+SUMIF(Invest[Affectation matrice],$AB$3,Invest[TVA acquittée]))*BY40</f>
        <v>0</v>
      </c>
      <c r="DA40" s="200">
        <f>(SUMIF(Fonctionnement[Affectation matrice],$AB$3,Fonctionnement[TVA acquittée])+SUMIF(Invest[Affectation matrice],$AB$3,Invest[TVA acquittée]))*BZ40</f>
        <v>0</v>
      </c>
      <c r="DB40" s="200">
        <f>(SUMIF(Fonctionnement[Affectation matrice],$AB$3,Fonctionnement[TVA acquittée])+SUMIF(Invest[Affectation matrice],$AB$3,Invest[TVA acquittée]))*CA40</f>
        <v>0</v>
      </c>
    </row>
    <row r="41" spans="1:106" s="22" customFormat="1" ht="12.75" hidden="1" customHeight="1" x14ac:dyDescent="0.25">
      <c r="A41" s="42" t="str">
        <f>Matrice[[#This Row],[Ligne de la matrice]]</f>
        <v>Contribution des collectivités</v>
      </c>
      <c r="B41" s="198">
        <f>(SUMIF(Fonctionnement[Affectation matrice],$AB$3,Fonctionnement[Montant (€HT)])+SUMIF(Invest[Affectation matrice],$AB$3,Invest[Amortissement HT + intérêts]))*BC41</f>
        <v>0</v>
      </c>
      <c r="C41" s="198">
        <f>(SUMIF(Fonctionnement[Affectation matrice],$AB$3,Fonctionnement[Montant (€HT)])+SUMIF(Invest[Affectation matrice],$AB$3,Invest[Amortissement HT + intérêts]))*BD41</f>
        <v>0</v>
      </c>
      <c r="D41" s="198">
        <f>(SUMIF(Fonctionnement[Affectation matrice],$AB$3,Fonctionnement[Montant (€HT)])+SUMIF(Invest[Affectation matrice],$AB$3,Invest[Amortissement HT + intérêts]))*BE41</f>
        <v>0</v>
      </c>
      <c r="E41" s="198">
        <f>(SUMIF(Fonctionnement[Affectation matrice],$AB$3,Fonctionnement[Montant (€HT)])+SUMIF(Invest[Affectation matrice],$AB$3,Invest[Amortissement HT + intérêts]))*BF41</f>
        <v>0</v>
      </c>
      <c r="F41" s="198">
        <f>(SUMIF(Fonctionnement[Affectation matrice],$AB$3,Fonctionnement[Montant (€HT)])+SUMIF(Invest[Affectation matrice],$AB$3,Invest[Amortissement HT + intérêts]))*BG41</f>
        <v>0</v>
      </c>
      <c r="G41" s="198">
        <f>(SUMIF(Fonctionnement[Affectation matrice],$AB$3,Fonctionnement[Montant (€HT)])+SUMIF(Invest[Affectation matrice],$AB$3,Invest[Amortissement HT + intérêts]))*BH41</f>
        <v>0</v>
      </c>
      <c r="H41" s="198">
        <f>(SUMIF(Fonctionnement[Affectation matrice],$AB$3,Fonctionnement[Montant (€HT)])+SUMIF(Invest[Affectation matrice],$AB$3,Invest[Amortissement HT + intérêts]))*BI41</f>
        <v>0</v>
      </c>
      <c r="I41" s="198">
        <f>(SUMIF(Fonctionnement[Affectation matrice],$AB$3,Fonctionnement[Montant (€HT)])+SUMIF(Invest[Affectation matrice],$AB$3,Invest[Amortissement HT + intérêts]))*BJ41</f>
        <v>0</v>
      </c>
      <c r="J41" s="198">
        <f>(SUMIF(Fonctionnement[Affectation matrice],$AB$3,Fonctionnement[Montant (€HT)])+SUMIF(Invest[Affectation matrice],$AB$3,Invest[Amortissement HT + intérêts]))*BK41</f>
        <v>0</v>
      </c>
      <c r="K41" s="198">
        <f>(SUMIF(Fonctionnement[Affectation matrice],$AB$3,Fonctionnement[Montant (€HT)])+SUMIF(Invest[Affectation matrice],$AB$3,Invest[Amortissement HT + intérêts]))*BL41</f>
        <v>0</v>
      </c>
      <c r="L41" s="198">
        <f>(SUMIF(Fonctionnement[Affectation matrice],$AB$3,Fonctionnement[Montant (€HT)])+SUMIF(Invest[Affectation matrice],$AB$3,Invest[Amortissement HT + intérêts]))*BM41</f>
        <v>0</v>
      </c>
      <c r="M41" s="198">
        <f>(SUMIF(Fonctionnement[Affectation matrice],$AB$3,Fonctionnement[Montant (€HT)])+SUMIF(Invest[Affectation matrice],$AB$3,Invest[Amortissement HT + intérêts]))*BN41</f>
        <v>0</v>
      </c>
      <c r="N41" s="198">
        <f>(SUMIF(Fonctionnement[Affectation matrice],$AB$3,Fonctionnement[Montant (€HT)])+SUMIF(Invest[Affectation matrice],$AB$3,Invest[Amortissement HT + intérêts]))*BO41</f>
        <v>0</v>
      </c>
      <c r="O41" s="198">
        <f>(SUMIF(Fonctionnement[Affectation matrice],$AB$3,Fonctionnement[Montant (€HT)])+SUMIF(Invest[Affectation matrice],$AB$3,Invest[Amortissement HT + intérêts]))*BP41</f>
        <v>0</v>
      </c>
      <c r="P41" s="198">
        <f>(SUMIF(Fonctionnement[Affectation matrice],$AB$3,Fonctionnement[Montant (€HT)])+SUMIF(Invest[Affectation matrice],$AB$3,Invest[Amortissement HT + intérêts]))*BQ41</f>
        <v>0</v>
      </c>
      <c r="Q41" s="198">
        <f>(SUMIF(Fonctionnement[Affectation matrice],$AB$3,Fonctionnement[Montant (€HT)])+SUMIF(Invest[Affectation matrice],$AB$3,Invest[Amortissement HT + intérêts]))*BR41</f>
        <v>0</v>
      </c>
      <c r="R41" s="198">
        <f>(SUMIF(Fonctionnement[Affectation matrice],$AB$3,Fonctionnement[Montant (€HT)])+SUMIF(Invest[Affectation matrice],$AB$3,Invest[Amortissement HT + intérêts]))*BS41</f>
        <v>0</v>
      </c>
      <c r="S41" s="198">
        <f>(SUMIF(Fonctionnement[Affectation matrice],$AB$3,Fonctionnement[Montant (€HT)])+SUMIF(Invest[Affectation matrice],$AB$3,Invest[Amortissement HT + intérêts]))*BT41</f>
        <v>0</v>
      </c>
      <c r="T41" s="198">
        <f>(SUMIF(Fonctionnement[Affectation matrice],$AB$3,Fonctionnement[Montant (€HT)])+SUMIF(Invest[Affectation matrice],$AB$3,Invest[Amortissement HT + intérêts]))*BU41</f>
        <v>0</v>
      </c>
      <c r="U41" s="198">
        <f>(SUMIF(Fonctionnement[Affectation matrice],$AB$3,Fonctionnement[Montant (€HT)])+SUMIF(Invest[Affectation matrice],$AB$3,Invest[Amortissement HT + intérêts]))*BV41</f>
        <v>0</v>
      </c>
      <c r="V41" s="198">
        <f>(SUMIF(Fonctionnement[Affectation matrice],$AB$3,Fonctionnement[Montant (€HT)])+SUMIF(Invest[Affectation matrice],$AB$3,Invest[Amortissement HT + intérêts]))*BW41</f>
        <v>0</v>
      </c>
      <c r="W41" s="198">
        <f>(SUMIF(Fonctionnement[Affectation matrice],$AB$3,Fonctionnement[Montant (€HT)])+SUMIF(Invest[Affectation matrice],$AB$3,Invest[Amortissement HT + intérêts]))*BX41</f>
        <v>0</v>
      </c>
      <c r="X41" s="198">
        <f>(SUMIF(Fonctionnement[Affectation matrice],$AB$3,Fonctionnement[Montant (€HT)])+SUMIF(Invest[Affectation matrice],$AB$3,Invest[Amortissement HT + intérêts]))*BY41</f>
        <v>0</v>
      </c>
      <c r="Y41" s="198">
        <f>(SUMIF(Fonctionnement[Affectation matrice],$AB$3,Fonctionnement[Montant (€HT)])+SUMIF(Invest[Affectation matrice],$AB$3,Invest[Amortissement HT + intérêts]))*BZ41</f>
        <v>0</v>
      </c>
      <c r="Z41" s="198">
        <f>(SUMIF(Fonctionnement[Affectation matrice],$AB$3,Fonctionnement[Montant (€HT)])+SUMIF(Invest[Affectation matrice],$AB$3,Invest[Amortissement HT + intérêts]))*CA41</f>
        <v>0</v>
      </c>
      <c r="AA41" s="199"/>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283">
        <f t="shared" si="4"/>
        <v>0</v>
      </c>
      <c r="BB41" s="7"/>
      <c r="BC41" s="61">
        <f t="shared" si="10"/>
        <v>0</v>
      </c>
      <c r="BD41" s="61">
        <f t="shared" si="10"/>
        <v>0</v>
      </c>
      <c r="BE41" s="61">
        <f t="shared" si="10"/>
        <v>0</v>
      </c>
      <c r="BF41" s="61">
        <f t="shared" si="10"/>
        <v>0</v>
      </c>
      <c r="BG41" s="61">
        <f t="shared" si="10"/>
        <v>0</v>
      </c>
      <c r="BH41" s="61">
        <f t="shared" si="10"/>
        <v>0</v>
      </c>
      <c r="BI41" s="61">
        <f t="shared" si="10"/>
        <v>0</v>
      </c>
      <c r="BJ41" s="61">
        <f t="shared" si="10"/>
        <v>0</v>
      </c>
      <c r="BK41" s="61">
        <f t="shared" si="10"/>
        <v>0</v>
      </c>
      <c r="BL41" s="61">
        <f t="shared" si="10"/>
        <v>0</v>
      </c>
      <c r="BM41" s="61">
        <f t="shared" si="11"/>
        <v>0</v>
      </c>
      <c r="BN41" s="61">
        <f t="shared" si="11"/>
        <v>0</v>
      </c>
      <c r="BO41" s="61">
        <f t="shared" si="11"/>
        <v>0</v>
      </c>
      <c r="BP41" s="61">
        <f t="shared" si="11"/>
        <v>0</v>
      </c>
      <c r="BQ41" s="61">
        <f t="shared" si="11"/>
        <v>0</v>
      </c>
      <c r="BR41" s="61">
        <f t="shared" si="11"/>
        <v>0</v>
      </c>
      <c r="BS41" s="61">
        <f t="shared" si="11"/>
        <v>0</v>
      </c>
      <c r="BT41" s="61">
        <f t="shared" si="11"/>
        <v>0</v>
      </c>
      <c r="BU41" s="61">
        <f t="shared" si="11"/>
        <v>0</v>
      </c>
      <c r="BV41" s="61">
        <f t="shared" si="11"/>
        <v>0</v>
      </c>
      <c r="BW41" s="61">
        <f t="shared" si="11"/>
        <v>0</v>
      </c>
      <c r="BX41" s="61">
        <f t="shared" si="11"/>
        <v>0</v>
      </c>
      <c r="BY41" s="61">
        <f t="shared" si="11"/>
        <v>0</v>
      </c>
      <c r="BZ41" s="61">
        <f t="shared" si="11"/>
        <v>0</v>
      </c>
      <c r="CA41" s="61">
        <f t="shared" si="11"/>
        <v>0</v>
      </c>
      <c r="CB41" s="61">
        <f t="shared" si="5"/>
        <v>0</v>
      </c>
      <c r="CD41" s="200">
        <f>(SUMIF(Fonctionnement[Affectation matrice],$AB$3,Fonctionnement[TVA acquittée])+SUMIF(Invest[Affectation matrice],$AB$3,Invest[TVA acquittée]))*BC41</f>
        <v>0</v>
      </c>
      <c r="CE41" s="200">
        <f>(SUMIF(Fonctionnement[Affectation matrice],$AB$3,Fonctionnement[TVA acquittée])+SUMIF(Invest[Affectation matrice],$AB$3,Invest[TVA acquittée]))*BD41</f>
        <v>0</v>
      </c>
      <c r="CF41" s="200">
        <f>(SUMIF(Fonctionnement[Affectation matrice],$AB$3,Fonctionnement[TVA acquittée])+SUMIF(Invest[Affectation matrice],$AB$3,Invest[TVA acquittée]))*BE41</f>
        <v>0</v>
      </c>
      <c r="CG41" s="200">
        <f>(SUMIF(Fonctionnement[Affectation matrice],$AB$3,Fonctionnement[TVA acquittée])+SUMIF(Invest[Affectation matrice],$AB$3,Invest[TVA acquittée]))*BF41</f>
        <v>0</v>
      </c>
      <c r="CH41" s="200">
        <f>(SUMIF(Fonctionnement[Affectation matrice],$AB$3,Fonctionnement[TVA acquittée])+SUMIF(Invest[Affectation matrice],$AB$3,Invest[TVA acquittée]))*BG41</f>
        <v>0</v>
      </c>
      <c r="CI41" s="200">
        <f>(SUMIF(Fonctionnement[Affectation matrice],$AB$3,Fonctionnement[TVA acquittée])+SUMIF(Invest[Affectation matrice],$AB$3,Invest[TVA acquittée]))*BH41</f>
        <v>0</v>
      </c>
      <c r="CJ41" s="200">
        <f>(SUMIF(Fonctionnement[Affectation matrice],$AB$3,Fonctionnement[TVA acquittée])+SUMIF(Invest[Affectation matrice],$AB$3,Invest[TVA acquittée]))*BI41</f>
        <v>0</v>
      </c>
      <c r="CK41" s="200">
        <f>(SUMIF(Fonctionnement[Affectation matrice],$AB$3,Fonctionnement[TVA acquittée])+SUMIF(Invest[Affectation matrice],$AB$3,Invest[TVA acquittée]))*BJ41</f>
        <v>0</v>
      </c>
      <c r="CL41" s="200">
        <f>(SUMIF(Fonctionnement[Affectation matrice],$AB$3,Fonctionnement[TVA acquittée])+SUMIF(Invest[Affectation matrice],$AB$3,Invest[TVA acquittée]))*BK41</f>
        <v>0</v>
      </c>
      <c r="CM41" s="200">
        <f>(SUMIF(Fonctionnement[Affectation matrice],$AB$3,Fonctionnement[TVA acquittée])+SUMIF(Invest[Affectation matrice],$AB$3,Invest[TVA acquittée]))*BL41</f>
        <v>0</v>
      </c>
      <c r="CN41" s="200">
        <f>(SUMIF(Fonctionnement[Affectation matrice],$AB$3,Fonctionnement[TVA acquittée])+SUMIF(Invest[Affectation matrice],$AB$3,Invest[TVA acquittée]))*BM41</f>
        <v>0</v>
      </c>
      <c r="CO41" s="200">
        <f>(SUMIF(Fonctionnement[Affectation matrice],$AB$3,Fonctionnement[TVA acquittée])+SUMIF(Invest[Affectation matrice],$AB$3,Invest[TVA acquittée]))*BN41</f>
        <v>0</v>
      </c>
      <c r="CP41" s="200">
        <f>(SUMIF(Fonctionnement[Affectation matrice],$AB$3,Fonctionnement[TVA acquittée])+SUMIF(Invest[Affectation matrice],$AB$3,Invest[TVA acquittée]))*BO41</f>
        <v>0</v>
      </c>
      <c r="CQ41" s="200">
        <f>(SUMIF(Fonctionnement[Affectation matrice],$AB$3,Fonctionnement[TVA acquittée])+SUMIF(Invest[Affectation matrice],$AB$3,Invest[TVA acquittée]))*BP41</f>
        <v>0</v>
      </c>
      <c r="CR41" s="200">
        <f>(SUMIF(Fonctionnement[Affectation matrice],$AB$3,Fonctionnement[TVA acquittée])+SUMIF(Invest[Affectation matrice],$AB$3,Invest[TVA acquittée]))*BQ41</f>
        <v>0</v>
      </c>
      <c r="CS41" s="200">
        <f>(SUMIF(Fonctionnement[Affectation matrice],$AB$3,Fonctionnement[TVA acquittée])+SUMIF(Invest[Affectation matrice],$AB$3,Invest[TVA acquittée]))*BR41</f>
        <v>0</v>
      </c>
      <c r="CT41" s="200">
        <f>(SUMIF(Fonctionnement[Affectation matrice],$AB$3,Fonctionnement[TVA acquittée])+SUMIF(Invest[Affectation matrice],$AB$3,Invest[TVA acquittée]))*BS41</f>
        <v>0</v>
      </c>
      <c r="CU41" s="200">
        <f>(SUMIF(Fonctionnement[Affectation matrice],$AB$3,Fonctionnement[TVA acquittée])+SUMIF(Invest[Affectation matrice],$AB$3,Invest[TVA acquittée]))*BT41</f>
        <v>0</v>
      </c>
      <c r="CV41" s="200">
        <f>(SUMIF(Fonctionnement[Affectation matrice],$AB$3,Fonctionnement[TVA acquittée])+SUMIF(Invest[Affectation matrice],$AB$3,Invest[TVA acquittée]))*BU41</f>
        <v>0</v>
      </c>
      <c r="CW41" s="200">
        <f>(SUMIF(Fonctionnement[Affectation matrice],$AB$3,Fonctionnement[TVA acquittée])+SUMIF(Invest[Affectation matrice],$AB$3,Invest[TVA acquittée]))*BV41</f>
        <v>0</v>
      </c>
      <c r="CX41" s="200">
        <f>(SUMIF(Fonctionnement[Affectation matrice],$AB$3,Fonctionnement[TVA acquittée])+SUMIF(Invest[Affectation matrice],$AB$3,Invest[TVA acquittée]))*BW41</f>
        <v>0</v>
      </c>
      <c r="CY41" s="200">
        <f>(SUMIF(Fonctionnement[Affectation matrice],$AB$3,Fonctionnement[TVA acquittée])+SUMIF(Invest[Affectation matrice],$AB$3,Invest[TVA acquittée]))*BX41</f>
        <v>0</v>
      </c>
      <c r="CZ41" s="200">
        <f>(SUMIF(Fonctionnement[Affectation matrice],$AB$3,Fonctionnement[TVA acquittée])+SUMIF(Invest[Affectation matrice],$AB$3,Invest[TVA acquittée]))*BY41</f>
        <v>0</v>
      </c>
      <c r="DA41" s="200">
        <f>(SUMIF(Fonctionnement[Affectation matrice],$AB$3,Fonctionnement[TVA acquittée])+SUMIF(Invest[Affectation matrice],$AB$3,Invest[TVA acquittée]))*BZ41</f>
        <v>0</v>
      </c>
      <c r="DB41" s="200">
        <f>(SUMIF(Fonctionnement[Affectation matrice],$AB$3,Fonctionnement[TVA acquittée])+SUMIF(Invest[Affectation matrice],$AB$3,Invest[TVA acquittée]))*CA41</f>
        <v>0</v>
      </c>
    </row>
    <row r="42" spans="1:106" s="204" customFormat="1" hidden="1" x14ac:dyDescent="0.25">
      <c r="A42" s="186"/>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2"/>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row>
    <row r="43" spans="1:106" s="204" customFormat="1" ht="12.75" hidden="1" customHeight="1" x14ac:dyDescent="0.25">
      <c r="A43" s="186"/>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2"/>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row>
    <row r="44" spans="1:106" hidden="1" x14ac:dyDescent="0.25">
      <c r="A44" s="42" t="str">
        <f>Matrice[[#This Row],[Ligne de la matrice]]</f>
        <v>Exemple : REG incinération / énergie</v>
      </c>
      <c r="B44" s="198">
        <f>(SUMIF(Fonctionnement[Affectation matrice],$AB$3,Fonctionnement[Montant (€HT)])+SUMIF(Invest[Affectation matrice],$AB$3,Invest[Amortissement HT + intérêts]))*BC44</f>
        <v>0</v>
      </c>
      <c r="C44" s="198">
        <f>(SUMIF(Fonctionnement[Affectation matrice],$AB$3,Fonctionnement[Montant (€HT)])+SUMIF(Invest[Affectation matrice],$AB$3,Invest[Amortissement HT + intérêts]))*BD44</f>
        <v>0</v>
      </c>
      <c r="D44" s="198">
        <f>(SUMIF(Fonctionnement[Affectation matrice],$AB$3,Fonctionnement[Montant (€HT)])+SUMIF(Invest[Affectation matrice],$AB$3,Invest[Amortissement HT + intérêts]))*BE44</f>
        <v>0</v>
      </c>
      <c r="E44" s="198">
        <f>(SUMIF(Fonctionnement[Affectation matrice],$AB$3,Fonctionnement[Montant (€HT)])+SUMIF(Invest[Affectation matrice],$AB$3,Invest[Amortissement HT + intérêts]))*BF44</f>
        <v>0</v>
      </c>
      <c r="F44" s="198">
        <f>(SUMIF(Fonctionnement[Affectation matrice],$AB$3,Fonctionnement[Montant (€HT)])+SUMIF(Invest[Affectation matrice],$AB$3,Invest[Amortissement HT + intérêts]))*BG44</f>
        <v>0</v>
      </c>
      <c r="G44" s="198">
        <f>(SUMIF(Fonctionnement[Affectation matrice],$AB$3,Fonctionnement[Montant (€HT)])+SUMIF(Invest[Affectation matrice],$AB$3,Invest[Amortissement HT + intérêts]))*BH44</f>
        <v>0</v>
      </c>
      <c r="H44" s="198">
        <f>(SUMIF(Fonctionnement[Affectation matrice],$AB$3,Fonctionnement[Montant (€HT)])+SUMIF(Invest[Affectation matrice],$AB$3,Invest[Amortissement HT + intérêts]))*BI44</f>
        <v>0</v>
      </c>
      <c r="I44" s="198">
        <f>(SUMIF(Fonctionnement[Affectation matrice],$AB$3,Fonctionnement[Montant (€HT)])+SUMIF(Invest[Affectation matrice],$AB$3,Invest[Amortissement HT + intérêts]))*BJ44</f>
        <v>0</v>
      </c>
      <c r="J44" s="198">
        <f>(SUMIF(Fonctionnement[Affectation matrice],$AB$3,Fonctionnement[Montant (€HT)])+SUMIF(Invest[Affectation matrice],$AB$3,Invest[Amortissement HT + intérêts]))*BK44</f>
        <v>0</v>
      </c>
      <c r="K44" s="198">
        <f>(SUMIF(Fonctionnement[Affectation matrice],$AB$3,Fonctionnement[Montant (€HT)])+SUMIF(Invest[Affectation matrice],$AB$3,Invest[Amortissement HT + intérêts]))*BL44</f>
        <v>0</v>
      </c>
      <c r="L44" s="198">
        <f>(SUMIF(Fonctionnement[Affectation matrice],$AB$3,Fonctionnement[Montant (€HT)])+SUMIF(Invest[Affectation matrice],$AB$3,Invest[Amortissement HT + intérêts]))*BM44</f>
        <v>0</v>
      </c>
      <c r="M44" s="198">
        <f>(SUMIF(Fonctionnement[Affectation matrice],$AB$3,Fonctionnement[Montant (€HT)])+SUMIF(Invest[Affectation matrice],$AB$3,Invest[Amortissement HT + intérêts]))*BN44</f>
        <v>0</v>
      </c>
      <c r="N44" s="198">
        <f>(SUMIF(Fonctionnement[Affectation matrice],$AB$3,Fonctionnement[Montant (€HT)])+SUMIF(Invest[Affectation matrice],$AB$3,Invest[Amortissement HT + intérêts]))*BO44</f>
        <v>0</v>
      </c>
      <c r="O44" s="198">
        <f>(SUMIF(Fonctionnement[Affectation matrice],$AB$3,Fonctionnement[Montant (€HT)])+SUMIF(Invest[Affectation matrice],$AB$3,Invest[Amortissement HT + intérêts]))*BP44</f>
        <v>0</v>
      </c>
      <c r="P44" s="198">
        <f>(SUMIF(Fonctionnement[Affectation matrice],$AB$3,Fonctionnement[Montant (€HT)])+SUMIF(Invest[Affectation matrice],$AB$3,Invest[Amortissement HT + intérêts]))*BQ44</f>
        <v>0</v>
      </c>
      <c r="Q44" s="198">
        <f>(SUMIF(Fonctionnement[Affectation matrice],$AB$3,Fonctionnement[Montant (€HT)])+SUMIF(Invest[Affectation matrice],$AB$3,Invest[Amortissement HT + intérêts]))*BR44</f>
        <v>0</v>
      </c>
      <c r="R44" s="198">
        <f>(SUMIF(Fonctionnement[Affectation matrice],$AB$3,Fonctionnement[Montant (€HT)])+SUMIF(Invest[Affectation matrice],$AB$3,Invest[Amortissement HT + intérêts]))*BS44</f>
        <v>0</v>
      </c>
      <c r="S44" s="198">
        <f>(SUMIF(Fonctionnement[Affectation matrice],$AB$3,Fonctionnement[Montant (€HT)])+SUMIF(Invest[Affectation matrice],$AB$3,Invest[Amortissement HT + intérêts]))*BT44</f>
        <v>0</v>
      </c>
      <c r="T44" s="198">
        <f>(SUMIF(Fonctionnement[Affectation matrice],$AB$3,Fonctionnement[Montant (€HT)])+SUMIF(Invest[Affectation matrice],$AB$3,Invest[Amortissement HT + intérêts]))*BU44</f>
        <v>0</v>
      </c>
      <c r="U44" s="198">
        <f>(SUMIF(Fonctionnement[Affectation matrice],$AB$3,Fonctionnement[Montant (€HT)])+SUMIF(Invest[Affectation matrice],$AB$3,Invest[Amortissement HT + intérêts]))*BV44</f>
        <v>0</v>
      </c>
      <c r="V44" s="198">
        <f>(SUMIF(Fonctionnement[Affectation matrice],$AB$3,Fonctionnement[Montant (€HT)])+SUMIF(Invest[Affectation matrice],$AB$3,Invest[Amortissement HT + intérêts]))*BW44</f>
        <v>0</v>
      </c>
      <c r="W44" s="198">
        <f>(SUMIF(Fonctionnement[Affectation matrice],$AB$3,Fonctionnement[Montant (€HT)])+SUMIF(Invest[Affectation matrice],$AB$3,Invest[Amortissement HT + intérêts]))*BX44</f>
        <v>0</v>
      </c>
      <c r="X44" s="198">
        <f>(SUMIF(Fonctionnement[Affectation matrice],$AB$3,Fonctionnement[Montant (€HT)])+SUMIF(Invest[Affectation matrice],$AB$3,Invest[Amortissement HT + intérêts]))*BY44</f>
        <v>0</v>
      </c>
      <c r="Y44" s="198">
        <f>(SUMIF(Fonctionnement[Affectation matrice],$AB$3,Fonctionnement[Montant (€HT)])+SUMIF(Invest[Affectation matrice],$AB$3,Invest[Amortissement HT + intérêts]))*BZ44</f>
        <v>0</v>
      </c>
      <c r="Z44" s="198">
        <f>(SUMIF(Fonctionnement[Affectation matrice],$AB$3,Fonctionnement[Montant (€HT)])+SUMIF(Invest[Affectation matrice],$AB$3,Invest[Amortissement HT + intérêts]))*CA44</f>
        <v>0</v>
      </c>
      <c r="AA44" s="199"/>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283">
        <f t="shared" si="4"/>
        <v>0</v>
      </c>
      <c r="BC44" s="61">
        <f t="shared" ref="BC44:BR52" si="12">IF($BA$53=0,0,AB44/$BA$53)</f>
        <v>0</v>
      </c>
      <c r="BD44" s="61">
        <f t="shared" si="12"/>
        <v>0</v>
      </c>
      <c r="BE44" s="61">
        <f t="shared" si="12"/>
        <v>0</v>
      </c>
      <c r="BF44" s="61">
        <f t="shared" si="12"/>
        <v>0</v>
      </c>
      <c r="BG44" s="61">
        <f t="shared" si="12"/>
        <v>0</v>
      </c>
      <c r="BH44" s="61">
        <f t="shared" si="12"/>
        <v>0</v>
      </c>
      <c r="BI44" s="61">
        <f t="shared" si="12"/>
        <v>0</v>
      </c>
      <c r="BJ44" s="61">
        <f t="shared" si="12"/>
        <v>0</v>
      </c>
      <c r="BK44" s="61">
        <f t="shared" si="12"/>
        <v>0</v>
      </c>
      <c r="BL44" s="61">
        <f t="shared" si="12"/>
        <v>0</v>
      </c>
      <c r="BM44" s="61">
        <f t="shared" si="12"/>
        <v>0</v>
      </c>
      <c r="BN44" s="61">
        <f t="shared" si="12"/>
        <v>0</v>
      </c>
      <c r="BO44" s="61">
        <f t="shared" si="12"/>
        <v>0</v>
      </c>
      <c r="BP44" s="61">
        <f t="shared" si="12"/>
        <v>0</v>
      </c>
      <c r="BQ44" s="61">
        <f t="shared" si="12"/>
        <v>0</v>
      </c>
      <c r="BR44" s="61">
        <f t="shared" si="12"/>
        <v>0</v>
      </c>
      <c r="BS44" s="61">
        <f t="shared" ref="BS44:CA52" si="13">IF($BA$53=0,0,AR44/$BA$53)</f>
        <v>0</v>
      </c>
      <c r="BT44" s="61">
        <f t="shared" si="13"/>
        <v>0</v>
      </c>
      <c r="BU44" s="61">
        <f t="shared" si="13"/>
        <v>0</v>
      </c>
      <c r="BV44" s="61">
        <f t="shared" si="13"/>
        <v>0</v>
      </c>
      <c r="BW44" s="61">
        <f t="shared" si="13"/>
        <v>0</v>
      </c>
      <c r="BX44" s="61">
        <f t="shared" si="13"/>
        <v>0</v>
      </c>
      <c r="BY44" s="61">
        <f t="shared" si="13"/>
        <v>0</v>
      </c>
      <c r="BZ44" s="61">
        <f t="shared" si="13"/>
        <v>0</v>
      </c>
      <c r="CA44" s="61">
        <f t="shared" si="13"/>
        <v>0</v>
      </c>
      <c r="CB44" s="61">
        <f t="shared" si="5"/>
        <v>0</v>
      </c>
      <c r="CD44" s="200">
        <f>(SUMIF(Fonctionnement[Affectation matrice],$AB$3,Fonctionnement[TVA acquittée])+SUMIF(Invest[Affectation matrice],$AB$3,Invest[TVA acquittée]))*BC44</f>
        <v>0</v>
      </c>
      <c r="CE44" s="200">
        <f>(SUMIF(Fonctionnement[Affectation matrice],$AB$3,Fonctionnement[TVA acquittée])+SUMIF(Invest[Affectation matrice],$AB$3,Invest[TVA acquittée]))*BD44</f>
        <v>0</v>
      </c>
      <c r="CF44" s="200">
        <f>(SUMIF(Fonctionnement[Affectation matrice],$AB$3,Fonctionnement[TVA acquittée])+SUMIF(Invest[Affectation matrice],$AB$3,Invest[TVA acquittée]))*BE44</f>
        <v>0</v>
      </c>
      <c r="CG44" s="200">
        <f>(SUMIF(Fonctionnement[Affectation matrice],$AB$3,Fonctionnement[TVA acquittée])+SUMIF(Invest[Affectation matrice],$AB$3,Invest[TVA acquittée]))*BF44</f>
        <v>0</v>
      </c>
      <c r="CH44" s="200">
        <f>(SUMIF(Fonctionnement[Affectation matrice],$AB$3,Fonctionnement[TVA acquittée])+SUMIF(Invest[Affectation matrice],$AB$3,Invest[TVA acquittée]))*BG44</f>
        <v>0</v>
      </c>
      <c r="CI44" s="200">
        <f>(SUMIF(Fonctionnement[Affectation matrice],$AB$3,Fonctionnement[TVA acquittée])+SUMIF(Invest[Affectation matrice],$AB$3,Invest[TVA acquittée]))*BH44</f>
        <v>0</v>
      </c>
      <c r="CJ44" s="200">
        <f>(SUMIF(Fonctionnement[Affectation matrice],$AB$3,Fonctionnement[TVA acquittée])+SUMIF(Invest[Affectation matrice],$AB$3,Invest[TVA acquittée]))*BI44</f>
        <v>0</v>
      </c>
      <c r="CK44" s="200">
        <f>(SUMIF(Fonctionnement[Affectation matrice],$AB$3,Fonctionnement[TVA acquittée])+SUMIF(Invest[Affectation matrice],$AB$3,Invest[TVA acquittée]))*BJ44</f>
        <v>0</v>
      </c>
      <c r="CL44" s="200">
        <f>(SUMIF(Fonctionnement[Affectation matrice],$AB$3,Fonctionnement[TVA acquittée])+SUMIF(Invest[Affectation matrice],$AB$3,Invest[TVA acquittée]))*BK44</f>
        <v>0</v>
      </c>
      <c r="CM44" s="200">
        <f>(SUMIF(Fonctionnement[Affectation matrice],$AB$3,Fonctionnement[TVA acquittée])+SUMIF(Invest[Affectation matrice],$AB$3,Invest[TVA acquittée]))*BL44</f>
        <v>0</v>
      </c>
      <c r="CN44" s="200">
        <f>(SUMIF(Fonctionnement[Affectation matrice],$AB$3,Fonctionnement[TVA acquittée])+SUMIF(Invest[Affectation matrice],$AB$3,Invest[TVA acquittée]))*BM44</f>
        <v>0</v>
      </c>
      <c r="CO44" s="200">
        <f>(SUMIF(Fonctionnement[Affectation matrice],$AB$3,Fonctionnement[TVA acquittée])+SUMIF(Invest[Affectation matrice],$AB$3,Invest[TVA acquittée]))*BN44</f>
        <v>0</v>
      </c>
      <c r="CP44" s="200">
        <f>(SUMIF(Fonctionnement[Affectation matrice],$AB$3,Fonctionnement[TVA acquittée])+SUMIF(Invest[Affectation matrice],$AB$3,Invest[TVA acquittée]))*BO44</f>
        <v>0</v>
      </c>
      <c r="CQ44" s="200">
        <f>(SUMIF(Fonctionnement[Affectation matrice],$AB$3,Fonctionnement[TVA acquittée])+SUMIF(Invest[Affectation matrice],$AB$3,Invest[TVA acquittée]))*BP44</f>
        <v>0</v>
      </c>
      <c r="CR44" s="200">
        <f>(SUMIF(Fonctionnement[Affectation matrice],$AB$3,Fonctionnement[TVA acquittée])+SUMIF(Invest[Affectation matrice],$AB$3,Invest[TVA acquittée]))*BQ44</f>
        <v>0</v>
      </c>
      <c r="CS44" s="200">
        <f>(SUMIF(Fonctionnement[Affectation matrice],$AB$3,Fonctionnement[TVA acquittée])+SUMIF(Invest[Affectation matrice],$AB$3,Invest[TVA acquittée]))*BR44</f>
        <v>0</v>
      </c>
      <c r="CT44" s="200">
        <f>(SUMIF(Fonctionnement[Affectation matrice],$AB$3,Fonctionnement[TVA acquittée])+SUMIF(Invest[Affectation matrice],$AB$3,Invest[TVA acquittée]))*BS44</f>
        <v>0</v>
      </c>
      <c r="CU44" s="200">
        <f>(SUMIF(Fonctionnement[Affectation matrice],$AB$3,Fonctionnement[TVA acquittée])+SUMIF(Invest[Affectation matrice],$AB$3,Invest[TVA acquittée]))*BT44</f>
        <v>0</v>
      </c>
      <c r="CV44" s="200">
        <f>(SUMIF(Fonctionnement[Affectation matrice],$AB$3,Fonctionnement[TVA acquittée])+SUMIF(Invest[Affectation matrice],$AB$3,Invest[TVA acquittée]))*BU44</f>
        <v>0</v>
      </c>
      <c r="CW44" s="200">
        <f>(SUMIF(Fonctionnement[Affectation matrice],$AB$3,Fonctionnement[TVA acquittée])+SUMIF(Invest[Affectation matrice],$AB$3,Invest[TVA acquittée]))*BV44</f>
        <v>0</v>
      </c>
      <c r="CX44" s="200">
        <f>(SUMIF(Fonctionnement[Affectation matrice],$AB$3,Fonctionnement[TVA acquittée])+SUMIF(Invest[Affectation matrice],$AB$3,Invest[TVA acquittée]))*BW44</f>
        <v>0</v>
      </c>
      <c r="CY44" s="200">
        <f>(SUMIF(Fonctionnement[Affectation matrice],$AB$3,Fonctionnement[TVA acquittée])+SUMIF(Invest[Affectation matrice],$AB$3,Invest[TVA acquittée]))*BX44</f>
        <v>0</v>
      </c>
      <c r="CZ44" s="200">
        <f>(SUMIF(Fonctionnement[Affectation matrice],$AB$3,Fonctionnement[TVA acquittée])+SUMIF(Invest[Affectation matrice],$AB$3,Invest[TVA acquittée]))*BY44</f>
        <v>0</v>
      </c>
      <c r="DA44" s="200">
        <f>(SUMIF(Fonctionnement[Affectation matrice],$AB$3,Fonctionnement[TVA acquittée])+SUMIF(Invest[Affectation matrice],$AB$3,Invest[TVA acquittée]))*BZ44</f>
        <v>0</v>
      </c>
      <c r="DB44" s="200">
        <f>(SUMIF(Fonctionnement[Affectation matrice],$AB$3,Fonctionnement[TVA acquittée])+SUMIF(Invest[Affectation matrice],$AB$3,Invest[TVA acquittée]))*CA44</f>
        <v>0</v>
      </c>
    </row>
    <row r="45" spans="1:106" hidden="1" x14ac:dyDescent="0.25">
      <c r="A45" s="42">
        <f>Matrice[[#This Row],[Ligne de la matrice]]</f>
        <v>0</v>
      </c>
      <c r="B45" s="198">
        <f>(SUMIF(Fonctionnement[Affectation matrice],$AB$3,Fonctionnement[Montant (€HT)])+SUMIF(Invest[Affectation matrice],$AB$3,Invest[Amortissement HT + intérêts]))*BC45</f>
        <v>0</v>
      </c>
      <c r="C45" s="198">
        <f>(SUMIF(Fonctionnement[Affectation matrice],$AB$3,Fonctionnement[Montant (€HT)])+SUMIF(Invest[Affectation matrice],$AB$3,Invest[Amortissement HT + intérêts]))*BD45</f>
        <v>0</v>
      </c>
      <c r="D45" s="198">
        <f>(SUMIF(Fonctionnement[Affectation matrice],$AB$3,Fonctionnement[Montant (€HT)])+SUMIF(Invest[Affectation matrice],$AB$3,Invest[Amortissement HT + intérêts]))*BE45</f>
        <v>0</v>
      </c>
      <c r="E45" s="198">
        <f>(SUMIF(Fonctionnement[Affectation matrice],$AB$3,Fonctionnement[Montant (€HT)])+SUMIF(Invest[Affectation matrice],$AB$3,Invest[Amortissement HT + intérêts]))*BF45</f>
        <v>0</v>
      </c>
      <c r="F45" s="198">
        <f>(SUMIF(Fonctionnement[Affectation matrice],$AB$3,Fonctionnement[Montant (€HT)])+SUMIF(Invest[Affectation matrice],$AB$3,Invest[Amortissement HT + intérêts]))*BG45</f>
        <v>0</v>
      </c>
      <c r="G45" s="198">
        <f>(SUMIF(Fonctionnement[Affectation matrice],$AB$3,Fonctionnement[Montant (€HT)])+SUMIF(Invest[Affectation matrice],$AB$3,Invest[Amortissement HT + intérêts]))*BH45</f>
        <v>0</v>
      </c>
      <c r="H45" s="198">
        <f>(SUMIF(Fonctionnement[Affectation matrice],$AB$3,Fonctionnement[Montant (€HT)])+SUMIF(Invest[Affectation matrice],$AB$3,Invest[Amortissement HT + intérêts]))*BI45</f>
        <v>0</v>
      </c>
      <c r="I45" s="198">
        <f>(SUMIF(Fonctionnement[Affectation matrice],$AB$3,Fonctionnement[Montant (€HT)])+SUMIF(Invest[Affectation matrice],$AB$3,Invest[Amortissement HT + intérêts]))*BJ45</f>
        <v>0</v>
      </c>
      <c r="J45" s="198">
        <f>(SUMIF(Fonctionnement[Affectation matrice],$AB$3,Fonctionnement[Montant (€HT)])+SUMIF(Invest[Affectation matrice],$AB$3,Invest[Amortissement HT + intérêts]))*BK45</f>
        <v>0</v>
      </c>
      <c r="K45" s="198">
        <f>(SUMIF(Fonctionnement[Affectation matrice],$AB$3,Fonctionnement[Montant (€HT)])+SUMIF(Invest[Affectation matrice],$AB$3,Invest[Amortissement HT + intérêts]))*BL45</f>
        <v>0</v>
      </c>
      <c r="L45" s="198">
        <f>(SUMIF(Fonctionnement[Affectation matrice],$AB$3,Fonctionnement[Montant (€HT)])+SUMIF(Invest[Affectation matrice],$AB$3,Invest[Amortissement HT + intérêts]))*BM45</f>
        <v>0</v>
      </c>
      <c r="M45" s="198">
        <f>(SUMIF(Fonctionnement[Affectation matrice],$AB$3,Fonctionnement[Montant (€HT)])+SUMIF(Invest[Affectation matrice],$AB$3,Invest[Amortissement HT + intérêts]))*BN45</f>
        <v>0</v>
      </c>
      <c r="N45" s="198">
        <f>(SUMIF(Fonctionnement[Affectation matrice],$AB$3,Fonctionnement[Montant (€HT)])+SUMIF(Invest[Affectation matrice],$AB$3,Invest[Amortissement HT + intérêts]))*BO45</f>
        <v>0</v>
      </c>
      <c r="O45" s="198">
        <f>(SUMIF(Fonctionnement[Affectation matrice],$AB$3,Fonctionnement[Montant (€HT)])+SUMIF(Invest[Affectation matrice],$AB$3,Invest[Amortissement HT + intérêts]))*BP45</f>
        <v>0</v>
      </c>
      <c r="P45" s="198">
        <f>(SUMIF(Fonctionnement[Affectation matrice],$AB$3,Fonctionnement[Montant (€HT)])+SUMIF(Invest[Affectation matrice],$AB$3,Invest[Amortissement HT + intérêts]))*BQ45</f>
        <v>0</v>
      </c>
      <c r="Q45" s="198">
        <f>(SUMIF(Fonctionnement[Affectation matrice],$AB$3,Fonctionnement[Montant (€HT)])+SUMIF(Invest[Affectation matrice],$AB$3,Invest[Amortissement HT + intérêts]))*BR45</f>
        <v>0</v>
      </c>
      <c r="R45" s="198">
        <f>(SUMIF(Fonctionnement[Affectation matrice],$AB$3,Fonctionnement[Montant (€HT)])+SUMIF(Invest[Affectation matrice],$AB$3,Invest[Amortissement HT + intérêts]))*BS45</f>
        <v>0</v>
      </c>
      <c r="S45" s="198">
        <f>(SUMIF(Fonctionnement[Affectation matrice],$AB$3,Fonctionnement[Montant (€HT)])+SUMIF(Invest[Affectation matrice],$AB$3,Invest[Amortissement HT + intérêts]))*BT45</f>
        <v>0</v>
      </c>
      <c r="T45" s="198">
        <f>(SUMIF(Fonctionnement[Affectation matrice],$AB$3,Fonctionnement[Montant (€HT)])+SUMIF(Invest[Affectation matrice],$AB$3,Invest[Amortissement HT + intérêts]))*BU45</f>
        <v>0</v>
      </c>
      <c r="U45" s="198">
        <f>(SUMIF(Fonctionnement[Affectation matrice],$AB$3,Fonctionnement[Montant (€HT)])+SUMIF(Invest[Affectation matrice],$AB$3,Invest[Amortissement HT + intérêts]))*BV45</f>
        <v>0</v>
      </c>
      <c r="V45" s="198">
        <f>(SUMIF(Fonctionnement[Affectation matrice],$AB$3,Fonctionnement[Montant (€HT)])+SUMIF(Invest[Affectation matrice],$AB$3,Invest[Amortissement HT + intérêts]))*BW45</f>
        <v>0</v>
      </c>
      <c r="W45" s="198">
        <f>(SUMIF(Fonctionnement[Affectation matrice],$AB$3,Fonctionnement[Montant (€HT)])+SUMIF(Invest[Affectation matrice],$AB$3,Invest[Amortissement HT + intérêts]))*BX45</f>
        <v>0</v>
      </c>
      <c r="X45" s="198">
        <f>(SUMIF(Fonctionnement[Affectation matrice],$AB$3,Fonctionnement[Montant (€HT)])+SUMIF(Invest[Affectation matrice],$AB$3,Invest[Amortissement HT + intérêts]))*BY45</f>
        <v>0</v>
      </c>
      <c r="Y45" s="198">
        <f>(SUMIF(Fonctionnement[Affectation matrice],$AB$3,Fonctionnement[Montant (€HT)])+SUMIF(Invest[Affectation matrice],$AB$3,Invest[Amortissement HT + intérêts]))*BZ45</f>
        <v>0</v>
      </c>
      <c r="Z45" s="198">
        <f>(SUMIF(Fonctionnement[Affectation matrice],$AB$3,Fonctionnement[Montant (€HT)])+SUMIF(Invest[Affectation matrice],$AB$3,Invest[Amortissement HT + intérêts]))*CA45</f>
        <v>0</v>
      </c>
      <c r="AA45" s="199"/>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283">
        <f t="shared" si="4"/>
        <v>0</v>
      </c>
      <c r="BC45" s="61">
        <f t="shared" si="12"/>
        <v>0</v>
      </c>
      <c r="BD45" s="61">
        <f t="shared" si="12"/>
        <v>0</v>
      </c>
      <c r="BE45" s="61">
        <f t="shared" si="12"/>
        <v>0</v>
      </c>
      <c r="BF45" s="61">
        <f t="shared" si="12"/>
        <v>0</v>
      </c>
      <c r="BG45" s="61">
        <f t="shared" si="12"/>
        <v>0</v>
      </c>
      <c r="BH45" s="61">
        <f t="shared" si="12"/>
        <v>0</v>
      </c>
      <c r="BI45" s="61">
        <f t="shared" si="12"/>
        <v>0</v>
      </c>
      <c r="BJ45" s="61">
        <f t="shared" si="12"/>
        <v>0</v>
      </c>
      <c r="BK45" s="61">
        <f t="shared" si="12"/>
        <v>0</v>
      </c>
      <c r="BL45" s="61">
        <f t="shared" si="12"/>
        <v>0</v>
      </c>
      <c r="BM45" s="61">
        <f t="shared" si="12"/>
        <v>0</v>
      </c>
      <c r="BN45" s="61">
        <f t="shared" si="12"/>
        <v>0</v>
      </c>
      <c r="BO45" s="61">
        <f t="shared" si="12"/>
        <v>0</v>
      </c>
      <c r="BP45" s="61">
        <f t="shared" si="12"/>
        <v>0</v>
      </c>
      <c r="BQ45" s="61">
        <f t="shared" si="12"/>
        <v>0</v>
      </c>
      <c r="BR45" s="61">
        <f t="shared" si="12"/>
        <v>0</v>
      </c>
      <c r="BS45" s="61">
        <f t="shared" si="13"/>
        <v>0</v>
      </c>
      <c r="BT45" s="61">
        <f t="shared" si="13"/>
        <v>0</v>
      </c>
      <c r="BU45" s="61">
        <f t="shared" si="13"/>
        <v>0</v>
      </c>
      <c r="BV45" s="61">
        <f t="shared" si="13"/>
        <v>0</v>
      </c>
      <c r="BW45" s="61">
        <f t="shared" si="13"/>
        <v>0</v>
      </c>
      <c r="BX45" s="61">
        <f t="shared" si="13"/>
        <v>0</v>
      </c>
      <c r="BY45" s="61">
        <f t="shared" si="13"/>
        <v>0</v>
      </c>
      <c r="BZ45" s="61">
        <f t="shared" si="13"/>
        <v>0</v>
      </c>
      <c r="CA45" s="61">
        <f t="shared" si="13"/>
        <v>0</v>
      </c>
      <c r="CB45" s="61">
        <f t="shared" si="5"/>
        <v>0</v>
      </c>
      <c r="CD45" s="200">
        <f>(SUMIF(Fonctionnement[Affectation matrice],$AB$3,Fonctionnement[TVA acquittée])+SUMIF(Invest[Affectation matrice],$AB$3,Invest[TVA acquittée]))*BC45</f>
        <v>0</v>
      </c>
      <c r="CE45" s="200">
        <f>(SUMIF(Fonctionnement[Affectation matrice],$AB$3,Fonctionnement[TVA acquittée])+SUMIF(Invest[Affectation matrice],$AB$3,Invest[TVA acquittée]))*BD45</f>
        <v>0</v>
      </c>
      <c r="CF45" s="200">
        <f>(SUMIF(Fonctionnement[Affectation matrice],$AB$3,Fonctionnement[TVA acquittée])+SUMIF(Invest[Affectation matrice],$AB$3,Invest[TVA acquittée]))*BE45</f>
        <v>0</v>
      </c>
      <c r="CG45" s="200">
        <f>(SUMIF(Fonctionnement[Affectation matrice],$AB$3,Fonctionnement[TVA acquittée])+SUMIF(Invest[Affectation matrice],$AB$3,Invest[TVA acquittée]))*BF45</f>
        <v>0</v>
      </c>
      <c r="CH45" s="200">
        <f>(SUMIF(Fonctionnement[Affectation matrice],$AB$3,Fonctionnement[TVA acquittée])+SUMIF(Invest[Affectation matrice],$AB$3,Invest[TVA acquittée]))*BG45</f>
        <v>0</v>
      </c>
      <c r="CI45" s="200">
        <f>(SUMIF(Fonctionnement[Affectation matrice],$AB$3,Fonctionnement[TVA acquittée])+SUMIF(Invest[Affectation matrice],$AB$3,Invest[TVA acquittée]))*BH45</f>
        <v>0</v>
      </c>
      <c r="CJ45" s="200">
        <f>(SUMIF(Fonctionnement[Affectation matrice],$AB$3,Fonctionnement[TVA acquittée])+SUMIF(Invest[Affectation matrice],$AB$3,Invest[TVA acquittée]))*BI45</f>
        <v>0</v>
      </c>
      <c r="CK45" s="200">
        <f>(SUMIF(Fonctionnement[Affectation matrice],$AB$3,Fonctionnement[TVA acquittée])+SUMIF(Invest[Affectation matrice],$AB$3,Invest[TVA acquittée]))*BJ45</f>
        <v>0</v>
      </c>
      <c r="CL45" s="200">
        <f>(SUMIF(Fonctionnement[Affectation matrice],$AB$3,Fonctionnement[TVA acquittée])+SUMIF(Invest[Affectation matrice],$AB$3,Invest[TVA acquittée]))*BK45</f>
        <v>0</v>
      </c>
      <c r="CM45" s="200">
        <f>(SUMIF(Fonctionnement[Affectation matrice],$AB$3,Fonctionnement[TVA acquittée])+SUMIF(Invest[Affectation matrice],$AB$3,Invest[TVA acquittée]))*BL45</f>
        <v>0</v>
      </c>
      <c r="CN45" s="200">
        <f>(SUMIF(Fonctionnement[Affectation matrice],$AB$3,Fonctionnement[TVA acquittée])+SUMIF(Invest[Affectation matrice],$AB$3,Invest[TVA acquittée]))*BM45</f>
        <v>0</v>
      </c>
      <c r="CO45" s="200">
        <f>(SUMIF(Fonctionnement[Affectation matrice],$AB$3,Fonctionnement[TVA acquittée])+SUMIF(Invest[Affectation matrice],$AB$3,Invest[TVA acquittée]))*BN45</f>
        <v>0</v>
      </c>
      <c r="CP45" s="200">
        <f>(SUMIF(Fonctionnement[Affectation matrice],$AB$3,Fonctionnement[TVA acquittée])+SUMIF(Invest[Affectation matrice],$AB$3,Invest[TVA acquittée]))*BO45</f>
        <v>0</v>
      </c>
      <c r="CQ45" s="200">
        <f>(SUMIF(Fonctionnement[Affectation matrice],$AB$3,Fonctionnement[TVA acquittée])+SUMIF(Invest[Affectation matrice],$AB$3,Invest[TVA acquittée]))*BP45</f>
        <v>0</v>
      </c>
      <c r="CR45" s="200">
        <f>(SUMIF(Fonctionnement[Affectation matrice],$AB$3,Fonctionnement[TVA acquittée])+SUMIF(Invest[Affectation matrice],$AB$3,Invest[TVA acquittée]))*BQ45</f>
        <v>0</v>
      </c>
      <c r="CS45" s="200">
        <f>(SUMIF(Fonctionnement[Affectation matrice],$AB$3,Fonctionnement[TVA acquittée])+SUMIF(Invest[Affectation matrice],$AB$3,Invest[TVA acquittée]))*BR45</f>
        <v>0</v>
      </c>
      <c r="CT45" s="200">
        <f>(SUMIF(Fonctionnement[Affectation matrice],$AB$3,Fonctionnement[TVA acquittée])+SUMIF(Invest[Affectation matrice],$AB$3,Invest[TVA acquittée]))*BS45</f>
        <v>0</v>
      </c>
      <c r="CU45" s="200">
        <f>(SUMIF(Fonctionnement[Affectation matrice],$AB$3,Fonctionnement[TVA acquittée])+SUMIF(Invest[Affectation matrice],$AB$3,Invest[TVA acquittée]))*BT45</f>
        <v>0</v>
      </c>
      <c r="CV45" s="200">
        <f>(SUMIF(Fonctionnement[Affectation matrice],$AB$3,Fonctionnement[TVA acquittée])+SUMIF(Invest[Affectation matrice],$AB$3,Invest[TVA acquittée]))*BU45</f>
        <v>0</v>
      </c>
      <c r="CW45" s="200">
        <f>(SUMIF(Fonctionnement[Affectation matrice],$AB$3,Fonctionnement[TVA acquittée])+SUMIF(Invest[Affectation matrice],$AB$3,Invest[TVA acquittée]))*BV45</f>
        <v>0</v>
      </c>
      <c r="CX45" s="200">
        <f>(SUMIF(Fonctionnement[Affectation matrice],$AB$3,Fonctionnement[TVA acquittée])+SUMIF(Invest[Affectation matrice],$AB$3,Invest[TVA acquittée]))*BW45</f>
        <v>0</v>
      </c>
      <c r="CY45" s="200">
        <f>(SUMIF(Fonctionnement[Affectation matrice],$AB$3,Fonctionnement[TVA acquittée])+SUMIF(Invest[Affectation matrice],$AB$3,Invest[TVA acquittée]))*BX45</f>
        <v>0</v>
      </c>
      <c r="CZ45" s="200">
        <f>(SUMIF(Fonctionnement[Affectation matrice],$AB$3,Fonctionnement[TVA acquittée])+SUMIF(Invest[Affectation matrice],$AB$3,Invest[TVA acquittée]))*BY45</f>
        <v>0</v>
      </c>
      <c r="DA45" s="200">
        <f>(SUMIF(Fonctionnement[Affectation matrice],$AB$3,Fonctionnement[TVA acquittée])+SUMIF(Invest[Affectation matrice],$AB$3,Invest[TVA acquittée]))*BZ45</f>
        <v>0</v>
      </c>
      <c r="DB45" s="200">
        <f>(SUMIF(Fonctionnement[Affectation matrice],$AB$3,Fonctionnement[TVA acquittée])+SUMIF(Invest[Affectation matrice],$AB$3,Invest[TVA acquittée]))*CA45</f>
        <v>0</v>
      </c>
    </row>
    <row r="46" spans="1:106" ht="12.75" hidden="1" customHeight="1" x14ac:dyDescent="0.25">
      <c r="A46" s="42">
        <f>Matrice[[#This Row],[Ligne de la matrice]]</f>
        <v>0</v>
      </c>
      <c r="B46" s="198">
        <f>(SUMIF(Fonctionnement[Affectation matrice],$AB$3,Fonctionnement[Montant (€HT)])+SUMIF(Invest[Affectation matrice],$AB$3,Invest[Amortissement HT + intérêts]))*BC46</f>
        <v>0</v>
      </c>
      <c r="C46" s="198">
        <f>(SUMIF(Fonctionnement[Affectation matrice],$AB$3,Fonctionnement[Montant (€HT)])+SUMIF(Invest[Affectation matrice],$AB$3,Invest[Amortissement HT + intérêts]))*BD46</f>
        <v>0</v>
      </c>
      <c r="D46" s="198">
        <f>(SUMIF(Fonctionnement[Affectation matrice],$AB$3,Fonctionnement[Montant (€HT)])+SUMIF(Invest[Affectation matrice],$AB$3,Invest[Amortissement HT + intérêts]))*BE46</f>
        <v>0</v>
      </c>
      <c r="E46" s="198">
        <f>(SUMIF(Fonctionnement[Affectation matrice],$AB$3,Fonctionnement[Montant (€HT)])+SUMIF(Invest[Affectation matrice],$AB$3,Invest[Amortissement HT + intérêts]))*BF46</f>
        <v>0</v>
      </c>
      <c r="F46" s="198">
        <f>(SUMIF(Fonctionnement[Affectation matrice],$AB$3,Fonctionnement[Montant (€HT)])+SUMIF(Invest[Affectation matrice],$AB$3,Invest[Amortissement HT + intérêts]))*BG46</f>
        <v>0</v>
      </c>
      <c r="G46" s="198">
        <f>(SUMIF(Fonctionnement[Affectation matrice],$AB$3,Fonctionnement[Montant (€HT)])+SUMIF(Invest[Affectation matrice],$AB$3,Invest[Amortissement HT + intérêts]))*BH46</f>
        <v>0</v>
      </c>
      <c r="H46" s="198">
        <f>(SUMIF(Fonctionnement[Affectation matrice],$AB$3,Fonctionnement[Montant (€HT)])+SUMIF(Invest[Affectation matrice],$AB$3,Invest[Amortissement HT + intérêts]))*BI46</f>
        <v>0</v>
      </c>
      <c r="I46" s="198">
        <f>(SUMIF(Fonctionnement[Affectation matrice],$AB$3,Fonctionnement[Montant (€HT)])+SUMIF(Invest[Affectation matrice],$AB$3,Invest[Amortissement HT + intérêts]))*BJ46</f>
        <v>0</v>
      </c>
      <c r="J46" s="198">
        <f>(SUMIF(Fonctionnement[Affectation matrice],$AB$3,Fonctionnement[Montant (€HT)])+SUMIF(Invest[Affectation matrice],$AB$3,Invest[Amortissement HT + intérêts]))*BK46</f>
        <v>0</v>
      </c>
      <c r="K46" s="198">
        <f>(SUMIF(Fonctionnement[Affectation matrice],$AB$3,Fonctionnement[Montant (€HT)])+SUMIF(Invest[Affectation matrice],$AB$3,Invest[Amortissement HT + intérêts]))*BL46</f>
        <v>0</v>
      </c>
      <c r="L46" s="198">
        <f>(SUMIF(Fonctionnement[Affectation matrice],$AB$3,Fonctionnement[Montant (€HT)])+SUMIF(Invest[Affectation matrice],$AB$3,Invest[Amortissement HT + intérêts]))*BM46</f>
        <v>0</v>
      </c>
      <c r="M46" s="198">
        <f>(SUMIF(Fonctionnement[Affectation matrice],$AB$3,Fonctionnement[Montant (€HT)])+SUMIF(Invest[Affectation matrice],$AB$3,Invest[Amortissement HT + intérêts]))*BN46</f>
        <v>0</v>
      </c>
      <c r="N46" s="198">
        <f>(SUMIF(Fonctionnement[Affectation matrice],$AB$3,Fonctionnement[Montant (€HT)])+SUMIF(Invest[Affectation matrice],$AB$3,Invest[Amortissement HT + intérêts]))*BO46</f>
        <v>0</v>
      </c>
      <c r="O46" s="198">
        <f>(SUMIF(Fonctionnement[Affectation matrice],$AB$3,Fonctionnement[Montant (€HT)])+SUMIF(Invest[Affectation matrice],$AB$3,Invest[Amortissement HT + intérêts]))*BP46</f>
        <v>0</v>
      </c>
      <c r="P46" s="198">
        <f>(SUMIF(Fonctionnement[Affectation matrice],$AB$3,Fonctionnement[Montant (€HT)])+SUMIF(Invest[Affectation matrice],$AB$3,Invest[Amortissement HT + intérêts]))*BQ46</f>
        <v>0</v>
      </c>
      <c r="Q46" s="198">
        <f>(SUMIF(Fonctionnement[Affectation matrice],$AB$3,Fonctionnement[Montant (€HT)])+SUMIF(Invest[Affectation matrice],$AB$3,Invest[Amortissement HT + intérêts]))*BR46</f>
        <v>0</v>
      </c>
      <c r="R46" s="198">
        <f>(SUMIF(Fonctionnement[Affectation matrice],$AB$3,Fonctionnement[Montant (€HT)])+SUMIF(Invest[Affectation matrice],$AB$3,Invest[Amortissement HT + intérêts]))*BS46</f>
        <v>0</v>
      </c>
      <c r="S46" s="198">
        <f>(SUMIF(Fonctionnement[Affectation matrice],$AB$3,Fonctionnement[Montant (€HT)])+SUMIF(Invest[Affectation matrice],$AB$3,Invest[Amortissement HT + intérêts]))*BT46</f>
        <v>0</v>
      </c>
      <c r="T46" s="198">
        <f>(SUMIF(Fonctionnement[Affectation matrice],$AB$3,Fonctionnement[Montant (€HT)])+SUMIF(Invest[Affectation matrice],$AB$3,Invest[Amortissement HT + intérêts]))*BU46</f>
        <v>0</v>
      </c>
      <c r="U46" s="198">
        <f>(SUMIF(Fonctionnement[Affectation matrice],$AB$3,Fonctionnement[Montant (€HT)])+SUMIF(Invest[Affectation matrice],$AB$3,Invest[Amortissement HT + intérêts]))*BV46</f>
        <v>0</v>
      </c>
      <c r="V46" s="198">
        <f>(SUMIF(Fonctionnement[Affectation matrice],$AB$3,Fonctionnement[Montant (€HT)])+SUMIF(Invest[Affectation matrice],$AB$3,Invest[Amortissement HT + intérêts]))*BW46</f>
        <v>0</v>
      </c>
      <c r="W46" s="198">
        <f>(SUMIF(Fonctionnement[Affectation matrice],$AB$3,Fonctionnement[Montant (€HT)])+SUMIF(Invest[Affectation matrice],$AB$3,Invest[Amortissement HT + intérêts]))*BX46</f>
        <v>0</v>
      </c>
      <c r="X46" s="198">
        <f>(SUMIF(Fonctionnement[Affectation matrice],$AB$3,Fonctionnement[Montant (€HT)])+SUMIF(Invest[Affectation matrice],$AB$3,Invest[Amortissement HT + intérêts]))*BY46</f>
        <v>0</v>
      </c>
      <c r="Y46" s="198">
        <f>(SUMIF(Fonctionnement[Affectation matrice],$AB$3,Fonctionnement[Montant (€HT)])+SUMIF(Invest[Affectation matrice],$AB$3,Invest[Amortissement HT + intérêts]))*BZ46</f>
        <v>0</v>
      </c>
      <c r="Z46" s="198">
        <f>(SUMIF(Fonctionnement[Affectation matrice],$AB$3,Fonctionnement[Montant (€HT)])+SUMIF(Invest[Affectation matrice],$AB$3,Invest[Amortissement HT + intérêts]))*CA46</f>
        <v>0</v>
      </c>
      <c r="AA46" s="199"/>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283">
        <f t="shared" si="4"/>
        <v>0</v>
      </c>
      <c r="BC46" s="61">
        <f t="shared" si="12"/>
        <v>0</v>
      </c>
      <c r="BD46" s="61">
        <f t="shared" si="12"/>
        <v>0</v>
      </c>
      <c r="BE46" s="61">
        <f t="shared" si="12"/>
        <v>0</v>
      </c>
      <c r="BF46" s="61">
        <f t="shared" si="12"/>
        <v>0</v>
      </c>
      <c r="BG46" s="61">
        <f t="shared" si="12"/>
        <v>0</v>
      </c>
      <c r="BH46" s="61">
        <f t="shared" si="12"/>
        <v>0</v>
      </c>
      <c r="BI46" s="61">
        <f t="shared" si="12"/>
        <v>0</v>
      </c>
      <c r="BJ46" s="61">
        <f t="shared" si="12"/>
        <v>0</v>
      </c>
      <c r="BK46" s="61">
        <f t="shared" si="12"/>
        <v>0</v>
      </c>
      <c r="BL46" s="61">
        <f t="shared" si="12"/>
        <v>0</v>
      </c>
      <c r="BM46" s="61">
        <f t="shared" si="12"/>
        <v>0</v>
      </c>
      <c r="BN46" s="61">
        <f t="shared" si="12"/>
        <v>0</v>
      </c>
      <c r="BO46" s="61">
        <f t="shared" si="12"/>
        <v>0</v>
      </c>
      <c r="BP46" s="61">
        <f t="shared" si="12"/>
        <v>0</v>
      </c>
      <c r="BQ46" s="61">
        <f t="shared" si="12"/>
        <v>0</v>
      </c>
      <c r="BR46" s="61">
        <f t="shared" si="12"/>
        <v>0</v>
      </c>
      <c r="BS46" s="61">
        <f t="shared" si="13"/>
        <v>0</v>
      </c>
      <c r="BT46" s="61">
        <f t="shared" si="13"/>
        <v>0</v>
      </c>
      <c r="BU46" s="61">
        <f t="shared" si="13"/>
        <v>0</v>
      </c>
      <c r="BV46" s="61">
        <f t="shared" si="13"/>
        <v>0</v>
      </c>
      <c r="BW46" s="61">
        <f t="shared" si="13"/>
        <v>0</v>
      </c>
      <c r="BX46" s="61">
        <f t="shared" si="13"/>
        <v>0</v>
      </c>
      <c r="BY46" s="61">
        <f t="shared" si="13"/>
        <v>0</v>
      </c>
      <c r="BZ46" s="61">
        <f t="shared" si="13"/>
        <v>0</v>
      </c>
      <c r="CA46" s="61">
        <f t="shared" si="13"/>
        <v>0</v>
      </c>
      <c r="CB46" s="61">
        <f t="shared" si="5"/>
        <v>0</v>
      </c>
      <c r="CD46" s="200">
        <f>(SUMIF(Fonctionnement[Affectation matrice],$AB$3,Fonctionnement[TVA acquittée])+SUMIF(Invest[Affectation matrice],$AB$3,Invest[TVA acquittée]))*BC46</f>
        <v>0</v>
      </c>
      <c r="CE46" s="200">
        <f>(SUMIF(Fonctionnement[Affectation matrice],$AB$3,Fonctionnement[TVA acquittée])+SUMIF(Invest[Affectation matrice],$AB$3,Invest[TVA acquittée]))*BD46</f>
        <v>0</v>
      </c>
      <c r="CF46" s="200">
        <f>(SUMIF(Fonctionnement[Affectation matrice],$AB$3,Fonctionnement[TVA acquittée])+SUMIF(Invest[Affectation matrice],$AB$3,Invest[TVA acquittée]))*BE46</f>
        <v>0</v>
      </c>
      <c r="CG46" s="200">
        <f>(SUMIF(Fonctionnement[Affectation matrice],$AB$3,Fonctionnement[TVA acquittée])+SUMIF(Invest[Affectation matrice],$AB$3,Invest[TVA acquittée]))*BF46</f>
        <v>0</v>
      </c>
      <c r="CH46" s="200">
        <f>(SUMIF(Fonctionnement[Affectation matrice],$AB$3,Fonctionnement[TVA acquittée])+SUMIF(Invest[Affectation matrice],$AB$3,Invest[TVA acquittée]))*BG46</f>
        <v>0</v>
      </c>
      <c r="CI46" s="200">
        <f>(SUMIF(Fonctionnement[Affectation matrice],$AB$3,Fonctionnement[TVA acquittée])+SUMIF(Invest[Affectation matrice],$AB$3,Invest[TVA acquittée]))*BH46</f>
        <v>0</v>
      </c>
      <c r="CJ46" s="200">
        <f>(SUMIF(Fonctionnement[Affectation matrice],$AB$3,Fonctionnement[TVA acquittée])+SUMIF(Invest[Affectation matrice],$AB$3,Invest[TVA acquittée]))*BI46</f>
        <v>0</v>
      </c>
      <c r="CK46" s="200">
        <f>(SUMIF(Fonctionnement[Affectation matrice],$AB$3,Fonctionnement[TVA acquittée])+SUMIF(Invest[Affectation matrice],$AB$3,Invest[TVA acquittée]))*BJ46</f>
        <v>0</v>
      </c>
      <c r="CL46" s="200">
        <f>(SUMIF(Fonctionnement[Affectation matrice],$AB$3,Fonctionnement[TVA acquittée])+SUMIF(Invest[Affectation matrice],$AB$3,Invest[TVA acquittée]))*BK46</f>
        <v>0</v>
      </c>
      <c r="CM46" s="200">
        <f>(SUMIF(Fonctionnement[Affectation matrice],$AB$3,Fonctionnement[TVA acquittée])+SUMIF(Invest[Affectation matrice],$AB$3,Invest[TVA acquittée]))*BL46</f>
        <v>0</v>
      </c>
      <c r="CN46" s="200">
        <f>(SUMIF(Fonctionnement[Affectation matrice],$AB$3,Fonctionnement[TVA acquittée])+SUMIF(Invest[Affectation matrice],$AB$3,Invest[TVA acquittée]))*BM46</f>
        <v>0</v>
      </c>
      <c r="CO46" s="200">
        <f>(SUMIF(Fonctionnement[Affectation matrice],$AB$3,Fonctionnement[TVA acquittée])+SUMIF(Invest[Affectation matrice],$AB$3,Invest[TVA acquittée]))*BN46</f>
        <v>0</v>
      </c>
      <c r="CP46" s="200">
        <f>(SUMIF(Fonctionnement[Affectation matrice],$AB$3,Fonctionnement[TVA acquittée])+SUMIF(Invest[Affectation matrice],$AB$3,Invest[TVA acquittée]))*BO46</f>
        <v>0</v>
      </c>
      <c r="CQ46" s="200">
        <f>(SUMIF(Fonctionnement[Affectation matrice],$AB$3,Fonctionnement[TVA acquittée])+SUMIF(Invest[Affectation matrice],$AB$3,Invest[TVA acquittée]))*BP46</f>
        <v>0</v>
      </c>
      <c r="CR46" s="200">
        <f>(SUMIF(Fonctionnement[Affectation matrice],$AB$3,Fonctionnement[TVA acquittée])+SUMIF(Invest[Affectation matrice],$AB$3,Invest[TVA acquittée]))*BQ46</f>
        <v>0</v>
      </c>
      <c r="CS46" s="200">
        <f>(SUMIF(Fonctionnement[Affectation matrice],$AB$3,Fonctionnement[TVA acquittée])+SUMIF(Invest[Affectation matrice],$AB$3,Invest[TVA acquittée]))*BR46</f>
        <v>0</v>
      </c>
      <c r="CT46" s="200">
        <f>(SUMIF(Fonctionnement[Affectation matrice],$AB$3,Fonctionnement[TVA acquittée])+SUMIF(Invest[Affectation matrice],$AB$3,Invest[TVA acquittée]))*BS46</f>
        <v>0</v>
      </c>
      <c r="CU46" s="200">
        <f>(SUMIF(Fonctionnement[Affectation matrice],$AB$3,Fonctionnement[TVA acquittée])+SUMIF(Invest[Affectation matrice],$AB$3,Invest[TVA acquittée]))*BT46</f>
        <v>0</v>
      </c>
      <c r="CV46" s="200">
        <f>(SUMIF(Fonctionnement[Affectation matrice],$AB$3,Fonctionnement[TVA acquittée])+SUMIF(Invest[Affectation matrice],$AB$3,Invest[TVA acquittée]))*BU46</f>
        <v>0</v>
      </c>
      <c r="CW46" s="200">
        <f>(SUMIF(Fonctionnement[Affectation matrice],$AB$3,Fonctionnement[TVA acquittée])+SUMIF(Invest[Affectation matrice],$AB$3,Invest[TVA acquittée]))*BV46</f>
        <v>0</v>
      </c>
      <c r="CX46" s="200">
        <f>(SUMIF(Fonctionnement[Affectation matrice],$AB$3,Fonctionnement[TVA acquittée])+SUMIF(Invest[Affectation matrice],$AB$3,Invest[TVA acquittée]))*BW46</f>
        <v>0</v>
      </c>
      <c r="CY46" s="200">
        <f>(SUMIF(Fonctionnement[Affectation matrice],$AB$3,Fonctionnement[TVA acquittée])+SUMIF(Invest[Affectation matrice],$AB$3,Invest[TVA acquittée]))*BX46</f>
        <v>0</v>
      </c>
      <c r="CZ46" s="200">
        <f>(SUMIF(Fonctionnement[Affectation matrice],$AB$3,Fonctionnement[TVA acquittée])+SUMIF(Invest[Affectation matrice],$AB$3,Invest[TVA acquittée]))*BY46</f>
        <v>0</v>
      </c>
      <c r="DA46" s="200">
        <f>(SUMIF(Fonctionnement[Affectation matrice],$AB$3,Fonctionnement[TVA acquittée])+SUMIF(Invest[Affectation matrice],$AB$3,Invest[TVA acquittée]))*BZ46</f>
        <v>0</v>
      </c>
      <c r="DB46" s="200">
        <f>(SUMIF(Fonctionnement[Affectation matrice],$AB$3,Fonctionnement[TVA acquittée])+SUMIF(Invest[Affectation matrice],$AB$3,Invest[TVA acquittée]))*CA46</f>
        <v>0</v>
      </c>
    </row>
    <row r="47" spans="1:106" ht="12.75" hidden="1" customHeight="1" x14ac:dyDescent="0.25">
      <c r="A47" s="42">
        <f>Matrice[[#This Row],[Ligne de la matrice]]</f>
        <v>0</v>
      </c>
      <c r="B47" s="198">
        <f>(SUMIF(Fonctionnement[Affectation matrice],$AB$3,Fonctionnement[Montant (€HT)])+SUMIF(Invest[Affectation matrice],$AB$3,Invest[Amortissement HT + intérêts]))*BC47</f>
        <v>0</v>
      </c>
      <c r="C47" s="198">
        <f>(SUMIF(Fonctionnement[Affectation matrice],$AB$3,Fonctionnement[Montant (€HT)])+SUMIF(Invest[Affectation matrice],$AB$3,Invest[Amortissement HT + intérêts]))*BD47</f>
        <v>0</v>
      </c>
      <c r="D47" s="198">
        <f>(SUMIF(Fonctionnement[Affectation matrice],$AB$3,Fonctionnement[Montant (€HT)])+SUMIF(Invest[Affectation matrice],$AB$3,Invest[Amortissement HT + intérêts]))*BE47</f>
        <v>0</v>
      </c>
      <c r="E47" s="198">
        <f>(SUMIF(Fonctionnement[Affectation matrice],$AB$3,Fonctionnement[Montant (€HT)])+SUMIF(Invest[Affectation matrice],$AB$3,Invest[Amortissement HT + intérêts]))*BF47</f>
        <v>0</v>
      </c>
      <c r="F47" s="198">
        <f>(SUMIF(Fonctionnement[Affectation matrice],$AB$3,Fonctionnement[Montant (€HT)])+SUMIF(Invest[Affectation matrice],$AB$3,Invest[Amortissement HT + intérêts]))*BG47</f>
        <v>0</v>
      </c>
      <c r="G47" s="198">
        <f>(SUMIF(Fonctionnement[Affectation matrice],$AB$3,Fonctionnement[Montant (€HT)])+SUMIF(Invest[Affectation matrice],$AB$3,Invest[Amortissement HT + intérêts]))*BH47</f>
        <v>0</v>
      </c>
      <c r="H47" s="198">
        <f>(SUMIF(Fonctionnement[Affectation matrice],$AB$3,Fonctionnement[Montant (€HT)])+SUMIF(Invest[Affectation matrice],$AB$3,Invest[Amortissement HT + intérêts]))*BI47</f>
        <v>0</v>
      </c>
      <c r="I47" s="198">
        <f>(SUMIF(Fonctionnement[Affectation matrice],$AB$3,Fonctionnement[Montant (€HT)])+SUMIF(Invest[Affectation matrice],$AB$3,Invest[Amortissement HT + intérêts]))*BJ47</f>
        <v>0</v>
      </c>
      <c r="J47" s="198">
        <f>(SUMIF(Fonctionnement[Affectation matrice],$AB$3,Fonctionnement[Montant (€HT)])+SUMIF(Invest[Affectation matrice],$AB$3,Invest[Amortissement HT + intérêts]))*BK47</f>
        <v>0</v>
      </c>
      <c r="K47" s="198">
        <f>(SUMIF(Fonctionnement[Affectation matrice],$AB$3,Fonctionnement[Montant (€HT)])+SUMIF(Invest[Affectation matrice],$AB$3,Invest[Amortissement HT + intérêts]))*BL47</f>
        <v>0</v>
      </c>
      <c r="L47" s="198">
        <f>(SUMIF(Fonctionnement[Affectation matrice],$AB$3,Fonctionnement[Montant (€HT)])+SUMIF(Invest[Affectation matrice],$AB$3,Invest[Amortissement HT + intérêts]))*BM47</f>
        <v>0</v>
      </c>
      <c r="M47" s="198">
        <f>(SUMIF(Fonctionnement[Affectation matrice],$AB$3,Fonctionnement[Montant (€HT)])+SUMIF(Invest[Affectation matrice],$AB$3,Invest[Amortissement HT + intérêts]))*BN47</f>
        <v>0</v>
      </c>
      <c r="N47" s="198">
        <f>(SUMIF(Fonctionnement[Affectation matrice],$AB$3,Fonctionnement[Montant (€HT)])+SUMIF(Invest[Affectation matrice],$AB$3,Invest[Amortissement HT + intérêts]))*BO47</f>
        <v>0</v>
      </c>
      <c r="O47" s="198">
        <f>(SUMIF(Fonctionnement[Affectation matrice],$AB$3,Fonctionnement[Montant (€HT)])+SUMIF(Invest[Affectation matrice],$AB$3,Invest[Amortissement HT + intérêts]))*BP47</f>
        <v>0</v>
      </c>
      <c r="P47" s="198">
        <f>(SUMIF(Fonctionnement[Affectation matrice],$AB$3,Fonctionnement[Montant (€HT)])+SUMIF(Invest[Affectation matrice],$AB$3,Invest[Amortissement HT + intérêts]))*BQ47</f>
        <v>0</v>
      </c>
      <c r="Q47" s="198">
        <f>(SUMIF(Fonctionnement[Affectation matrice],$AB$3,Fonctionnement[Montant (€HT)])+SUMIF(Invest[Affectation matrice],$AB$3,Invest[Amortissement HT + intérêts]))*BR47</f>
        <v>0</v>
      </c>
      <c r="R47" s="198">
        <f>(SUMIF(Fonctionnement[Affectation matrice],$AB$3,Fonctionnement[Montant (€HT)])+SUMIF(Invest[Affectation matrice],$AB$3,Invest[Amortissement HT + intérêts]))*BS47</f>
        <v>0</v>
      </c>
      <c r="S47" s="198">
        <f>(SUMIF(Fonctionnement[Affectation matrice],$AB$3,Fonctionnement[Montant (€HT)])+SUMIF(Invest[Affectation matrice],$AB$3,Invest[Amortissement HT + intérêts]))*BT47</f>
        <v>0</v>
      </c>
      <c r="T47" s="198">
        <f>(SUMIF(Fonctionnement[Affectation matrice],$AB$3,Fonctionnement[Montant (€HT)])+SUMIF(Invest[Affectation matrice],$AB$3,Invest[Amortissement HT + intérêts]))*BU47</f>
        <v>0</v>
      </c>
      <c r="U47" s="198">
        <f>(SUMIF(Fonctionnement[Affectation matrice],$AB$3,Fonctionnement[Montant (€HT)])+SUMIF(Invest[Affectation matrice],$AB$3,Invest[Amortissement HT + intérêts]))*BV47</f>
        <v>0</v>
      </c>
      <c r="V47" s="198">
        <f>(SUMIF(Fonctionnement[Affectation matrice],$AB$3,Fonctionnement[Montant (€HT)])+SUMIF(Invest[Affectation matrice],$AB$3,Invest[Amortissement HT + intérêts]))*BW47</f>
        <v>0</v>
      </c>
      <c r="W47" s="198">
        <f>(SUMIF(Fonctionnement[Affectation matrice],$AB$3,Fonctionnement[Montant (€HT)])+SUMIF(Invest[Affectation matrice],$AB$3,Invest[Amortissement HT + intérêts]))*BX47</f>
        <v>0</v>
      </c>
      <c r="X47" s="198">
        <f>(SUMIF(Fonctionnement[Affectation matrice],$AB$3,Fonctionnement[Montant (€HT)])+SUMIF(Invest[Affectation matrice],$AB$3,Invest[Amortissement HT + intérêts]))*BY47</f>
        <v>0</v>
      </c>
      <c r="Y47" s="198">
        <f>(SUMIF(Fonctionnement[Affectation matrice],$AB$3,Fonctionnement[Montant (€HT)])+SUMIF(Invest[Affectation matrice],$AB$3,Invest[Amortissement HT + intérêts]))*BZ47</f>
        <v>0</v>
      </c>
      <c r="Z47" s="198">
        <f>(SUMIF(Fonctionnement[Affectation matrice],$AB$3,Fonctionnement[Montant (€HT)])+SUMIF(Invest[Affectation matrice],$AB$3,Invest[Amortissement HT + intérêts]))*CA47</f>
        <v>0</v>
      </c>
      <c r="AA47" s="199"/>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283">
        <f t="shared" si="4"/>
        <v>0</v>
      </c>
      <c r="BC47" s="61">
        <f t="shared" si="12"/>
        <v>0</v>
      </c>
      <c r="BD47" s="61">
        <f t="shared" si="12"/>
        <v>0</v>
      </c>
      <c r="BE47" s="61">
        <f t="shared" si="12"/>
        <v>0</v>
      </c>
      <c r="BF47" s="61">
        <f t="shared" si="12"/>
        <v>0</v>
      </c>
      <c r="BG47" s="61">
        <f t="shared" si="12"/>
        <v>0</v>
      </c>
      <c r="BH47" s="61">
        <f t="shared" si="12"/>
        <v>0</v>
      </c>
      <c r="BI47" s="61">
        <f t="shared" si="12"/>
        <v>0</v>
      </c>
      <c r="BJ47" s="61">
        <f t="shared" si="12"/>
        <v>0</v>
      </c>
      <c r="BK47" s="61">
        <f t="shared" si="12"/>
        <v>0</v>
      </c>
      <c r="BL47" s="61">
        <f t="shared" si="12"/>
        <v>0</v>
      </c>
      <c r="BM47" s="61">
        <f t="shared" si="12"/>
        <v>0</v>
      </c>
      <c r="BN47" s="61">
        <f t="shared" si="12"/>
        <v>0</v>
      </c>
      <c r="BO47" s="61">
        <f t="shared" si="12"/>
        <v>0</v>
      </c>
      <c r="BP47" s="61">
        <f t="shared" si="12"/>
        <v>0</v>
      </c>
      <c r="BQ47" s="61">
        <f t="shared" si="12"/>
        <v>0</v>
      </c>
      <c r="BR47" s="61">
        <f t="shared" si="12"/>
        <v>0</v>
      </c>
      <c r="BS47" s="61">
        <f t="shared" si="13"/>
        <v>0</v>
      </c>
      <c r="BT47" s="61">
        <f t="shared" si="13"/>
        <v>0</v>
      </c>
      <c r="BU47" s="61">
        <f t="shared" si="13"/>
        <v>0</v>
      </c>
      <c r="BV47" s="61">
        <f t="shared" si="13"/>
        <v>0</v>
      </c>
      <c r="BW47" s="61">
        <f t="shared" si="13"/>
        <v>0</v>
      </c>
      <c r="BX47" s="61">
        <f t="shared" si="13"/>
        <v>0</v>
      </c>
      <c r="BY47" s="61">
        <f t="shared" si="13"/>
        <v>0</v>
      </c>
      <c r="BZ47" s="61">
        <f t="shared" si="13"/>
        <v>0</v>
      </c>
      <c r="CA47" s="61">
        <f t="shared" si="13"/>
        <v>0</v>
      </c>
      <c r="CB47" s="61">
        <f t="shared" si="5"/>
        <v>0</v>
      </c>
      <c r="CD47" s="200">
        <f>(SUMIF(Fonctionnement[Affectation matrice],$AB$3,Fonctionnement[TVA acquittée])+SUMIF(Invest[Affectation matrice],$AB$3,Invest[TVA acquittée]))*BC47</f>
        <v>0</v>
      </c>
      <c r="CE47" s="200">
        <f>(SUMIF(Fonctionnement[Affectation matrice],$AB$3,Fonctionnement[TVA acquittée])+SUMIF(Invest[Affectation matrice],$AB$3,Invest[TVA acquittée]))*BD47</f>
        <v>0</v>
      </c>
      <c r="CF47" s="200">
        <f>(SUMIF(Fonctionnement[Affectation matrice],$AB$3,Fonctionnement[TVA acquittée])+SUMIF(Invest[Affectation matrice],$AB$3,Invest[TVA acquittée]))*BE47</f>
        <v>0</v>
      </c>
      <c r="CG47" s="200">
        <f>(SUMIF(Fonctionnement[Affectation matrice],$AB$3,Fonctionnement[TVA acquittée])+SUMIF(Invest[Affectation matrice],$AB$3,Invest[TVA acquittée]))*BF47</f>
        <v>0</v>
      </c>
      <c r="CH47" s="200">
        <f>(SUMIF(Fonctionnement[Affectation matrice],$AB$3,Fonctionnement[TVA acquittée])+SUMIF(Invest[Affectation matrice],$AB$3,Invest[TVA acquittée]))*BG47</f>
        <v>0</v>
      </c>
      <c r="CI47" s="200">
        <f>(SUMIF(Fonctionnement[Affectation matrice],$AB$3,Fonctionnement[TVA acquittée])+SUMIF(Invest[Affectation matrice],$AB$3,Invest[TVA acquittée]))*BH47</f>
        <v>0</v>
      </c>
      <c r="CJ47" s="200">
        <f>(SUMIF(Fonctionnement[Affectation matrice],$AB$3,Fonctionnement[TVA acquittée])+SUMIF(Invest[Affectation matrice],$AB$3,Invest[TVA acquittée]))*BI47</f>
        <v>0</v>
      </c>
      <c r="CK47" s="200">
        <f>(SUMIF(Fonctionnement[Affectation matrice],$AB$3,Fonctionnement[TVA acquittée])+SUMIF(Invest[Affectation matrice],$AB$3,Invest[TVA acquittée]))*BJ47</f>
        <v>0</v>
      </c>
      <c r="CL47" s="200">
        <f>(SUMIF(Fonctionnement[Affectation matrice],$AB$3,Fonctionnement[TVA acquittée])+SUMIF(Invest[Affectation matrice],$AB$3,Invest[TVA acquittée]))*BK47</f>
        <v>0</v>
      </c>
      <c r="CM47" s="200">
        <f>(SUMIF(Fonctionnement[Affectation matrice],$AB$3,Fonctionnement[TVA acquittée])+SUMIF(Invest[Affectation matrice],$AB$3,Invest[TVA acquittée]))*BL47</f>
        <v>0</v>
      </c>
      <c r="CN47" s="200">
        <f>(SUMIF(Fonctionnement[Affectation matrice],$AB$3,Fonctionnement[TVA acquittée])+SUMIF(Invest[Affectation matrice],$AB$3,Invest[TVA acquittée]))*BM47</f>
        <v>0</v>
      </c>
      <c r="CO47" s="200">
        <f>(SUMIF(Fonctionnement[Affectation matrice],$AB$3,Fonctionnement[TVA acquittée])+SUMIF(Invest[Affectation matrice],$AB$3,Invest[TVA acquittée]))*BN47</f>
        <v>0</v>
      </c>
      <c r="CP47" s="200">
        <f>(SUMIF(Fonctionnement[Affectation matrice],$AB$3,Fonctionnement[TVA acquittée])+SUMIF(Invest[Affectation matrice],$AB$3,Invest[TVA acquittée]))*BO47</f>
        <v>0</v>
      </c>
      <c r="CQ47" s="200">
        <f>(SUMIF(Fonctionnement[Affectation matrice],$AB$3,Fonctionnement[TVA acquittée])+SUMIF(Invest[Affectation matrice],$AB$3,Invest[TVA acquittée]))*BP47</f>
        <v>0</v>
      </c>
      <c r="CR47" s="200">
        <f>(SUMIF(Fonctionnement[Affectation matrice],$AB$3,Fonctionnement[TVA acquittée])+SUMIF(Invest[Affectation matrice],$AB$3,Invest[TVA acquittée]))*BQ47</f>
        <v>0</v>
      </c>
      <c r="CS47" s="200">
        <f>(SUMIF(Fonctionnement[Affectation matrice],$AB$3,Fonctionnement[TVA acquittée])+SUMIF(Invest[Affectation matrice],$AB$3,Invest[TVA acquittée]))*BR47</f>
        <v>0</v>
      </c>
      <c r="CT47" s="200">
        <f>(SUMIF(Fonctionnement[Affectation matrice],$AB$3,Fonctionnement[TVA acquittée])+SUMIF(Invest[Affectation matrice],$AB$3,Invest[TVA acquittée]))*BS47</f>
        <v>0</v>
      </c>
      <c r="CU47" s="200">
        <f>(SUMIF(Fonctionnement[Affectation matrice],$AB$3,Fonctionnement[TVA acquittée])+SUMIF(Invest[Affectation matrice],$AB$3,Invest[TVA acquittée]))*BT47</f>
        <v>0</v>
      </c>
      <c r="CV47" s="200">
        <f>(SUMIF(Fonctionnement[Affectation matrice],$AB$3,Fonctionnement[TVA acquittée])+SUMIF(Invest[Affectation matrice],$AB$3,Invest[TVA acquittée]))*BU47</f>
        <v>0</v>
      </c>
      <c r="CW47" s="200">
        <f>(SUMIF(Fonctionnement[Affectation matrice],$AB$3,Fonctionnement[TVA acquittée])+SUMIF(Invest[Affectation matrice],$AB$3,Invest[TVA acquittée]))*BV47</f>
        <v>0</v>
      </c>
      <c r="CX47" s="200">
        <f>(SUMIF(Fonctionnement[Affectation matrice],$AB$3,Fonctionnement[TVA acquittée])+SUMIF(Invest[Affectation matrice],$AB$3,Invest[TVA acquittée]))*BW47</f>
        <v>0</v>
      </c>
      <c r="CY47" s="200">
        <f>(SUMIF(Fonctionnement[Affectation matrice],$AB$3,Fonctionnement[TVA acquittée])+SUMIF(Invest[Affectation matrice],$AB$3,Invest[TVA acquittée]))*BX47</f>
        <v>0</v>
      </c>
      <c r="CZ47" s="200">
        <f>(SUMIF(Fonctionnement[Affectation matrice],$AB$3,Fonctionnement[TVA acquittée])+SUMIF(Invest[Affectation matrice],$AB$3,Invest[TVA acquittée]))*BY47</f>
        <v>0</v>
      </c>
      <c r="DA47" s="200">
        <f>(SUMIF(Fonctionnement[Affectation matrice],$AB$3,Fonctionnement[TVA acquittée])+SUMIF(Invest[Affectation matrice],$AB$3,Invest[TVA acquittée]))*BZ47</f>
        <v>0</v>
      </c>
      <c r="DB47" s="200">
        <f>(SUMIF(Fonctionnement[Affectation matrice],$AB$3,Fonctionnement[TVA acquittée])+SUMIF(Invest[Affectation matrice],$AB$3,Invest[TVA acquittée]))*CA47</f>
        <v>0</v>
      </c>
    </row>
    <row r="48" spans="1:106" ht="12.75" hidden="1" customHeight="1" x14ac:dyDescent="0.25">
      <c r="A48" s="42">
        <f>Matrice[[#This Row],[Ligne de la matrice]]</f>
        <v>0</v>
      </c>
      <c r="B48" s="198">
        <f>(SUMIF(Fonctionnement[Affectation matrice],$AB$3,Fonctionnement[Montant (€HT)])+SUMIF(Invest[Affectation matrice],$AB$3,Invest[Amortissement HT + intérêts]))*BC48</f>
        <v>0</v>
      </c>
      <c r="C48" s="198">
        <f>(SUMIF(Fonctionnement[Affectation matrice],$AB$3,Fonctionnement[Montant (€HT)])+SUMIF(Invest[Affectation matrice],$AB$3,Invest[Amortissement HT + intérêts]))*BD48</f>
        <v>0</v>
      </c>
      <c r="D48" s="198">
        <f>(SUMIF(Fonctionnement[Affectation matrice],$AB$3,Fonctionnement[Montant (€HT)])+SUMIF(Invest[Affectation matrice],$AB$3,Invest[Amortissement HT + intérêts]))*BE48</f>
        <v>0</v>
      </c>
      <c r="E48" s="198">
        <f>(SUMIF(Fonctionnement[Affectation matrice],$AB$3,Fonctionnement[Montant (€HT)])+SUMIF(Invest[Affectation matrice],$AB$3,Invest[Amortissement HT + intérêts]))*BF48</f>
        <v>0</v>
      </c>
      <c r="F48" s="198">
        <f>(SUMIF(Fonctionnement[Affectation matrice],$AB$3,Fonctionnement[Montant (€HT)])+SUMIF(Invest[Affectation matrice],$AB$3,Invest[Amortissement HT + intérêts]))*BG48</f>
        <v>0</v>
      </c>
      <c r="G48" s="198">
        <f>(SUMIF(Fonctionnement[Affectation matrice],$AB$3,Fonctionnement[Montant (€HT)])+SUMIF(Invest[Affectation matrice],$AB$3,Invest[Amortissement HT + intérêts]))*BH48</f>
        <v>0</v>
      </c>
      <c r="H48" s="198">
        <f>(SUMIF(Fonctionnement[Affectation matrice],$AB$3,Fonctionnement[Montant (€HT)])+SUMIF(Invest[Affectation matrice],$AB$3,Invest[Amortissement HT + intérêts]))*BI48</f>
        <v>0</v>
      </c>
      <c r="I48" s="198">
        <f>(SUMIF(Fonctionnement[Affectation matrice],$AB$3,Fonctionnement[Montant (€HT)])+SUMIF(Invest[Affectation matrice],$AB$3,Invest[Amortissement HT + intérêts]))*BJ48</f>
        <v>0</v>
      </c>
      <c r="J48" s="198">
        <f>(SUMIF(Fonctionnement[Affectation matrice],$AB$3,Fonctionnement[Montant (€HT)])+SUMIF(Invest[Affectation matrice],$AB$3,Invest[Amortissement HT + intérêts]))*BK48</f>
        <v>0</v>
      </c>
      <c r="K48" s="198">
        <f>(SUMIF(Fonctionnement[Affectation matrice],$AB$3,Fonctionnement[Montant (€HT)])+SUMIF(Invest[Affectation matrice],$AB$3,Invest[Amortissement HT + intérêts]))*BL48</f>
        <v>0</v>
      </c>
      <c r="L48" s="198">
        <f>(SUMIF(Fonctionnement[Affectation matrice],$AB$3,Fonctionnement[Montant (€HT)])+SUMIF(Invest[Affectation matrice],$AB$3,Invest[Amortissement HT + intérêts]))*BM48</f>
        <v>0</v>
      </c>
      <c r="M48" s="198">
        <f>(SUMIF(Fonctionnement[Affectation matrice],$AB$3,Fonctionnement[Montant (€HT)])+SUMIF(Invest[Affectation matrice],$AB$3,Invest[Amortissement HT + intérêts]))*BN48</f>
        <v>0</v>
      </c>
      <c r="N48" s="198">
        <f>(SUMIF(Fonctionnement[Affectation matrice],$AB$3,Fonctionnement[Montant (€HT)])+SUMIF(Invest[Affectation matrice],$AB$3,Invest[Amortissement HT + intérêts]))*BO48</f>
        <v>0</v>
      </c>
      <c r="O48" s="198">
        <f>(SUMIF(Fonctionnement[Affectation matrice],$AB$3,Fonctionnement[Montant (€HT)])+SUMIF(Invest[Affectation matrice],$AB$3,Invest[Amortissement HT + intérêts]))*BP48</f>
        <v>0</v>
      </c>
      <c r="P48" s="198">
        <f>(SUMIF(Fonctionnement[Affectation matrice],$AB$3,Fonctionnement[Montant (€HT)])+SUMIF(Invest[Affectation matrice],$AB$3,Invest[Amortissement HT + intérêts]))*BQ48</f>
        <v>0</v>
      </c>
      <c r="Q48" s="198">
        <f>(SUMIF(Fonctionnement[Affectation matrice],$AB$3,Fonctionnement[Montant (€HT)])+SUMIF(Invest[Affectation matrice],$AB$3,Invest[Amortissement HT + intérêts]))*BR48</f>
        <v>0</v>
      </c>
      <c r="R48" s="198">
        <f>(SUMIF(Fonctionnement[Affectation matrice],$AB$3,Fonctionnement[Montant (€HT)])+SUMIF(Invest[Affectation matrice],$AB$3,Invest[Amortissement HT + intérêts]))*BS48</f>
        <v>0</v>
      </c>
      <c r="S48" s="198">
        <f>(SUMIF(Fonctionnement[Affectation matrice],$AB$3,Fonctionnement[Montant (€HT)])+SUMIF(Invest[Affectation matrice],$AB$3,Invest[Amortissement HT + intérêts]))*BT48</f>
        <v>0</v>
      </c>
      <c r="T48" s="198">
        <f>(SUMIF(Fonctionnement[Affectation matrice],$AB$3,Fonctionnement[Montant (€HT)])+SUMIF(Invest[Affectation matrice],$AB$3,Invest[Amortissement HT + intérêts]))*BU48</f>
        <v>0</v>
      </c>
      <c r="U48" s="198">
        <f>(SUMIF(Fonctionnement[Affectation matrice],$AB$3,Fonctionnement[Montant (€HT)])+SUMIF(Invest[Affectation matrice],$AB$3,Invest[Amortissement HT + intérêts]))*BV48</f>
        <v>0</v>
      </c>
      <c r="V48" s="198">
        <f>(SUMIF(Fonctionnement[Affectation matrice],$AB$3,Fonctionnement[Montant (€HT)])+SUMIF(Invest[Affectation matrice],$AB$3,Invest[Amortissement HT + intérêts]))*BW48</f>
        <v>0</v>
      </c>
      <c r="W48" s="198">
        <f>(SUMIF(Fonctionnement[Affectation matrice],$AB$3,Fonctionnement[Montant (€HT)])+SUMIF(Invest[Affectation matrice],$AB$3,Invest[Amortissement HT + intérêts]))*BX48</f>
        <v>0</v>
      </c>
      <c r="X48" s="198">
        <f>(SUMIF(Fonctionnement[Affectation matrice],$AB$3,Fonctionnement[Montant (€HT)])+SUMIF(Invest[Affectation matrice],$AB$3,Invest[Amortissement HT + intérêts]))*BY48</f>
        <v>0</v>
      </c>
      <c r="Y48" s="198">
        <f>(SUMIF(Fonctionnement[Affectation matrice],$AB$3,Fonctionnement[Montant (€HT)])+SUMIF(Invest[Affectation matrice],$AB$3,Invest[Amortissement HT + intérêts]))*BZ48</f>
        <v>0</v>
      </c>
      <c r="Z48" s="198">
        <f>(SUMIF(Fonctionnement[Affectation matrice],$AB$3,Fonctionnement[Montant (€HT)])+SUMIF(Invest[Affectation matrice],$AB$3,Invest[Amortissement HT + intérêts]))*CA48</f>
        <v>0</v>
      </c>
      <c r="AA48" s="199"/>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283">
        <f t="shared" si="4"/>
        <v>0</v>
      </c>
      <c r="BC48" s="61">
        <f t="shared" si="12"/>
        <v>0</v>
      </c>
      <c r="BD48" s="61">
        <f t="shared" si="12"/>
        <v>0</v>
      </c>
      <c r="BE48" s="61">
        <f t="shared" si="12"/>
        <v>0</v>
      </c>
      <c r="BF48" s="61">
        <f t="shared" si="12"/>
        <v>0</v>
      </c>
      <c r="BG48" s="61">
        <f t="shared" si="12"/>
        <v>0</v>
      </c>
      <c r="BH48" s="61">
        <f t="shared" si="12"/>
        <v>0</v>
      </c>
      <c r="BI48" s="61">
        <f t="shared" si="12"/>
        <v>0</v>
      </c>
      <c r="BJ48" s="61">
        <f t="shared" si="12"/>
        <v>0</v>
      </c>
      <c r="BK48" s="61">
        <f t="shared" si="12"/>
        <v>0</v>
      </c>
      <c r="BL48" s="61">
        <f t="shared" si="12"/>
        <v>0</v>
      </c>
      <c r="BM48" s="61">
        <f t="shared" si="12"/>
        <v>0</v>
      </c>
      <c r="BN48" s="61">
        <f t="shared" si="12"/>
        <v>0</v>
      </c>
      <c r="BO48" s="61">
        <f t="shared" si="12"/>
        <v>0</v>
      </c>
      <c r="BP48" s="61">
        <f t="shared" si="12"/>
        <v>0</v>
      </c>
      <c r="BQ48" s="61">
        <f t="shared" si="12"/>
        <v>0</v>
      </c>
      <c r="BR48" s="61">
        <f t="shared" si="12"/>
        <v>0</v>
      </c>
      <c r="BS48" s="61">
        <f t="shared" si="13"/>
        <v>0</v>
      </c>
      <c r="BT48" s="61">
        <f t="shared" si="13"/>
        <v>0</v>
      </c>
      <c r="BU48" s="61">
        <f t="shared" si="13"/>
        <v>0</v>
      </c>
      <c r="BV48" s="61">
        <f t="shared" si="13"/>
        <v>0</v>
      </c>
      <c r="BW48" s="61">
        <f t="shared" si="13"/>
        <v>0</v>
      </c>
      <c r="BX48" s="61">
        <f t="shared" si="13"/>
        <v>0</v>
      </c>
      <c r="BY48" s="61">
        <f t="shared" si="13"/>
        <v>0</v>
      </c>
      <c r="BZ48" s="61">
        <f t="shared" si="13"/>
        <v>0</v>
      </c>
      <c r="CA48" s="61">
        <f t="shared" si="13"/>
        <v>0</v>
      </c>
      <c r="CB48" s="61">
        <f t="shared" si="5"/>
        <v>0</v>
      </c>
      <c r="CD48" s="200">
        <f>(SUMIF(Fonctionnement[Affectation matrice],$AB$3,Fonctionnement[TVA acquittée])+SUMIF(Invest[Affectation matrice],$AB$3,Invest[TVA acquittée]))*BC48</f>
        <v>0</v>
      </c>
      <c r="CE48" s="200">
        <f>(SUMIF(Fonctionnement[Affectation matrice],$AB$3,Fonctionnement[TVA acquittée])+SUMIF(Invest[Affectation matrice],$AB$3,Invest[TVA acquittée]))*BD48</f>
        <v>0</v>
      </c>
      <c r="CF48" s="200">
        <f>(SUMIF(Fonctionnement[Affectation matrice],$AB$3,Fonctionnement[TVA acquittée])+SUMIF(Invest[Affectation matrice],$AB$3,Invest[TVA acquittée]))*BE48</f>
        <v>0</v>
      </c>
      <c r="CG48" s="200">
        <f>(SUMIF(Fonctionnement[Affectation matrice],$AB$3,Fonctionnement[TVA acquittée])+SUMIF(Invest[Affectation matrice],$AB$3,Invest[TVA acquittée]))*BF48</f>
        <v>0</v>
      </c>
      <c r="CH48" s="200">
        <f>(SUMIF(Fonctionnement[Affectation matrice],$AB$3,Fonctionnement[TVA acquittée])+SUMIF(Invest[Affectation matrice],$AB$3,Invest[TVA acquittée]))*BG48</f>
        <v>0</v>
      </c>
      <c r="CI48" s="200">
        <f>(SUMIF(Fonctionnement[Affectation matrice],$AB$3,Fonctionnement[TVA acquittée])+SUMIF(Invest[Affectation matrice],$AB$3,Invest[TVA acquittée]))*BH48</f>
        <v>0</v>
      </c>
      <c r="CJ48" s="200">
        <f>(SUMIF(Fonctionnement[Affectation matrice],$AB$3,Fonctionnement[TVA acquittée])+SUMIF(Invest[Affectation matrice],$AB$3,Invest[TVA acquittée]))*BI48</f>
        <v>0</v>
      </c>
      <c r="CK48" s="200">
        <f>(SUMIF(Fonctionnement[Affectation matrice],$AB$3,Fonctionnement[TVA acquittée])+SUMIF(Invest[Affectation matrice],$AB$3,Invest[TVA acquittée]))*BJ48</f>
        <v>0</v>
      </c>
      <c r="CL48" s="200">
        <f>(SUMIF(Fonctionnement[Affectation matrice],$AB$3,Fonctionnement[TVA acquittée])+SUMIF(Invest[Affectation matrice],$AB$3,Invest[TVA acquittée]))*BK48</f>
        <v>0</v>
      </c>
      <c r="CM48" s="200">
        <f>(SUMIF(Fonctionnement[Affectation matrice],$AB$3,Fonctionnement[TVA acquittée])+SUMIF(Invest[Affectation matrice],$AB$3,Invest[TVA acquittée]))*BL48</f>
        <v>0</v>
      </c>
      <c r="CN48" s="200">
        <f>(SUMIF(Fonctionnement[Affectation matrice],$AB$3,Fonctionnement[TVA acquittée])+SUMIF(Invest[Affectation matrice],$AB$3,Invest[TVA acquittée]))*BM48</f>
        <v>0</v>
      </c>
      <c r="CO48" s="200">
        <f>(SUMIF(Fonctionnement[Affectation matrice],$AB$3,Fonctionnement[TVA acquittée])+SUMIF(Invest[Affectation matrice],$AB$3,Invest[TVA acquittée]))*BN48</f>
        <v>0</v>
      </c>
      <c r="CP48" s="200">
        <f>(SUMIF(Fonctionnement[Affectation matrice],$AB$3,Fonctionnement[TVA acquittée])+SUMIF(Invest[Affectation matrice],$AB$3,Invest[TVA acquittée]))*BO48</f>
        <v>0</v>
      </c>
      <c r="CQ48" s="200">
        <f>(SUMIF(Fonctionnement[Affectation matrice],$AB$3,Fonctionnement[TVA acquittée])+SUMIF(Invest[Affectation matrice],$AB$3,Invest[TVA acquittée]))*BP48</f>
        <v>0</v>
      </c>
      <c r="CR48" s="200">
        <f>(SUMIF(Fonctionnement[Affectation matrice],$AB$3,Fonctionnement[TVA acquittée])+SUMIF(Invest[Affectation matrice],$AB$3,Invest[TVA acquittée]))*BQ48</f>
        <v>0</v>
      </c>
      <c r="CS48" s="200">
        <f>(SUMIF(Fonctionnement[Affectation matrice],$AB$3,Fonctionnement[TVA acquittée])+SUMIF(Invest[Affectation matrice],$AB$3,Invest[TVA acquittée]))*BR48</f>
        <v>0</v>
      </c>
      <c r="CT48" s="200">
        <f>(SUMIF(Fonctionnement[Affectation matrice],$AB$3,Fonctionnement[TVA acquittée])+SUMIF(Invest[Affectation matrice],$AB$3,Invest[TVA acquittée]))*BS48</f>
        <v>0</v>
      </c>
      <c r="CU48" s="200">
        <f>(SUMIF(Fonctionnement[Affectation matrice],$AB$3,Fonctionnement[TVA acquittée])+SUMIF(Invest[Affectation matrice],$AB$3,Invest[TVA acquittée]))*BT48</f>
        <v>0</v>
      </c>
      <c r="CV48" s="200">
        <f>(SUMIF(Fonctionnement[Affectation matrice],$AB$3,Fonctionnement[TVA acquittée])+SUMIF(Invest[Affectation matrice],$AB$3,Invest[TVA acquittée]))*BU48</f>
        <v>0</v>
      </c>
      <c r="CW48" s="200">
        <f>(SUMIF(Fonctionnement[Affectation matrice],$AB$3,Fonctionnement[TVA acquittée])+SUMIF(Invest[Affectation matrice],$AB$3,Invest[TVA acquittée]))*BV48</f>
        <v>0</v>
      </c>
      <c r="CX48" s="200">
        <f>(SUMIF(Fonctionnement[Affectation matrice],$AB$3,Fonctionnement[TVA acquittée])+SUMIF(Invest[Affectation matrice],$AB$3,Invest[TVA acquittée]))*BW48</f>
        <v>0</v>
      </c>
      <c r="CY48" s="200">
        <f>(SUMIF(Fonctionnement[Affectation matrice],$AB$3,Fonctionnement[TVA acquittée])+SUMIF(Invest[Affectation matrice],$AB$3,Invest[TVA acquittée]))*BX48</f>
        <v>0</v>
      </c>
      <c r="CZ48" s="200">
        <f>(SUMIF(Fonctionnement[Affectation matrice],$AB$3,Fonctionnement[TVA acquittée])+SUMIF(Invest[Affectation matrice],$AB$3,Invest[TVA acquittée]))*BY48</f>
        <v>0</v>
      </c>
      <c r="DA48" s="200">
        <f>(SUMIF(Fonctionnement[Affectation matrice],$AB$3,Fonctionnement[TVA acquittée])+SUMIF(Invest[Affectation matrice],$AB$3,Invest[TVA acquittée]))*BZ48</f>
        <v>0</v>
      </c>
      <c r="DB48" s="200">
        <f>(SUMIF(Fonctionnement[Affectation matrice],$AB$3,Fonctionnement[TVA acquittée])+SUMIF(Invest[Affectation matrice],$AB$3,Invest[TVA acquittée]))*CA48</f>
        <v>0</v>
      </c>
    </row>
    <row r="49" spans="1:107" ht="12.75" hidden="1" customHeight="1" x14ac:dyDescent="0.25">
      <c r="A49" s="42">
        <f>Matrice[[#This Row],[Ligne de la matrice]]</f>
        <v>0</v>
      </c>
      <c r="B49" s="198">
        <f>(SUMIF(Fonctionnement[Affectation matrice],$AB$3,Fonctionnement[Montant (€HT)])+SUMIF(Invest[Affectation matrice],$AB$3,Invest[Amortissement HT + intérêts]))*BC49</f>
        <v>0</v>
      </c>
      <c r="C49" s="198">
        <f>(SUMIF(Fonctionnement[Affectation matrice],$AB$3,Fonctionnement[Montant (€HT)])+SUMIF(Invest[Affectation matrice],$AB$3,Invest[Amortissement HT + intérêts]))*BD49</f>
        <v>0</v>
      </c>
      <c r="D49" s="198">
        <f>(SUMIF(Fonctionnement[Affectation matrice],$AB$3,Fonctionnement[Montant (€HT)])+SUMIF(Invest[Affectation matrice],$AB$3,Invest[Amortissement HT + intérêts]))*BE49</f>
        <v>0</v>
      </c>
      <c r="E49" s="198">
        <f>(SUMIF(Fonctionnement[Affectation matrice],$AB$3,Fonctionnement[Montant (€HT)])+SUMIF(Invest[Affectation matrice],$AB$3,Invest[Amortissement HT + intérêts]))*BF49</f>
        <v>0</v>
      </c>
      <c r="F49" s="198">
        <f>(SUMIF(Fonctionnement[Affectation matrice],$AB$3,Fonctionnement[Montant (€HT)])+SUMIF(Invest[Affectation matrice],$AB$3,Invest[Amortissement HT + intérêts]))*BG49</f>
        <v>0</v>
      </c>
      <c r="G49" s="198">
        <f>(SUMIF(Fonctionnement[Affectation matrice],$AB$3,Fonctionnement[Montant (€HT)])+SUMIF(Invest[Affectation matrice],$AB$3,Invest[Amortissement HT + intérêts]))*BH49</f>
        <v>0</v>
      </c>
      <c r="H49" s="198">
        <f>(SUMIF(Fonctionnement[Affectation matrice],$AB$3,Fonctionnement[Montant (€HT)])+SUMIF(Invest[Affectation matrice],$AB$3,Invest[Amortissement HT + intérêts]))*BI49</f>
        <v>0</v>
      </c>
      <c r="I49" s="198">
        <f>(SUMIF(Fonctionnement[Affectation matrice],$AB$3,Fonctionnement[Montant (€HT)])+SUMIF(Invest[Affectation matrice],$AB$3,Invest[Amortissement HT + intérêts]))*BJ49</f>
        <v>0</v>
      </c>
      <c r="J49" s="198">
        <f>(SUMIF(Fonctionnement[Affectation matrice],$AB$3,Fonctionnement[Montant (€HT)])+SUMIF(Invest[Affectation matrice],$AB$3,Invest[Amortissement HT + intérêts]))*BK49</f>
        <v>0</v>
      </c>
      <c r="K49" s="198">
        <f>(SUMIF(Fonctionnement[Affectation matrice],$AB$3,Fonctionnement[Montant (€HT)])+SUMIF(Invest[Affectation matrice],$AB$3,Invest[Amortissement HT + intérêts]))*BL49</f>
        <v>0</v>
      </c>
      <c r="L49" s="198">
        <f>(SUMIF(Fonctionnement[Affectation matrice],$AB$3,Fonctionnement[Montant (€HT)])+SUMIF(Invest[Affectation matrice],$AB$3,Invest[Amortissement HT + intérêts]))*BM49</f>
        <v>0</v>
      </c>
      <c r="M49" s="198">
        <f>(SUMIF(Fonctionnement[Affectation matrice],$AB$3,Fonctionnement[Montant (€HT)])+SUMIF(Invest[Affectation matrice],$AB$3,Invest[Amortissement HT + intérêts]))*BN49</f>
        <v>0</v>
      </c>
      <c r="N49" s="198">
        <f>(SUMIF(Fonctionnement[Affectation matrice],$AB$3,Fonctionnement[Montant (€HT)])+SUMIF(Invest[Affectation matrice],$AB$3,Invest[Amortissement HT + intérêts]))*BO49</f>
        <v>0</v>
      </c>
      <c r="O49" s="198">
        <f>(SUMIF(Fonctionnement[Affectation matrice],$AB$3,Fonctionnement[Montant (€HT)])+SUMIF(Invest[Affectation matrice],$AB$3,Invest[Amortissement HT + intérêts]))*BP49</f>
        <v>0</v>
      </c>
      <c r="P49" s="198">
        <f>(SUMIF(Fonctionnement[Affectation matrice],$AB$3,Fonctionnement[Montant (€HT)])+SUMIF(Invest[Affectation matrice],$AB$3,Invest[Amortissement HT + intérêts]))*BQ49</f>
        <v>0</v>
      </c>
      <c r="Q49" s="198">
        <f>(SUMIF(Fonctionnement[Affectation matrice],$AB$3,Fonctionnement[Montant (€HT)])+SUMIF(Invest[Affectation matrice],$AB$3,Invest[Amortissement HT + intérêts]))*BR49</f>
        <v>0</v>
      </c>
      <c r="R49" s="198">
        <f>(SUMIF(Fonctionnement[Affectation matrice],$AB$3,Fonctionnement[Montant (€HT)])+SUMIF(Invest[Affectation matrice],$AB$3,Invest[Amortissement HT + intérêts]))*BS49</f>
        <v>0</v>
      </c>
      <c r="S49" s="198">
        <f>(SUMIF(Fonctionnement[Affectation matrice],$AB$3,Fonctionnement[Montant (€HT)])+SUMIF(Invest[Affectation matrice],$AB$3,Invest[Amortissement HT + intérêts]))*BT49</f>
        <v>0</v>
      </c>
      <c r="T49" s="198">
        <f>(SUMIF(Fonctionnement[Affectation matrice],$AB$3,Fonctionnement[Montant (€HT)])+SUMIF(Invest[Affectation matrice],$AB$3,Invest[Amortissement HT + intérêts]))*BU49</f>
        <v>0</v>
      </c>
      <c r="U49" s="198">
        <f>(SUMIF(Fonctionnement[Affectation matrice],$AB$3,Fonctionnement[Montant (€HT)])+SUMIF(Invest[Affectation matrice],$AB$3,Invest[Amortissement HT + intérêts]))*BV49</f>
        <v>0</v>
      </c>
      <c r="V49" s="198">
        <f>(SUMIF(Fonctionnement[Affectation matrice],$AB$3,Fonctionnement[Montant (€HT)])+SUMIF(Invest[Affectation matrice],$AB$3,Invest[Amortissement HT + intérêts]))*BW49</f>
        <v>0</v>
      </c>
      <c r="W49" s="198">
        <f>(SUMIF(Fonctionnement[Affectation matrice],$AB$3,Fonctionnement[Montant (€HT)])+SUMIF(Invest[Affectation matrice],$AB$3,Invest[Amortissement HT + intérêts]))*BX49</f>
        <v>0</v>
      </c>
      <c r="X49" s="198">
        <f>(SUMIF(Fonctionnement[Affectation matrice],$AB$3,Fonctionnement[Montant (€HT)])+SUMIF(Invest[Affectation matrice],$AB$3,Invest[Amortissement HT + intérêts]))*BY49</f>
        <v>0</v>
      </c>
      <c r="Y49" s="198">
        <f>(SUMIF(Fonctionnement[Affectation matrice],$AB$3,Fonctionnement[Montant (€HT)])+SUMIF(Invest[Affectation matrice],$AB$3,Invest[Amortissement HT + intérêts]))*BZ49</f>
        <v>0</v>
      </c>
      <c r="Z49" s="198">
        <f>(SUMIF(Fonctionnement[Affectation matrice],$AB$3,Fonctionnement[Montant (€HT)])+SUMIF(Invest[Affectation matrice],$AB$3,Invest[Amortissement HT + intérêts]))*CA49</f>
        <v>0</v>
      </c>
      <c r="AA49" s="199"/>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283">
        <f t="shared" si="4"/>
        <v>0</v>
      </c>
      <c r="BC49" s="61">
        <f t="shared" si="12"/>
        <v>0</v>
      </c>
      <c r="BD49" s="61">
        <f t="shared" si="12"/>
        <v>0</v>
      </c>
      <c r="BE49" s="61">
        <f t="shared" si="12"/>
        <v>0</v>
      </c>
      <c r="BF49" s="61">
        <f t="shared" si="12"/>
        <v>0</v>
      </c>
      <c r="BG49" s="61">
        <f t="shared" si="12"/>
        <v>0</v>
      </c>
      <c r="BH49" s="61">
        <f t="shared" si="12"/>
        <v>0</v>
      </c>
      <c r="BI49" s="61">
        <f t="shared" si="12"/>
        <v>0</v>
      </c>
      <c r="BJ49" s="61">
        <f t="shared" si="12"/>
        <v>0</v>
      </c>
      <c r="BK49" s="61">
        <f t="shared" si="12"/>
        <v>0</v>
      </c>
      <c r="BL49" s="61">
        <f t="shared" si="12"/>
        <v>0</v>
      </c>
      <c r="BM49" s="61">
        <f t="shared" si="12"/>
        <v>0</v>
      </c>
      <c r="BN49" s="61">
        <f t="shared" si="12"/>
        <v>0</v>
      </c>
      <c r="BO49" s="61">
        <f t="shared" si="12"/>
        <v>0</v>
      </c>
      <c r="BP49" s="61">
        <f t="shared" si="12"/>
        <v>0</v>
      </c>
      <c r="BQ49" s="61">
        <f t="shared" si="12"/>
        <v>0</v>
      </c>
      <c r="BR49" s="61">
        <f t="shared" si="12"/>
        <v>0</v>
      </c>
      <c r="BS49" s="61">
        <f t="shared" si="13"/>
        <v>0</v>
      </c>
      <c r="BT49" s="61">
        <f t="shared" si="13"/>
        <v>0</v>
      </c>
      <c r="BU49" s="61">
        <f t="shared" si="13"/>
        <v>0</v>
      </c>
      <c r="BV49" s="61">
        <f t="shared" si="13"/>
        <v>0</v>
      </c>
      <c r="BW49" s="61">
        <f t="shared" si="13"/>
        <v>0</v>
      </c>
      <c r="BX49" s="61">
        <f t="shared" si="13"/>
        <v>0</v>
      </c>
      <c r="BY49" s="61">
        <f t="shared" si="13"/>
        <v>0</v>
      </c>
      <c r="BZ49" s="61">
        <f t="shared" si="13"/>
        <v>0</v>
      </c>
      <c r="CA49" s="61">
        <f t="shared" si="13"/>
        <v>0</v>
      </c>
      <c r="CB49" s="61">
        <f t="shared" si="5"/>
        <v>0</v>
      </c>
      <c r="CD49" s="200">
        <f>(SUMIF(Fonctionnement[Affectation matrice],$AB$3,Fonctionnement[TVA acquittée])+SUMIF(Invest[Affectation matrice],$AB$3,Invest[TVA acquittée]))*BC49</f>
        <v>0</v>
      </c>
      <c r="CE49" s="200">
        <f>(SUMIF(Fonctionnement[Affectation matrice],$AB$3,Fonctionnement[TVA acquittée])+SUMIF(Invest[Affectation matrice],$AB$3,Invest[TVA acquittée]))*BD49</f>
        <v>0</v>
      </c>
      <c r="CF49" s="200">
        <f>(SUMIF(Fonctionnement[Affectation matrice],$AB$3,Fonctionnement[TVA acquittée])+SUMIF(Invest[Affectation matrice],$AB$3,Invest[TVA acquittée]))*BE49</f>
        <v>0</v>
      </c>
      <c r="CG49" s="200">
        <f>(SUMIF(Fonctionnement[Affectation matrice],$AB$3,Fonctionnement[TVA acquittée])+SUMIF(Invest[Affectation matrice],$AB$3,Invest[TVA acquittée]))*BF49</f>
        <v>0</v>
      </c>
      <c r="CH49" s="200">
        <f>(SUMIF(Fonctionnement[Affectation matrice],$AB$3,Fonctionnement[TVA acquittée])+SUMIF(Invest[Affectation matrice],$AB$3,Invest[TVA acquittée]))*BG49</f>
        <v>0</v>
      </c>
      <c r="CI49" s="200">
        <f>(SUMIF(Fonctionnement[Affectation matrice],$AB$3,Fonctionnement[TVA acquittée])+SUMIF(Invest[Affectation matrice],$AB$3,Invest[TVA acquittée]))*BH49</f>
        <v>0</v>
      </c>
      <c r="CJ49" s="200">
        <f>(SUMIF(Fonctionnement[Affectation matrice],$AB$3,Fonctionnement[TVA acquittée])+SUMIF(Invest[Affectation matrice],$AB$3,Invest[TVA acquittée]))*BI49</f>
        <v>0</v>
      </c>
      <c r="CK49" s="200">
        <f>(SUMIF(Fonctionnement[Affectation matrice],$AB$3,Fonctionnement[TVA acquittée])+SUMIF(Invest[Affectation matrice],$AB$3,Invest[TVA acquittée]))*BJ49</f>
        <v>0</v>
      </c>
      <c r="CL49" s="200">
        <f>(SUMIF(Fonctionnement[Affectation matrice],$AB$3,Fonctionnement[TVA acquittée])+SUMIF(Invest[Affectation matrice],$AB$3,Invest[TVA acquittée]))*BK49</f>
        <v>0</v>
      </c>
      <c r="CM49" s="200">
        <f>(SUMIF(Fonctionnement[Affectation matrice],$AB$3,Fonctionnement[TVA acquittée])+SUMIF(Invest[Affectation matrice],$AB$3,Invest[TVA acquittée]))*BL49</f>
        <v>0</v>
      </c>
      <c r="CN49" s="200">
        <f>(SUMIF(Fonctionnement[Affectation matrice],$AB$3,Fonctionnement[TVA acquittée])+SUMIF(Invest[Affectation matrice],$AB$3,Invest[TVA acquittée]))*BM49</f>
        <v>0</v>
      </c>
      <c r="CO49" s="200">
        <f>(SUMIF(Fonctionnement[Affectation matrice],$AB$3,Fonctionnement[TVA acquittée])+SUMIF(Invest[Affectation matrice],$AB$3,Invest[TVA acquittée]))*BN49</f>
        <v>0</v>
      </c>
      <c r="CP49" s="200">
        <f>(SUMIF(Fonctionnement[Affectation matrice],$AB$3,Fonctionnement[TVA acquittée])+SUMIF(Invest[Affectation matrice],$AB$3,Invest[TVA acquittée]))*BO49</f>
        <v>0</v>
      </c>
      <c r="CQ49" s="200">
        <f>(SUMIF(Fonctionnement[Affectation matrice],$AB$3,Fonctionnement[TVA acquittée])+SUMIF(Invest[Affectation matrice],$AB$3,Invest[TVA acquittée]))*BP49</f>
        <v>0</v>
      </c>
      <c r="CR49" s="200">
        <f>(SUMIF(Fonctionnement[Affectation matrice],$AB$3,Fonctionnement[TVA acquittée])+SUMIF(Invest[Affectation matrice],$AB$3,Invest[TVA acquittée]))*BQ49</f>
        <v>0</v>
      </c>
      <c r="CS49" s="200">
        <f>(SUMIF(Fonctionnement[Affectation matrice],$AB$3,Fonctionnement[TVA acquittée])+SUMIF(Invest[Affectation matrice],$AB$3,Invest[TVA acquittée]))*BR49</f>
        <v>0</v>
      </c>
      <c r="CT49" s="200">
        <f>(SUMIF(Fonctionnement[Affectation matrice],$AB$3,Fonctionnement[TVA acquittée])+SUMIF(Invest[Affectation matrice],$AB$3,Invest[TVA acquittée]))*BS49</f>
        <v>0</v>
      </c>
      <c r="CU49" s="200">
        <f>(SUMIF(Fonctionnement[Affectation matrice],$AB$3,Fonctionnement[TVA acquittée])+SUMIF(Invest[Affectation matrice],$AB$3,Invest[TVA acquittée]))*BT49</f>
        <v>0</v>
      </c>
      <c r="CV49" s="200">
        <f>(SUMIF(Fonctionnement[Affectation matrice],$AB$3,Fonctionnement[TVA acquittée])+SUMIF(Invest[Affectation matrice],$AB$3,Invest[TVA acquittée]))*BU49</f>
        <v>0</v>
      </c>
      <c r="CW49" s="200">
        <f>(SUMIF(Fonctionnement[Affectation matrice],$AB$3,Fonctionnement[TVA acquittée])+SUMIF(Invest[Affectation matrice],$AB$3,Invest[TVA acquittée]))*BV49</f>
        <v>0</v>
      </c>
      <c r="CX49" s="200">
        <f>(SUMIF(Fonctionnement[Affectation matrice],$AB$3,Fonctionnement[TVA acquittée])+SUMIF(Invest[Affectation matrice],$AB$3,Invest[TVA acquittée]))*BW49</f>
        <v>0</v>
      </c>
      <c r="CY49" s="200">
        <f>(SUMIF(Fonctionnement[Affectation matrice],$AB$3,Fonctionnement[TVA acquittée])+SUMIF(Invest[Affectation matrice],$AB$3,Invest[TVA acquittée]))*BX49</f>
        <v>0</v>
      </c>
      <c r="CZ49" s="200">
        <f>(SUMIF(Fonctionnement[Affectation matrice],$AB$3,Fonctionnement[TVA acquittée])+SUMIF(Invest[Affectation matrice],$AB$3,Invest[TVA acquittée]))*BY49</f>
        <v>0</v>
      </c>
      <c r="DA49" s="200">
        <f>(SUMIF(Fonctionnement[Affectation matrice],$AB$3,Fonctionnement[TVA acquittée])+SUMIF(Invest[Affectation matrice],$AB$3,Invest[TVA acquittée]))*BZ49</f>
        <v>0</v>
      </c>
      <c r="DB49" s="200">
        <f>(SUMIF(Fonctionnement[Affectation matrice],$AB$3,Fonctionnement[TVA acquittée])+SUMIF(Invest[Affectation matrice],$AB$3,Invest[TVA acquittée]))*CA49</f>
        <v>0</v>
      </c>
    </row>
    <row r="50" spans="1:107" ht="12.75" hidden="1" customHeight="1" x14ac:dyDescent="0.25">
      <c r="A50" s="42">
        <f>Matrice[[#This Row],[Ligne de la matrice]]</f>
        <v>0</v>
      </c>
      <c r="B50" s="198">
        <f>(SUMIF(Fonctionnement[Affectation matrice],$AB$3,Fonctionnement[Montant (€HT)])+SUMIF(Invest[Affectation matrice],$AB$3,Invest[Amortissement HT + intérêts]))*BC50</f>
        <v>0</v>
      </c>
      <c r="C50" s="198">
        <f>(SUMIF(Fonctionnement[Affectation matrice],$AB$3,Fonctionnement[Montant (€HT)])+SUMIF(Invest[Affectation matrice],$AB$3,Invest[Amortissement HT + intérêts]))*BD50</f>
        <v>0</v>
      </c>
      <c r="D50" s="198">
        <f>(SUMIF(Fonctionnement[Affectation matrice],$AB$3,Fonctionnement[Montant (€HT)])+SUMIF(Invest[Affectation matrice],$AB$3,Invest[Amortissement HT + intérêts]))*BE50</f>
        <v>0</v>
      </c>
      <c r="E50" s="198">
        <f>(SUMIF(Fonctionnement[Affectation matrice],$AB$3,Fonctionnement[Montant (€HT)])+SUMIF(Invest[Affectation matrice],$AB$3,Invest[Amortissement HT + intérêts]))*BF50</f>
        <v>0</v>
      </c>
      <c r="F50" s="198">
        <f>(SUMIF(Fonctionnement[Affectation matrice],$AB$3,Fonctionnement[Montant (€HT)])+SUMIF(Invest[Affectation matrice],$AB$3,Invest[Amortissement HT + intérêts]))*BG50</f>
        <v>0</v>
      </c>
      <c r="G50" s="198">
        <f>(SUMIF(Fonctionnement[Affectation matrice],$AB$3,Fonctionnement[Montant (€HT)])+SUMIF(Invest[Affectation matrice],$AB$3,Invest[Amortissement HT + intérêts]))*BH50</f>
        <v>0</v>
      </c>
      <c r="H50" s="198">
        <f>(SUMIF(Fonctionnement[Affectation matrice],$AB$3,Fonctionnement[Montant (€HT)])+SUMIF(Invest[Affectation matrice],$AB$3,Invest[Amortissement HT + intérêts]))*BI50</f>
        <v>0</v>
      </c>
      <c r="I50" s="198">
        <f>(SUMIF(Fonctionnement[Affectation matrice],$AB$3,Fonctionnement[Montant (€HT)])+SUMIF(Invest[Affectation matrice],$AB$3,Invest[Amortissement HT + intérêts]))*BJ50</f>
        <v>0</v>
      </c>
      <c r="J50" s="198">
        <f>(SUMIF(Fonctionnement[Affectation matrice],$AB$3,Fonctionnement[Montant (€HT)])+SUMIF(Invest[Affectation matrice],$AB$3,Invest[Amortissement HT + intérêts]))*BK50</f>
        <v>0</v>
      </c>
      <c r="K50" s="198">
        <f>(SUMIF(Fonctionnement[Affectation matrice],$AB$3,Fonctionnement[Montant (€HT)])+SUMIF(Invest[Affectation matrice],$AB$3,Invest[Amortissement HT + intérêts]))*BL50</f>
        <v>0</v>
      </c>
      <c r="L50" s="198">
        <f>(SUMIF(Fonctionnement[Affectation matrice],$AB$3,Fonctionnement[Montant (€HT)])+SUMIF(Invest[Affectation matrice],$AB$3,Invest[Amortissement HT + intérêts]))*BM50</f>
        <v>0</v>
      </c>
      <c r="M50" s="198">
        <f>(SUMIF(Fonctionnement[Affectation matrice],$AB$3,Fonctionnement[Montant (€HT)])+SUMIF(Invest[Affectation matrice],$AB$3,Invest[Amortissement HT + intérêts]))*BN50</f>
        <v>0</v>
      </c>
      <c r="N50" s="198">
        <f>(SUMIF(Fonctionnement[Affectation matrice],$AB$3,Fonctionnement[Montant (€HT)])+SUMIF(Invest[Affectation matrice],$AB$3,Invest[Amortissement HT + intérêts]))*BO50</f>
        <v>0</v>
      </c>
      <c r="O50" s="198">
        <f>(SUMIF(Fonctionnement[Affectation matrice],$AB$3,Fonctionnement[Montant (€HT)])+SUMIF(Invest[Affectation matrice],$AB$3,Invest[Amortissement HT + intérêts]))*BP50</f>
        <v>0</v>
      </c>
      <c r="P50" s="198">
        <f>(SUMIF(Fonctionnement[Affectation matrice],$AB$3,Fonctionnement[Montant (€HT)])+SUMIF(Invest[Affectation matrice],$AB$3,Invest[Amortissement HT + intérêts]))*BQ50</f>
        <v>0</v>
      </c>
      <c r="Q50" s="198">
        <f>(SUMIF(Fonctionnement[Affectation matrice],$AB$3,Fonctionnement[Montant (€HT)])+SUMIF(Invest[Affectation matrice],$AB$3,Invest[Amortissement HT + intérêts]))*BR50</f>
        <v>0</v>
      </c>
      <c r="R50" s="198">
        <f>(SUMIF(Fonctionnement[Affectation matrice],$AB$3,Fonctionnement[Montant (€HT)])+SUMIF(Invest[Affectation matrice],$AB$3,Invest[Amortissement HT + intérêts]))*BS50</f>
        <v>0</v>
      </c>
      <c r="S50" s="198">
        <f>(SUMIF(Fonctionnement[Affectation matrice],$AB$3,Fonctionnement[Montant (€HT)])+SUMIF(Invest[Affectation matrice],$AB$3,Invest[Amortissement HT + intérêts]))*BT50</f>
        <v>0</v>
      </c>
      <c r="T50" s="198">
        <f>(SUMIF(Fonctionnement[Affectation matrice],$AB$3,Fonctionnement[Montant (€HT)])+SUMIF(Invest[Affectation matrice],$AB$3,Invest[Amortissement HT + intérêts]))*BU50</f>
        <v>0</v>
      </c>
      <c r="U50" s="198">
        <f>(SUMIF(Fonctionnement[Affectation matrice],$AB$3,Fonctionnement[Montant (€HT)])+SUMIF(Invest[Affectation matrice],$AB$3,Invest[Amortissement HT + intérêts]))*BV50</f>
        <v>0</v>
      </c>
      <c r="V50" s="198">
        <f>(SUMIF(Fonctionnement[Affectation matrice],$AB$3,Fonctionnement[Montant (€HT)])+SUMIF(Invest[Affectation matrice],$AB$3,Invest[Amortissement HT + intérêts]))*BW50</f>
        <v>0</v>
      </c>
      <c r="W50" s="198">
        <f>(SUMIF(Fonctionnement[Affectation matrice],$AB$3,Fonctionnement[Montant (€HT)])+SUMIF(Invest[Affectation matrice],$AB$3,Invest[Amortissement HT + intérêts]))*BX50</f>
        <v>0</v>
      </c>
      <c r="X50" s="198">
        <f>(SUMIF(Fonctionnement[Affectation matrice],$AB$3,Fonctionnement[Montant (€HT)])+SUMIF(Invest[Affectation matrice],$AB$3,Invest[Amortissement HT + intérêts]))*BY50</f>
        <v>0</v>
      </c>
      <c r="Y50" s="198">
        <f>(SUMIF(Fonctionnement[Affectation matrice],$AB$3,Fonctionnement[Montant (€HT)])+SUMIF(Invest[Affectation matrice],$AB$3,Invest[Amortissement HT + intérêts]))*BZ50</f>
        <v>0</v>
      </c>
      <c r="Z50" s="198">
        <f>(SUMIF(Fonctionnement[Affectation matrice],$AB$3,Fonctionnement[Montant (€HT)])+SUMIF(Invest[Affectation matrice],$AB$3,Invest[Amortissement HT + intérêts]))*CA50</f>
        <v>0</v>
      </c>
      <c r="AA50" s="199"/>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283">
        <f t="shared" si="4"/>
        <v>0</v>
      </c>
      <c r="BC50" s="61">
        <f t="shared" si="12"/>
        <v>0</v>
      </c>
      <c r="BD50" s="61">
        <f t="shared" si="12"/>
        <v>0</v>
      </c>
      <c r="BE50" s="61">
        <f t="shared" si="12"/>
        <v>0</v>
      </c>
      <c r="BF50" s="61">
        <f t="shared" si="12"/>
        <v>0</v>
      </c>
      <c r="BG50" s="61">
        <f t="shared" si="12"/>
        <v>0</v>
      </c>
      <c r="BH50" s="61">
        <f t="shared" si="12"/>
        <v>0</v>
      </c>
      <c r="BI50" s="61">
        <f t="shared" si="12"/>
        <v>0</v>
      </c>
      <c r="BJ50" s="61">
        <f t="shared" si="12"/>
        <v>0</v>
      </c>
      <c r="BK50" s="61">
        <f t="shared" si="12"/>
        <v>0</v>
      </c>
      <c r="BL50" s="61">
        <f t="shared" si="12"/>
        <v>0</v>
      </c>
      <c r="BM50" s="61">
        <f t="shared" si="12"/>
        <v>0</v>
      </c>
      <c r="BN50" s="61">
        <f t="shared" si="12"/>
        <v>0</v>
      </c>
      <c r="BO50" s="61">
        <f t="shared" si="12"/>
        <v>0</v>
      </c>
      <c r="BP50" s="61">
        <f t="shared" si="12"/>
        <v>0</v>
      </c>
      <c r="BQ50" s="61">
        <f t="shared" si="12"/>
        <v>0</v>
      </c>
      <c r="BR50" s="61">
        <f t="shared" si="12"/>
        <v>0</v>
      </c>
      <c r="BS50" s="61">
        <f t="shared" si="13"/>
        <v>0</v>
      </c>
      <c r="BT50" s="61">
        <f t="shared" si="13"/>
        <v>0</v>
      </c>
      <c r="BU50" s="61">
        <f t="shared" si="13"/>
        <v>0</v>
      </c>
      <c r="BV50" s="61">
        <f t="shared" si="13"/>
        <v>0</v>
      </c>
      <c r="BW50" s="61">
        <f t="shared" si="13"/>
        <v>0</v>
      </c>
      <c r="BX50" s="61">
        <f t="shared" si="13"/>
        <v>0</v>
      </c>
      <c r="BY50" s="61">
        <f t="shared" si="13"/>
        <v>0</v>
      </c>
      <c r="BZ50" s="61">
        <f t="shared" si="13"/>
        <v>0</v>
      </c>
      <c r="CA50" s="61">
        <f t="shared" si="13"/>
        <v>0</v>
      </c>
      <c r="CB50" s="61">
        <f t="shared" si="5"/>
        <v>0</v>
      </c>
      <c r="CD50" s="200">
        <f>(SUMIF(Fonctionnement[Affectation matrice],$AB$3,Fonctionnement[TVA acquittée])+SUMIF(Invest[Affectation matrice],$AB$3,Invest[TVA acquittée]))*BC50</f>
        <v>0</v>
      </c>
      <c r="CE50" s="200">
        <f>(SUMIF(Fonctionnement[Affectation matrice],$AB$3,Fonctionnement[TVA acquittée])+SUMIF(Invest[Affectation matrice],$AB$3,Invest[TVA acquittée]))*BD50</f>
        <v>0</v>
      </c>
      <c r="CF50" s="200">
        <f>(SUMIF(Fonctionnement[Affectation matrice],$AB$3,Fonctionnement[TVA acquittée])+SUMIF(Invest[Affectation matrice],$AB$3,Invest[TVA acquittée]))*BE50</f>
        <v>0</v>
      </c>
      <c r="CG50" s="200">
        <f>(SUMIF(Fonctionnement[Affectation matrice],$AB$3,Fonctionnement[TVA acquittée])+SUMIF(Invest[Affectation matrice],$AB$3,Invest[TVA acquittée]))*BF50</f>
        <v>0</v>
      </c>
      <c r="CH50" s="200">
        <f>(SUMIF(Fonctionnement[Affectation matrice],$AB$3,Fonctionnement[TVA acquittée])+SUMIF(Invest[Affectation matrice],$AB$3,Invest[TVA acquittée]))*BG50</f>
        <v>0</v>
      </c>
      <c r="CI50" s="200">
        <f>(SUMIF(Fonctionnement[Affectation matrice],$AB$3,Fonctionnement[TVA acquittée])+SUMIF(Invest[Affectation matrice],$AB$3,Invest[TVA acquittée]))*BH50</f>
        <v>0</v>
      </c>
      <c r="CJ50" s="200">
        <f>(SUMIF(Fonctionnement[Affectation matrice],$AB$3,Fonctionnement[TVA acquittée])+SUMIF(Invest[Affectation matrice],$AB$3,Invest[TVA acquittée]))*BI50</f>
        <v>0</v>
      </c>
      <c r="CK50" s="200">
        <f>(SUMIF(Fonctionnement[Affectation matrice],$AB$3,Fonctionnement[TVA acquittée])+SUMIF(Invest[Affectation matrice],$AB$3,Invest[TVA acquittée]))*BJ50</f>
        <v>0</v>
      </c>
      <c r="CL50" s="200">
        <f>(SUMIF(Fonctionnement[Affectation matrice],$AB$3,Fonctionnement[TVA acquittée])+SUMIF(Invest[Affectation matrice],$AB$3,Invest[TVA acquittée]))*BK50</f>
        <v>0</v>
      </c>
      <c r="CM50" s="200">
        <f>(SUMIF(Fonctionnement[Affectation matrice],$AB$3,Fonctionnement[TVA acquittée])+SUMIF(Invest[Affectation matrice],$AB$3,Invest[TVA acquittée]))*BL50</f>
        <v>0</v>
      </c>
      <c r="CN50" s="200">
        <f>(SUMIF(Fonctionnement[Affectation matrice],$AB$3,Fonctionnement[TVA acquittée])+SUMIF(Invest[Affectation matrice],$AB$3,Invest[TVA acquittée]))*BM50</f>
        <v>0</v>
      </c>
      <c r="CO50" s="200">
        <f>(SUMIF(Fonctionnement[Affectation matrice],$AB$3,Fonctionnement[TVA acquittée])+SUMIF(Invest[Affectation matrice],$AB$3,Invest[TVA acquittée]))*BN50</f>
        <v>0</v>
      </c>
      <c r="CP50" s="200">
        <f>(SUMIF(Fonctionnement[Affectation matrice],$AB$3,Fonctionnement[TVA acquittée])+SUMIF(Invest[Affectation matrice],$AB$3,Invest[TVA acquittée]))*BO50</f>
        <v>0</v>
      </c>
      <c r="CQ50" s="200">
        <f>(SUMIF(Fonctionnement[Affectation matrice],$AB$3,Fonctionnement[TVA acquittée])+SUMIF(Invest[Affectation matrice],$AB$3,Invest[TVA acquittée]))*BP50</f>
        <v>0</v>
      </c>
      <c r="CR50" s="200">
        <f>(SUMIF(Fonctionnement[Affectation matrice],$AB$3,Fonctionnement[TVA acquittée])+SUMIF(Invest[Affectation matrice],$AB$3,Invest[TVA acquittée]))*BQ50</f>
        <v>0</v>
      </c>
      <c r="CS50" s="200">
        <f>(SUMIF(Fonctionnement[Affectation matrice],$AB$3,Fonctionnement[TVA acquittée])+SUMIF(Invest[Affectation matrice],$AB$3,Invest[TVA acquittée]))*BR50</f>
        <v>0</v>
      </c>
      <c r="CT50" s="200">
        <f>(SUMIF(Fonctionnement[Affectation matrice],$AB$3,Fonctionnement[TVA acquittée])+SUMIF(Invest[Affectation matrice],$AB$3,Invest[TVA acquittée]))*BS50</f>
        <v>0</v>
      </c>
      <c r="CU50" s="200">
        <f>(SUMIF(Fonctionnement[Affectation matrice],$AB$3,Fonctionnement[TVA acquittée])+SUMIF(Invest[Affectation matrice],$AB$3,Invest[TVA acquittée]))*BT50</f>
        <v>0</v>
      </c>
      <c r="CV50" s="200">
        <f>(SUMIF(Fonctionnement[Affectation matrice],$AB$3,Fonctionnement[TVA acquittée])+SUMIF(Invest[Affectation matrice],$AB$3,Invest[TVA acquittée]))*BU50</f>
        <v>0</v>
      </c>
      <c r="CW50" s="200">
        <f>(SUMIF(Fonctionnement[Affectation matrice],$AB$3,Fonctionnement[TVA acquittée])+SUMIF(Invest[Affectation matrice],$AB$3,Invest[TVA acquittée]))*BV50</f>
        <v>0</v>
      </c>
      <c r="CX50" s="200">
        <f>(SUMIF(Fonctionnement[Affectation matrice],$AB$3,Fonctionnement[TVA acquittée])+SUMIF(Invest[Affectation matrice],$AB$3,Invest[TVA acquittée]))*BW50</f>
        <v>0</v>
      </c>
      <c r="CY50" s="200">
        <f>(SUMIF(Fonctionnement[Affectation matrice],$AB$3,Fonctionnement[TVA acquittée])+SUMIF(Invest[Affectation matrice],$AB$3,Invest[TVA acquittée]))*BX50</f>
        <v>0</v>
      </c>
      <c r="CZ50" s="200">
        <f>(SUMIF(Fonctionnement[Affectation matrice],$AB$3,Fonctionnement[TVA acquittée])+SUMIF(Invest[Affectation matrice],$AB$3,Invest[TVA acquittée]))*BY50</f>
        <v>0</v>
      </c>
      <c r="DA50" s="200">
        <f>(SUMIF(Fonctionnement[Affectation matrice],$AB$3,Fonctionnement[TVA acquittée])+SUMIF(Invest[Affectation matrice],$AB$3,Invest[TVA acquittée]))*BZ50</f>
        <v>0</v>
      </c>
      <c r="DB50" s="200">
        <f>(SUMIF(Fonctionnement[Affectation matrice],$AB$3,Fonctionnement[TVA acquittée])+SUMIF(Invest[Affectation matrice],$AB$3,Invest[TVA acquittée]))*CA50</f>
        <v>0</v>
      </c>
    </row>
    <row r="51" spans="1:107" ht="12.75" hidden="1" customHeight="1" x14ac:dyDescent="0.25">
      <c r="A51" s="42">
        <f>Matrice[[#This Row],[Ligne de la matrice]]</f>
        <v>0</v>
      </c>
      <c r="B51" s="198">
        <f>(SUMIF(Fonctionnement[Affectation matrice],$AB$3,Fonctionnement[Montant (€HT)])+SUMIF(Invest[Affectation matrice],$AB$3,Invest[Amortissement HT + intérêts]))*BC51</f>
        <v>0</v>
      </c>
      <c r="C51" s="198">
        <f>(SUMIF(Fonctionnement[Affectation matrice],$AB$3,Fonctionnement[Montant (€HT)])+SUMIF(Invest[Affectation matrice],$AB$3,Invest[Amortissement HT + intérêts]))*BD51</f>
        <v>0</v>
      </c>
      <c r="D51" s="198">
        <f>(SUMIF(Fonctionnement[Affectation matrice],$AB$3,Fonctionnement[Montant (€HT)])+SUMIF(Invest[Affectation matrice],$AB$3,Invest[Amortissement HT + intérêts]))*BE51</f>
        <v>0</v>
      </c>
      <c r="E51" s="198">
        <f>(SUMIF(Fonctionnement[Affectation matrice],$AB$3,Fonctionnement[Montant (€HT)])+SUMIF(Invest[Affectation matrice],$AB$3,Invest[Amortissement HT + intérêts]))*BF51</f>
        <v>0</v>
      </c>
      <c r="F51" s="198">
        <f>(SUMIF(Fonctionnement[Affectation matrice],$AB$3,Fonctionnement[Montant (€HT)])+SUMIF(Invest[Affectation matrice],$AB$3,Invest[Amortissement HT + intérêts]))*BG51</f>
        <v>0</v>
      </c>
      <c r="G51" s="198">
        <f>(SUMIF(Fonctionnement[Affectation matrice],$AB$3,Fonctionnement[Montant (€HT)])+SUMIF(Invest[Affectation matrice],$AB$3,Invest[Amortissement HT + intérêts]))*BH51</f>
        <v>0</v>
      </c>
      <c r="H51" s="198">
        <f>(SUMIF(Fonctionnement[Affectation matrice],$AB$3,Fonctionnement[Montant (€HT)])+SUMIF(Invest[Affectation matrice],$AB$3,Invest[Amortissement HT + intérêts]))*BI51</f>
        <v>0</v>
      </c>
      <c r="I51" s="198">
        <f>(SUMIF(Fonctionnement[Affectation matrice],$AB$3,Fonctionnement[Montant (€HT)])+SUMIF(Invest[Affectation matrice],$AB$3,Invest[Amortissement HT + intérêts]))*BJ51</f>
        <v>0</v>
      </c>
      <c r="J51" s="198">
        <f>(SUMIF(Fonctionnement[Affectation matrice],$AB$3,Fonctionnement[Montant (€HT)])+SUMIF(Invest[Affectation matrice],$AB$3,Invest[Amortissement HT + intérêts]))*BK51</f>
        <v>0</v>
      </c>
      <c r="K51" s="198">
        <f>(SUMIF(Fonctionnement[Affectation matrice],$AB$3,Fonctionnement[Montant (€HT)])+SUMIF(Invest[Affectation matrice],$AB$3,Invest[Amortissement HT + intérêts]))*BL51</f>
        <v>0</v>
      </c>
      <c r="L51" s="198">
        <f>(SUMIF(Fonctionnement[Affectation matrice],$AB$3,Fonctionnement[Montant (€HT)])+SUMIF(Invest[Affectation matrice],$AB$3,Invest[Amortissement HT + intérêts]))*BM51</f>
        <v>0</v>
      </c>
      <c r="M51" s="198">
        <f>(SUMIF(Fonctionnement[Affectation matrice],$AB$3,Fonctionnement[Montant (€HT)])+SUMIF(Invest[Affectation matrice],$AB$3,Invest[Amortissement HT + intérêts]))*BN51</f>
        <v>0</v>
      </c>
      <c r="N51" s="198">
        <f>(SUMIF(Fonctionnement[Affectation matrice],$AB$3,Fonctionnement[Montant (€HT)])+SUMIF(Invest[Affectation matrice],$AB$3,Invest[Amortissement HT + intérêts]))*BO51</f>
        <v>0</v>
      </c>
      <c r="O51" s="198">
        <f>(SUMIF(Fonctionnement[Affectation matrice],$AB$3,Fonctionnement[Montant (€HT)])+SUMIF(Invest[Affectation matrice],$AB$3,Invest[Amortissement HT + intérêts]))*BP51</f>
        <v>0</v>
      </c>
      <c r="P51" s="198">
        <f>(SUMIF(Fonctionnement[Affectation matrice],$AB$3,Fonctionnement[Montant (€HT)])+SUMIF(Invest[Affectation matrice],$AB$3,Invest[Amortissement HT + intérêts]))*BQ51</f>
        <v>0</v>
      </c>
      <c r="Q51" s="198">
        <f>(SUMIF(Fonctionnement[Affectation matrice],$AB$3,Fonctionnement[Montant (€HT)])+SUMIF(Invest[Affectation matrice],$AB$3,Invest[Amortissement HT + intérêts]))*BR51</f>
        <v>0</v>
      </c>
      <c r="R51" s="198">
        <f>(SUMIF(Fonctionnement[Affectation matrice],$AB$3,Fonctionnement[Montant (€HT)])+SUMIF(Invest[Affectation matrice],$AB$3,Invest[Amortissement HT + intérêts]))*BS51</f>
        <v>0</v>
      </c>
      <c r="S51" s="198">
        <f>(SUMIF(Fonctionnement[Affectation matrice],$AB$3,Fonctionnement[Montant (€HT)])+SUMIF(Invest[Affectation matrice],$AB$3,Invest[Amortissement HT + intérêts]))*BT51</f>
        <v>0</v>
      </c>
      <c r="T51" s="198">
        <f>(SUMIF(Fonctionnement[Affectation matrice],$AB$3,Fonctionnement[Montant (€HT)])+SUMIF(Invest[Affectation matrice],$AB$3,Invest[Amortissement HT + intérêts]))*BU51</f>
        <v>0</v>
      </c>
      <c r="U51" s="198">
        <f>(SUMIF(Fonctionnement[Affectation matrice],$AB$3,Fonctionnement[Montant (€HT)])+SUMIF(Invest[Affectation matrice],$AB$3,Invest[Amortissement HT + intérêts]))*BV51</f>
        <v>0</v>
      </c>
      <c r="V51" s="198">
        <f>(SUMIF(Fonctionnement[Affectation matrice],$AB$3,Fonctionnement[Montant (€HT)])+SUMIF(Invest[Affectation matrice],$AB$3,Invest[Amortissement HT + intérêts]))*BW51</f>
        <v>0</v>
      </c>
      <c r="W51" s="198">
        <f>(SUMIF(Fonctionnement[Affectation matrice],$AB$3,Fonctionnement[Montant (€HT)])+SUMIF(Invest[Affectation matrice],$AB$3,Invest[Amortissement HT + intérêts]))*BX51</f>
        <v>0</v>
      </c>
      <c r="X51" s="198">
        <f>(SUMIF(Fonctionnement[Affectation matrice],$AB$3,Fonctionnement[Montant (€HT)])+SUMIF(Invest[Affectation matrice],$AB$3,Invest[Amortissement HT + intérêts]))*BY51</f>
        <v>0</v>
      </c>
      <c r="Y51" s="198">
        <f>(SUMIF(Fonctionnement[Affectation matrice],$AB$3,Fonctionnement[Montant (€HT)])+SUMIF(Invest[Affectation matrice],$AB$3,Invest[Amortissement HT + intérêts]))*BZ51</f>
        <v>0</v>
      </c>
      <c r="Z51" s="198">
        <f>(SUMIF(Fonctionnement[Affectation matrice],$AB$3,Fonctionnement[Montant (€HT)])+SUMIF(Invest[Affectation matrice],$AB$3,Invest[Amortissement HT + intérêts]))*CA51</f>
        <v>0</v>
      </c>
      <c r="AA51" s="199"/>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283">
        <f t="shared" si="4"/>
        <v>0</v>
      </c>
      <c r="BC51" s="61">
        <f t="shared" si="12"/>
        <v>0</v>
      </c>
      <c r="BD51" s="61">
        <f t="shared" si="12"/>
        <v>0</v>
      </c>
      <c r="BE51" s="61">
        <f t="shared" si="12"/>
        <v>0</v>
      </c>
      <c r="BF51" s="61">
        <f t="shared" si="12"/>
        <v>0</v>
      </c>
      <c r="BG51" s="61">
        <f t="shared" si="12"/>
        <v>0</v>
      </c>
      <c r="BH51" s="61">
        <f t="shared" si="12"/>
        <v>0</v>
      </c>
      <c r="BI51" s="61">
        <f t="shared" si="12"/>
        <v>0</v>
      </c>
      <c r="BJ51" s="61">
        <f t="shared" si="12"/>
        <v>0</v>
      </c>
      <c r="BK51" s="61">
        <f t="shared" si="12"/>
        <v>0</v>
      </c>
      <c r="BL51" s="61">
        <f t="shared" si="12"/>
        <v>0</v>
      </c>
      <c r="BM51" s="61">
        <f t="shared" si="12"/>
        <v>0</v>
      </c>
      <c r="BN51" s="61">
        <f t="shared" si="12"/>
        <v>0</v>
      </c>
      <c r="BO51" s="61">
        <f t="shared" si="12"/>
        <v>0</v>
      </c>
      <c r="BP51" s="61">
        <f t="shared" si="12"/>
        <v>0</v>
      </c>
      <c r="BQ51" s="61">
        <f t="shared" si="12"/>
        <v>0</v>
      </c>
      <c r="BR51" s="61">
        <f t="shared" si="12"/>
        <v>0</v>
      </c>
      <c r="BS51" s="61">
        <f t="shared" si="13"/>
        <v>0</v>
      </c>
      <c r="BT51" s="61">
        <f t="shared" si="13"/>
        <v>0</v>
      </c>
      <c r="BU51" s="61">
        <f t="shared" si="13"/>
        <v>0</v>
      </c>
      <c r="BV51" s="61">
        <f t="shared" si="13"/>
        <v>0</v>
      </c>
      <c r="BW51" s="61">
        <f t="shared" si="13"/>
        <v>0</v>
      </c>
      <c r="BX51" s="61">
        <f t="shared" si="13"/>
        <v>0</v>
      </c>
      <c r="BY51" s="61">
        <f t="shared" si="13"/>
        <v>0</v>
      </c>
      <c r="BZ51" s="61">
        <f t="shared" si="13"/>
        <v>0</v>
      </c>
      <c r="CA51" s="61">
        <f t="shared" si="13"/>
        <v>0</v>
      </c>
      <c r="CB51" s="61">
        <f t="shared" si="5"/>
        <v>0</v>
      </c>
      <c r="CD51" s="200">
        <f>(SUMIF(Fonctionnement[Affectation matrice],$AB$3,Fonctionnement[TVA acquittée])+SUMIF(Invest[Affectation matrice],$AB$3,Invest[TVA acquittée]))*BC51</f>
        <v>0</v>
      </c>
      <c r="CE51" s="200">
        <f>(SUMIF(Fonctionnement[Affectation matrice],$AB$3,Fonctionnement[TVA acquittée])+SUMIF(Invest[Affectation matrice],$AB$3,Invest[TVA acquittée]))*BD51</f>
        <v>0</v>
      </c>
      <c r="CF51" s="200">
        <f>(SUMIF(Fonctionnement[Affectation matrice],$AB$3,Fonctionnement[TVA acquittée])+SUMIF(Invest[Affectation matrice],$AB$3,Invest[TVA acquittée]))*BE51</f>
        <v>0</v>
      </c>
      <c r="CG51" s="200">
        <f>(SUMIF(Fonctionnement[Affectation matrice],$AB$3,Fonctionnement[TVA acquittée])+SUMIF(Invest[Affectation matrice],$AB$3,Invest[TVA acquittée]))*BF51</f>
        <v>0</v>
      </c>
      <c r="CH51" s="200">
        <f>(SUMIF(Fonctionnement[Affectation matrice],$AB$3,Fonctionnement[TVA acquittée])+SUMIF(Invest[Affectation matrice],$AB$3,Invest[TVA acquittée]))*BG51</f>
        <v>0</v>
      </c>
      <c r="CI51" s="200">
        <f>(SUMIF(Fonctionnement[Affectation matrice],$AB$3,Fonctionnement[TVA acquittée])+SUMIF(Invest[Affectation matrice],$AB$3,Invest[TVA acquittée]))*BH51</f>
        <v>0</v>
      </c>
      <c r="CJ51" s="200">
        <f>(SUMIF(Fonctionnement[Affectation matrice],$AB$3,Fonctionnement[TVA acquittée])+SUMIF(Invest[Affectation matrice],$AB$3,Invest[TVA acquittée]))*BI51</f>
        <v>0</v>
      </c>
      <c r="CK51" s="200">
        <f>(SUMIF(Fonctionnement[Affectation matrice],$AB$3,Fonctionnement[TVA acquittée])+SUMIF(Invest[Affectation matrice],$AB$3,Invest[TVA acquittée]))*BJ51</f>
        <v>0</v>
      </c>
      <c r="CL51" s="200">
        <f>(SUMIF(Fonctionnement[Affectation matrice],$AB$3,Fonctionnement[TVA acquittée])+SUMIF(Invest[Affectation matrice],$AB$3,Invest[TVA acquittée]))*BK51</f>
        <v>0</v>
      </c>
      <c r="CM51" s="200">
        <f>(SUMIF(Fonctionnement[Affectation matrice],$AB$3,Fonctionnement[TVA acquittée])+SUMIF(Invest[Affectation matrice],$AB$3,Invest[TVA acquittée]))*BL51</f>
        <v>0</v>
      </c>
      <c r="CN51" s="200">
        <f>(SUMIF(Fonctionnement[Affectation matrice],$AB$3,Fonctionnement[TVA acquittée])+SUMIF(Invest[Affectation matrice],$AB$3,Invest[TVA acquittée]))*BM51</f>
        <v>0</v>
      </c>
      <c r="CO51" s="200">
        <f>(SUMIF(Fonctionnement[Affectation matrice],$AB$3,Fonctionnement[TVA acquittée])+SUMIF(Invest[Affectation matrice],$AB$3,Invest[TVA acquittée]))*BN51</f>
        <v>0</v>
      </c>
      <c r="CP51" s="200">
        <f>(SUMIF(Fonctionnement[Affectation matrice],$AB$3,Fonctionnement[TVA acquittée])+SUMIF(Invest[Affectation matrice],$AB$3,Invest[TVA acquittée]))*BO51</f>
        <v>0</v>
      </c>
      <c r="CQ51" s="200">
        <f>(SUMIF(Fonctionnement[Affectation matrice],$AB$3,Fonctionnement[TVA acquittée])+SUMIF(Invest[Affectation matrice],$AB$3,Invest[TVA acquittée]))*BP51</f>
        <v>0</v>
      </c>
      <c r="CR51" s="200">
        <f>(SUMIF(Fonctionnement[Affectation matrice],$AB$3,Fonctionnement[TVA acquittée])+SUMIF(Invest[Affectation matrice],$AB$3,Invest[TVA acquittée]))*BQ51</f>
        <v>0</v>
      </c>
      <c r="CS51" s="200">
        <f>(SUMIF(Fonctionnement[Affectation matrice],$AB$3,Fonctionnement[TVA acquittée])+SUMIF(Invest[Affectation matrice],$AB$3,Invest[TVA acquittée]))*BR51</f>
        <v>0</v>
      </c>
      <c r="CT51" s="200">
        <f>(SUMIF(Fonctionnement[Affectation matrice],$AB$3,Fonctionnement[TVA acquittée])+SUMIF(Invest[Affectation matrice],$AB$3,Invest[TVA acquittée]))*BS51</f>
        <v>0</v>
      </c>
      <c r="CU51" s="200">
        <f>(SUMIF(Fonctionnement[Affectation matrice],$AB$3,Fonctionnement[TVA acquittée])+SUMIF(Invest[Affectation matrice],$AB$3,Invest[TVA acquittée]))*BT51</f>
        <v>0</v>
      </c>
      <c r="CV51" s="200">
        <f>(SUMIF(Fonctionnement[Affectation matrice],$AB$3,Fonctionnement[TVA acquittée])+SUMIF(Invest[Affectation matrice],$AB$3,Invest[TVA acquittée]))*BU51</f>
        <v>0</v>
      </c>
      <c r="CW51" s="200">
        <f>(SUMIF(Fonctionnement[Affectation matrice],$AB$3,Fonctionnement[TVA acquittée])+SUMIF(Invest[Affectation matrice],$AB$3,Invest[TVA acquittée]))*BV51</f>
        <v>0</v>
      </c>
      <c r="CX51" s="200">
        <f>(SUMIF(Fonctionnement[Affectation matrice],$AB$3,Fonctionnement[TVA acquittée])+SUMIF(Invest[Affectation matrice],$AB$3,Invest[TVA acquittée]))*BW51</f>
        <v>0</v>
      </c>
      <c r="CY51" s="200">
        <f>(SUMIF(Fonctionnement[Affectation matrice],$AB$3,Fonctionnement[TVA acquittée])+SUMIF(Invest[Affectation matrice],$AB$3,Invest[TVA acquittée]))*BX51</f>
        <v>0</v>
      </c>
      <c r="CZ51" s="200">
        <f>(SUMIF(Fonctionnement[Affectation matrice],$AB$3,Fonctionnement[TVA acquittée])+SUMIF(Invest[Affectation matrice],$AB$3,Invest[TVA acquittée]))*BY51</f>
        <v>0</v>
      </c>
      <c r="DA51" s="200">
        <f>(SUMIF(Fonctionnement[Affectation matrice],$AB$3,Fonctionnement[TVA acquittée])+SUMIF(Invest[Affectation matrice],$AB$3,Invest[TVA acquittée]))*BZ51</f>
        <v>0</v>
      </c>
      <c r="DB51" s="200">
        <f>(SUMIF(Fonctionnement[Affectation matrice],$AB$3,Fonctionnement[TVA acquittée])+SUMIF(Invest[Affectation matrice],$AB$3,Invest[TVA acquittée]))*CA51</f>
        <v>0</v>
      </c>
    </row>
    <row r="52" spans="1:107" hidden="1" x14ac:dyDescent="0.25">
      <c r="A52" s="42">
        <f>Matrice[[#This Row],[Ligne de la matrice]]</f>
        <v>0</v>
      </c>
      <c r="B52" s="198">
        <f>(SUMIF(Fonctionnement[Affectation matrice],$AB$3,Fonctionnement[Montant (€HT)])+SUMIF(Invest[Affectation matrice],$AB$3,Invest[Amortissement HT + intérêts]))*BC52</f>
        <v>0</v>
      </c>
      <c r="C52" s="198">
        <f>(SUMIF(Fonctionnement[Affectation matrice],$AB$3,Fonctionnement[Montant (€HT)])+SUMIF(Invest[Affectation matrice],$AB$3,Invest[Amortissement HT + intérêts]))*BD52</f>
        <v>0</v>
      </c>
      <c r="D52" s="198">
        <f>(SUMIF(Fonctionnement[Affectation matrice],$AB$3,Fonctionnement[Montant (€HT)])+SUMIF(Invest[Affectation matrice],$AB$3,Invest[Amortissement HT + intérêts]))*BE52</f>
        <v>0</v>
      </c>
      <c r="E52" s="198">
        <f>(SUMIF(Fonctionnement[Affectation matrice],$AB$3,Fonctionnement[Montant (€HT)])+SUMIF(Invest[Affectation matrice],$AB$3,Invest[Amortissement HT + intérêts]))*BF52</f>
        <v>0</v>
      </c>
      <c r="F52" s="198">
        <f>(SUMIF(Fonctionnement[Affectation matrice],$AB$3,Fonctionnement[Montant (€HT)])+SUMIF(Invest[Affectation matrice],$AB$3,Invest[Amortissement HT + intérêts]))*BG52</f>
        <v>0</v>
      </c>
      <c r="G52" s="198">
        <f>(SUMIF(Fonctionnement[Affectation matrice],$AB$3,Fonctionnement[Montant (€HT)])+SUMIF(Invest[Affectation matrice],$AB$3,Invest[Amortissement HT + intérêts]))*BH52</f>
        <v>0</v>
      </c>
      <c r="H52" s="198">
        <f>(SUMIF(Fonctionnement[Affectation matrice],$AB$3,Fonctionnement[Montant (€HT)])+SUMIF(Invest[Affectation matrice],$AB$3,Invest[Amortissement HT + intérêts]))*BI52</f>
        <v>0</v>
      </c>
      <c r="I52" s="198">
        <f>(SUMIF(Fonctionnement[Affectation matrice],$AB$3,Fonctionnement[Montant (€HT)])+SUMIF(Invest[Affectation matrice],$AB$3,Invest[Amortissement HT + intérêts]))*BJ52</f>
        <v>0</v>
      </c>
      <c r="J52" s="198">
        <f>(SUMIF(Fonctionnement[Affectation matrice],$AB$3,Fonctionnement[Montant (€HT)])+SUMIF(Invest[Affectation matrice],$AB$3,Invest[Amortissement HT + intérêts]))*BK52</f>
        <v>0</v>
      </c>
      <c r="K52" s="198">
        <f>(SUMIF(Fonctionnement[Affectation matrice],$AB$3,Fonctionnement[Montant (€HT)])+SUMIF(Invest[Affectation matrice],$AB$3,Invest[Amortissement HT + intérêts]))*BL52</f>
        <v>0</v>
      </c>
      <c r="L52" s="198">
        <f>(SUMIF(Fonctionnement[Affectation matrice],$AB$3,Fonctionnement[Montant (€HT)])+SUMIF(Invest[Affectation matrice],$AB$3,Invest[Amortissement HT + intérêts]))*BM52</f>
        <v>0</v>
      </c>
      <c r="M52" s="198">
        <f>(SUMIF(Fonctionnement[Affectation matrice],$AB$3,Fonctionnement[Montant (€HT)])+SUMIF(Invest[Affectation matrice],$AB$3,Invest[Amortissement HT + intérêts]))*BN52</f>
        <v>0</v>
      </c>
      <c r="N52" s="198">
        <f>(SUMIF(Fonctionnement[Affectation matrice],$AB$3,Fonctionnement[Montant (€HT)])+SUMIF(Invest[Affectation matrice],$AB$3,Invest[Amortissement HT + intérêts]))*BO52</f>
        <v>0</v>
      </c>
      <c r="O52" s="198">
        <f>(SUMIF(Fonctionnement[Affectation matrice],$AB$3,Fonctionnement[Montant (€HT)])+SUMIF(Invest[Affectation matrice],$AB$3,Invest[Amortissement HT + intérêts]))*BP52</f>
        <v>0</v>
      </c>
      <c r="P52" s="198">
        <f>(SUMIF(Fonctionnement[Affectation matrice],$AB$3,Fonctionnement[Montant (€HT)])+SUMIF(Invest[Affectation matrice],$AB$3,Invest[Amortissement HT + intérêts]))*BQ52</f>
        <v>0</v>
      </c>
      <c r="Q52" s="198">
        <f>(SUMIF(Fonctionnement[Affectation matrice],$AB$3,Fonctionnement[Montant (€HT)])+SUMIF(Invest[Affectation matrice],$AB$3,Invest[Amortissement HT + intérêts]))*BR52</f>
        <v>0</v>
      </c>
      <c r="R52" s="198">
        <f>(SUMIF(Fonctionnement[Affectation matrice],$AB$3,Fonctionnement[Montant (€HT)])+SUMIF(Invest[Affectation matrice],$AB$3,Invest[Amortissement HT + intérêts]))*BS52</f>
        <v>0</v>
      </c>
      <c r="S52" s="198">
        <f>(SUMIF(Fonctionnement[Affectation matrice],$AB$3,Fonctionnement[Montant (€HT)])+SUMIF(Invest[Affectation matrice],$AB$3,Invest[Amortissement HT + intérêts]))*BT52</f>
        <v>0</v>
      </c>
      <c r="T52" s="198">
        <f>(SUMIF(Fonctionnement[Affectation matrice],$AB$3,Fonctionnement[Montant (€HT)])+SUMIF(Invest[Affectation matrice],$AB$3,Invest[Amortissement HT + intérêts]))*BU52</f>
        <v>0</v>
      </c>
      <c r="U52" s="198">
        <f>(SUMIF(Fonctionnement[Affectation matrice],$AB$3,Fonctionnement[Montant (€HT)])+SUMIF(Invest[Affectation matrice],$AB$3,Invest[Amortissement HT + intérêts]))*BV52</f>
        <v>0</v>
      </c>
      <c r="V52" s="198">
        <f>(SUMIF(Fonctionnement[Affectation matrice],$AB$3,Fonctionnement[Montant (€HT)])+SUMIF(Invest[Affectation matrice],$AB$3,Invest[Amortissement HT + intérêts]))*BW52</f>
        <v>0</v>
      </c>
      <c r="W52" s="198">
        <f>(SUMIF(Fonctionnement[Affectation matrice],$AB$3,Fonctionnement[Montant (€HT)])+SUMIF(Invest[Affectation matrice],$AB$3,Invest[Amortissement HT + intérêts]))*BX52</f>
        <v>0</v>
      </c>
      <c r="X52" s="198">
        <f>(SUMIF(Fonctionnement[Affectation matrice],$AB$3,Fonctionnement[Montant (€HT)])+SUMIF(Invest[Affectation matrice],$AB$3,Invest[Amortissement HT + intérêts]))*BY52</f>
        <v>0</v>
      </c>
      <c r="Y52" s="198">
        <f>(SUMIF(Fonctionnement[Affectation matrice],$AB$3,Fonctionnement[Montant (€HT)])+SUMIF(Invest[Affectation matrice],$AB$3,Invest[Amortissement HT + intérêts]))*BZ52</f>
        <v>0</v>
      </c>
      <c r="Z52" s="198">
        <f>(SUMIF(Fonctionnement[Affectation matrice],$AB$3,Fonctionnement[Montant (€HT)])+SUMIF(Invest[Affectation matrice],$AB$3,Invest[Amortissement HT + intérêts]))*CA52</f>
        <v>0</v>
      </c>
      <c r="AA52" s="199"/>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283">
        <f t="shared" si="4"/>
        <v>0</v>
      </c>
      <c r="BC52" s="61">
        <f t="shared" si="12"/>
        <v>0</v>
      </c>
      <c r="BD52" s="61">
        <f t="shared" si="12"/>
        <v>0</v>
      </c>
      <c r="BE52" s="61">
        <f t="shared" si="12"/>
        <v>0</v>
      </c>
      <c r="BF52" s="61">
        <f t="shared" si="12"/>
        <v>0</v>
      </c>
      <c r="BG52" s="61">
        <f t="shared" si="12"/>
        <v>0</v>
      </c>
      <c r="BH52" s="61">
        <f t="shared" si="12"/>
        <v>0</v>
      </c>
      <c r="BI52" s="61">
        <f t="shared" si="12"/>
        <v>0</v>
      </c>
      <c r="BJ52" s="61">
        <f t="shared" si="12"/>
        <v>0</v>
      </c>
      <c r="BK52" s="61">
        <f t="shared" si="12"/>
        <v>0</v>
      </c>
      <c r="BL52" s="61">
        <f t="shared" si="12"/>
        <v>0</v>
      </c>
      <c r="BM52" s="61">
        <f t="shared" si="12"/>
        <v>0</v>
      </c>
      <c r="BN52" s="61">
        <f t="shared" si="12"/>
        <v>0</v>
      </c>
      <c r="BO52" s="61">
        <f t="shared" si="12"/>
        <v>0</v>
      </c>
      <c r="BP52" s="61">
        <f t="shared" si="12"/>
        <v>0</v>
      </c>
      <c r="BQ52" s="61">
        <f t="shared" si="12"/>
        <v>0</v>
      </c>
      <c r="BR52" s="61">
        <f t="shared" si="12"/>
        <v>0</v>
      </c>
      <c r="BS52" s="61">
        <f t="shared" si="13"/>
        <v>0</v>
      </c>
      <c r="BT52" s="61">
        <f t="shared" si="13"/>
        <v>0</v>
      </c>
      <c r="BU52" s="61">
        <f t="shared" si="13"/>
        <v>0</v>
      </c>
      <c r="BV52" s="61">
        <f t="shared" si="13"/>
        <v>0</v>
      </c>
      <c r="BW52" s="61">
        <f t="shared" si="13"/>
        <v>0</v>
      </c>
      <c r="BX52" s="61">
        <f t="shared" si="13"/>
        <v>0</v>
      </c>
      <c r="BY52" s="61">
        <f t="shared" si="13"/>
        <v>0</v>
      </c>
      <c r="BZ52" s="61">
        <f t="shared" si="13"/>
        <v>0</v>
      </c>
      <c r="CA52" s="61">
        <f t="shared" si="13"/>
        <v>0</v>
      </c>
      <c r="CB52" s="61">
        <f t="shared" si="5"/>
        <v>0</v>
      </c>
      <c r="CD52" s="200">
        <f>(SUMIF(Fonctionnement[Affectation matrice],$AB$3,Fonctionnement[TVA acquittée])+SUMIF(Invest[Affectation matrice],$AB$3,Invest[TVA acquittée]))*BC52</f>
        <v>0</v>
      </c>
      <c r="CE52" s="200">
        <f>(SUMIF(Fonctionnement[Affectation matrice],$AB$3,Fonctionnement[TVA acquittée])+SUMIF(Invest[Affectation matrice],$AB$3,Invest[TVA acquittée]))*BD52</f>
        <v>0</v>
      </c>
      <c r="CF52" s="200">
        <f>(SUMIF(Fonctionnement[Affectation matrice],$AB$3,Fonctionnement[TVA acquittée])+SUMIF(Invest[Affectation matrice],$AB$3,Invest[TVA acquittée]))*BE52</f>
        <v>0</v>
      </c>
      <c r="CG52" s="200">
        <f>(SUMIF(Fonctionnement[Affectation matrice],$AB$3,Fonctionnement[TVA acquittée])+SUMIF(Invest[Affectation matrice],$AB$3,Invest[TVA acquittée]))*BF52</f>
        <v>0</v>
      </c>
      <c r="CH52" s="200">
        <f>(SUMIF(Fonctionnement[Affectation matrice],$AB$3,Fonctionnement[TVA acquittée])+SUMIF(Invest[Affectation matrice],$AB$3,Invest[TVA acquittée]))*BG52</f>
        <v>0</v>
      </c>
      <c r="CI52" s="200">
        <f>(SUMIF(Fonctionnement[Affectation matrice],$AB$3,Fonctionnement[TVA acquittée])+SUMIF(Invest[Affectation matrice],$AB$3,Invest[TVA acquittée]))*BH52</f>
        <v>0</v>
      </c>
      <c r="CJ52" s="200">
        <f>(SUMIF(Fonctionnement[Affectation matrice],$AB$3,Fonctionnement[TVA acquittée])+SUMIF(Invest[Affectation matrice],$AB$3,Invest[TVA acquittée]))*BI52</f>
        <v>0</v>
      </c>
      <c r="CK52" s="200">
        <f>(SUMIF(Fonctionnement[Affectation matrice],$AB$3,Fonctionnement[TVA acquittée])+SUMIF(Invest[Affectation matrice],$AB$3,Invest[TVA acquittée]))*BJ52</f>
        <v>0</v>
      </c>
      <c r="CL52" s="200">
        <f>(SUMIF(Fonctionnement[Affectation matrice],$AB$3,Fonctionnement[TVA acquittée])+SUMIF(Invest[Affectation matrice],$AB$3,Invest[TVA acquittée]))*BK52</f>
        <v>0</v>
      </c>
      <c r="CM52" s="200">
        <f>(SUMIF(Fonctionnement[Affectation matrice],$AB$3,Fonctionnement[TVA acquittée])+SUMIF(Invest[Affectation matrice],$AB$3,Invest[TVA acquittée]))*BL52</f>
        <v>0</v>
      </c>
      <c r="CN52" s="200">
        <f>(SUMIF(Fonctionnement[Affectation matrice],$AB$3,Fonctionnement[TVA acquittée])+SUMIF(Invest[Affectation matrice],$AB$3,Invest[TVA acquittée]))*BM52</f>
        <v>0</v>
      </c>
      <c r="CO52" s="200">
        <f>(SUMIF(Fonctionnement[Affectation matrice],$AB$3,Fonctionnement[TVA acquittée])+SUMIF(Invest[Affectation matrice],$AB$3,Invest[TVA acquittée]))*BN52</f>
        <v>0</v>
      </c>
      <c r="CP52" s="200">
        <f>(SUMIF(Fonctionnement[Affectation matrice],$AB$3,Fonctionnement[TVA acquittée])+SUMIF(Invest[Affectation matrice],$AB$3,Invest[TVA acquittée]))*BO52</f>
        <v>0</v>
      </c>
      <c r="CQ52" s="200">
        <f>(SUMIF(Fonctionnement[Affectation matrice],$AB$3,Fonctionnement[TVA acquittée])+SUMIF(Invest[Affectation matrice],$AB$3,Invest[TVA acquittée]))*BP52</f>
        <v>0</v>
      </c>
      <c r="CR52" s="200">
        <f>(SUMIF(Fonctionnement[Affectation matrice],$AB$3,Fonctionnement[TVA acquittée])+SUMIF(Invest[Affectation matrice],$AB$3,Invest[TVA acquittée]))*BQ52</f>
        <v>0</v>
      </c>
      <c r="CS52" s="200">
        <f>(SUMIF(Fonctionnement[Affectation matrice],$AB$3,Fonctionnement[TVA acquittée])+SUMIF(Invest[Affectation matrice],$AB$3,Invest[TVA acquittée]))*BR52</f>
        <v>0</v>
      </c>
      <c r="CT52" s="200">
        <f>(SUMIF(Fonctionnement[Affectation matrice],$AB$3,Fonctionnement[TVA acquittée])+SUMIF(Invest[Affectation matrice],$AB$3,Invest[TVA acquittée]))*BS52</f>
        <v>0</v>
      </c>
      <c r="CU52" s="200">
        <f>(SUMIF(Fonctionnement[Affectation matrice],$AB$3,Fonctionnement[TVA acquittée])+SUMIF(Invest[Affectation matrice],$AB$3,Invest[TVA acquittée]))*BT52</f>
        <v>0</v>
      </c>
      <c r="CV52" s="200">
        <f>(SUMIF(Fonctionnement[Affectation matrice],$AB$3,Fonctionnement[TVA acquittée])+SUMIF(Invest[Affectation matrice],$AB$3,Invest[TVA acquittée]))*BU52</f>
        <v>0</v>
      </c>
      <c r="CW52" s="200">
        <f>(SUMIF(Fonctionnement[Affectation matrice],$AB$3,Fonctionnement[TVA acquittée])+SUMIF(Invest[Affectation matrice],$AB$3,Invest[TVA acquittée]))*BV52</f>
        <v>0</v>
      </c>
      <c r="CX52" s="200">
        <f>(SUMIF(Fonctionnement[Affectation matrice],$AB$3,Fonctionnement[TVA acquittée])+SUMIF(Invest[Affectation matrice],$AB$3,Invest[TVA acquittée]))*BW52</f>
        <v>0</v>
      </c>
      <c r="CY52" s="200">
        <f>(SUMIF(Fonctionnement[Affectation matrice],$AB$3,Fonctionnement[TVA acquittée])+SUMIF(Invest[Affectation matrice],$AB$3,Invest[TVA acquittée]))*BX52</f>
        <v>0</v>
      </c>
      <c r="CZ52" s="200">
        <f>(SUMIF(Fonctionnement[Affectation matrice],$AB$3,Fonctionnement[TVA acquittée])+SUMIF(Invest[Affectation matrice],$AB$3,Invest[TVA acquittée]))*BY52</f>
        <v>0</v>
      </c>
      <c r="DA52" s="200">
        <f>(SUMIF(Fonctionnement[Affectation matrice],$AB$3,Fonctionnement[TVA acquittée])+SUMIF(Invest[Affectation matrice],$AB$3,Invest[TVA acquittée]))*BZ52</f>
        <v>0</v>
      </c>
      <c r="DB52" s="200">
        <f>(SUMIF(Fonctionnement[Affectation matrice],$AB$3,Fonctionnement[TVA acquittée])+SUMIF(Invest[Affectation matrice],$AB$3,Invest[TVA acquittée]))*CA52</f>
        <v>0</v>
      </c>
    </row>
    <row r="53" spans="1:107" x14ac:dyDescent="0.25">
      <c r="A53" s="206" t="s">
        <v>1101</v>
      </c>
      <c r="B53" s="280">
        <f>SUM(B5:B52)</f>
        <v>0</v>
      </c>
      <c r="C53" s="280">
        <f t="shared" ref="C53:Z53" si="14">SUM(C5:C52)</f>
        <v>0</v>
      </c>
      <c r="D53" s="280">
        <f t="shared" si="14"/>
        <v>0</v>
      </c>
      <c r="E53" s="280">
        <f t="shared" si="14"/>
        <v>0</v>
      </c>
      <c r="F53" s="280">
        <f t="shared" si="14"/>
        <v>0</v>
      </c>
      <c r="G53" s="280">
        <f t="shared" si="14"/>
        <v>0</v>
      </c>
      <c r="H53" s="280">
        <f t="shared" si="14"/>
        <v>0</v>
      </c>
      <c r="I53" s="280">
        <f t="shared" si="14"/>
        <v>0</v>
      </c>
      <c r="J53" s="280">
        <f t="shared" si="14"/>
        <v>0</v>
      </c>
      <c r="K53" s="280">
        <f t="shared" si="14"/>
        <v>0</v>
      </c>
      <c r="L53" s="280">
        <f t="shared" si="14"/>
        <v>0</v>
      </c>
      <c r="M53" s="280">
        <f t="shared" si="14"/>
        <v>0</v>
      </c>
      <c r="N53" s="280">
        <f t="shared" si="14"/>
        <v>0</v>
      </c>
      <c r="O53" s="280">
        <f t="shared" si="14"/>
        <v>0</v>
      </c>
      <c r="P53" s="280">
        <f t="shared" si="14"/>
        <v>0</v>
      </c>
      <c r="Q53" s="280">
        <f t="shared" si="14"/>
        <v>0</v>
      </c>
      <c r="R53" s="280">
        <f t="shared" si="14"/>
        <v>0</v>
      </c>
      <c r="S53" s="280">
        <f t="shared" si="14"/>
        <v>0</v>
      </c>
      <c r="T53" s="280">
        <f t="shared" si="14"/>
        <v>0</v>
      </c>
      <c r="U53" s="280">
        <f t="shared" si="14"/>
        <v>0</v>
      </c>
      <c r="V53" s="280">
        <f t="shared" si="14"/>
        <v>0</v>
      </c>
      <c r="W53" s="280">
        <f t="shared" si="14"/>
        <v>0</v>
      </c>
      <c r="X53" s="280">
        <f t="shared" si="14"/>
        <v>0</v>
      </c>
      <c r="Y53" s="280">
        <f t="shared" si="14"/>
        <v>0</v>
      </c>
      <c r="Z53" s="280">
        <f t="shared" si="14"/>
        <v>0</v>
      </c>
      <c r="AA53" s="199"/>
      <c r="AB53" s="61">
        <f>SUM(AB5:AB52)</f>
        <v>0</v>
      </c>
      <c r="AC53" s="61">
        <f t="shared" ref="AC53:BA53" si="15">SUM(AC5:AC52)</f>
        <v>0</v>
      </c>
      <c r="AD53" s="61">
        <f t="shared" si="15"/>
        <v>0</v>
      </c>
      <c r="AE53" s="61">
        <f t="shared" si="15"/>
        <v>0</v>
      </c>
      <c r="AF53" s="61">
        <f t="shared" si="15"/>
        <v>0</v>
      </c>
      <c r="AG53" s="61">
        <f t="shared" si="15"/>
        <v>0</v>
      </c>
      <c r="AH53" s="61">
        <f t="shared" si="15"/>
        <v>0</v>
      </c>
      <c r="AI53" s="61">
        <f t="shared" si="15"/>
        <v>0</v>
      </c>
      <c r="AJ53" s="61">
        <f t="shared" si="15"/>
        <v>0</v>
      </c>
      <c r="AK53" s="61">
        <f t="shared" si="15"/>
        <v>0</v>
      </c>
      <c r="AL53" s="61">
        <f t="shared" si="15"/>
        <v>0</v>
      </c>
      <c r="AM53" s="61">
        <f t="shared" si="15"/>
        <v>0</v>
      </c>
      <c r="AN53" s="61">
        <f t="shared" si="15"/>
        <v>0</v>
      </c>
      <c r="AO53" s="61">
        <f t="shared" si="15"/>
        <v>0</v>
      </c>
      <c r="AP53" s="61">
        <f t="shared" si="15"/>
        <v>0</v>
      </c>
      <c r="AQ53" s="61">
        <f t="shared" si="15"/>
        <v>0</v>
      </c>
      <c r="AR53" s="61">
        <f t="shared" si="15"/>
        <v>0</v>
      </c>
      <c r="AS53" s="61">
        <f t="shared" si="15"/>
        <v>0</v>
      </c>
      <c r="AT53" s="61">
        <f t="shared" si="15"/>
        <v>0</v>
      </c>
      <c r="AU53" s="61">
        <f t="shared" si="15"/>
        <v>0</v>
      </c>
      <c r="AV53" s="61">
        <f t="shared" si="15"/>
        <v>0</v>
      </c>
      <c r="AW53" s="61">
        <f t="shared" si="15"/>
        <v>0</v>
      </c>
      <c r="AX53" s="61">
        <f t="shared" si="15"/>
        <v>0</v>
      </c>
      <c r="AY53" s="61">
        <f t="shared" si="15"/>
        <v>0</v>
      </c>
      <c r="AZ53" s="61">
        <f t="shared" si="15"/>
        <v>0</v>
      </c>
      <c r="BA53" s="61">
        <f t="shared" si="15"/>
        <v>0</v>
      </c>
      <c r="BC53" s="61">
        <f t="shared" ref="BC53:CB53" si="16">SUM(BC5:BC52)</f>
        <v>0</v>
      </c>
      <c r="BD53" s="61">
        <f t="shared" si="16"/>
        <v>0</v>
      </c>
      <c r="BE53" s="61">
        <f t="shared" si="16"/>
        <v>0</v>
      </c>
      <c r="BF53" s="61">
        <f t="shared" si="16"/>
        <v>0</v>
      </c>
      <c r="BG53" s="61">
        <f t="shared" si="16"/>
        <v>0</v>
      </c>
      <c r="BH53" s="61">
        <f t="shared" si="16"/>
        <v>0</v>
      </c>
      <c r="BI53" s="61">
        <f t="shared" si="16"/>
        <v>0</v>
      </c>
      <c r="BJ53" s="61">
        <f t="shared" si="16"/>
        <v>0</v>
      </c>
      <c r="BK53" s="61">
        <f t="shared" si="16"/>
        <v>0</v>
      </c>
      <c r="BL53" s="61">
        <f t="shared" si="16"/>
        <v>0</v>
      </c>
      <c r="BM53" s="61">
        <f t="shared" si="16"/>
        <v>0</v>
      </c>
      <c r="BN53" s="61">
        <f t="shared" si="16"/>
        <v>0</v>
      </c>
      <c r="BO53" s="61">
        <f t="shared" si="16"/>
        <v>0</v>
      </c>
      <c r="BP53" s="61">
        <f t="shared" si="16"/>
        <v>0</v>
      </c>
      <c r="BQ53" s="61">
        <f t="shared" si="16"/>
        <v>0</v>
      </c>
      <c r="BR53" s="61">
        <f t="shared" si="16"/>
        <v>0</v>
      </c>
      <c r="BS53" s="61">
        <f t="shared" si="16"/>
        <v>0</v>
      </c>
      <c r="BT53" s="61">
        <f t="shared" si="16"/>
        <v>0</v>
      </c>
      <c r="BU53" s="61">
        <f t="shared" si="16"/>
        <v>0</v>
      </c>
      <c r="BV53" s="61">
        <f t="shared" si="16"/>
        <v>0</v>
      </c>
      <c r="BW53" s="61">
        <f t="shared" si="16"/>
        <v>0</v>
      </c>
      <c r="BX53" s="61">
        <f t="shared" si="16"/>
        <v>0</v>
      </c>
      <c r="BY53" s="61">
        <f t="shared" si="16"/>
        <v>0</v>
      </c>
      <c r="BZ53" s="61">
        <f t="shared" si="16"/>
        <v>0</v>
      </c>
      <c r="CA53" s="61">
        <f t="shared" si="16"/>
        <v>0</v>
      </c>
      <c r="CB53" s="207">
        <f t="shared" si="16"/>
        <v>0</v>
      </c>
      <c r="CD53" s="208">
        <f>(SUMIF(Fonctionnement[Affectation matrice],$AB$3,Fonctionnement[TVA acquittée])+SUMIF(Invest[Affectation matrice],$AB$3,Invest[TVA acquittée]))*BC53</f>
        <v>0</v>
      </c>
      <c r="CE53" s="208">
        <f>(SUMIF(Fonctionnement[Affectation matrice],$AB$3,Fonctionnement[TVA acquittée])+SUMIF(Invest[Affectation matrice],$AB$3,Invest[TVA acquittée]))*BD53</f>
        <v>0</v>
      </c>
      <c r="CF53" s="208">
        <f>(SUMIF(Fonctionnement[Affectation matrice],$AB$3,Fonctionnement[TVA acquittée])+SUMIF(Invest[Affectation matrice],$AB$3,Invest[TVA acquittée]))*BE53</f>
        <v>0</v>
      </c>
      <c r="CG53" s="208">
        <f>(SUMIF(Fonctionnement[Affectation matrice],$AB$3,Fonctionnement[TVA acquittée])+SUMIF(Invest[Affectation matrice],$AB$3,Invest[TVA acquittée]))*BF53</f>
        <v>0</v>
      </c>
      <c r="CH53" s="208">
        <f>(SUMIF(Fonctionnement[Affectation matrice],$AB$3,Fonctionnement[TVA acquittée])+SUMIF(Invest[Affectation matrice],$AB$3,Invest[TVA acquittée]))*BG53</f>
        <v>0</v>
      </c>
      <c r="CI53" s="208">
        <f>(SUMIF(Fonctionnement[Affectation matrice],$AB$3,Fonctionnement[TVA acquittée])+SUMIF(Invest[Affectation matrice],$AB$3,Invest[TVA acquittée]))*BH53</f>
        <v>0</v>
      </c>
      <c r="CJ53" s="208">
        <f>(SUMIF(Fonctionnement[Affectation matrice],$AB$3,Fonctionnement[TVA acquittée])+SUMIF(Invest[Affectation matrice],$AB$3,Invest[TVA acquittée]))*BI53</f>
        <v>0</v>
      </c>
      <c r="CK53" s="208">
        <f>(SUMIF(Fonctionnement[Affectation matrice],$AB$3,Fonctionnement[TVA acquittée])+SUMIF(Invest[Affectation matrice],$AB$3,Invest[TVA acquittée]))*BJ53</f>
        <v>0</v>
      </c>
      <c r="CL53" s="208">
        <f>(SUMIF(Fonctionnement[Affectation matrice],$AB$3,Fonctionnement[TVA acquittée])+SUMIF(Invest[Affectation matrice],$AB$3,Invest[TVA acquittée]))*BK53</f>
        <v>0</v>
      </c>
      <c r="CM53" s="208">
        <f>(SUMIF(Fonctionnement[Affectation matrice],$AB$3,Fonctionnement[TVA acquittée])+SUMIF(Invest[Affectation matrice],$AB$3,Invest[TVA acquittée]))*BL53</f>
        <v>0</v>
      </c>
      <c r="CN53" s="208">
        <f>(SUMIF(Fonctionnement[Affectation matrice],$AB$3,Fonctionnement[TVA acquittée])+SUMIF(Invest[Affectation matrice],$AB$3,Invest[TVA acquittée]))*BM53</f>
        <v>0</v>
      </c>
      <c r="CO53" s="208">
        <f>(SUMIF(Fonctionnement[Affectation matrice],$AB$3,Fonctionnement[TVA acquittée])+SUMIF(Invest[Affectation matrice],$AB$3,Invest[TVA acquittée]))*BN53</f>
        <v>0</v>
      </c>
      <c r="CP53" s="208">
        <f>(SUMIF(Fonctionnement[Affectation matrice],$AB$3,Fonctionnement[TVA acquittée])+SUMIF(Invest[Affectation matrice],$AB$3,Invest[TVA acquittée]))*BO53</f>
        <v>0</v>
      </c>
      <c r="CQ53" s="208">
        <f>(SUMIF(Fonctionnement[Affectation matrice],$AB$3,Fonctionnement[TVA acquittée])+SUMIF(Invest[Affectation matrice],$AB$3,Invest[TVA acquittée]))*BP53</f>
        <v>0</v>
      </c>
      <c r="CR53" s="208">
        <f>(SUMIF(Fonctionnement[Affectation matrice],$AB$3,Fonctionnement[TVA acquittée])+SUMIF(Invest[Affectation matrice],$AB$3,Invest[TVA acquittée]))*BQ53</f>
        <v>0</v>
      </c>
      <c r="CS53" s="208">
        <f>(SUMIF(Fonctionnement[Affectation matrice],$AB$3,Fonctionnement[TVA acquittée])+SUMIF(Invest[Affectation matrice],$AB$3,Invest[TVA acquittée]))*BR53</f>
        <v>0</v>
      </c>
      <c r="CT53" s="208">
        <f>(SUMIF(Fonctionnement[Affectation matrice],$AB$3,Fonctionnement[TVA acquittée])+SUMIF(Invest[Affectation matrice],$AB$3,Invest[TVA acquittée]))*BS53</f>
        <v>0</v>
      </c>
      <c r="CU53" s="208">
        <f>(SUMIF(Fonctionnement[Affectation matrice],$AB$3,Fonctionnement[TVA acquittée])+SUMIF(Invest[Affectation matrice],$AB$3,Invest[TVA acquittée]))*BT53</f>
        <v>0</v>
      </c>
      <c r="CV53" s="208">
        <f>(SUMIF(Fonctionnement[Affectation matrice],$AB$3,Fonctionnement[TVA acquittée])+SUMIF(Invest[Affectation matrice],$AB$3,Invest[TVA acquittée]))*BU53</f>
        <v>0</v>
      </c>
      <c r="CW53" s="208">
        <f>(SUMIF(Fonctionnement[Affectation matrice],$AB$3,Fonctionnement[TVA acquittée])+SUMIF(Invest[Affectation matrice],$AB$3,Invest[TVA acquittée]))*BV53</f>
        <v>0</v>
      </c>
      <c r="CX53" s="208">
        <f>(SUMIF(Fonctionnement[Affectation matrice],$AB$3,Fonctionnement[TVA acquittée])+SUMIF(Invest[Affectation matrice],$AB$3,Invest[TVA acquittée]))*BW53</f>
        <v>0</v>
      </c>
      <c r="CY53" s="208">
        <f>(SUMIF(Fonctionnement[Affectation matrice],$AB$3,Fonctionnement[TVA acquittée])+SUMIF(Invest[Affectation matrice],$AB$3,Invest[TVA acquittée]))*BX53</f>
        <v>0</v>
      </c>
      <c r="CZ53" s="208">
        <f>(SUMIF(Fonctionnement[Affectation matrice],$AB$3,Fonctionnement[TVA acquittée])+SUMIF(Invest[Affectation matrice],$AB$3,Invest[TVA acquittée]))*BY53</f>
        <v>0</v>
      </c>
      <c r="DA53" s="208">
        <f>(SUMIF(Fonctionnement[Affectation matrice],$AB$3,Fonctionnement[TVA acquittée])+SUMIF(Invest[Affectation matrice],$AB$3,Invest[TVA acquittée]))*BZ53</f>
        <v>0</v>
      </c>
      <c r="DB53" s="208">
        <f>(SUMIF(Fonctionnement[Affectation matrice],$AB$3,Fonctionnement[TVA acquittée])+SUMIF(Invest[Affectation matrice],$AB$3,Invest[TVA acquittée]))*CA53</f>
        <v>0</v>
      </c>
    </row>
    <row r="55" spans="1:107" x14ac:dyDescent="0.25">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C55" s="209"/>
      <c r="BD55" s="209"/>
      <c r="BE55" s="209"/>
      <c r="BF55" s="209"/>
      <c r="BG55" s="209"/>
      <c r="BH55" s="209"/>
      <c r="BI55" s="209"/>
      <c r="BJ55" s="209"/>
      <c r="BK55" s="209"/>
      <c r="BL55" s="209"/>
      <c r="BM55" s="209"/>
      <c r="BN55" s="209"/>
      <c r="BO55" s="209"/>
      <c r="BP55" s="209"/>
      <c r="BQ55" s="209"/>
      <c r="BR55" s="209"/>
      <c r="BS55" s="209"/>
      <c r="BT55" s="209"/>
      <c r="BU55" s="209"/>
      <c r="BV55" s="209"/>
      <c r="BW55" s="209"/>
      <c r="BX55" s="209"/>
      <c r="BY55" s="209"/>
      <c r="BZ55" s="209"/>
      <c r="CA55" s="209"/>
      <c r="CB55" s="209"/>
    </row>
    <row r="56" spans="1:107" ht="21" x14ac:dyDescent="0.4">
      <c r="A56" s="257" t="s">
        <v>1102</v>
      </c>
    </row>
    <row r="58" spans="1:107" x14ac:dyDescent="0.25">
      <c r="A58" s="301"/>
      <c r="B58"/>
      <c r="C58"/>
      <c r="D58"/>
      <c r="E58"/>
      <c r="F58"/>
      <c r="G58"/>
      <c r="H58"/>
      <c r="I58"/>
      <c r="J58"/>
      <c r="K58"/>
      <c r="L58"/>
      <c r="M58"/>
      <c r="N58"/>
      <c r="O58"/>
      <c r="P58"/>
      <c r="Q58"/>
      <c r="R58"/>
      <c r="S58"/>
      <c r="T58"/>
      <c r="U58"/>
      <c r="V58"/>
      <c r="W58"/>
      <c r="X58"/>
      <c r="Y58"/>
      <c r="Z58"/>
      <c r="AA58"/>
      <c r="AB58" s="61">
        <f>SUMIF(CODE,$A58,'4 - Codes matrice'!CF$4:CF$99)</f>
        <v>0</v>
      </c>
      <c r="AC58" s="61">
        <f>SUMIF(CODE,$A58,'4 - Codes matrice'!CG$4:CG$99)</f>
        <v>0</v>
      </c>
      <c r="AD58" s="61">
        <f>SUMIF(CODE,$A58,'4 - Codes matrice'!CH$4:CH$99)</f>
        <v>0</v>
      </c>
      <c r="AE58" s="61">
        <f>SUMIF(CODE,$A58,'4 - Codes matrice'!CI$4:CI$99)</f>
        <v>0</v>
      </c>
      <c r="AF58" s="61">
        <f>SUMIF(CODE,$A58,'4 - Codes matrice'!CJ$4:CJ$99)</f>
        <v>0</v>
      </c>
      <c r="AG58" s="61">
        <f>SUMIF(CODE,$A58,'4 - Codes matrice'!CK$4:CK$99)</f>
        <v>0</v>
      </c>
      <c r="AH58" s="61">
        <f>SUMIF(CODE,$A58,'4 - Codes matrice'!CL$4:CL$99)</f>
        <v>0</v>
      </c>
      <c r="AI58" s="61">
        <f>SUMIF(CODE,$A58,'4 - Codes matrice'!CM$4:CM$99)</f>
        <v>0</v>
      </c>
      <c r="AJ58" s="61">
        <f>SUMIF(CODE,$A58,'4 - Codes matrice'!CN$4:CN$99)</f>
        <v>0</v>
      </c>
      <c r="AK58" s="61">
        <f>SUMIF(CODE,$A58,'4 - Codes matrice'!CO$4:CO$99)</f>
        <v>0</v>
      </c>
      <c r="AL58" s="61">
        <f>SUMIF(CODE,$A58,'4 - Codes matrice'!CP$4:CP$99)</f>
        <v>0</v>
      </c>
      <c r="AM58" s="61">
        <f>SUMIF(CODE,$A58,'4 - Codes matrice'!CQ$4:CQ$99)</f>
        <v>0</v>
      </c>
      <c r="AN58" s="61">
        <f>SUMIF(CODE,$A58,'4 - Codes matrice'!CR$4:CR$99)</f>
        <v>0</v>
      </c>
      <c r="AO58" s="61">
        <f>SUMIF(CODE,$A58,'4 - Codes matrice'!CS$4:CS$99)</f>
        <v>0</v>
      </c>
      <c r="AP58" s="61">
        <f>SUMIF(CODE,$A58,'4 - Codes matrice'!CT$4:CT$99)</f>
        <v>0</v>
      </c>
      <c r="AQ58" s="61">
        <f>SUMIF(CODE,$A58,'4 - Codes matrice'!CU$4:CU$99)</f>
        <v>0</v>
      </c>
      <c r="AR58" s="61">
        <f>SUMIF(CODE,$A58,'4 - Codes matrice'!CV$4:CV$99)</f>
        <v>0</v>
      </c>
      <c r="AS58" s="61">
        <f>SUMIF(CODE,$A58,'4 - Codes matrice'!CW$4:CW$99)</f>
        <v>0</v>
      </c>
      <c r="AT58" s="61">
        <f>SUMIF(CODE,$A58,'4 - Codes matrice'!CX$4:CX$99)</f>
        <v>0</v>
      </c>
      <c r="AU58" s="61">
        <f>SUMIF(CODE,$A58,'4 - Codes matrice'!CY$4:CY$99)</f>
        <v>0</v>
      </c>
      <c r="AV58" s="61">
        <f>SUMIF(CODE,$A58,'4 - Codes matrice'!CZ$4:CZ$99)</f>
        <v>0</v>
      </c>
      <c r="AW58" s="61">
        <f>SUMIF(CODE,$A58,'4 - Codes matrice'!DA$4:DA$99)</f>
        <v>0</v>
      </c>
      <c r="AX58" s="61">
        <f>SUMIF(CODE,$A58,'4 - Codes matrice'!DB$4:DB$99)</f>
        <v>0</v>
      </c>
      <c r="AY58" s="61">
        <f>SUMIF(CODE,$A58,'4 - Codes matrice'!DC$4:DC$99)</f>
        <v>0</v>
      </c>
      <c r="AZ58" s="61">
        <f>SUMIF(CODE,$A58,'4 - Codes matrice'!DD$4:DD$99)</f>
        <v>0</v>
      </c>
      <c r="BA58" s="284">
        <f>SUM(AB58:AZ58)</f>
        <v>0</v>
      </c>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row>
    <row r="59" spans="1:107" x14ac:dyDescent="0.25">
      <c r="A59" s="301"/>
      <c r="B59"/>
      <c r="C59"/>
      <c r="D59"/>
      <c r="E59"/>
      <c r="F59"/>
      <c r="G59"/>
      <c r="H59"/>
      <c r="I59"/>
      <c r="J59"/>
      <c r="K59"/>
      <c r="L59"/>
      <c r="M59"/>
      <c r="N59"/>
      <c r="O59"/>
      <c r="P59"/>
      <c r="Q59"/>
      <c r="R59"/>
      <c r="S59"/>
      <c r="T59"/>
      <c r="U59"/>
      <c r="V59"/>
      <c r="W59"/>
      <c r="X59"/>
      <c r="Y59"/>
      <c r="Z59"/>
      <c r="AA59"/>
      <c r="AB59" s="61">
        <f>SUMIF(CODE,$A59,'4 - Codes matrice'!CF$4:CF$99)</f>
        <v>0</v>
      </c>
      <c r="AC59" s="61">
        <f>SUMIF(CODE,$A59,'4 - Codes matrice'!CG$4:CG$99)</f>
        <v>0</v>
      </c>
      <c r="AD59" s="61">
        <f>SUMIF(CODE,$A59,'4 - Codes matrice'!CH$4:CH$99)</f>
        <v>0</v>
      </c>
      <c r="AE59" s="61">
        <f>SUMIF(CODE,$A59,'4 - Codes matrice'!CI$4:CI$99)</f>
        <v>0</v>
      </c>
      <c r="AF59" s="61">
        <f>SUMIF(CODE,$A59,'4 - Codes matrice'!CJ$4:CJ$99)</f>
        <v>0</v>
      </c>
      <c r="AG59" s="61">
        <f>SUMIF(CODE,$A59,'4 - Codes matrice'!CK$4:CK$99)</f>
        <v>0</v>
      </c>
      <c r="AH59" s="61">
        <f>SUMIF(CODE,$A59,'4 - Codes matrice'!CL$4:CL$99)</f>
        <v>0</v>
      </c>
      <c r="AI59" s="61">
        <f>SUMIF(CODE,$A59,'4 - Codes matrice'!CM$4:CM$99)</f>
        <v>0</v>
      </c>
      <c r="AJ59" s="61">
        <f>SUMIF(CODE,$A59,'4 - Codes matrice'!CN$4:CN$99)</f>
        <v>0</v>
      </c>
      <c r="AK59" s="61">
        <f>SUMIF(CODE,$A59,'4 - Codes matrice'!CO$4:CO$99)</f>
        <v>0</v>
      </c>
      <c r="AL59" s="61">
        <f>SUMIF(CODE,$A59,'4 - Codes matrice'!CP$4:CP$99)</f>
        <v>0</v>
      </c>
      <c r="AM59" s="61">
        <f>SUMIF(CODE,$A59,'4 - Codes matrice'!CQ$4:CQ$99)</f>
        <v>0</v>
      </c>
      <c r="AN59" s="61">
        <f>SUMIF(CODE,$A59,'4 - Codes matrice'!CR$4:CR$99)</f>
        <v>0</v>
      </c>
      <c r="AO59" s="61">
        <f>SUMIF(CODE,$A59,'4 - Codes matrice'!CS$4:CS$99)</f>
        <v>0</v>
      </c>
      <c r="AP59" s="61">
        <f>SUMIF(CODE,$A59,'4 - Codes matrice'!CT$4:CT$99)</f>
        <v>0</v>
      </c>
      <c r="AQ59" s="61">
        <f>SUMIF(CODE,$A59,'4 - Codes matrice'!CU$4:CU$99)</f>
        <v>0</v>
      </c>
      <c r="AR59" s="61">
        <f>SUMIF(CODE,$A59,'4 - Codes matrice'!CV$4:CV$99)</f>
        <v>0</v>
      </c>
      <c r="AS59" s="61">
        <f>SUMIF(CODE,$A59,'4 - Codes matrice'!CW$4:CW$99)</f>
        <v>0</v>
      </c>
      <c r="AT59" s="61">
        <f>SUMIF(CODE,$A59,'4 - Codes matrice'!CX$4:CX$99)</f>
        <v>0</v>
      </c>
      <c r="AU59" s="61">
        <f>SUMIF(CODE,$A59,'4 - Codes matrice'!CY$4:CY$99)</f>
        <v>0</v>
      </c>
      <c r="AV59" s="61">
        <f>SUMIF(CODE,$A59,'4 - Codes matrice'!CZ$4:CZ$99)</f>
        <v>0</v>
      </c>
      <c r="AW59" s="61">
        <f>SUMIF(CODE,$A59,'4 - Codes matrice'!DA$4:DA$99)</f>
        <v>0</v>
      </c>
      <c r="AX59" s="61">
        <f>SUMIF(CODE,$A59,'4 - Codes matrice'!DB$4:DB$99)</f>
        <v>0</v>
      </c>
      <c r="AY59" s="61">
        <f>SUMIF(CODE,$A59,'4 - Codes matrice'!DC$4:DC$99)</f>
        <v>0</v>
      </c>
      <c r="AZ59" s="61">
        <f>SUMIF(CODE,$A59,'4 - Codes matrice'!DD$4:DD$99)</f>
        <v>0</v>
      </c>
      <c r="BA59" s="284">
        <f t="shared" ref="BA59:BA64" si="17">SUM(AB59:AZ59)</f>
        <v>0</v>
      </c>
    </row>
    <row r="60" spans="1:107" x14ac:dyDescent="0.25">
      <c r="A60" s="301"/>
      <c r="B60"/>
      <c r="C60"/>
      <c r="D60"/>
      <c r="E60"/>
      <c r="F60"/>
      <c r="G60"/>
      <c r="H60"/>
      <c r="I60"/>
      <c r="J60"/>
      <c r="K60"/>
      <c r="L60"/>
      <c r="M60"/>
      <c r="N60"/>
      <c r="O60"/>
      <c r="P60"/>
      <c r="Q60"/>
      <c r="R60"/>
      <c r="S60"/>
      <c r="T60"/>
      <c r="U60"/>
      <c r="V60"/>
      <c r="W60"/>
      <c r="X60"/>
      <c r="Y60"/>
      <c r="Z60"/>
      <c r="AA60"/>
      <c r="AB60" s="61">
        <f>SUMIF(CODE,$A60,'4 - Codes matrice'!CF$4:CF$99)</f>
        <v>0</v>
      </c>
      <c r="AC60" s="61">
        <f>SUMIF(CODE,$A60,'4 - Codes matrice'!CG$4:CG$99)</f>
        <v>0</v>
      </c>
      <c r="AD60" s="61">
        <f>SUMIF(CODE,$A60,'4 - Codes matrice'!CH$4:CH$99)</f>
        <v>0</v>
      </c>
      <c r="AE60" s="61">
        <f>SUMIF(CODE,$A60,'4 - Codes matrice'!CI$4:CI$99)</f>
        <v>0</v>
      </c>
      <c r="AF60" s="61">
        <f>SUMIF(CODE,$A60,'4 - Codes matrice'!CJ$4:CJ$99)</f>
        <v>0</v>
      </c>
      <c r="AG60" s="61">
        <f>SUMIF(CODE,$A60,'4 - Codes matrice'!CK$4:CK$99)</f>
        <v>0</v>
      </c>
      <c r="AH60" s="61">
        <f>SUMIF(CODE,$A60,'4 - Codes matrice'!CL$4:CL$99)</f>
        <v>0</v>
      </c>
      <c r="AI60" s="61">
        <f>SUMIF(CODE,$A60,'4 - Codes matrice'!CM$4:CM$99)</f>
        <v>0</v>
      </c>
      <c r="AJ60" s="61">
        <f>SUMIF(CODE,$A60,'4 - Codes matrice'!CN$4:CN$99)</f>
        <v>0</v>
      </c>
      <c r="AK60" s="61">
        <f>SUMIF(CODE,$A60,'4 - Codes matrice'!CO$4:CO$99)</f>
        <v>0</v>
      </c>
      <c r="AL60" s="61">
        <f>SUMIF(CODE,$A60,'4 - Codes matrice'!CP$4:CP$99)</f>
        <v>0</v>
      </c>
      <c r="AM60" s="61">
        <f>SUMIF(CODE,$A60,'4 - Codes matrice'!CQ$4:CQ$99)</f>
        <v>0</v>
      </c>
      <c r="AN60" s="61">
        <f>SUMIF(CODE,$A60,'4 - Codes matrice'!CR$4:CR$99)</f>
        <v>0</v>
      </c>
      <c r="AO60" s="61">
        <f>SUMIF(CODE,$A60,'4 - Codes matrice'!CS$4:CS$99)</f>
        <v>0</v>
      </c>
      <c r="AP60" s="61">
        <f>SUMIF(CODE,$A60,'4 - Codes matrice'!CT$4:CT$99)</f>
        <v>0</v>
      </c>
      <c r="AQ60" s="61">
        <f>SUMIF(CODE,$A60,'4 - Codes matrice'!CU$4:CU$99)</f>
        <v>0</v>
      </c>
      <c r="AR60" s="61">
        <f>SUMIF(CODE,$A60,'4 - Codes matrice'!CV$4:CV$99)</f>
        <v>0</v>
      </c>
      <c r="AS60" s="61">
        <f>SUMIF(CODE,$A60,'4 - Codes matrice'!CW$4:CW$99)</f>
        <v>0</v>
      </c>
      <c r="AT60" s="61">
        <f>SUMIF(CODE,$A60,'4 - Codes matrice'!CX$4:CX$99)</f>
        <v>0</v>
      </c>
      <c r="AU60" s="61">
        <f>SUMIF(CODE,$A60,'4 - Codes matrice'!CY$4:CY$99)</f>
        <v>0</v>
      </c>
      <c r="AV60" s="61">
        <f>SUMIF(CODE,$A60,'4 - Codes matrice'!CZ$4:CZ$99)</f>
        <v>0</v>
      </c>
      <c r="AW60" s="61">
        <f>SUMIF(CODE,$A60,'4 - Codes matrice'!DA$4:DA$99)</f>
        <v>0</v>
      </c>
      <c r="AX60" s="61">
        <f>SUMIF(CODE,$A60,'4 - Codes matrice'!DB$4:DB$99)</f>
        <v>0</v>
      </c>
      <c r="AY60" s="61">
        <f>SUMIF(CODE,$A60,'4 - Codes matrice'!DC$4:DC$99)</f>
        <v>0</v>
      </c>
      <c r="AZ60" s="61">
        <f>SUMIF(CODE,$A60,'4 - Codes matrice'!DD$4:DD$99)</f>
        <v>0</v>
      </c>
      <c r="BA60" s="284">
        <f t="shared" si="17"/>
        <v>0</v>
      </c>
    </row>
    <row r="61" spans="1:107" x14ac:dyDescent="0.25">
      <c r="A61" s="301"/>
      <c r="B61"/>
      <c r="C61"/>
      <c r="D61"/>
      <c r="E61"/>
      <c r="F61"/>
      <c r="G61"/>
      <c r="H61"/>
      <c r="I61"/>
      <c r="J61"/>
      <c r="K61"/>
      <c r="L61"/>
      <c r="M61"/>
      <c r="N61"/>
      <c r="O61"/>
      <c r="P61"/>
      <c r="Q61"/>
      <c r="R61"/>
      <c r="S61"/>
      <c r="T61"/>
      <c r="U61"/>
      <c r="V61"/>
      <c r="W61"/>
      <c r="X61"/>
      <c r="Y61"/>
      <c r="Z61"/>
      <c r="AA61"/>
      <c r="AB61" s="61">
        <f>SUMIF(CODE,$A61,'4 - Codes matrice'!CF$4:CF$99)</f>
        <v>0</v>
      </c>
      <c r="AC61" s="61">
        <f>SUMIF(CODE,$A61,'4 - Codes matrice'!CG$4:CG$99)</f>
        <v>0</v>
      </c>
      <c r="AD61" s="61">
        <f>SUMIF(CODE,$A61,'4 - Codes matrice'!CH$4:CH$99)</f>
        <v>0</v>
      </c>
      <c r="AE61" s="61">
        <f>SUMIF(CODE,$A61,'4 - Codes matrice'!CI$4:CI$99)</f>
        <v>0</v>
      </c>
      <c r="AF61" s="61">
        <f>SUMIF(CODE,$A61,'4 - Codes matrice'!CJ$4:CJ$99)</f>
        <v>0</v>
      </c>
      <c r="AG61" s="61">
        <f>SUMIF(CODE,$A61,'4 - Codes matrice'!CK$4:CK$99)</f>
        <v>0</v>
      </c>
      <c r="AH61" s="61">
        <f>SUMIF(CODE,$A61,'4 - Codes matrice'!CL$4:CL$99)</f>
        <v>0</v>
      </c>
      <c r="AI61" s="61">
        <f>SUMIF(CODE,$A61,'4 - Codes matrice'!CM$4:CM$99)</f>
        <v>0</v>
      </c>
      <c r="AJ61" s="61">
        <f>SUMIF(CODE,$A61,'4 - Codes matrice'!CN$4:CN$99)</f>
        <v>0</v>
      </c>
      <c r="AK61" s="61">
        <f>SUMIF(CODE,$A61,'4 - Codes matrice'!CO$4:CO$99)</f>
        <v>0</v>
      </c>
      <c r="AL61" s="61">
        <f>SUMIF(CODE,$A61,'4 - Codes matrice'!CP$4:CP$99)</f>
        <v>0</v>
      </c>
      <c r="AM61" s="61">
        <f>SUMIF(CODE,$A61,'4 - Codes matrice'!CQ$4:CQ$99)</f>
        <v>0</v>
      </c>
      <c r="AN61" s="61">
        <f>SUMIF(CODE,$A61,'4 - Codes matrice'!CR$4:CR$99)</f>
        <v>0</v>
      </c>
      <c r="AO61" s="61">
        <f>SUMIF(CODE,$A61,'4 - Codes matrice'!CS$4:CS$99)</f>
        <v>0</v>
      </c>
      <c r="AP61" s="61">
        <f>SUMIF(CODE,$A61,'4 - Codes matrice'!CT$4:CT$99)</f>
        <v>0</v>
      </c>
      <c r="AQ61" s="61">
        <f>SUMIF(CODE,$A61,'4 - Codes matrice'!CU$4:CU$99)</f>
        <v>0</v>
      </c>
      <c r="AR61" s="61">
        <f>SUMIF(CODE,$A61,'4 - Codes matrice'!CV$4:CV$99)</f>
        <v>0</v>
      </c>
      <c r="AS61" s="61">
        <f>SUMIF(CODE,$A61,'4 - Codes matrice'!CW$4:CW$99)</f>
        <v>0</v>
      </c>
      <c r="AT61" s="61">
        <f>SUMIF(CODE,$A61,'4 - Codes matrice'!CX$4:CX$99)</f>
        <v>0</v>
      </c>
      <c r="AU61" s="61">
        <f>SUMIF(CODE,$A61,'4 - Codes matrice'!CY$4:CY$99)</f>
        <v>0</v>
      </c>
      <c r="AV61" s="61">
        <f>SUMIF(CODE,$A61,'4 - Codes matrice'!CZ$4:CZ$99)</f>
        <v>0</v>
      </c>
      <c r="AW61" s="61">
        <f>SUMIF(CODE,$A61,'4 - Codes matrice'!DA$4:DA$99)</f>
        <v>0</v>
      </c>
      <c r="AX61" s="61">
        <f>SUMIF(CODE,$A61,'4 - Codes matrice'!DB$4:DB$99)</f>
        <v>0</v>
      </c>
      <c r="AY61" s="61">
        <f>SUMIF(CODE,$A61,'4 - Codes matrice'!DC$4:DC$99)</f>
        <v>0</v>
      </c>
      <c r="AZ61" s="61">
        <f>SUMIF(CODE,$A61,'4 - Codes matrice'!DD$4:DD$99)</f>
        <v>0</v>
      </c>
      <c r="BA61" s="284">
        <f t="shared" si="17"/>
        <v>0</v>
      </c>
    </row>
    <row r="62" spans="1:107" x14ac:dyDescent="0.25">
      <c r="A62" s="301"/>
      <c r="B62"/>
      <c r="C62"/>
      <c r="D62"/>
      <c r="E62"/>
      <c r="F62"/>
      <c r="G62"/>
      <c r="H62"/>
      <c r="I62"/>
      <c r="J62"/>
      <c r="K62"/>
      <c r="L62"/>
      <c r="M62"/>
      <c r="N62"/>
      <c r="O62"/>
      <c r="P62"/>
      <c r="Q62"/>
      <c r="R62"/>
      <c r="S62"/>
      <c r="T62"/>
      <c r="U62"/>
      <c r="V62"/>
      <c r="W62"/>
      <c r="X62"/>
      <c r="Y62"/>
      <c r="Z62"/>
      <c r="AA62"/>
      <c r="AB62" s="61">
        <f>SUMIF(CODE,$A62,'4 - Codes matrice'!CF$4:CF$99)</f>
        <v>0</v>
      </c>
      <c r="AC62" s="61">
        <f>SUMIF(CODE,$A62,'4 - Codes matrice'!CG$4:CG$99)</f>
        <v>0</v>
      </c>
      <c r="AD62" s="61">
        <f>SUMIF(CODE,$A62,'4 - Codes matrice'!CH$4:CH$99)</f>
        <v>0</v>
      </c>
      <c r="AE62" s="61">
        <f>SUMIF(CODE,$A62,'4 - Codes matrice'!CI$4:CI$99)</f>
        <v>0</v>
      </c>
      <c r="AF62" s="61">
        <f>SUMIF(CODE,$A62,'4 - Codes matrice'!CJ$4:CJ$99)</f>
        <v>0</v>
      </c>
      <c r="AG62" s="61">
        <f>SUMIF(CODE,$A62,'4 - Codes matrice'!CK$4:CK$99)</f>
        <v>0</v>
      </c>
      <c r="AH62" s="61">
        <f>SUMIF(CODE,$A62,'4 - Codes matrice'!CL$4:CL$99)</f>
        <v>0</v>
      </c>
      <c r="AI62" s="61">
        <f>SUMIF(CODE,$A62,'4 - Codes matrice'!CM$4:CM$99)</f>
        <v>0</v>
      </c>
      <c r="AJ62" s="61">
        <f>SUMIF(CODE,$A62,'4 - Codes matrice'!CN$4:CN$99)</f>
        <v>0</v>
      </c>
      <c r="AK62" s="61">
        <f>SUMIF(CODE,$A62,'4 - Codes matrice'!CO$4:CO$99)</f>
        <v>0</v>
      </c>
      <c r="AL62" s="61">
        <f>SUMIF(CODE,$A62,'4 - Codes matrice'!CP$4:CP$99)</f>
        <v>0</v>
      </c>
      <c r="AM62" s="61">
        <f>SUMIF(CODE,$A62,'4 - Codes matrice'!CQ$4:CQ$99)</f>
        <v>0</v>
      </c>
      <c r="AN62" s="61">
        <f>SUMIF(CODE,$A62,'4 - Codes matrice'!CR$4:CR$99)</f>
        <v>0</v>
      </c>
      <c r="AO62" s="61">
        <f>SUMIF(CODE,$A62,'4 - Codes matrice'!CS$4:CS$99)</f>
        <v>0</v>
      </c>
      <c r="AP62" s="61">
        <f>SUMIF(CODE,$A62,'4 - Codes matrice'!CT$4:CT$99)</f>
        <v>0</v>
      </c>
      <c r="AQ62" s="61">
        <f>SUMIF(CODE,$A62,'4 - Codes matrice'!CU$4:CU$99)</f>
        <v>0</v>
      </c>
      <c r="AR62" s="61">
        <f>SUMIF(CODE,$A62,'4 - Codes matrice'!CV$4:CV$99)</f>
        <v>0</v>
      </c>
      <c r="AS62" s="61">
        <f>SUMIF(CODE,$A62,'4 - Codes matrice'!CW$4:CW$99)</f>
        <v>0</v>
      </c>
      <c r="AT62" s="61">
        <f>SUMIF(CODE,$A62,'4 - Codes matrice'!CX$4:CX$99)</f>
        <v>0</v>
      </c>
      <c r="AU62" s="61">
        <f>SUMIF(CODE,$A62,'4 - Codes matrice'!CY$4:CY$99)</f>
        <v>0</v>
      </c>
      <c r="AV62" s="61">
        <f>SUMIF(CODE,$A62,'4 - Codes matrice'!CZ$4:CZ$99)</f>
        <v>0</v>
      </c>
      <c r="AW62" s="61">
        <f>SUMIF(CODE,$A62,'4 - Codes matrice'!DA$4:DA$99)</f>
        <v>0</v>
      </c>
      <c r="AX62" s="61">
        <f>SUMIF(CODE,$A62,'4 - Codes matrice'!DB$4:DB$99)</f>
        <v>0</v>
      </c>
      <c r="AY62" s="61">
        <f>SUMIF(CODE,$A62,'4 - Codes matrice'!DC$4:DC$99)</f>
        <v>0</v>
      </c>
      <c r="AZ62" s="61">
        <f>SUMIF(CODE,$A62,'4 - Codes matrice'!DD$4:DD$99)</f>
        <v>0</v>
      </c>
      <c r="BA62" s="284">
        <f t="shared" si="17"/>
        <v>0</v>
      </c>
    </row>
    <row r="63" spans="1:107" x14ac:dyDescent="0.25">
      <c r="A63" s="301"/>
      <c r="B63"/>
      <c r="C63"/>
      <c r="D63"/>
      <c r="E63"/>
      <c r="F63"/>
      <c r="G63"/>
      <c r="H63"/>
      <c r="I63"/>
      <c r="J63"/>
      <c r="K63"/>
      <c r="L63"/>
      <c r="M63"/>
      <c r="N63"/>
      <c r="O63"/>
      <c r="P63"/>
      <c r="Q63"/>
      <c r="R63"/>
      <c r="S63"/>
      <c r="T63"/>
      <c r="U63"/>
      <c r="V63"/>
      <c r="W63"/>
      <c r="X63"/>
      <c r="Y63"/>
      <c r="Z63"/>
      <c r="AA63"/>
      <c r="AB63" s="61">
        <f>SUMIF(CODE,$A63,'4 - Codes matrice'!CF$4:CF$99)</f>
        <v>0</v>
      </c>
      <c r="AC63" s="61">
        <f>SUMIF(CODE,$A63,'4 - Codes matrice'!CG$4:CG$99)</f>
        <v>0</v>
      </c>
      <c r="AD63" s="61">
        <f>SUMIF(CODE,$A63,'4 - Codes matrice'!CH$4:CH$99)</f>
        <v>0</v>
      </c>
      <c r="AE63" s="61">
        <f>SUMIF(CODE,$A63,'4 - Codes matrice'!CI$4:CI$99)</f>
        <v>0</v>
      </c>
      <c r="AF63" s="61">
        <f>SUMIF(CODE,$A63,'4 - Codes matrice'!CJ$4:CJ$99)</f>
        <v>0</v>
      </c>
      <c r="AG63" s="61">
        <f>SUMIF(CODE,$A63,'4 - Codes matrice'!CK$4:CK$99)</f>
        <v>0</v>
      </c>
      <c r="AH63" s="61">
        <f>SUMIF(CODE,$A63,'4 - Codes matrice'!CL$4:CL$99)</f>
        <v>0</v>
      </c>
      <c r="AI63" s="61">
        <f>SUMIF(CODE,$A63,'4 - Codes matrice'!CM$4:CM$99)</f>
        <v>0</v>
      </c>
      <c r="AJ63" s="61">
        <f>SUMIF(CODE,$A63,'4 - Codes matrice'!CN$4:CN$99)</f>
        <v>0</v>
      </c>
      <c r="AK63" s="61">
        <f>SUMIF(CODE,$A63,'4 - Codes matrice'!CO$4:CO$99)</f>
        <v>0</v>
      </c>
      <c r="AL63" s="61">
        <f>SUMIF(CODE,$A63,'4 - Codes matrice'!CP$4:CP$99)</f>
        <v>0</v>
      </c>
      <c r="AM63" s="61">
        <f>SUMIF(CODE,$A63,'4 - Codes matrice'!CQ$4:CQ$99)</f>
        <v>0</v>
      </c>
      <c r="AN63" s="61">
        <f>SUMIF(CODE,$A63,'4 - Codes matrice'!CR$4:CR$99)</f>
        <v>0</v>
      </c>
      <c r="AO63" s="61">
        <f>SUMIF(CODE,$A63,'4 - Codes matrice'!CS$4:CS$99)</f>
        <v>0</v>
      </c>
      <c r="AP63" s="61">
        <f>SUMIF(CODE,$A63,'4 - Codes matrice'!CT$4:CT$99)</f>
        <v>0</v>
      </c>
      <c r="AQ63" s="61">
        <f>SUMIF(CODE,$A63,'4 - Codes matrice'!CU$4:CU$99)</f>
        <v>0</v>
      </c>
      <c r="AR63" s="61">
        <f>SUMIF(CODE,$A63,'4 - Codes matrice'!CV$4:CV$99)</f>
        <v>0</v>
      </c>
      <c r="AS63" s="61">
        <f>SUMIF(CODE,$A63,'4 - Codes matrice'!CW$4:CW$99)</f>
        <v>0</v>
      </c>
      <c r="AT63" s="61">
        <f>SUMIF(CODE,$A63,'4 - Codes matrice'!CX$4:CX$99)</f>
        <v>0</v>
      </c>
      <c r="AU63" s="61">
        <f>SUMIF(CODE,$A63,'4 - Codes matrice'!CY$4:CY$99)</f>
        <v>0</v>
      </c>
      <c r="AV63" s="61">
        <f>SUMIF(CODE,$A63,'4 - Codes matrice'!CZ$4:CZ$99)</f>
        <v>0</v>
      </c>
      <c r="AW63" s="61">
        <f>SUMIF(CODE,$A63,'4 - Codes matrice'!DA$4:DA$99)</f>
        <v>0</v>
      </c>
      <c r="AX63" s="61">
        <f>SUMIF(CODE,$A63,'4 - Codes matrice'!DB$4:DB$99)</f>
        <v>0</v>
      </c>
      <c r="AY63" s="61">
        <f>SUMIF(CODE,$A63,'4 - Codes matrice'!DC$4:DC$99)</f>
        <v>0</v>
      </c>
      <c r="AZ63" s="61">
        <f>SUMIF(CODE,$A63,'4 - Codes matrice'!DD$4:DD$99)</f>
        <v>0</v>
      </c>
      <c r="BA63" s="284">
        <f t="shared" si="17"/>
        <v>0</v>
      </c>
    </row>
    <row r="64" spans="1:107" x14ac:dyDescent="0.25">
      <c r="A64" s="301"/>
      <c r="B64"/>
      <c r="C64"/>
      <c r="D64"/>
      <c r="E64"/>
      <c r="F64"/>
      <c r="G64"/>
      <c r="H64"/>
      <c r="I64"/>
      <c r="J64"/>
      <c r="K64"/>
      <c r="L64"/>
      <c r="M64"/>
      <c r="N64"/>
      <c r="O64"/>
      <c r="P64"/>
      <c r="Q64"/>
      <c r="R64"/>
      <c r="S64"/>
      <c r="T64"/>
      <c r="U64"/>
      <c r="V64"/>
      <c r="W64"/>
      <c r="X64"/>
      <c r="Y64"/>
      <c r="Z64"/>
      <c r="AA64"/>
      <c r="AB64" s="61">
        <f>SUMIF(CODE,$A64,'4 - Codes matrice'!CF$4:CF$99)</f>
        <v>0</v>
      </c>
      <c r="AC64" s="61">
        <f>SUMIF(CODE,$A64,'4 - Codes matrice'!CG$4:CG$99)</f>
        <v>0</v>
      </c>
      <c r="AD64" s="61">
        <f>SUMIF(CODE,$A64,'4 - Codes matrice'!CH$4:CH$99)</f>
        <v>0</v>
      </c>
      <c r="AE64" s="61">
        <f>SUMIF(CODE,$A64,'4 - Codes matrice'!CI$4:CI$99)</f>
        <v>0</v>
      </c>
      <c r="AF64" s="61">
        <f>SUMIF(CODE,$A64,'4 - Codes matrice'!CJ$4:CJ$99)</f>
        <v>0</v>
      </c>
      <c r="AG64" s="61">
        <f>SUMIF(CODE,$A64,'4 - Codes matrice'!CK$4:CK$99)</f>
        <v>0</v>
      </c>
      <c r="AH64" s="61">
        <f>SUMIF(CODE,$A64,'4 - Codes matrice'!CL$4:CL$99)</f>
        <v>0</v>
      </c>
      <c r="AI64" s="61">
        <f>SUMIF(CODE,$A64,'4 - Codes matrice'!CM$4:CM$99)</f>
        <v>0</v>
      </c>
      <c r="AJ64" s="61">
        <f>SUMIF(CODE,$A64,'4 - Codes matrice'!CN$4:CN$99)</f>
        <v>0</v>
      </c>
      <c r="AK64" s="61">
        <f>SUMIF(CODE,$A64,'4 - Codes matrice'!CO$4:CO$99)</f>
        <v>0</v>
      </c>
      <c r="AL64" s="61">
        <f>SUMIF(CODE,$A64,'4 - Codes matrice'!CP$4:CP$99)</f>
        <v>0</v>
      </c>
      <c r="AM64" s="61">
        <f>SUMIF(CODE,$A64,'4 - Codes matrice'!CQ$4:CQ$99)</f>
        <v>0</v>
      </c>
      <c r="AN64" s="61">
        <f>SUMIF(CODE,$A64,'4 - Codes matrice'!CR$4:CR$99)</f>
        <v>0</v>
      </c>
      <c r="AO64" s="61">
        <f>SUMIF(CODE,$A64,'4 - Codes matrice'!CS$4:CS$99)</f>
        <v>0</v>
      </c>
      <c r="AP64" s="61">
        <f>SUMIF(CODE,$A64,'4 - Codes matrice'!CT$4:CT$99)</f>
        <v>0</v>
      </c>
      <c r="AQ64" s="61">
        <f>SUMIF(CODE,$A64,'4 - Codes matrice'!CU$4:CU$99)</f>
        <v>0</v>
      </c>
      <c r="AR64" s="61">
        <f>SUMIF(CODE,$A64,'4 - Codes matrice'!CV$4:CV$99)</f>
        <v>0</v>
      </c>
      <c r="AS64" s="61">
        <f>SUMIF(CODE,$A64,'4 - Codes matrice'!CW$4:CW$99)</f>
        <v>0</v>
      </c>
      <c r="AT64" s="61">
        <f>SUMIF(CODE,$A64,'4 - Codes matrice'!CX$4:CX$99)</f>
        <v>0</v>
      </c>
      <c r="AU64" s="61">
        <f>SUMIF(CODE,$A64,'4 - Codes matrice'!CY$4:CY$99)</f>
        <v>0</v>
      </c>
      <c r="AV64" s="61">
        <f>SUMIF(CODE,$A64,'4 - Codes matrice'!CZ$4:CZ$99)</f>
        <v>0</v>
      </c>
      <c r="AW64" s="61">
        <f>SUMIF(CODE,$A64,'4 - Codes matrice'!DA$4:DA$99)</f>
        <v>0</v>
      </c>
      <c r="AX64" s="61">
        <f>SUMIF(CODE,$A64,'4 - Codes matrice'!DB$4:DB$99)</f>
        <v>0</v>
      </c>
      <c r="AY64" s="61">
        <f>SUMIF(CODE,$A64,'4 - Codes matrice'!DC$4:DC$99)</f>
        <v>0</v>
      </c>
      <c r="AZ64" s="61">
        <f>SUMIF(CODE,$A64,'4 - Codes matrice'!DD$4:DD$99)</f>
        <v>0</v>
      </c>
      <c r="BA64" s="284">
        <f t="shared" si="17"/>
        <v>0</v>
      </c>
    </row>
    <row r="66" spans="1:107" ht="21" x14ac:dyDescent="0.4">
      <c r="A66" s="257" t="s">
        <v>1103</v>
      </c>
    </row>
    <row r="68" spans="1:107" x14ac:dyDescent="0.25">
      <c r="A68" s="253" t="s">
        <v>219</v>
      </c>
      <c r="B68"/>
      <c r="C68"/>
      <c r="D68"/>
      <c r="E68"/>
      <c r="F68"/>
      <c r="G68"/>
      <c r="H68"/>
      <c r="I68"/>
      <c r="J68"/>
      <c r="K68"/>
      <c r="L68"/>
      <c r="M68"/>
      <c r="N68"/>
      <c r="O68"/>
      <c r="P68"/>
      <c r="Q68"/>
      <c r="R68"/>
      <c r="S68"/>
      <c r="T68"/>
      <c r="U68"/>
      <c r="V68"/>
      <c r="W68"/>
      <c r="X68"/>
      <c r="Y68"/>
      <c r="Z68"/>
      <c r="AA68"/>
      <c r="AB68" s="282">
        <f>'2 - Matrice finale'!B58</f>
        <v>0</v>
      </c>
      <c r="AC68" s="282">
        <f>'2 - Matrice finale'!C58</f>
        <v>0</v>
      </c>
      <c r="AD68" s="282">
        <f>'2 - Matrice finale'!D58</f>
        <v>0</v>
      </c>
      <c r="AE68" s="282">
        <f>'2 - Matrice finale'!E58</f>
        <v>0</v>
      </c>
      <c r="AF68" s="282">
        <f>'2 - Matrice finale'!F58</f>
        <v>0</v>
      </c>
      <c r="AG68" s="282">
        <f>'2 - Matrice finale'!G58</f>
        <v>0</v>
      </c>
      <c r="AH68" s="282">
        <f>'2 - Matrice finale'!H58</f>
        <v>0</v>
      </c>
      <c r="AI68" s="282">
        <f>'2 - Matrice finale'!I58</f>
        <v>0</v>
      </c>
      <c r="AJ68" s="282">
        <f>'2 - Matrice finale'!J58</f>
        <v>0</v>
      </c>
      <c r="AK68" s="282">
        <f>'2 - Matrice finale'!K58</f>
        <v>0</v>
      </c>
      <c r="AL68" s="282">
        <f>'2 - Matrice finale'!L58</f>
        <v>0</v>
      </c>
      <c r="AM68" s="282">
        <f>'2 - Matrice finale'!M58</f>
        <v>0</v>
      </c>
      <c r="AN68" s="282">
        <f>'2 - Matrice finale'!N58</f>
        <v>0</v>
      </c>
      <c r="AO68" s="282">
        <f>'2 - Matrice finale'!O58</f>
        <v>0</v>
      </c>
      <c r="AP68" s="282">
        <f>'2 - Matrice finale'!P58</f>
        <v>0</v>
      </c>
      <c r="AQ68" s="282">
        <f>'2 - Matrice finale'!Q58</f>
        <v>0</v>
      </c>
      <c r="AR68" s="282">
        <f>'2 - Matrice finale'!R58</f>
        <v>0</v>
      </c>
      <c r="AS68" s="282">
        <f>'2 - Matrice finale'!S58</f>
        <v>0</v>
      </c>
      <c r="AT68" s="282">
        <f>'2 - Matrice finale'!T58</f>
        <v>0</v>
      </c>
      <c r="AU68" s="282">
        <f>'2 - Matrice finale'!U58</f>
        <v>0</v>
      </c>
      <c r="AV68" s="282">
        <f>'2 - Matrice finale'!V58</f>
        <v>0</v>
      </c>
      <c r="AW68" s="282">
        <f>'2 - Matrice finale'!W58</f>
        <v>0</v>
      </c>
      <c r="AX68" s="282">
        <f>'2 - Matrice finale'!X58</f>
        <v>0</v>
      </c>
      <c r="AY68" s="282">
        <f>'2 - Matrice finale'!Y58</f>
        <v>0</v>
      </c>
      <c r="AZ68" s="282">
        <f>'2 - Matrice finale'!Z58</f>
        <v>0</v>
      </c>
      <c r="BA68" s="285"/>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row>
  </sheetData>
  <sheetProtection sheet="1" objects="1" scenarios="1" formatCells="0" formatColumns="0" formatRows="0"/>
  <mergeCells count="7">
    <mergeCell ref="CB3:CB4"/>
    <mergeCell ref="CD3:DB3"/>
    <mergeCell ref="AC2:AE2"/>
    <mergeCell ref="B3:Z3"/>
    <mergeCell ref="AC3:AZ3"/>
    <mergeCell ref="BA3:BA4"/>
    <mergeCell ref="BC3:CA3"/>
  </mergeCells>
  <conditionalFormatting sqref="A58:A64">
    <cfRule type="expression" dxfId="68" priority="2">
      <formula>OR(XFD58="Amortissement extra-comptable",XFD58="Reprise extra-comptable",XFD58="Non incorporable")</formula>
    </cfRule>
    <cfRule type="expression" dxfId="67" priority="3">
      <formula>AND(A58=0,OR(XFD58="Incorporable",XFD58="Supplétif",XFD58="Reprise",XFD58="Amortissement",XFD58="Atténuation de produit",XFD58="atténuation de charge"))</formula>
    </cfRule>
  </conditionalFormatting>
  <conditionalFormatting sqref="A68">
    <cfRule type="duplicateValues" dxfId="66" priority="1"/>
  </conditionalFormatting>
  <dataValidations count="1">
    <dataValidation type="list" showInputMessage="1" showErrorMessage="1" sqref="AB3 A58:A64" xr:uid="{00000000-0002-0000-0C00-000000000000}">
      <formula1>OFFSET(CODE_1,0,0,COUNTA(CODE),1)</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tabColor rgb="FFFFFF00"/>
  </sheetPr>
  <dimension ref="A1:DC68"/>
  <sheetViews>
    <sheetView showGridLines="0" zoomScaleNormal="100" workbookViewId="0">
      <pane xSplit="27" ySplit="4" topLeftCell="AB5" activePane="bottomRight" state="frozen"/>
      <selection pane="topRight" activeCell="AB55" sqref="AB55"/>
      <selection pane="bottomLeft" activeCell="AB55" sqref="AB55"/>
      <selection pane="bottomRight" activeCell="BF62" sqref="BF62"/>
    </sheetView>
  </sheetViews>
  <sheetFormatPr baseColWidth="10" defaultColWidth="11.44140625" defaultRowHeight="13.2" x14ac:dyDescent="0.25"/>
  <cols>
    <col min="1" max="1" width="36" style="20" customWidth="1"/>
    <col min="2" max="2" width="10.33203125" style="20" hidden="1" customWidth="1"/>
    <col min="3" max="26" width="8.5546875" style="20" hidden="1" customWidth="1"/>
    <col min="27" max="27" width="3.6640625" style="7" hidden="1" customWidth="1"/>
    <col min="28" max="32" width="13.44140625" style="7" customWidth="1"/>
    <col min="33" max="35" width="13.44140625" style="7" hidden="1" customWidth="1"/>
    <col min="36" max="52" width="2.44140625" style="7" hidden="1" customWidth="1"/>
    <col min="53" max="53" width="12.88671875" style="7" customWidth="1"/>
    <col min="54" max="54" width="2.44140625" style="7" customWidth="1"/>
    <col min="55" max="59" width="13.44140625" style="7" customWidth="1"/>
    <col min="60" max="62" width="13.44140625" style="7" hidden="1" customWidth="1"/>
    <col min="63" max="79" width="2.44140625" style="7" hidden="1" customWidth="1"/>
    <col min="80" max="80" width="12.88671875" style="7" customWidth="1"/>
    <col min="81" max="81" width="2.44140625" style="7" customWidth="1"/>
    <col min="82" max="106" width="11.44140625" style="7" hidden="1" customWidth="1"/>
    <col min="107" max="16384" width="11.44140625" style="7"/>
  </cols>
  <sheetData>
    <row r="1" spans="1:106" ht="21" x14ac:dyDescent="0.4">
      <c r="A1" s="19" t="s">
        <v>1105</v>
      </c>
    </row>
    <row r="2" spans="1:106" ht="16.2" thickBot="1" x14ac:dyDescent="0.35">
      <c r="A2" s="7"/>
      <c r="AA2" s="196"/>
      <c r="AC2" s="740" t="s">
        <v>245</v>
      </c>
      <c r="AD2" s="741"/>
      <c r="AE2" s="741"/>
      <c r="BA2" s="53" t="str">
        <f ca="1">IF(AND(CELL("format",BA53)="%0",BA53&lt;&gt;1,BA53&gt;0),"Le total ne fait pas 100%","")</f>
        <v/>
      </c>
      <c r="BC2" s="196"/>
      <c r="BD2" s="196"/>
      <c r="BE2" s="196"/>
      <c r="BF2" s="196"/>
      <c r="BG2" s="196"/>
      <c r="BH2" s="196"/>
      <c r="BI2" s="196"/>
      <c r="BJ2" s="196"/>
      <c r="BK2" s="196"/>
      <c r="BL2" s="196"/>
      <c r="BM2" s="196"/>
      <c r="BN2" s="196"/>
      <c r="BO2" s="196"/>
      <c r="BP2" s="196"/>
      <c r="BQ2" s="196"/>
      <c r="BR2" s="196"/>
      <c r="BS2" s="196"/>
      <c r="BT2" s="196"/>
      <c r="BU2" s="196"/>
      <c r="BV2" s="196"/>
      <c r="BW2" s="196"/>
      <c r="BX2" s="196"/>
      <c r="BY2" s="196"/>
      <c r="BZ2" s="196"/>
      <c r="CA2" s="196"/>
      <c r="CB2" s="196"/>
    </row>
    <row r="3" spans="1:106" ht="39" customHeight="1" thickBot="1" x14ac:dyDescent="0.3">
      <c r="A3" s="184"/>
      <c r="B3" s="742" t="s">
        <v>1098</v>
      </c>
      <c r="C3" s="743"/>
      <c r="D3" s="743"/>
      <c r="E3" s="743"/>
      <c r="F3" s="743"/>
      <c r="G3" s="743"/>
      <c r="H3" s="743"/>
      <c r="I3" s="743"/>
      <c r="J3" s="743"/>
      <c r="K3" s="743"/>
      <c r="L3" s="743"/>
      <c r="M3" s="743"/>
      <c r="N3" s="743"/>
      <c r="O3" s="743"/>
      <c r="P3" s="743"/>
      <c r="Q3" s="743"/>
      <c r="R3" s="743"/>
      <c r="S3" s="743"/>
      <c r="T3" s="743"/>
      <c r="U3" s="743"/>
      <c r="V3" s="743"/>
      <c r="W3" s="743"/>
      <c r="X3" s="743"/>
      <c r="Y3" s="743"/>
      <c r="Z3" s="744"/>
      <c r="AB3" s="190"/>
      <c r="AC3" s="745"/>
      <c r="AD3" s="746"/>
      <c r="AE3" s="746"/>
      <c r="AF3" s="746"/>
      <c r="AG3" s="746"/>
      <c r="AH3" s="746"/>
      <c r="AI3" s="746"/>
      <c r="AJ3" s="746"/>
      <c r="AK3" s="746"/>
      <c r="AL3" s="746"/>
      <c r="AM3" s="746"/>
      <c r="AN3" s="746"/>
      <c r="AO3" s="746"/>
      <c r="AP3" s="746"/>
      <c r="AQ3" s="746"/>
      <c r="AR3" s="746"/>
      <c r="AS3" s="746"/>
      <c r="AT3" s="746"/>
      <c r="AU3" s="746"/>
      <c r="AV3" s="746"/>
      <c r="AW3" s="746"/>
      <c r="AX3" s="746"/>
      <c r="AY3" s="746"/>
      <c r="AZ3" s="747"/>
      <c r="BA3" s="748" t="s">
        <v>172</v>
      </c>
      <c r="BC3" s="674" t="s">
        <v>1099</v>
      </c>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t="s">
        <v>172</v>
      </c>
      <c r="CD3" s="737" t="s">
        <v>1100</v>
      </c>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9"/>
    </row>
    <row r="4" spans="1:106" ht="42" customHeight="1" x14ac:dyDescent="0.25">
      <c r="A4" s="44" t="s">
        <v>173</v>
      </c>
      <c r="B4" s="640" t="str">
        <f>Matrice[[#Headers],[OMR]]</f>
        <v>OMR</v>
      </c>
      <c r="C4" s="640" t="str">
        <f>Matrice[[#Headers],[Verre]]</f>
        <v>Verre</v>
      </c>
      <c r="D4" s="640" t="str">
        <f>Matrice[[#Headers],[RSOM hors verre]]</f>
        <v>RSOM hors verre</v>
      </c>
      <c r="E4" s="640" t="str">
        <f>Matrice[[#Headers],[Déchets des déchèteries]]</f>
        <v>Déchets des déchèteries</v>
      </c>
      <c r="F4" s="640" t="str">
        <f>Matrice[[#Headers],[Flux 5]]</f>
        <v>Flux 5</v>
      </c>
      <c r="G4" s="640" t="str">
        <f>Matrice[[#Headers],[Flux 6]]</f>
        <v>Flux 6</v>
      </c>
      <c r="H4" s="640" t="str">
        <f>Matrice[[#Headers],[Flux 7]]</f>
        <v>Flux 7</v>
      </c>
      <c r="I4" s="640" t="str">
        <f>Matrice[[#Headers],[Flux 8]]</f>
        <v>Flux 8</v>
      </c>
      <c r="J4" s="640" t="str">
        <f>Matrice[[#Headers],[Flux 9]]</f>
        <v>Flux 9</v>
      </c>
      <c r="K4" s="640" t="str">
        <f>Matrice[[#Headers],[Flux 10]]</f>
        <v>Flux 10</v>
      </c>
      <c r="L4" s="640" t="str">
        <f>Matrice[[#Headers],[Flux 11]]</f>
        <v>Flux 11</v>
      </c>
      <c r="M4" s="640" t="str">
        <f>Matrice[[#Headers],[Flux 12]]</f>
        <v>Flux 12</v>
      </c>
      <c r="N4" s="640" t="str">
        <f>Matrice[[#Headers],[Flux 13]]</f>
        <v>Flux 13</v>
      </c>
      <c r="O4" s="640" t="str">
        <f>Matrice[[#Headers],[Flux 14]]</f>
        <v>Flux 14</v>
      </c>
      <c r="P4" s="640" t="str">
        <f>Matrice[[#Headers],[Flux 15]]</f>
        <v>Flux 15</v>
      </c>
      <c r="Q4" s="640" t="str">
        <f>Matrice[[#Headers],[Flux 16]]</f>
        <v>Flux 16</v>
      </c>
      <c r="R4" s="640" t="str">
        <f>Matrice[[#Headers],[Flux 17]]</f>
        <v>Flux 17</v>
      </c>
      <c r="S4" s="640" t="str">
        <f>Matrice[[#Headers],[Flux 18]]</f>
        <v>Flux 18</v>
      </c>
      <c r="T4" s="640" t="str">
        <f>Matrice[[#Headers],[Flux 19]]</f>
        <v>Flux 19</v>
      </c>
      <c r="U4" s="640" t="str">
        <f>Matrice[[#Headers],[Flux 20]]</f>
        <v>Flux 20</v>
      </c>
      <c r="V4" s="640" t="str">
        <f>Matrice[[#Headers],[Flux 21]]</f>
        <v>Flux 21</v>
      </c>
      <c r="W4" s="640" t="str">
        <f>Matrice[[#Headers],[Flux 22]]</f>
        <v>Flux 22</v>
      </c>
      <c r="X4" s="640" t="str">
        <f>Matrice[[#Headers],[Flux 23]]</f>
        <v>Flux 23</v>
      </c>
      <c r="Y4" s="640" t="str">
        <f>Matrice[[#Headers],[Flux 24]]</f>
        <v>Flux 24</v>
      </c>
      <c r="Z4" s="640" t="str">
        <f>Matrice[[#Headers],[Flux 25]]</f>
        <v>Flux 25</v>
      </c>
      <c r="AA4" s="197"/>
      <c r="AB4" s="640" t="str">
        <f t="shared" ref="AB4:AZ4" si="0">B4</f>
        <v>OMR</v>
      </c>
      <c r="AC4" s="187" t="str">
        <f t="shared" si="0"/>
        <v>Verre</v>
      </c>
      <c r="AD4" s="187" t="str">
        <f t="shared" si="0"/>
        <v>RSOM hors verre</v>
      </c>
      <c r="AE4" s="187" t="str">
        <f t="shared" si="0"/>
        <v>Déchets des déchèteries</v>
      </c>
      <c r="AF4" s="187" t="str">
        <f t="shared" si="0"/>
        <v>Flux 5</v>
      </c>
      <c r="AG4" s="187" t="str">
        <f t="shared" si="0"/>
        <v>Flux 6</v>
      </c>
      <c r="AH4" s="187" t="str">
        <f t="shared" si="0"/>
        <v>Flux 7</v>
      </c>
      <c r="AI4" s="187" t="str">
        <f t="shared" si="0"/>
        <v>Flux 8</v>
      </c>
      <c r="AJ4" s="187" t="str">
        <f t="shared" si="0"/>
        <v>Flux 9</v>
      </c>
      <c r="AK4" s="187" t="str">
        <f t="shared" si="0"/>
        <v>Flux 10</v>
      </c>
      <c r="AL4" s="187" t="str">
        <f t="shared" si="0"/>
        <v>Flux 11</v>
      </c>
      <c r="AM4" s="187" t="str">
        <f t="shared" si="0"/>
        <v>Flux 12</v>
      </c>
      <c r="AN4" s="187" t="str">
        <f t="shared" si="0"/>
        <v>Flux 13</v>
      </c>
      <c r="AO4" s="187" t="str">
        <f t="shared" si="0"/>
        <v>Flux 14</v>
      </c>
      <c r="AP4" s="187" t="str">
        <f t="shared" si="0"/>
        <v>Flux 15</v>
      </c>
      <c r="AQ4" s="187" t="str">
        <f t="shared" si="0"/>
        <v>Flux 16</v>
      </c>
      <c r="AR4" s="187" t="str">
        <f t="shared" si="0"/>
        <v>Flux 17</v>
      </c>
      <c r="AS4" s="187" t="str">
        <f t="shared" si="0"/>
        <v>Flux 18</v>
      </c>
      <c r="AT4" s="187" t="str">
        <f t="shared" si="0"/>
        <v>Flux 19</v>
      </c>
      <c r="AU4" s="187" t="str">
        <f t="shared" si="0"/>
        <v>Flux 20</v>
      </c>
      <c r="AV4" s="187" t="str">
        <f t="shared" si="0"/>
        <v>Flux 21</v>
      </c>
      <c r="AW4" s="187" t="str">
        <f t="shared" si="0"/>
        <v>Flux 22</v>
      </c>
      <c r="AX4" s="187" t="str">
        <f t="shared" si="0"/>
        <v>Flux 23</v>
      </c>
      <c r="AY4" s="187" t="str">
        <f t="shared" si="0"/>
        <v>Flux 24</v>
      </c>
      <c r="AZ4" s="187" t="str">
        <f t="shared" si="0"/>
        <v>Flux 25</v>
      </c>
      <c r="BA4" s="675"/>
      <c r="BC4" s="640" t="str">
        <f>AB4</f>
        <v>OMR</v>
      </c>
      <c r="BD4" s="640" t="str">
        <f t="shared" ref="BD4:CA4" si="1">AC4</f>
        <v>Verre</v>
      </c>
      <c r="BE4" s="640" t="str">
        <f t="shared" si="1"/>
        <v>RSOM hors verre</v>
      </c>
      <c r="BF4" s="640" t="str">
        <f t="shared" si="1"/>
        <v>Déchets des déchèteries</v>
      </c>
      <c r="BG4" s="640" t="str">
        <f t="shared" si="1"/>
        <v>Flux 5</v>
      </c>
      <c r="BH4" s="640" t="str">
        <f t="shared" si="1"/>
        <v>Flux 6</v>
      </c>
      <c r="BI4" s="640" t="str">
        <f t="shared" si="1"/>
        <v>Flux 7</v>
      </c>
      <c r="BJ4" s="640" t="str">
        <f t="shared" si="1"/>
        <v>Flux 8</v>
      </c>
      <c r="BK4" s="640" t="str">
        <f t="shared" si="1"/>
        <v>Flux 9</v>
      </c>
      <c r="BL4" s="640" t="str">
        <f t="shared" si="1"/>
        <v>Flux 10</v>
      </c>
      <c r="BM4" s="640" t="str">
        <f t="shared" si="1"/>
        <v>Flux 11</v>
      </c>
      <c r="BN4" s="640" t="str">
        <f t="shared" si="1"/>
        <v>Flux 12</v>
      </c>
      <c r="BO4" s="640" t="str">
        <f t="shared" si="1"/>
        <v>Flux 13</v>
      </c>
      <c r="BP4" s="640" t="str">
        <f t="shared" si="1"/>
        <v>Flux 14</v>
      </c>
      <c r="BQ4" s="640" t="str">
        <f t="shared" si="1"/>
        <v>Flux 15</v>
      </c>
      <c r="BR4" s="640" t="str">
        <f t="shared" si="1"/>
        <v>Flux 16</v>
      </c>
      <c r="BS4" s="640" t="str">
        <f t="shared" si="1"/>
        <v>Flux 17</v>
      </c>
      <c r="BT4" s="640" t="str">
        <f t="shared" si="1"/>
        <v>Flux 18</v>
      </c>
      <c r="BU4" s="640" t="str">
        <f t="shared" si="1"/>
        <v>Flux 19</v>
      </c>
      <c r="BV4" s="640" t="str">
        <f t="shared" si="1"/>
        <v>Flux 20</v>
      </c>
      <c r="BW4" s="640" t="str">
        <f t="shared" si="1"/>
        <v>Flux 21</v>
      </c>
      <c r="BX4" s="640" t="str">
        <f t="shared" si="1"/>
        <v>Flux 22</v>
      </c>
      <c r="BY4" s="640" t="str">
        <f t="shared" si="1"/>
        <v>Flux 23</v>
      </c>
      <c r="BZ4" s="640" t="str">
        <f t="shared" si="1"/>
        <v>Flux 24</v>
      </c>
      <c r="CA4" s="640" t="str">
        <f t="shared" si="1"/>
        <v>Flux 25</v>
      </c>
      <c r="CB4" s="675"/>
      <c r="CD4" s="185" t="str">
        <f>Matrice[[#Headers],[OMR]]</f>
        <v>OMR</v>
      </c>
      <c r="CE4" s="185" t="str">
        <f>Matrice[[#Headers],[Verre]]</f>
        <v>Verre</v>
      </c>
      <c r="CF4" s="185" t="str">
        <f>Matrice[[#Headers],[RSOM hors verre]]</f>
        <v>RSOM hors verre</v>
      </c>
      <c r="CG4" s="185" t="str">
        <f>Matrice[[#Headers],[Déchets des déchèteries]]</f>
        <v>Déchets des déchèteries</v>
      </c>
      <c r="CH4" s="185" t="str">
        <f>Matrice[[#Headers],[Flux 5]]</f>
        <v>Flux 5</v>
      </c>
      <c r="CI4" s="185" t="str">
        <f>Matrice[[#Headers],[Flux 6]]</f>
        <v>Flux 6</v>
      </c>
      <c r="CJ4" s="185" t="str">
        <f>Matrice[[#Headers],[Flux 7]]</f>
        <v>Flux 7</v>
      </c>
      <c r="CK4" s="185" t="str">
        <f>Matrice[[#Headers],[Flux 8]]</f>
        <v>Flux 8</v>
      </c>
      <c r="CL4" s="185" t="str">
        <f>Matrice[[#Headers],[Flux 9]]</f>
        <v>Flux 9</v>
      </c>
      <c r="CM4" s="185" t="str">
        <f>Matrice[[#Headers],[Flux 10]]</f>
        <v>Flux 10</v>
      </c>
      <c r="CN4" s="185" t="str">
        <f>Matrice[[#Headers],[Flux 11]]</f>
        <v>Flux 11</v>
      </c>
      <c r="CO4" s="185" t="str">
        <f>Matrice[[#Headers],[Flux 12]]</f>
        <v>Flux 12</v>
      </c>
      <c r="CP4" s="185" t="str">
        <f>Matrice[[#Headers],[Flux 13]]</f>
        <v>Flux 13</v>
      </c>
      <c r="CQ4" s="185" t="str">
        <f>Matrice[[#Headers],[Flux 14]]</f>
        <v>Flux 14</v>
      </c>
      <c r="CR4" s="185" t="str">
        <f>Matrice[[#Headers],[Flux 15]]</f>
        <v>Flux 15</v>
      </c>
      <c r="CS4" s="185" t="str">
        <f>Matrice[[#Headers],[Flux 16]]</f>
        <v>Flux 16</v>
      </c>
      <c r="CT4" s="185" t="str">
        <f>Matrice[[#Headers],[Flux 17]]</f>
        <v>Flux 17</v>
      </c>
      <c r="CU4" s="185" t="str">
        <f>Matrice[[#Headers],[Flux 18]]</f>
        <v>Flux 18</v>
      </c>
      <c r="CV4" s="185" t="str">
        <f>Matrice[[#Headers],[Flux 19]]</f>
        <v>Flux 19</v>
      </c>
      <c r="CW4" s="185" t="str">
        <f>Matrice[[#Headers],[Flux 20]]</f>
        <v>Flux 20</v>
      </c>
      <c r="CX4" s="185" t="str">
        <f>Matrice[[#Headers],[Flux 21]]</f>
        <v>Flux 21</v>
      </c>
      <c r="CY4" s="185" t="str">
        <f>Matrice[[#Headers],[Flux 22]]</f>
        <v>Flux 22</v>
      </c>
      <c r="CZ4" s="185" t="str">
        <f>Matrice[[#Headers],[Flux 23]]</f>
        <v>Flux 23</v>
      </c>
      <c r="DA4" s="185" t="str">
        <f>Matrice[[#Headers],[Flux 24]]</f>
        <v>Flux 24</v>
      </c>
      <c r="DB4" s="185" t="str">
        <f>Matrice[[#Headers],[Flux 25]]</f>
        <v>Flux 25</v>
      </c>
    </row>
    <row r="5" spans="1:106" x14ac:dyDescent="0.25">
      <c r="A5" s="42" t="str">
        <f>Matrice[[#This Row],[Ligne de la matrice]]</f>
        <v>Charges de structure</v>
      </c>
      <c r="B5" s="276">
        <f>(SUMIF(Fonctionnement[Affectation matrice],$AB$3,Fonctionnement[Montant (€HT)])+SUMIF(Invest[Affectation matrice],$AB$3,Invest[Amortissement HT + intérêts]))*BC5</f>
        <v>0</v>
      </c>
      <c r="C5" s="276">
        <f>(SUMIF(Fonctionnement[Affectation matrice],$AB$3,Fonctionnement[Montant (€HT)])+SUMIF(Invest[Affectation matrice],$AB$3,Invest[Amortissement HT + intérêts]))*BD5</f>
        <v>0</v>
      </c>
      <c r="D5" s="276">
        <f>(SUMIF(Fonctionnement[Affectation matrice],$AB$3,Fonctionnement[Montant (€HT)])+SUMIF(Invest[Affectation matrice],$AB$3,Invest[Amortissement HT + intérêts]))*BE5</f>
        <v>0</v>
      </c>
      <c r="E5" s="276">
        <f>(SUMIF(Fonctionnement[Affectation matrice],$AB$3,Fonctionnement[Montant (€HT)])+SUMIF(Invest[Affectation matrice],$AB$3,Invest[Amortissement HT + intérêts]))*BF5</f>
        <v>0</v>
      </c>
      <c r="F5" s="276">
        <f>(SUMIF(Fonctionnement[Affectation matrice],$AB$3,Fonctionnement[Montant (€HT)])+SUMIF(Invest[Affectation matrice],$AB$3,Invest[Amortissement HT + intérêts]))*BG5</f>
        <v>0</v>
      </c>
      <c r="G5" s="276">
        <f>(SUMIF(Fonctionnement[Affectation matrice],$AB$3,Fonctionnement[Montant (€HT)])+SUMIF(Invest[Affectation matrice],$AB$3,Invest[Amortissement HT + intérêts]))*BH5</f>
        <v>0</v>
      </c>
      <c r="H5" s="276">
        <f>(SUMIF(Fonctionnement[Affectation matrice],$AB$3,Fonctionnement[Montant (€HT)])+SUMIF(Invest[Affectation matrice],$AB$3,Invest[Amortissement HT + intérêts]))*BI5</f>
        <v>0</v>
      </c>
      <c r="I5" s="276">
        <f>(SUMIF(Fonctionnement[Affectation matrice],$AB$3,Fonctionnement[Montant (€HT)])+SUMIF(Invest[Affectation matrice],$AB$3,Invest[Amortissement HT + intérêts]))*BJ5</f>
        <v>0</v>
      </c>
      <c r="J5" s="276">
        <f>(SUMIF(Fonctionnement[Affectation matrice],$AB$3,Fonctionnement[Montant (€HT)])+SUMIF(Invest[Affectation matrice],$AB$3,Invest[Amortissement HT + intérêts]))*BK5</f>
        <v>0</v>
      </c>
      <c r="K5" s="276">
        <f>(SUMIF(Fonctionnement[Affectation matrice],$AB$3,Fonctionnement[Montant (€HT)])+SUMIF(Invest[Affectation matrice],$AB$3,Invest[Amortissement HT + intérêts]))*BL5</f>
        <v>0</v>
      </c>
      <c r="L5" s="276">
        <f>(SUMIF(Fonctionnement[Affectation matrice],$AB$3,Fonctionnement[Montant (€HT)])+SUMIF(Invest[Affectation matrice],$AB$3,Invest[Amortissement HT + intérêts]))*BM5</f>
        <v>0</v>
      </c>
      <c r="M5" s="276">
        <f>(SUMIF(Fonctionnement[Affectation matrice],$AB$3,Fonctionnement[Montant (€HT)])+SUMIF(Invest[Affectation matrice],$AB$3,Invest[Amortissement HT + intérêts]))*BN5</f>
        <v>0</v>
      </c>
      <c r="N5" s="276">
        <f>(SUMIF(Fonctionnement[Affectation matrice],$AB$3,Fonctionnement[Montant (€HT)])+SUMIF(Invest[Affectation matrice],$AB$3,Invest[Amortissement HT + intérêts]))*BO5</f>
        <v>0</v>
      </c>
      <c r="O5" s="276">
        <f>(SUMIF(Fonctionnement[Affectation matrice],$AB$3,Fonctionnement[Montant (€HT)])+SUMIF(Invest[Affectation matrice],$AB$3,Invest[Amortissement HT + intérêts]))*BP5</f>
        <v>0</v>
      </c>
      <c r="P5" s="276">
        <f>(SUMIF(Fonctionnement[Affectation matrice],$AB$3,Fonctionnement[Montant (€HT)])+SUMIF(Invest[Affectation matrice],$AB$3,Invest[Amortissement HT + intérêts]))*BQ5</f>
        <v>0</v>
      </c>
      <c r="Q5" s="276">
        <f>(SUMIF(Fonctionnement[Affectation matrice],$AB$3,Fonctionnement[Montant (€HT)])+SUMIF(Invest[Affectation matrice],$AB$3,Invest[Amortissement HT + intérêts]))*BR5</f>
        <v>0</v>
      </c>
      <c r="R5" s="276">
        <f>(SUMIF(Fonctionnement[Affectation matrice],$AB$3,Fonctionnement[Montant (€HT)])+SUMIF(Invest[Affectation matrice],$AB$3,Invest[Amortissement HT + intérêts]))*BS5</f>
        <v>0</v>
      </c>
      <c r="S5" s="276">
        <f>(SUMIF(Fonctionnement[Affectation matrice],$AB$3,Fonctionnement[Montant (€HT)])+SUMIF(Invest[Affectation matrice],$AB$3,Invest[Amortissement HT + intérêts]))*BT5</f>
        <v>0</v>
      </c>
      <c r="T5" s="276">
        <f>(SUMIF(Fonctionnement[Affectation matrice],$AB$3,Fonctionnement[Montant (€HT)])+SUMIF(Invest[Affectation matrice],$AB$3,Invest[Amortissement HT + intérêts]))*BU5</f>
        <v>0</v>
      </c>
      <c r="U5" s="276">
        <f>(SUMIF(Fonctionnement[Affectation matrice],$AB$3,Fonctionnement[Montant (€HT)])+SUMIF(Invest[Affectation matrice],$AB$3,Invest[Amortissement HT + intérêts]))*BV5</f>
        <v>0</v>
      </c>
      <c r="V5" s="276">
        <f>(SUMIF(Fonctionnement[Affectation matrice],$AB$3,Fonctionnement[Montant (€HT)])+SUMIF(Invest[Affectation matrice],$AB$3,Invest[Amortissement HT + intérêts]))*BW5</f>
        <v>0</v>
      </c>
      <c r="W5" s="276">
        <f>(SUMIF(Fonctionnement[Affectation matrice],$AB$3,Fonctionnement[Montant (€HT)])+SUMIF(Invest[Affectation matrice],$AB$3,Invest[Amortissement HT + intérêts]))*BX5</f>
        <v>0</v>
      </c>
      <c r="X5" s="276">
        <f>(SUMIF(Fonctionnement[Affectation matrice],$AB$3,Fonctionnement[Montant (€HT)])+SUMIF(Invest[Affectation matrice],$AB$3,Invest[Amortissement HT + intérêts]))*BY5</f>
        <v>0</v>
      </c>
      <c r="Y5" s="276">
        <f>(SUMIF(Fonctionnement[Affectation matrice],$AB$3,Fonctionnement[Montant (€HT)])+SUMIF(Invest[Affectation matrice],$AB$3,Invest[Amortissement HT + intérêts]))*BZ5</f>
        <v>0</v>
      </c>
      <c r="Z5" s="276">
        <f>(SUMIF(Fonctionnement[Affectation matrice],$AB$3,Fonctionnement[Montant (€HT)])+SUMIF(Invest[Affectation matrice],$AB$3,Invest[Amortissement HT + intérêts]))*CA5</f>
        <v>0</v>
      </c>
      <c r="AA5" s="199"/>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83">
        <f>SUM(AB5:AZ5)</f>
        <v>0</v>
      </c>
      <c r="BC5" s="61">
        <f t="shared" ref="BC5:BR20" si="2">IF($BA$53=0,0,AB5/$BA$53)</f>
        <v>0</v>
      </c>
      <c r="BD5" s="61">
        <f t="shared" si="2"/>
        <v>0</v>
      </c>
      <c r="BE5" s="61">
        <f t="shared" si="2"/>
        <v>0</v>
      </c>
      <c r="BF5" s="61">
        <f t="shared" si="2"/>
        <v>0</v>
      </c>
      <c r="BG5" s="61">
        <f t="shared" si="2"/>
        <v>0</v>
      </c>
      <c r="BH5" s="61">
        <f t="shared" si="2"/>
        <v>0</v>
      </c>
      <c r="BI5" s="61">
        <f t="shared" si="2"/>
        <v>0</v>
      </c>
      <c r="BJ5" s="61">
        <f t="shared" si="2"/>
        <v>0</v>
      </c>
      <c r="BK5" s="61">
        <f t="shared" si="2"/>
        <v>0</v>
      </c>
      <c r="BL5" s="61">
        <f t="shared" si="2"/>
        <v>0</v>
      </c>
      <c r="BM5" s="61">
        <f t="shared" si="2"/>
        <v>0</v>
      </c>
      <c r="BN5" s="61">
        <f t="shared" si="2"/>
        <v>0</v>
      </c>
      <c r="BO5" s="61">
        <f t="shared" si="2"/>
        <v>0</v>
      </c>
      <c r="BP5" s="61">
        <f t="shared" si="2"/>
        <v>0</v>
      </c>
      <c r="BQ5" s="61">
        <f t="shared" si="2"/>
        <v>0</v>
      </c>
      <c r="BR5" s="61">
        <f t="shared" si="2"/>
        <v>0</v>
      </c>
      <c r="BS5" s="61">
        <f t="shared" ref="BS5:CA22" si="3">IF($BA$53=0,0,AR5/$BA$53)</f>
        <v>0</v>
      </c>
      <c r="BT5" s="61">
        <f t="shared" si="3"/>
        <v>0</v>
      </c>
      <c r="BU5" s="61">
        <f t="shared" si="3"/>
        <v>0</v>
      </c>
      <c r="BV5" s="61">
        <f t="shared" si="3"/>
        <v>0</v>
      </c>
      <c r="BW5" s="61">
        <f t="shared" si="3"/>
        <v>0</v>
      </c>
      <c r="BX5" s="61">
        <f t="shared" si="3"/>
        <v>0</v>
      </c>
      <c r="BY5" s="61">
        <f t="shared" si="3"/>
        <v>0</v>
      </c>
      <c r="BZ5" s="61">
        <f t="shared" si="3"/>
        <v>0</v>
      </c>
      <c r="CA5" s="61">
        <f t="shared" si="3"/>
        <v>0</v>
      </c>
      <c r="CB5" s="61">
        <f>SUM(BC5:CA5)</f>
        <v>0</v>
      </c>
      <c r="CD5" s="200">
        <f>(SUMIF(Fonctionnement[Affectation matrice],$AB$3,Fonctionnement[TVA acquittée])+SUMIF(Invest[Affectation matrice],$AB$3,Invest[TVA acquittée]))*BC5</f>
        <v>0</v>
      </c>
      <c r="CE5" s="200">
        <f>(SUMIF(Fonctionnement[Affectation matrice],$AB$3,Fonctionnement[TVA acquittée])+SUMIF(Invest[Affectation matrice],$AB$3,Invest[TVA acquittée]))*BD5</f>
        <v>0</v>
      </c>
      <c r="CF5" s="200">
        <f>(SUMIF(Fonctionnement[Affectation matrice],$AB$3,Fonctionnement[TVA acquittée])+SUMIF(Invest[Affectation matrice],$AB$3,Invest[TVA acquittée]))*BE5</f>
        <v>0</v>
      </c>
      <c r="CG5" s="200">
        <f>(SUMIF(Fonctionnement[Affectation matrice],$AB$3,Fonctionnement[TVA acquittée])+SUMIF(Invest[Affectation matrice],$AB$3,Invest[TVA acquittée]))*BF5</f>
        <v>0</v>
      </c>
      <c r="CH5" s="200">
        <f>(SUMIF(Fonctionnement[Affectation matrice],$AB$3,Fonctionnement[TVA acquittée])+SUMIF(Invest[Affectation matrice],$AB$3,Invest[TVA acquittée]))*BG5</f>
        <v>0</v>
      </c>
      <c r="CI5" s="200">
        <f>(SUMIF(Fonctionnement[Affectation matrice],$AB$3,Fonctionnement[TVA acquittée])+SUMIF(Invest[Affectation matrice],$AB$3,Invest[TVA acquittée]))*BH5</f>
        <v>0</v>
      </c>
      <c r="CJ5" s="200">
        <f>(SUMIF(Fonctionnement[Affectation matrice],$AB$3,Fonctionnement[TVA acquittée])+SUMIF(Invest[Affectation matrice],$AB$3,Invest[TVA acquittée]))*BI5</f>
        <v>0</v>
      </c>
      <c r="CK5" s="200">
        <f>(SUMIF(Fonctionnement[Affectation matrice],$AB$3,Fonctionnement[TVA acquittée])+SUMIF(Invest[Affectation matrice],$AB$3,Invest[TVA acquittée]))*BJ5</f>
        <v>0</v>
      </c>
      <c r="CL5" s="200">
        <f>(SUMIF(Fonctionnement[Affectation matrice],$AB$3,Fonctionnement[TVA acquittée])+SUMIF(Invest[Affectation matrice],$AB$3,Invest[TVA acquittée]))*BK5</f>
        <v>0</v>
      </c>
      <c r="CM5" s="200">
        <f>(SUMIF(Fonctionnement[Affectation matrice],$AB$3,Fonctionnement[TVA acquittée])+SUMIF(Invest[Affectation matrice],$AB$3,Invest[TVA acquittée]))*BL5</f>
        <v>0</v>
      </c>
      <c r="CN5" s="200">
        <f>(SUMIF(Fonctionnement[Affectation matrice],$AB$3,Fonctionnement[TVA acquittée])+SUMIF(Invest[Affectation matrice],$AB$3,Invest[TVA acquittée]))*BM5</f>
        <v>0</v>
      </c>
      <c r="CO5" s="200">
        <f>(SUMIF(Fonctionnement[Affectation matrice],$AB$3,Fonctionnement[TVA acquittée])+SUMIF(Invest[Affectation matrice],$AB$3,Invest[TVA acquittée]))*BN5</f>
        <v>0</v>
      </c>
      <c r="CP5" s="200">
        <f>(SUMIF(Fonctionnement[Affectation matrice],$AB$3,Fonctionnement[TVA acquittée])+SUMIF(Invest[Affectation matrice],$AB$3,Invest[TVA acquittée]))*BO5</f>
        <v>0</v>
      </c>
      <c r="CQ5" s="200">
        <f>(SUMIF(Fonctionnement[Affectation matrice],$AB$3,Fonctionnement[TVA acquittée])+SUMIF(Invest[Affectation matrice],$AB$3,Invest[TVA acquittée]))*BP5</f>
        <v>0</v>
      </c>
      <c r="CR5" s="200">
        <f>(SUMIF(Fonctionnement[Affectation matrice],$AB$3,Fonctionnement[TVA acquittée])+SUMIF(Invest[Affectation matrice],$AB$3,Invest[TVA acquittée]))*BQ5</f>
        <v>0</v>
      </c>
      <c r="CS5" s="200">
        <f>(SUMIF(Fonctionnement[Affectation matrice],$AB$3,Fonctionnement[TVA acquittée])+SUMIF(Invest[Affectation matrice],$AB$3,Invest[TVA acquittée]))*BR5</f>
        <v>0</v>
      </c>
      <c r="CT5" s="200">
        <f>(SUMIF(Fonctionnement[Affectation matrice],$AB$3,Fonctionnement[TVA acquittée])+SUMIF(Invest[Affectation matrice],$AB$3,Invest[TVA acquittée]))*BS5</f>
        <v>0</v>
      </c>
      <c r="CU5" s="200">
        <f>(SUMIF(Fonctionnement[Affectation matrice],$AB$3,Fonctionnement[TVA acquittée])+SUMIF(Invest[Affectation matrice],$AB$3,Invest[TVA acquittée]))*BT5</f>
        <v>0</v>
      </c>
      <c r="CV5" s="200">
        <f>(SUMIF(Fonctionnement[Affectation matrice],$AB$3,Fonctionnement[TVA acquittée])+SUMIF(Invest[Affectation matrice],$AB$3,Invest[TVA acquittée]))*BU5</f>
        <v>0</v>
      </c>
      <c r="CW5" s="200">
        <f>(SUMIF(Fonctionnement[Affectation matrice],$AB$3,Fonctionnement[TVA acquittée])+SUMIF(Invest[Affectation matrice],$AB$3,Invest[TVA acquittée]))*BV5</f>
        <v>0</v>
      </c>
      <c r="CX5" s="200">
        <f>(SUMIF(Fonctionnement[Affectation matrice],$AB$3,Fonctionnement[TVA acquittée])+SUMIF(Invest[Affectation matrice],$AB$3,Invest[TVA acquittée]))*BW5</f>
        <v>0</v>
      </c>
      <c r="CY5" s="200">
        <f>(SUMIF(Fonctionnement[Affectation matrice],$AB$3,Fonctionnement[TVA acquittée])+SUMIF(Invest[Affectation matrice],$AB$3,Invest[TVA acquittée]))*BX5</f>
        <v>0</v>
      </c>
      <c r="CZ5" s="200">
        <f>(SUMIF(Fonctionnement[Affectation matrice],$AB$3,Fonctionnement[TVA acquittée])+SUMIF(Invest[Affectation matrice],$AB$3,Invest[TVA acquittée]))*BY5</f>
        <v>0</v>
      </c>
      <c r="DA5" s="200">
        <f>(SUMIF(Fonctionnement[Affectation matrice],$AB$3,Fonctionnement[TVA acquittée])+SUMIF(Invest[Affectation matrice],$AB$3,Invest[TVA acquittée]))*BZ5</f>
        <v>0</v>
      </c>
      <c r="DB5" s="200">
        <f>(SUMIF(Fonctionnement[Affectation matrice],$AB$3,Fonctionnement[TVA acquittée])+SUMIF(Invest[Affectation matrice],$AB$3,Invest[TVA acquittée]))*CA5</f>
        <v>0</v>
      </c>
    </row>
    <row r="6" spans="1:106" x14ac:dyDescent="0.25">
      <c r="A6" s="42" t="str">
        <f>Matrice[[#This Row],[Ligne de la matrice]]</f>
        <v>Communication</v>
      </c>
      <c r="B6" s="276">
        <f>(SUMIF(Fonctionnement[Affectation matrice],$AB$3,Fonctionnement[Montant (€HT)])+SUMIF(Invest[Affectation matrice],$AB$3,Invest[Amortissement HT + intérêts]))*BC6</f>
        <v>0</v>
      </c>
      <c r="C6" s="276">
        <f>(SUMIF(Fonctionnement[Affectation matrice],$AB$3,Fonctionnement[Montant (€HT)])+SUMIF(Invest[Affectation matrice],$AB$3,Invest[Amortissement HT + intérêts]))*BD6</f>
        <v>0</v>
      </c>
      <c r="D6" s="276">
        <f>(SUMIF(Fonctionnement[Affectation matrice],$AB$3,Fonctionnement[Montant (€HT)])+SUMIF(Invest[Affectation matrice],$AB$3,Invest[Amortissement HT + intérêts]))*BE6</f>
        <v>0</v>
      </c>
      <c r="E6" s="276">
        <f>(SUMIF(Fonctionnement[Affectation matrice],$AB$3,Fonctionnement[Montant (€HT)])+SUMIF(Invest[Affectation matrice],$AB$3,Invest[Amortissement HT + intérêts]))*BF6</f>
        <v>0</v>
      </c>
      <c r="F6" s="276">
        <f>(SUMIF(Fonctionnement[Affectation matrice],$AB$3,Fonctionnement[Montant (€HT)])+SUMIF(Invest[Affectation matrice],$AB$3,Invest[Amortissement HT + intérêts]))*BG6</f>
        <v>0</v>
      </c>
      <c r="G6" s="276">
        <f>(SUMIF(Fonctionnement[Affectation matrice],$AB$3,Fonctionnement[Montant (€HT)])+SUMIF(Invest[Affectation matrice],$AB$3,Invest[Amortissement HT + intérêts]))*BH6</f>
        <v>0</v>
      </c>
      <c r="H6" s="276">
        <f>(SUMIF(Fonctionnement[Affectation matrice],$AB$3,Fonctionnement[Montant (€HT)])+SUMIF(Invest[Affectation matrice],$AB$3,Invest[Amortissement HT + intérêts]))*BI6</f>
        <v>0</v>
      </c>
      <c r="I6" s="276">
        <f>(SUMIF(Fonctionnement[Affectation matrice],$AB$3,Fonctionnement[Montant (€HT)])+SUMIF(Invest[Affectation matrice],$AB$3,Invest[Amortissement HT + intérêts]))*BJ6</f>
        <v>0</v>
      </c>
      <c r="J6" s="276">
        <f>(SUMIF(Fonctionnement[Affectation matrice],$AB$3,Fonctionnement[Montant (€HT)])+SUMIF(Invest[Affectation matrice],$AB$3,Invest[Amortissement HT + intérêts]))*BK6</f>
        <v>0</v>
      </c>
      <c r="K6" s="276">
        <f>(SUMIF(Fonctionnement[Affectation matrice],$AB$3,Fonctionnement[Montant (€HT)])+SUMIF(Invest[Affectation matrice],$AB$3,Invest[Amortissement HT + intérêts]))*BL6</f>
        <v>0</v>
      </c>
      <c r="L6" s="276">
        <f>(SUMIF(Fonctionnement[Affectation matrice],$AB$3,Fonctionnement[Montant (€HT)])+SUMIF(Invest[Affectation matrice],$AB$3,Invest[Amortissement HT + intérêts]))*BM6</f>
        <v>0</v>
      </c>
      <c r="M6" s="276">
        <f>(SUMIF(Fonctionnement[Affectation matrice],$AB$3,Fonctionnement[Montant (€HT)])+SUMIF(Invest[Affectation matrice],$AB$3,Invest[Amortissement HT + intérêts]))*BN6</f>
        <v>0</v>
      </c>
      <c r="N6" s="276">
        <f>(SUMIF(Fonctionnement[Affectation matrice],$AB$3,Fonctionnement[Montant (€HT)])+SUMIF(Invest[Affectation matrice],$AB$3,Invest[Amortissement HT + intérêts]))*BO6</f>
        <v>0</v>
      </c>
      <c r="O6" s="276">
        <f>(SUMIF(Fonctionnement[Affectation matrice],$AB$3,Fonctionnement[Montant (€HT)])+SUMIF(Invest[Affectation matrice],$AB$3,Invest[Amortissement HT + intérêts]))*BP6</f>
        <v>0</v>
      </c>
      <c r="P6" s="276">
        <f>(SUMIF(Fonctionnement[Affectation matrice],$AB$3,Fonctionnement[Montant (€HT)])+SUMIF(Invest[Affectation matrice],$AB$3,Invest[Amortissement HT + intérêts]))*BQ6</f>
        <v>0</v>
      </c>
      <c r="Q6" s="276">
        <f>(SUMIF(Fonctionnement[Affectation matrice],$AB$3,Fonctionnement[Montant (€HT)])+SUMIF(Invest[Affectation matrice],$AB$3,Invest[Amortissement HT + intérêts]))*BR6</f>
        <v>0</v>
      </c>
      <c r="R6" s="276">
        <f>(SUMIF(Fonctionnement[Affectation matrice],$AB$3,Fonctionnement[Montant (€HT)])+SUMIF(Invest[Affectation matrice],$AB$3,Invest[Amortissement HT + intérêts]))*BS6</f>
        <v>0</v>
      </c>
      <c r="S6" s="276">
        <f>(SUMIF(Fonctionnement[Affectation matrice],$AB$3,Fonctionnement[Montant (€HT)])+SUMIF(Invest[Affectation matrice],$AB$3,Invest[Amortissement HT + intérêts]))*BT6</f>
        <v>0</v>
      </c>
      <c r="T6" s="276">
        <f>(SUMIF(Fonctionnement[Affectation matrice],$AB$3,Fonctionnement[Montant (€HT)])+SUMIF(Invest[Affectation matrice],$AB$3,Invest[Amortissement HT + intérêts]))*BU6</f>
        <v>0</v>
      </c>
      <c r="U6" s="276">
        <f>(SUMIF(Fonctionnement[Affectation matrice],$AB$3,Fonctionnement[Montant (€HT)])+SUMIF(Invest[Affectation matrice],$AB$3,Invest[Amortissement HT + intérêts]))*BV6</f>
        <v>0</v>
      </c>
      <c r="V6" s="276">
        <f>(SUMIF(Fonctionnement[Affectation matrice],$AB$3,Fonctionnement[Montant (€HT)])+SUMIF(Invest[Affectation matrice],$AB$3,Invest[Amortissement HT + intérêts]))*BW6</f>
        <v>0</v>
      </c>
      <c r="W6" s="276">
        <f>(SUMIF(Fonctionnement[Affectation matrice],$AB$3,Fonctionnement[Montant (€HT)])+SUMIF(Invest[Affectation matrice],$AB$3,Invest[Amortissement HT + intérêts]))*BX6</f>
        <v>0</v>
      </c>
      <c r="X6" s="276">
        <f>(SUMIF(Fonctionnement[Affectation matrice],$AB$3,Fonctionnement[Montant (€HT)])+SUMIF(Invest[Affectation matrice],$AB$3,Invest[Amortissement HT + intérêts]))*BY6</f>
        <v>0</v>
      </c>
      <c r="Y6" s="276">
        <f>(SUMIF(Fonctionnement[Affectation matrice],$AB$3,Fonctionnement[Montant (€HT)])+SUMIF(Invest[Affectation matrice],$AB$3,Invest[Amortissement HT + intérêts]))*BZ6</f>
        <v>0</v>
      </c>
      <c r="Z6" s="276">
        <f>(SUMIF(Fonctionnement[Affectation matrice],$AB$3,Fonctionnement[Montant (€HT)])+SUMIF(Invest[Affectation matrice],$AB$3,Invest[Amortissement HT + intérêts]))*CA6</f>
        <v>0</v>
      </c>
      <c r="AA6" s="199"/>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283">
        <f>SUM(AB6:AZ6)</f>
        <v>0</v>
      </c>
      <c r="BC6" s="61">
        <f t="shared" si="2"/>
        <v>0</v>
      </c>
      <c r="BD6" s="61">
        <f t="shared" si="2"/>
        <v>0</v>
      </c>
      <c r="BE6" s="61">
        <f t="shared" si="2"/>
        <v>0</v>
      </c>
      <c r="BF6" s="61">
        <f t="shared" si="2"/>
        <v>0</v>
      </c>
      <c r="BG6" s="61">
        <f t="shared" si="2"/>
        <v>0</v>
      </c>
      <c r="BH6" s="61">
        <f t="shared" si="2"/>
        <v>0</v>
      </c>
      <c r="BI6" s="61">
        <f t="shared" si="2"/>
        <v>0</v>
      </c>
      <c r="BJ6" s="61">
        <f t="shared" si="2"/>
        <v>0</v>
      </c>
      <c r="BK6" s="61">
        <f t="shared" si="2"/>
        <v>0</v>
      </c>
      <c r="BL6" s="61">
        <f t="shared" si="2"/>
        <v>0</v>
      </c>
      <c r="BM6" s="61">
        <f t="shared" si="2"/>
        <v>0</v>
      </c>
      <c r="BN6" s="61">
        <f t="shared" si="2"/>
        <v>0</v>
      </c>
      <c r="BO6" s="61">
        <f t="shared" si="2"/>
        <v>0</v>
      </c>
      <c r="BP6" s="61">
        <f t="shared" si="2"/>
        <v>0</v>
      </c>
      <c r="BQ6" s="61">
        <f t="shared" si="2"/>
        <v>0</v>
      </c>
      <c r="BR6" s="61">
        <f t="shared" si="2"/>
        <v>0</v>
      </c>
      <c r="BS6" s="61">
        <f t="shared" si="3"/>
        <v>0</v>
      </c>
      <c r="BT6" s="61">
        <f t="shared" si="3"/>
        <v>0</v>
      </c>
      <c r="BU6" s="61">
        <f t="shared" si="3"/>
        <v>0</v>
      </c>
      <c r="BV6" s="61">
        <f t="shared" si="3"/>
        <v>0</v>
      </c>
      <c r="BW6" s="61">
        <f t="shared" si="3"/>
        <v>0</v>
      </c>
      <c r="BX6" s="61">
        <f t="shared" si="3"/>
        <v>0</v>
      </c>
      <c r="BY6" s="61">
        <f t="shared" si="3"/>
        <v>0</v>
      </c>
      <c r="BZ6" s="61">
        <f t="shared" si="3"/>
        <v>0</v>
      </c>
      <c r="CA6" s="61">
        <f t="shared" si="3"/>
        <v>0</v>
      </c>
      <c r="CB6" s="61">
        <f>SUM(BC6:CA6)</f>
        <v>0</v>
      </c>
      <c r="CD6" s="200">
        <f>(SUMIF(Fonctionnement[Affectation matrice],$AB$3,Fonctionnement[TVA acquittée])+SUMIF(Invest[Affectation matrice],$AB$3,Invest[TVA acquittée]))*BC6</f>
        <v>0</v>
      </c>
      <c r="CE6" s="200">
        <f>(SUMIF(Fonctionnement[Affectation matrice],$AB$3,Fonctionnement[TVA acquittée])+SUMIF(Invest[Affectation matrice],$AB$3,Invest[TVA acquittée]))*BD6</f>
        <v>0</v>
      </c>
      <c r="CF6" s="200">
        <f>(SUMIF(Fonctionnement[Affectation matrice],$AB$3,Fonctionnement[TVA acquittée])+SUMIF(Invest[Affectation matrice],$AB$3,Invest[TVA acquittée]))*BE6</f>
        <v>0</v>
      </c>
      <c r="CG6" s="200">
        <f>(SUMIF(Fonctionnement[Affectation matrice],$AB$3,Fonctionnement[TVA acquittée])+SUMIF(Invest[Affectation matrice],$AB$3,Invest[TVA acquittée]))*BF6</f>
        <v>0</v>
      </c>
      <c r="CH6" s="200">
        <f>(SUMIF(Fonctionnement[Affectation matrice],$AB$3,Fonctionnement[TVA acquittée])+SUMIF(Invest[Affectation matrice],$AB$3,Invest[TVA acquittée]))*BG6</f>
        <v>0</v>
      </c>
      <c r="CI6" s="200">
        <f>(SUMIF(Fonctionnement[Affectation matrice],$AB$3,Fonctionnement[TVA acquittée])+SUMIF(Invest[Affectation matrice],$AB$3,Invest[TVA acquittée]))*BH6</f>
        <v>0</v>
      </c>
      <c r="CJ6" s="200">
        <f>(SUMIF(Fonctionnement[Affectation matrice],$AB$3,Fonctionnement[TVA acquittée])+SUMIF(Invest[Affectation matrice],$AB$3,Invest[TVA acquittée]))*BI6</f>
        <v>0</v>
      </c>
      <c r="CK6" s="200">
        <f>(SUMIF(Fonctionnement[Affectation matrice],$AB$3,Fonctionnement[TVA acquittée])+SUMIF(Invest[Affectation matrice],$AB$3,Invest[TVA acquittée]))*BJ6</f>
        <v>0</v>
      </c>
      <c r="CL6" s="200">
        <f>(SUMIF(Fonctionnement[Affectation matrice],$AB$3,Fonctionnement[TVA acquittée])+SUMIF(Invest[Affectation matrice],$AB$3,Invest[TVA acquittée]))*BK6</f>
        <v>0</v>
      </c>
      <c r="CM6" s="200">
        <f>(SUMIF(Fonctionnement[Affectation matrice],$AB$3,Fonctionnement[TVA acquittée])+SUMIF(Invest[Affectation matrice],$AB$3,Invest[TVA acquittée]))*BL6</f>
        <v>0</v>
      </c>
      <c r="CN6" s="200">
        <f>(SUMIF(Fonctionnement[Affectation matrice],$AB$3,Fonctionnement[TVA acquittée])+SUMIF(Invest[Affectation matrice],$AB$3,Invest[TVA acquittée]))*BM6</f>
        <v>0</v>
      </c>
      <c r="CO6" s="200">
        <f>(SUMIF(Fonctionnement[Affectation matrice],$AB$3,Fonctionnement[TVA acquittée])+SUMIF(Invest[Affectation matrice],$AB$3,Invest[TVA acquittée]))*BN6</f>
        <v>0</v>
      </c>
      <c r="CP6" s="200">
        <f>(SUMIF(Fonctionnement[Affectation matrice],$AB$3,Fonctionnement[TVA acquittée])+SUMIF(Invest[Affectation matrice],$AB$3,Invest[TVA acquittée]))*BO6</f>
        <v>0</v>
      </c>
      <c r="CQ6" s="200">
        <f>(SUMIF(Fonctionnement[Affectation matrice],$AB$3,Fonctionnement[TVA acquittée])+SUMIF(Invest[Affectation matrice],$AB$3,Invest[TVA acquittée]))*BP6</f>
        <v>0</v>
      </c>
      <c r="CR6" s="200">
        <f>(SUMIF(Fonctionnement[Affectation matrice],$AB$3,Fonctionnement[TVA acquittée])+SUMIF(Invest[Affectation matrice],$AB$3,Invest[TVA acquittée]))*BQ6</f>
        <v>0</v>
      </c>
      <c r="CS6" s="200">
        <f>(SUMIF(Fonctionnement[Affectation matrice],$AB$3,Fonctionnement[TVA acquittée])+SUMIF(Invest[Affectation matrice],$AB$3,Invest[TVA acquittée]))*BR6</f>
        <v>0</v>
      </c>
      <c r="CT6" s="200">
        <f>(SUMIF(Fonctionnement[Affectation matrice],$AB$3,Fonctionnement[TVA acquittée])+SUMIF(Invest[Affectation matrice],$AB$3,Invest[TVA acquittée]))*BS6</f>
        <v>0</v>
      </c>
      <c r="CU6" s="200">
        <f>(SUMIF(Fonctionnement[Affectation matrice],$AB$3,Fonctionnement[TVA acquittée])+SUMIF(Invest[Affectation matrice],$AB$3,Invest[TVA acquittée]))*BT6</f>
        <v>0</v>
      </c>
      <c r="CV6" s="200">
        <f>(SUMIF(Fonctionnement[Affectation matrice],$AB$3,Fonctionnement[TVA acquittée])+SUMIF(Invest[Affectation matrice],$AB$3,Invest[TVA acquittée]))*BU6</f>
        <v>0</v>
      </c>
      <c r="CW6" s="200">
        <f>(SUMIF(Fonctionnement[Affectation matrice],$AB$3,Fonctionnement[TVA acquittée])+SUMIF(Invest[Affectation matrice],$AB$3,Invest[TVA acquittée]))*BV6</f>
        <v>0</v>
      </c>
      <c r="CX6" s="200">
        <f>(SUMIF(Fonctionnement[Affectation matrice],$AB$3,Fonctionnement[TVA acquittée])+SUMIF(Invest[Affectation matrice],$AB$3,Invest[TVA acquittée]))*BW6</f>
        <v>0</v>
      </c>
      <c r="CY6" s="200">
        <f>(SUMIF(Fonctionnement[Affectation matrice],$AB$3,Fonctionnement[TVA acquittée])+SUMIF(Invest[Affectation matrice],$AB$3,Invest[TVA acquittée]))*BX6</f>
        <v>0</v>
      </c>
      <c r="CZ6" s="200">
        <f>(SUMIF(Fonctionnement[Affectation matrice],$AB$3,Fonctionnement[TVA acquittée])+SUMIF(Invest[Affectation matrice],$AB$3,Invest[TVA acquittée]))*BY6</f>
        <v>0</v>
      </c>
      <c r="DA6" s="200">
        <f>(SUMIF(Fonctionnement[Affectation matrice],$AB$3,Fonctionnement[TVA acquittée])+SUMIF(Invest[Affectation matrice],$AB$3,Invest[TVA acquittée]))*BZ6</f>
        <v>0</v>
      </c>
      <c r="DB6" s="200">
        <f>(SUMIF(Fonctionnement[Affectation matrice],$AB$3,Fonctionnement[TVA acquittée])+SUMIF(Invest[Affectation matrice],$AB$3,Invest[TVA acquittée]))*CA6</f>
        <v>0</v>
      </c>
    </row>
    <row r="7" spans="1:106" x14ac:dyDescent="0.25">
      <c r="A7" s="42" t="str">
        <f>Matrice[[#This Row],[Ligne de la matrice]]</f>
        <v>Prévention</v>
      </c>
      <c r="B7" s="276">
        <f>(SUMIF(Fonctionnement[Affectation matrice],$AB$3,Fonctionnement[Montant (€HT)])+SUMIF(Invest[Affectation matrice],$AB$3,Invest[Amortissement HT + intérêts]))*BC7</f>
        <v>0</v>
      </c>
      <c r="C7" s="276">
        <f>(SUMIF(Fonctionnement[Affectation matrice],$AB$3,Fonctionnement[Montant (€HT)])+SUMIF(Invest[Affectation matrice],$AB$3,Invest[Amortissement HT + intérêts]))*BD7</f>
        <v>0</v>
      </c>
      <c r="D7" s="276">
        <f>(SUMIF(Fonctionnement[Affectation matrice],$AB$3,Fonctionnement[Montant (€HT)])+SUMIF(Invest[Affectation matrice],$AB$3,Invest[Amortissement HT + intérêts]))*BE7</f>
        <v>0</v>
      </c>
      <c r="E7" s="276">
        <f>(SUMIF(Fonctionnement[Affectation matrice],$AB$3,Fonctionnement[Montant (€HT)])+SUMIF(Invest[Affectation matrice],$AB$3,Invest[Amortissement HT + intérêts]))*BF7</f>
        <v>0</v>
      </c>
      <c r="F7" s="276">
        <f>(SUMIF(Fonctionnement[Affectation matrice],$AB$3,Fonctionnement[Montant (€HT)])+SUMIF(Invest[Affectation matrice],$AB$3,Invest[Amortissement HT + intérêts]))*BG7</f>
        <v>0</v>
      </c>
      <c r="G7" s="276">
        <f>(SUMIF(Fonctionnement[Affectation matrice],$AB$3,Fonctionnement[Montant (€HT)])+SUMIF(Invest[Affectation matrice],$AB$3,Invest[Amortissement HT + intérêts]))*BH7</f>
        <v>0</v>
      </c>
      <c r="H7" s="276">
        <f>(SUMIF(Fonctionnement[Affectation matrice],$AB$3,Fonctionnement[Montant (€HT)])+SUMIF(Invest[Affectation matrice],$AB$3,Invest[Amortissement HT + intérêts]))*BI7</f>
        <v>0</v>
      </c>
      <c r="I7" s="276">
        <f>(SUMIF(Fonctionnement[Affectation matrice],$AB$3,Fonctionnement[Montant (€HT)])+SUMIF(Invest[Affectation matrice],$AB$3,Invest[Amortissement HT + intérêts]))*BJ7</f>
        <v>0</v>
      </c>
      <c r="J7" s="276">
        <f>(SUMIF(Fonctionnement[Affectation matrice],$AB$3,Fonctionnement[Montant (€HT)])+SUMIF(Invest[Affectation matrice],$AB$3,Invest[Amortissement HT + intérêts]))*BK7</f>
        <v>0</v>
      </c>
      <c r="K7" s="276">
        <f>(SUMIF(Fonctionnement[Affectation matrice],$AB$3,Fonctionnement[Montant (€HT)])+SUMIF(Invest[Affectation matrice],$AB$3,Invest[Amortissement HT + intérêts]))*BL7</f>
        <v>0</v>
      </c>
      <c r="L7" s="276">
        <f>(SUMIF(Fonctionnement[Affectation matrice],$AB$3,Fonctionnement[Montant (€HT)])+SUMIF(Invest[Affectation matrice],$AB$3,Invest[Amortissement HT + intérêts]))*BM7</f>
        <v>0</v>
      </c>
      <c r="M7" s="276">
        <f>(SUMIF(Fonctionnement[Affectation matrice],$AB$3,Fonctionnement[Montant (€HT)])+SUMIF(Invest[Affectation matrice],$AB$3,Invest[Amortissement HT + intérêts]))*BN7</f>
        <v>0</v>
      </c>
      <c r="N7" s="276">
        <f>(SUMIF(Fonctionnement[Affectation matrice],$AB$3,Fonctionnement[Montant (€HT)])+SUMIF(Invest[Affectation matrice],$AB$3,Invest[Amortissement HT + intérêts]))*BO7</f>
        <v>0</v>
      </c>
      <c r="O7" s="276">
        <f>(SUMIF(Fonctionnement[Affectation matrice],$AB$3,Fonctionnement[Montant (€HT)])+SUMIF(Invest[Affectation matrice],$AB$3,Invest[Amortissement HT + intérêts]))*BP7</f>
        <v>0</v>
      </c>
      <c r="P7" s="276">
        <f>(SUMIF(Fonctionnement[Affectation matrice],$AB$3,Fonctionnement[Montant (€HT)])+SUMIF(Invest[Affectation matrice],$AB$3,Invest[Amortissement HT + intérêts]))*BQ7</f>
        <v>0</v>
      </c>
      <c r="Q7" s="276">
        <f>(SUMIF(Fonctionnement[Affectation matrice],$AB$3,Fonctionnement[Montant (€HT)])+SUMIF(Invest[Affectation matrice],$AB$3,Invest[Amortissement HT + intérêts]))*BR7</f>
        <v>0</v>
      </c>
      <c r="R7" s="276">
        <f>(SUMIF(Fonctionnement[Affectation matrice],$AB$3,Fonctionnement[Montant (€HT)])+SUMIF(Invest[Affectation matrice],$AB$3,Invest[Amortissement HT + intérêts]))*BS7</f>
        <v>0</v>
      </c>
      <c r="S7" s="276">
        <f>(SUMIF(Fonctionnement[Affectation matrice],$AB$3,Fonctionnement[Montant (€HT)])+SUMIF(Invest[Affectation matrice],$AB$3,Invest[Amortissement HT + intérêts]))*BT7</f>
        <v>0</v>
      </c>
      <c r="T7" s="276">
        <f>(SUMIF(Fonctionnement[Affectation matrice],$AB$3,Fonctionnement[Montant (€HT)])+SUMIF(Invest[Affectation matrice],$AB$3,Invest[Amortissement HT + intérêts]))*BU7</f>
        <v>0</v>
      </c>
      <c r="U7" s="276">
        <f>(SUMIF(Fonctionnement[Affectation matrice],$AB$3,Fonctionnement[Montant (€HT)])+SUMIF(Invest[Affectation matrice],$AB$3,Invest[Amortissement HT + intérêts]))*BV7</f>
        <v>0</v>
      </c>
      <c r="V7" s="276">
        <f>(SUMIF(Fonctionnement[Affectation matrice],$AB$3,Fonctionnement[Montant (€HT)])+SUMIF(Invest[Affectation matrice],$AB$3,Invest[Amortissement HT + intérêts]))*BW7</f>
        <v>0</v>
      </c>
      <c r="W7" s="276">
        <f>(SUMIF(Fonctionnement[Affectation matrice],$AB$3,Fonctionnement[Montant (€HT)])+SUMIF(Invest[Affectation matrice],$AB$3,Invest[Amortissement HT + intérêts]))*BX7</f>
        <v>0</v>
      </c>
      <c r="X7" s="276">
        <f>(SUMIF(Fonctionnement[Affectation matrice],$AB$3,Fonctionnement[Montant (€HT)])+SUMIF(Invest[Affectation matrice],$AB$3,Invest[Amortissement HT + intérêts]))*BY7</f>
        <v>0</v>
      </c>
      <c r="Y7" s="276">
        <f>(SUMIF(Fonctionnement[Affectation matrice],$AB$3,Fonctionnement[Montant (€HT)])+SUMIF(Invest[Affectation matrice],$AB$3,Invest[Amortissement HT + intérêts]))*BZ7</f>
        <v>0</v>
      </c>
      <c r="Z7" s="276">
        <f>(SUMIF(Fonctionnement[Affectation matrice],$AB$3,Fonctionnement[Montant (€HT)])+SUMIF(Invest[Affectation matrice],$AB$3,Invest[Amortissement HT + intérêts]))*CA7</f>
        <v>0</v>
      </c>
      <c r="AA7" s="199"/>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283">
        <f t="shared" ref="BA7:BA52" si="4">SUM(AB7:AZ7)</f>
        <v>0</v>
      </c>
      <c r="BC7" s="61">
        <f t="shared" si="2"/>
        <v>0</v>
      </c>
      <c r="BD7" s="61">
        <f t="shared" si="2"/>
        <v>0</v>
      </c>
      <c r="BE7" s="61">
        <f t="shared" si="2"/>
        <v>0</v>
      </c>
      <c r="BF7" s="61">
        <f t="shared" si="2"/>
        <v>0</v>
      </c>
      <c r="BG7" s="61">
        <f t="shared" si="2"/>
        <v>0</v>
      </c>
      <c r="BH7" s="61">
        <f t="shared" si="2"/>
        <v>0</v>
      </c>
      <c r="BI7" s="61">
        <f t="shared" si="2"/>
        <v>0</v>
      </c>
      <c r="BJ7" s="61">
        <f t="shared" si="2"/>
        <v>0</v>
      </c>
      <c r="BK7" s="61">
        <f t="shared" si="2"/>
        <v>0</v>
      </c>
      <c r="BL7" s="61">
        <f t="shared" si="2"/>
        <v>0</v>
      </c>
      <c r="BM7" s="61">
        <f t="shared" si="2"/>
        <v>0</v>
      </c>
      <c r="BN7" s="61">
        <f t="shared" si="2"/>
        <v>0</v>
      </c>
      <c r="BO7" s="61">
        <f t="shared" si="2"/>
        <v>0</v>
      </c>
      <c r="BP7" s="61">
        <f t="shared" si="2"/>
        <v>0</v>
      </c>
      <c r="BQ7" s="61">
        <f t="shared" si="2"/>
        <v>0</v>
      </c>
      <c r="BR7" s="61">
        <f t="shared" si="2"/>
        <v>0</v>
      </c>
      <c r="BS7" s="61">
        <f t="shared" si="3"/>
        <v>0</v>
      </c>
      <c r="BT7" s="61">
        <f t="shared" si="3"/>
        <v>0</v>
      </c>
      <c r="BU7" s="61">
        <f t="shared" si="3"/>
        <v>0</v>
      </c>
      <c r="BV7" s="61">
        <f t="shared" si="3"/>
        <v>0</v>
      </c>
      <c r="BW7" s="61">
        <f t="shared" si="3"/>
        <v>0</v>
      </c>
      <c r="BX7" s="61">
        <f t="shared" si="3"/>
        <v>0</v>
      </c>
      <c r="BY7" s="61">
        <f t="shared" si="3"/>
        <v>0</v>
      </c>
      <c r="BZ7" s="61">
        <f t="shared" si="3"/>
        <v>0</v>
      </c>
      <c r="CA7" s="61">
        <f t="shared" si="3"/>
        <v>0</v>
      </c>
      <c r="CB7" s="61">
        <f t="shared" ref="CB7:CB52" si="5">SUM(BC7:CA7)</f>
        <v>0</v>
      </c>
      <c r="CD7" s="200">
        <f>(SUMIF(Fonctionnement[Affectation matrice],$AB$3,Fonctionnement[TVA acquittée])+SUMIF(Invest[Affectation matrice],$AB$3,Invest[TVA acquittée]))*BC7</f>
        <v>0</v>
      </c>
      <c r="CE7" s="200">
        <f>(SUMIF(Fonctionnement[Affectation matrice],$AB$3,Fonctionnement[TVA acquittée])+SUMIF(Invest[Affectation matrice],$AB$3,Invest[TVA acquittée]))*BD7</f>
        <v>0</v>
      </c>
      <c r="CF7" s="200">
        <f>(SUMIF(Fonctionnement[Affectation matrice],$AB$3,Fonctionnement[TVA acquittée])+SUMIF(Invest[Affectation matrice],$AB$3,Invest[TVA acquittée]))*BE7</f>
        <v>0</v>
      </c>
      <c r="CG7" s="200">
        <f>(SUMIF(Fonctionnement[Affectation matrice],$AB$3,Fonctionnement[TVA acquittée])+SUMIF(Invest[Affectation matrice],$AB$3,Invest[TVA acquittée]))*BF7</f>
        <v>0</v>
      </c>
      <c r="CH7" s="200">
        <f>(SUMIF(Fonctionnement[Affectation matrice],$AB$3,Fonctionnement[TVA acquittée])+SUMIF(Invest[Affectation matrice],$AB$3,Invest[TVA acquittée]))*BG7</f>
        <v>0</v>
      </c>
      <c r="CI7" s="200">
        <f>(SUMIF(Fonctionnement[Affectation matrice],$AB$3,Fonctionnement[TVA acquittée])+SUMIF(Invest[Affectation matrice],$AB$3,Invest[TVA acquittée]))*BH7</f>
        <v>0</v>
      </c>
      <c r="CJ7" s="200">
        <f>(SUMIF(Fonctionnement[Affectation matrice],$AB$3,Fonctionnement[TVA acquittée])+SUMIF(Invest[Affectation matrice],$AB$3,Invest[TVA acquittée]))*BI7</f>
        <v>0</v>
      </c>
      <c r="CK7" s="200">
        <f>(SUMIF(Fonctionnement[Affectation matrice],$AB$3,Fonctionnement[TVA acquittée])+SUMIF(Invest[Affectation matrice],$AB$3,Invest[TVA acquittée]))*BJ7</f>
        <v>0</v>
      </c>
      <c r="CL7" s="200">
        <f>(SUMIF(Fonctionnement[Affectation matrice],$AB$3,Fonctionnement[TVA acquittée])+SUMIF(Invest[Affectation matrice],$AB$3,Invest[TVA acquittée]))*BK7</f>
        <v>0</v>
      </c>
      <c r="CM7" s="200">
        <f>(SUMIF(Fonctionnement[Affectation matrice],$AB$3,Fonctionnement[TVA acquittée])+SUMIF(Invest[Affectation matrice],$AB$3,Invest[TVA acquittée]))*BL7</f>
        <v>0</v>
      </c>
      <c r="CN7" s="200">
        <f>(SUMIF(Fonctionnement[Affectation matrice],$AB$3,Fonctionnement[TVA acquittée])+SUMIF(Invest[Affectation matrice],$AB$3,Invest[TVA acquittée]))*BM7</f>
        <v>0</v>
      </c>
      <c r="CO7" s="200">
        <f>(SUMIF(Fonctionnement[Affectation matrice],$AB$3,Fonctionnement[TVA acquittée])+SUMIF(Invest[Affectation matrice],$AB$3,Invest[TVA acquittée]))*BN7</f>
        <v>0</v>
      </c>
      <c r="CP7" s="200">
        <f>(SUMIF(Fonctionnement[Affectation matrice],$AB$3,Fonctionnement[TVA acquittée])+SUMIF(Invest[Affectation matrice],$AB$3,Invest[TVA acquittée]))*BO7</f>
        <v>0</v>
      </c>
      <c r="CQ7" s="200">
        <f>(SUMIF(Fonctionnement[Affectation matrice],$AB$3,Fonctionnement[TVA acquittée])+SUMIF(Invest[Affectation matrice],$AB$3,Invest[TVA acquittée]))*BP7</f>
        <v>0</v>
      </c>
      <c r="CR7" s="200">
        <f>(SUMIF(Fonctionnement[Affectation matrice],$AB$3,Fonctionnement[TVA acquittée])+SUMIF(Invest[Affectation matrice],$AB$3,Invest[TVA acquittée]))*BQ7</f>
        <v>0</v>
      </c>
      <c r="CS7" s="200">
        <f>(SUMIF(Fonctionnement[Affectation matrice],$AB$3,Fonctionnement[TVA acquittée])+SUMIF(Invest[Affectation matrice],$AB$3,Invest[TVA acquittée]))*BR7</f>
        <v>0</v>
      </c>
      <c r="CT7" s="200">
        <f>(SUMIF(Fonctionnement[Affectation matrice],$AB$3,Fonctionnement[TVA acquittée])+SUMIF(Invest[Affectation matrice],$AB$3,Invest[TVA acquittée]))*BS7</f>
        <v>0</v>
      </c>
      <c r="CU7" s="200">
        <f>(SUMIF(Fonctionnement[Affectation matrice],$AB$3,Fonctionnement[TVA acquittée])+SUMIF(Invest[Affectation matrice],$AB$3,Invest[TVA acquittée]))*BT7</f>
        <v>0</v>
      </c>
      <c r="CV7" s="200">
        <f>(SUMIF(Fonctionnement[Affectation matrice],$AB$3,Fonctionnement[TVA acquittée])+SUMIF(Invest[Affectation matrice],$AB$3,Invest[TVA acquittée]))*BU7</f>
        <v>0</v>
      </c>
      <c r="CW7" s="200">
        <f>(SUMIF(Fonctionnement[Affectation matrice],$AB$3,Fonctionnement[TVA acquittée])+SUMIF(Invest[Affectation matrice],$AB$3,Invest[TVA acquittée]))*BV7</f>
        <v>0</v>
      </c>
      <c r="CX7" s="200">
        <f>(SUMIF(Fonctionnement[Affectation matrice],$AB$3,Fonctionnement[TVA acquittée])+SUMIF(Invest[Affectation matrice],$AB$3,Invest[TVA acquittée]))*BW7</f>
        <v>0</v>
      </c>
      <c r="CY7" s="200">
        <f>(SUMIF(Fonctionnement[Affectation matrice],$AB$3,Fonctionnement[TVA acquittée])+SUMIF(Invest[Affectation matrice],$AB$3,Invest[TVA acquittée]))*BX7</f>
        <v>0</v>
      </c>
      <c r="CZ7" s="200">
        <f>(SUMIF(Fonctionnement[Affectation matrice],$AB$3,Fonctionnement[TVA acquittée])+SUMIF(Invest[Affectation matrice],$AB$3,Invest[TVA acquittée]))*BY7</f>
        <v>0</v>
      </c>
      <c r="DA7" s="200">
        <f>(SUMIF(Fonctionnement[Affectation matrice],$AB$3,Fonctionnement[TVA acquittée])+SUMIF(Invest[Affectation matrice],$AB$3,Invest[TVA acquittée]))*BZ7</f>
        <v>0</v>
      </c>
      <c r="DB7" s="200">
        <f>(SUMIF(Fonctionnement[Affectation matrice],$AB$3,Fonctionnement[TVA acquittée])+SUMIF(Invest[Affectation matrice],$AB$3,Invest[TVA acquittée]))*CA7</f>
        <v>0</v>
      </c>
    </row>
    <row r="8" spans="1:106" ht="12.75" customHeight="1" x14ac:dyDescent="0.25">
      <c r="A8" s="42" t="str">
        <f>Matrice[[#This Row],[Ligne de la matrice]]</f>
        <v>Pré-collecte</v>
      </c>
      <c r="B8" s="276">
        <f>(SUMIF(Fonctionnement[Affectation matrice],$AB$3,Fonctionnement[Montant (€HT)])+SUMIF(Invest[Affectation matrice],$AB$3,Invest[Amortissement HT + intérêts]))*BC8</f>
        <v>0</v>
      </c>
      <c r="C8" s="276">
        <f>(SUMIF(Fonctionnement[Affectation matrice],$AB$3,Fonctionnement[Montant (€HT)])+SUMIF(Invest[Affectation matrice],$AB$3,Invest[Amortissement HT + intérêts]))*BD8</f>
        <v>0</v>
      </c>
      <c r="D8" s="276">
        <f>(SUMIF(Fonctionnement[Affectation matrice],$AB$3,Fonctionnement[Montant (€HT)])+SUMIF(Invest[Affectation matrice],$AB$3,Invest[Amortissement HT + intérêts]))*BE8</f>
        <v>0</v>
      </c>
      <c r="E8" s="276">
        <f>(SUMIF(Fonctionnement[Affectation matrice],$AB$3,Fonctionnement[Montant (€HT)])+SUMIF(Invest[Affectation matrice],$AB$3,Invest[Amortissement HT + intérêts]))*BF8</f>
        <v>0</v>
      </c>
      <c r="F8" s="276">
        <f>(SUMIF(Fonctionnement[Affectation matrice],$AB$3,Fonctionnement[Montant (€HT)])+SUMIF(Invest[Affectation matrice],$AB$3,Invest[Amortissement HT + intérêts]))*BG8</f>
        <v>0</v>
      </c>
      <c r="G8" s="276">
        <f>(SUMIF(Fonctionnement[Affectation matrice],$AB$3,Fonctionnement[Montant (€HT)])+SUMIF(Invest[Affectation matrice],$AB$3,Invest[Amortissement HT + intérêts]))*BH8</f>
        <v>0</v>
      </c>
      <c r="H8" s="276">
        <f>(SUMIF(Fonctionnement[Affectation matrice],$AB$3,Fonctionnement[Montant (€HT)])+SUMIF(Invest[Affectation matrice],$AB$3,Invest[Amortissement HT + intérêts]))*BI8</f>
        <v>0</v>
      </c>
      <c r="I8" s="276">
        <f>(SUMIF(Fonctionnement[Affectation matrice],$AB$3,Fonctionnement[Montant (€HT)])+SUMIF(Invest[Affectation matrice],$AB$3,Invest[Amortissement HT + intérêts]))*BJ8</f>
        <v>0</v>
      </c>
      <c r="J8" s="276">
        <f>(SUMIF(Fonctionnement[Affectation matrice],$AB$3,Fonctionnement[Montant (€HT)])+SUMIF(Invest[Affectation matrice],$AB$3,Invest[Amortissement HT + intérêts]))*BK8</f>
        <v>0</v>
      </c>
      <c r="K8" s="276">
        <f>(SUMIF(Fonctionnement[Affectation matrice],$AB$3,Fonctionnement[Montant (€HT)])+SUMIF(Invest[Affectation matrice],$AB$3,Invest[Amortissement HT + intérêts]))*BL8</f>
        <v>0</v>
      </c>
      <c r="L8" s="276">
        <f>(SUMIF(Fonctionnement[Affectation matrice],$AB$3,Fonctionnement[Montant (€HT)])+SUMIF(Invest[Affectation matrice],$AB$3,Invest[Amortissement HT + intérêts]))*BM8</f>
        <v>0</v>
      </c>
      <c r="M8" s="276">
        <f>(SUMIF(Fonctionnement[Affectation matrice],$AB$3,Fonctionnement[Montant (€HT)])+SUMIF(Invest[Affectation matrice],$AB$3,Invest[Amortissement HT + intérêts]))*BN8</f>
        <v>0</v>
      </c>
      <c r="N8" s="276">
        <f>(SUMIF(Fonctionnement[Affectation matrice],$AB$3,Fonctionnement[Montant (€HT)])+SUMIF(Invest[Affectation matrice],$AB$3,Invest[Amortissement HT + intérêts]))*BO8</f>
        <v>0</v>
      </c>
      <c r="O8" s="276">
        <f>(SUMIF(Fonctionnement[Affectation matrice],$AB$3,Fonctionnement[Montant (€HT)])+SUMIF(Invest[Affectation matrice],$AB$3,Invest[Amortissement HT + intérêts]))*BP8</f>
        <v>0</v>
      </c>
      <c r="P8" s="276">
        <f>(SUMIF(Fonctionnement[Affectation matrice],$AB$3,Fonctionnement[Montant (€HT)])+SUMIF(Invest[Affectation matrice],$AB$3,Invest[Amortissement HT + intérêts]))*BQ8</f>
        <v>0</v>
      </c>
      <c r="Q8" s="276">
        <f>(SUMIF(Fonctionnement[Affectation matrice],$AB$3,Fonctionnement[Montant (€HT)])+SUMIF(Invest[Affectation matrice],$AB$3,Invest[Amortissement HT + intérêts]))*BR8</f>
        <v>0</v>
      </c>
      <c r="R8" s="276">
        <f>(SUMIF(Fonctionnement[Affectation matrice],$AB$3,Fonctionnement[Montant (€HT)])+SUMIF(Invest[Affectation matrice],$AB$3,Invest[Amortissement HT + intérêts]))*BS8</f>
        <v>0</v>
      </c>
      <c r="S8" s="276">
        <f>(SUMIF(Fonctionnement[Affectation matrice],$AB$3,Fonctionnement[Montant (€HT)])+SUMIF(Invest[Affectation matrice],$AB$3,Invest[Amortissement HT + intérêts]))*BT8</f>
        <v>0</v>
      </c>
      <c r="T8" s="276">
        <f>(SUMIF(Fonctionnement[Affectation matrice],$AB$3,Fonctionnement[Montant (€HT)])+SUMIF(Invest[Affectation matrice],$AB$3,Invest[Amortissement HT + intérêts]))*BU8</f>
        <v>0</v>
      </c>
      <c r="U8" s="276">
        <f>(SUMIF(Fonctionnement[Affectation matrice],$AB$3,Fonctionnement[Montant (€HT)])+SUMIF(Invest[Affectation matrice],$AB$3,Invest[Amortissement HT + intérêts]))*BV8</f>
        <v>0</v>
      </c>
      <c r="V8" s="276">
        <f>(SUMIF(Fonctionnement[Affectation matrice],$AB$3,Fonctionnement[Montant (€HT)])+SUMIF(Invest[Affectation matrice],$AB$3,Invest[Amortissement HT + intérêts]))*BW8</f>
        <v>0</v>
      </c>
      <c r="W8" s="276">
        <f>(SUMIF(Fonctionnement[Affectation matrice],$AB$3,Fonctionnement[Montant (€HT)])+SUMIF(Invest[Affectation matrice],$AB$3,Invest[Amortissement HT + intérêts]))*BX8</f>
        <v>0</v>
      </c>
      <c r="X8" s="276">
        <f>(SUMIF(Fonctionnement[Affectation matrice],$AB$3,Fonctionnement[Montant (€HT)])+SUMIF(Invest[Affectation matrice],$AB$3,Invest[Amortissement HT + intérêts]))*BY8</f>
        <v>0</v>
      </c>
      <c r="Y8" s="276">
        <f>(SUMIF(Fonctionnement[Affectation matrice],$AB$3,Fonctionnement[Montant (€HT)])+SUMIF(Invest[Affectation matrice],$AB$3,Invest[Amortissement HT + intérêts]))*BZ8</f>
        <v>0</v>
      </c>
      <c r="Z8" s="276">
        <f>(SUMIF(Fonctionnement[Affectation matrice],$AB$3,Fonctionnement[Montant (€HT)])+SUMIF(Invest[Affectation matrice],$AB$3,Invest[Amortissement HT + intérêts]))*CA8</f>
        <v>0</v>
      </c>
      <c r="AA8" s="199"/>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283">
        <f t="shared" si="4"/>
        <v>0</v>
      </c>
      <c r="BC8" s="61">
        <f t="shared" si="2"/>
        <v>0</v>
      </c>
      <c r="BD8" s="61">
        <f t="shared" si="2"/>
        <v>0</v>
      </c>
      <c r="BE8" s="61">
        <f t="shared" si="2"/>
        <v>0</v>
      </c>
      <c r="BF8" s="61">
        <f t="shared" si="2"/>
        <v>0</v>
      </c>
      <c r="BG8" s="61">
        <f t="shared" si="2"/>
        <v>0</v>
      </c>
      <c r="BH8" s="61">
        <f t="shared" si="2"/>
        <v>0</v>
      </c>
      <c r="BI8" s="61">
        <f t="shared" si="2"/>
        <v>0</v>
      </c>
      <c r="BJ8" s="61">
        <f t="shared" si="2"/>
        <v>0</v>
      </c>
      <c r="BK8" s="61">
        <f t="shared" si="2"/>
        <v>0</v>
      </c>
      <c r="BL8" s="61">
        <f t="shared" si="2"/>
        <v>0</v>
      </c>
      <c r="BM8" s="61">
        <f t="shared" si="2"/>
        <v>0</v>
      </c>
      <c r="BN8" s="61">
        <f t="shared" si="2"/>
        <v>0</v>
      </c>
      <c r="BO8" s="61">
        <f t="shared" si="2"/>
        <v>0</v>
      </c>
      <c r="BP8" s="61">
        <f t="shared" si="2"/>
        <v>0</v>
      </c>
      <c r="BQ8" s="61">
        <f t="shared" si="2"/>
        <v>0</v>
      </c>
      <c r="BR8" s="61">
        <f t="shared" si="2"/>
        <v>0</v>
      </c>
      <c r="BS8" s="61">
        <f t="shared" si="3"/>
        <v>0</v>
      </c>
      <c r="BT8" s="61">
        <f t="shared" si="3"/>
        <v>0</v>
      </c>
      <c r="BU8" s="61">
        <f t="shared" si="3"/>
        <v>0</v>
      </c>
      <c r="BV8" s="61">
        <f t="shared" si="3"/>
        <v>0</v>
      </c>
      <c r="BW8" s="61">
        <f t="shared" si="3"/>
        <v>0</v>
      </c>
      <c r="BX8" s="61">
        <f t="shared" si="3"/>
        <v>0</v>
      </c>
      <c r="BY8" s="61">
        <f t="shared" si="3"/>
        <v>0</v>
      </c>
      <c r="BZ8" s="61">
        <f t="shared" si="3"/>
        <v>0</v>
      </c>
      <c r="CA8" s="61">
        <f t="shared" si="3"/>
        <v>0</v>
      </c>
      <c r="CB8" s="61">
        <f t="shared" si="5"/>
        <v>0</v>
      </c>
      <c r="CD8" s="200">
        <f>(SUMIF(Fonctionnement[Affectation matrice],$AB$3,Fonctionnement[TVA acquittée])+SUMIF(Invest[Affectation matrice],$AB$3,Invest[TVA acquittée]))*BC8</f>
        <v>0</v>
      </c>
      <c r="CE8" s="200">
        <f>(SUMIF(Fonctionnement[Affectation matrice],$AB$3,Fonctionnement[TVA acquittée])+SUMIF(Invest[Affectation matrice],$AB$3,Invest[TVA acquittée]))*BD8</f>
        <v>0</v>
      </c>
      <c r="CF8" s="200">
        <f>(SUMIF(Fonctionnement[Affectation matrice],$AB$3,Fonctionnement[TVA acquittée])+SUMIF(Invest[Affectation matrice],$AB$3,Invest[TVA acquittée]))*BE8</f>
        <v>0</v>
      </c>
      <c r="CG8" s="200">
        <f>(SUMIF(Fonctionnement[Affectation matrice],$AB$3,Fonctionnement[TVA acquittée])+SUMIF(Invest[Affectation matrice],$AB$3,Invest[TVA acquittée]))*BF8</f>
        <v>0</v>
      </c>
      <c r="CH8" s="200">
        <f>(SUMIF(Fonctionnement[Affectation matrice],$AB$3,Fonctionnement[TVA acquittée])+SUMIF(Invest[Affectation matrice],$AB$3,Invest[TVA acquittée]))*BG8</f>
        <v>0</v>
      </c>
      <c r="CI8" s="200">
        <f>(SUMIF(Fonctionnement[Affectation matrice],$AB$3,Fonctionnement[TVA acquittée])+SUMIF(Invest[Affectation matrice],$AB$3,Invest[TVA acquittée]))*BH8</f>
        <v>0</v>
      </c>
      <c r="CJ8" s="200">
        <f>(SUMIF(Fonctionnement[Affectation matrice],$AB$3,Fonctionnement[TVA acquittée])+SUMIF(Invest[Affectation matrice],$AB$3,Invest[TVA acquittée]))*BI8</f>
        <v>0</v>
      </c>
      <c r="CK8" s="200">
        <f>(SUMIF(Fonctionnement[Affectation matrice],$AB$3,Fonctionnement[TVA acquittée])+SUMIF(Invest[Affectation matrice],$AB$3,Invest[TVA acquittée]))*BJ8</f>
        <v>0</v>
      </c>
      <c r="CL8" s="200">
        <f>(SUMIF(Fonctionnement[Affectation matrice],$AB$3,Fonctionnement[TVA acquittée])+SUMIF(Invest[Affectation matrice],$AB$3,Invest[TVA acquittée]))*BK8</f>
        <v>0</v>
      </c>
      <c r="CM8" s="200">
        <f>(SUMIF(Fonctionnement[Affectation matrice],$AB$3,Fonctionnement[TVA acquittée])+SUMIF(Invest[Affectation matrice],$AB$3,Invest[TVA acquittée]))*BL8</f>
        <v>0</v>
      </c>
      <c r="CN8" s="200">
        <f>(SUMIF(Fonctionnement[Affectation matrice],$AB$3,Fonctionnement[TVA acquittée])+SUMIF(Invest[Affectation matrice],$AB$3,Invest[TVA acquittée]))*BM8</f>
        <v>0</v>
      </c>
      <c r="CO8" s="200">
        <f>(SUMIF(Fonctionnement[Affectation matrice],$AB$3,Fonctionnement[TVA acquittée])+SUMIF(Invest[Affectation matrice],$AB$3,Invest[TVA acquittée]))*BN8</f>
        <v>0</v>
      </c>
      <c r="CP8" s="200">
        <f>(SUMIF(Fonctionnement[Affectation matrice],$AB$3,Fonctionnement[TVA acquittée])+SUMIF(Invest[Affectation matrice],$AB$3,Invest[TVA acquittée]))*BO8</f>
        <v>0</v>
      </c>
      <c r="CQ8" s="200">
        <f>(SUMIF(Fonctionnement[Affectation matrice],$AB$3,Fonctionnement[TVA acquittée])+SUMIF(Invest[Affectation matrice],$AB$3,Invest[TVA acquittée]))*BP8</f>
        <v>0</v>
      </c>
      <c r="CR8" s="200">
        <f>(SUMIF(Fonctionnement[Affectation matrice],$AB$3,Fonctionnement[TVA acquittée])+SUMIF(Invest[Affectation matrice],$AB$3,Invest[TVA acquittée]))*BQ8</f>
        <v>0</v>
      </c>
      <c r="CS8" s="200">
        <f>(SUMIF(Fonctionnement[Affectation matrice],$AB$3,Fonctionnement[TVA acquittée])+SUMIF(Invest[Affectation matrice],$AB$3,Invest[TVA acquittée]))*BR8</f>
        <v>0</v>
      </c>
      <c r="CT8" s="200">
        <f>(SUMIF(Fonctionnement[Affectation matrice],$AB$3,Fonctionnement[TVA acquittée])+SUMIF(Invest[Affectation matrice],$AB$3,Invest[TVA acquittée]))*BS8</f>
        <v>0</v>
      </c>
      <c r="CU8" s="200">
        <f>(SUMIF(Fonctionnement[Affectation matrice],$AB$3,Fonctionnement[TVA acquittée])+SUMIF(Invest[Affectation matrice],$AB$3,Invest[TVA acquittée]))*BT8</f>
        <v>0</v>
      </c>
      <c r="CV8" s="200">
        <f>(SUMIF(Fonctionnement[Affectation matrice],$AB$3,Fonctionnement[TVA acquittée])+SUMIF(Invest[Affectation matrice],$AB$3,Invest[TVA acquittée]))*BU8</f>
        <v>0</v>
      </c>
      <c r="CW8" s="200">
        <f>(SUMIF(Fonctionnement[Affectation matrice],$AB$3,Fonctionnement[TVA acquittée])+SUMIF(Invest[Affectation matrice],$AB$3,Invest[TVA acquittée]))*BV8</f>
        <v>0</v>
      </c>
      <c r="CX8" s="200">
        <f>(SUMIF(Fonctionnement[Affectation matrice],$AB$3,Fonctionnement[TVA acquittée])+SUMIF(Invest[Affectation matrice],$AB$3,Invest[TVA acquittée]))*BW8</f>
        <v>0</v>
      </c>
      <c r="CY8" s="200">
        <f>(SUMIF(Fonctionnement[Affectation matrice],$AB$3,Fonctionnement[TVA acquittée])+SUMIF(Invest[Affectation matrice],$AB$3,Invest[TVA acquittée]))*BX8</f>
        <v>0</v>
      </c>
      <c r="CZ8" s="200">
        <f>(SUMIF(Fonctionnement[Affectation matrice],$AB$3,Fonctionnement[TVA acquittée])+SUMIF(Invest[Affectation matrice],$AB$3,Invest[TVA acquittée]))*BY8</f>
        <v>0</v>
      </c>
      <c r="DA8" s="200">
        <f>(SUMIF(Fonctionnement[Affectation matrice],$AB$3,Fonctionnement[TVA acquittée])+SUMIF(Invest[Affectation matrice],$AB$3,Invest[TVA acquittée]))*BZ8</f>
        <v>0</v>
      </c>
      <c r="DB8" s="200">
        <f>(SUMIF(Fonctionnement[Affectation matrice],$AB$3,Fonctionnement[TVA acquittée])+SUMIF(Invest[Affectation matrice],$AB$3,Invest[TVA acquittée]))*CA8</f>
        <v>0</v>
      </c>
    </row>
    <row r="9" spans="1:106" s="22" customFormat="1" ht="12.75" customHeight="1" x14ac:dyDescent="0.25">
      <c r="A9" s="42" t="str">
        <f>Matrice[[#This Row],[Ligne de la matrice]]</f>
        <v>Collecte</v>
      </c>
      <c r="B9" s="276">
        <f>(SUMIF(Fonctionnement[Affectation matrice],$AB$3,Fonctionnement[Montant (€HT)])+SUMIF(Invest[Affectation matrice],$AB$3,Invest[Amortissement HT + intérêts]))*BC9</f>
        <v>0</v>
      </c>
      <c r="C9" s="276">
        <f>(SUMIF(Fonctionnement[Affectation matrice],$AB$3,Fonctionnement[Montant (€HT)])+SUMIF(Invest[Affectation matrice],$AB$3,Invest[Amortissement HT + intérêts]))*BD9</f>
        <v>0</v>
      </c>
      <c r="D9" s="276">
        <f>(SUMIF(Fonctionnement[Affectation matrice],$AB$3,Fonctionnement[Montant (€HT)])+SUMIF(Invest[Affectation matrice],$AB$3,Invest[Amortissement HT + intérêts]))*BE9</f>
        <v>0</v>
      </c>
      <c r="E9" s="276">
        <f>(SUMIF(Fonctionnement[Affectation matrice],$AB$3,Fonctionnement[Montant (€HT)])+SUMIF(Invest[Affectation matrice],$AB$3,Invest[Amortissement HT + intérêts]))*BF9</f>
        <v>0</v>
      </c>
      <c r="F9" s="276">
        <f>(SUMIF(Fonctionnement[Affectation matrice],$AB$3,Fonctionnement[Montant (€HT)])+SUMIF(Invest[Affectation matrice],$AB$3,Invest[Amortissement HT + intérêts]))*BG9</f>
        <v>0</v>
      </c>
      <c r="G9" s="276">
        <f>(SUMIF(Fonctionnement[Affectation matrice],$AB$3,Fonctionnement[Montant (€HT)])+SUMIF(Invest[Affectation matrice],$AB$3,Invest[Amortissement HT + intérêts]))*BH9</f>
        <v>0</v>
      </c>
      <c r="H9" s="276">
        <f>(SUMIF(Fonctionnement[Affectation matrice],$AB$3,Fonctionnement[Montant (€HT)])+SUMIF(Invest[Affectation matrice],$AB$3,Invest[Amortissement HT + intérêts]))*BI9</f>
        <v>0</v>
      </c>
      <c r="I9" s="276">
        <f>(SUMIF(Fonctionnement[Affectation matrice],$AB$3,Fonctionnement[Montant (€HT)])+SUMIF(Invest[Affectation matrice],$AB$3,Invest[Amortissement HT + intérêts]))*BJ9</f>
        <v>0</v>
      </c>
      <c r="J9" s="276">
        <f>(SUMIF(Fonctionnement[Affectation matrice],$AB$3,Fonctionnement[Montant (€HT)])+SUMIF(Invest[Affectation matrice],$AB$3,Invest[Amortissement HT + intérêts]))*BK9</f>
        <v>0</v>
      </c>
      <c r="K9" s="276">
        <f>(SUMIF(Fonctionnement[Affectation matrice],$AB$3,Fonctionnement[Montant (€HT)])+SUMIF(Invest[Affectation matrice],$AB$3,Invest[Amortissement HT + intérêts]))*BL9</f>
        <v>0</v>
      </c>
      <c r="L9" s="276">
        <f>(SUMIF(Fonctionnement[Affectation matrice],$AB$3,Fonctionnement[Montant (€HT)])+SUMIF(Invest[Affectation matrice],$AB$3,Invest[Amortissement HT + intérêts]))*BM9</f>
        <v>0</v>
      </c>
      <c r="M9" s="276">
        <f>(SUMIF(Fonctionnement[Affectation matrice],$AB$3,Fonctionnement[Montant (€HT)])+SUMIF(Invest[Affectation matrice],$AB$3,Invest[Amortissement HT + intérêts]))*BN9</f>
        <v>0</v>
      </c>
      <c r="N9" s="276">
        <f>(SUMIF(Fonctionnement[Affectation matrice],$AB$3,Fonctionnement[Montant (€HT)])+SUMIF(Invest[Affectation matrice],$AB$3,Invest[Amortissement HT + intérêts]))*BO9</f>
        <v>0</v>
      </c>
      <c r="O9" s="276">
        <f>(SUMIF(Fonctionnement[Affectation matrice],$AB$3,Fonctionnement[Montant (€HT)])+SUMIF(Invest[Affectation matrice],$AB$3,Invest[Amortissement HT + intérêts]))*BP9</f>
        <v>0</v>
      </c>
      <c r="P9" s="276">
        <f>(SUMIF(Fonctionnement[Affectation matrice],$AB$3,Fonctionnement[Montant (€HT)])+SUMIF(Invest[Affectation matrice],$AB$3,Invest[Amortissement HT + intérêts]))*BQ9</f>
        <v>0</v>
      </c>
      <c r="Q9" s="276">
        <f>(SUMIF(Fonctionnement[Affectation matrice],$AB$3,Fonctionnement[Montant (€HT)])+SUMIF(Invest[Affectation matrice],$AB$3,Invest[Amortissement HT + intérêts]))*BR9</f>
        <v>0</v>
      </c>
      <c r="R9" s="276">
        <f>(SUMIF(Fonctionnement[Affectation matrice],$AB$3,Fonctionnement[Montant (€HT)])+SUMIF(Invest[Affectation matrice],$AB$3,Invest[Amortissement HT + intérêts]))*BS9</f>
        <v>0</v>
      </c>
      <c r="S9" s="276">
        <f>(SUMIF(Fonctionnement[Affectation matrice],$AB$3,Fonctionnement[Montant (€HT)])+SUMIF(Invest[Affectation matrice],$AB$3,Invest[Amortissement HT + intérêts]))*BT9</f>
        <v>0</v>
      </c>
      <c r="T9" s="276">
        <f>(SUMIF(Fonctionnement[Affectation matrice],$AB$3,Fonctionnement[Montant (€HT)])+SUMIF(Invest[Affectation matrice],$AB$3,Invest[Amortissement HT + intérêts]))*BU9</f>
        <v>0</v>
      </c>
      <c r="U9" s="276">
        <f>(SUMIF(Fonctionnement[Affectation matrice],$AB$3,Fonctionnement[Montant (€HT)])+SUMIF(Invest[Affectation matrice],$AB$3,Invest[Amortissement HT + intérêts]))*BV9</f>
        <v>0</v>
      </c>
      <c r="V9" s="276">
        <f>(SUMIF(Fonctionnement[Affectation matrice],$AB$3,Fonctionnement[Montant (€HT)])+SUMIF(Invest[Affectation matrice],$AB$3,Invest[Amortissement HT + intérêts]))*BW9</f>
        <v>0</v>
      </c>
      <c r="W9" s="276">
        <f>(SUMIF(Fonctionnement[Affectation matrice],$AB$3,Fonctionnement[Montant (€HT)])+SUMIF(Invest[Affectation matrice],$AB$3,Invest[Amortissement HT + intérêts]))*BX9</f>
        <v>0</v>
      </c>
      <c r="X9" s="276">
        <f>(SUMIF(Fonctionnement[Affectation matrice],$AB$3,Fonctionnement[Montant (€HT)])+SUMIF(Invest[Affectation matrice],$AB$3,Invest[Amortissement HT + intérêts]))*BY9</f>
        <v>0</v>
      </c>
      <c r="Y9" s="276">
        <f>(SUMIF(Fonctionnement[Affectation matrice],$AB$3,Fonctionnement[Montant (€HT)])+SUMIF(Invest[Affectation matrice],$AB$3,Invest[Amortissement HT + intérêts]))*BZ9</f>
        <v>0</v>
      </c>
      <c r="Z9" s="276">
        <f>(SUMIF(Fonctionnement[Affectation matrice],$AB$3,Fonctionnement[Montant (€HT)])+SUMIF(Invest[Affectation matrice],$AB$3,Invest[Amortissement HT + intérêts]))*CA9</f>
        <v>0</v>
      </c>
      <c r="AA9" s="199"/>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283">
        <f t="shared" si="4"/>
        <v>0</v>
      </c>
      <c r="BB9" s="7"/>
      <c r="BC9" s="61">
        <f t="shared" si="2"/>
        <v>0</v>
      </c>
      <c r="BD9" s="61">
        <f t="shared" si="2"/>
        <v>0</v>
      </c>
      <c r="BE9" s="61">
        <f t="shared" si="2"/>
        <v>0</v>
      </c>
      <c r="BF9" s="61">
        <f t="shared" si="2"/>
        <v>0</v>
      </c>
      <c r="BG9" s="61">
        <f t="shared" si="2"/>
        <v>0</v>
      </c>
      <c r="BH9" s="61">
        <f t="shared" si="2"/>
        <v>0</v>
      </c>
      <c r="BI9" s="61">
        <f t="shared" si="2"/>
        <v>0</v>
      </c>
      <c r="BJ9" s="61">
        <f t="shared" si="2"/>
        <v>0</v>
      </c>
      <c r="BK9" s="61">
        <f t="shared" si="2"/>
        <v>0</v>
      </c>
      <c r="BL9" s="61">
        <f t="shared" si="2"/>
        <v>0</v>
      </c>
      <c r="BM9" s="61">
        <f t="shared" si="2"/>
        <v>0</v>
      </c>
      <c r="BN9" s="61">
        <f t="shared" si="2"/>
        <v>0</v>
      </c>
      <c r="BO9" s="61">
        <f t="shared" si="2"/>
        <v>0</v>
      </c>
      <c r="BP9" s="61">
        <f t="shared" si="2"/>
        <v>0</v>
      </c>
      <c r="BQ9" s="61">
        <f t="shared" si="2"/>
        <v>0</v>
      </c>
      <c r="BR9" s="61">
        <f t="shared" si="2"/>
        <v>0</v>
      </c>
      <c r="BS9" s="61">
        <f t="shared" si="3"/>
        <v>0</v>
      </c>
      <c r="BT9" s="61">
        <f t="shared" si="3"/>
        <v>0</v>
      </c>
      <c r="BU9" s="61">
        <f t="shared" si="3"/>
        <v>0</v>
      </c>
      <c r="BV9" s="61">
        <f t="shared" si="3"/>
        <v>0</v>
      </c>
      <c r="BW9" s="61">
        <f t="shared" si="3"/>
        <v>0</v>
      </c>
      <c r="BX9" s="61">
        <f t="shared" si="3"/>
        <v>0</v>
      </c>
      <c r="BY9" s="61">
        <f t="shared" si="3"/>
        <v>0</v>
      </c>
      <c r="BZ9" s="61">
        <f t="shared" si="3"/>
        <v>0</v>
      </c>
      <c r="CA9" s="61">
        <f t="shared" si="3"/>
        <v>0</v>
      </c>
      <c r="CB9" s="61">
        <f t="shared" si="5"/>
        <v>0</v>
      </c>
      <c r="CD9" s="200">
        <f>(SUMIF(Fonctionnement[Affectation matrice],$AB$3,Fonctionnement[TVA acquittée])+SUMIF(Invest[Affectation matrice],$AB$3,Invest[TVA acquittée]))*BC9</f>
        <v>0</v>
      </c>
      <c r="CE9" s="200">
        <f>(SUMIF(Fonctionnement[Affectation matrice],$AB$3,Fonctionnement[TVA acquittée])+SUMIF(Invest[Affectation matrice],$AB$3,Invest[TVA acquittée]))*BD9</f>
        <v>0</v>
      </c>
      <c r="CF9" s="200">
        <f>(SUMIF(Fonctionnement[Affectation matrice],$AB$3,Fonctionnement[TVA acquittée])+SUMIF(Invest[Affectation matrice],$AB$3,Invest[TVA acquittée]))*BE9</f>
        <v>0</v>
      </c>
      <c r="CG9" s="200">
        <f>(SUMIF(Fonctionnement[Affectation matrice],$AB$3,Fonctionnement[TVA acquittée])+SUMIF(Invest[Affectation matrice],$AB$3,Invest[TVA acquittée]))*BF9</f>
        <v>0</v>
      </c>
      <c r="CH9" s="200">
        <f>(SUMIF(Fonctionnement[Affectation matrice],$AB$3,Fonctionnement[TVA acquittée])+SUMIF(Invest[Affectation matrice],$AB$3,Invest[TVA acquittée]))*BG9</f>
        <v>0</v>
      </c>
      <c r="CI9" s="200">
        <f>(SUMIF(Fonctionnement[Affectation matrice],$AB$3,Fonctionnement[TVA acquittée])+SUMIF(Invest[Affectation matrice],$AB$3,Invest[TVA acquittée]))*BH9</f>
        <v>0</v>
      </c>
      <c r="CJ9" s="200">
        <f>(SUMIF(Fonctionnement[Affectation matrice],$AB$3,Fonctionnement[TVA acquittée])+SUMIF(Invest[Affectation matrice],$AB$3,Invest[TVA acquittée]))*BI9</f>
        <v>0</v>
      </c>
      <c r="CK9" s="200">
        <f>(SUMIF(Fonctionnement[Affectation matrice],$AB$3,Fonctionnement[TVA acquittée])+SUMIF(Invest[Affectation matrice],$AB$3,Invest[TVA acquittée]))*BJ9</f>
        <v>0</v>
      </c>
      <c r="CL9" s="200">
        <f>(SUMIF(Fonctionnement[Affectation matrice],$AB$3,Fonctionnement[TVA acquittée])+SUMIF(Invest[Affectation matrice],$AB$3,Invest[TVA acquittée]))*BK9</f>
        <v>0</v>
      </c>
      <c r="CM9" s="200">
        <f>(SUMIF(Fonctionnement[Affectation matrice],$AB$3,Fonctionnement[TVA acquittée])+SUMIF(Invest[Affectation matrice],$AB$3,Invest[TVA acquittée]))*BL9</f>
        <v>0</v>
      </c>
      <c r="CN9" s="200">
        <f>(SUMIF(Fonctionnement[Affectation matrice],$AB$3,Fonctionnement[TVA acquittée])+SUMIF(Invest[Affectation matrice],$AB$3,Invest[TVA acquittée]))*BM9</f>
        <v>0</v>
      </c>
      <c r="CO9" s="200">
        <f>(SUMIF(Fonctionnement[Affectation matrice],$AB$3,Fonctionnement[TVA acquittée])+SUMIF(Invest[Affectation matrice],$AB$3,Invest[TVA acquittée]))*BN9</f>
        <v>0</v>
      </c>
      <c r="CP9" s="200">
        <f>(SUMIF(Fonctionnement[Affectation matrice],$AB$3,Fonctionnement[TVA acquittée])+SUMIF(Invest[Affectation matrice],$AB$3,Invest[TVA acquittée]))*BO9</f>
        <v>0</v>
      </c>
      <c r="CQ9" s="200">
        <f>(SUMIF(Fonctionnement[Affectation matrice],$AB$3,Fonctionnement[TVA acquittée])+SUMIF(Invest[Affectation matrice],$AB$3,Invest[TVA acquittée]))*BP9</f>
        <v>0</v>
      </c>
      <c r="CR9" s="200">
        <f>(SUMIF(Fonctionnement[Affectation matrice],$AB$3,Fonctionnement[TVA acquittée])+SUMIF(Invest[Affectation matrice],$AB$3,Invest[TVA acquittée]))*BQ9</f>
        <v>0</v>
      </c>
      <c r="CS9" s="200">
        <f>(SUMIF(Fonctionnement[Affectation matrice],$AB$3,Fonctionnement[TVA acquittée])+SUMIF(Invest[Affectation matrice],$AB$3,Invest[TVA acquittée]))*BR9</f>
        <v>0</v>
      </c>
      <c r="CT9" s="200">
        <f>(SUMIF(Fonctionnement[Affectation matrice],$AB$3,Fonctionnement[TVA acquittée])+SUMIF(Invest[Affectation matrice],$AB$3,Invest[TVA acquittée]))*BS9</f>
        <v>0</v>
      </c>
      <c r="CU9" s="200">
        <f>(SUMIF(Fonctionnement[Affectation matrice],$AB$3,Fonctionnement[TVA acquittée])+SUMIF(Invest[Affectation matrice],$AB$3,Invest[TVA acquittée]))*BT9</f>
        <v>0</v>
      </c>
      <c r="CV9" s="200">
        <f>(SUMIF(Fonctionnement[Affectation matrice],$AB$3,Fonctionnement[TVA acquittée])+SUMIF(Invest[Affectation matrice],$AB$3,Invest[TVA acquittée]))*BU9</f>
        <v>0</v>
      </c>
      <c r="CW9" s="200">
        <f>(SUMIF(Fonctionnement[Affectation matrice],$AB$3,Fonctionnement[TVA acquittée])+SUMIF(Invest[Affectation matrice],$AB$3,Invest[TVA acquittée]))*BV9</f>
        <v>0</v>
      </c>
      <c r="CX9" s="200">
        <f>(SUMIF(Fonctionnement[Affectation matrice],$AB$3,Fonctionnement[TVA acquittée])+SUMIF(Invest[Affectation matrice],$AB$3,Invest[TVA acquittée]))*BW9</f>
        <v>0</v>
      </c>
      <c r="CY9" s="200">
        <f>(SUMIF(Fonctionnement[Affectation matrice],$AB$3,Fonctionnement[TVA acquittée])+SUMIF(Invest[Affectation matrice],$AB$3,Invest[TVA acquittée]))*BX9</f>
        <v>0</v>
      </c>
      <c r="CZ9" s="200">
        <f>(SUMIF(Fonctionnement[Affectation matrice],$AB$3,Fonctionnement[TVA acquittée])+SUMIF(Invest[Affectation matrice],$AB$3,Invest[TVA acquittée]))*BY9</f>
        <v>0</v>
      </c>
      <c r="DA9" s="200">
        <f>(SUMIF(Fonctionnement[Affectation matrice],$AB$3,Fonctionnement[TVA acquittée])+SUMIF(Invest[Affectation matrice],$AB$3,Invest[TVA acquittée]))*BZ9</f>
        <v>0</v>
      </c>
      <c r="DB9" s="200">
        <f>(SUMIF(Fonctionnement[Affectation matrice],$AB$3,Fonctionnement[TVA acquittée])+SUMIF(Invest[Affectation matrice],$AB$3,Invest[TVA acquittée]))*CA9</f>
        <v>0</v>
      </c>
    </row>
    <row r="10" spans="1:106" s="22" customFormat="1" ht="12.75" customHeight="1" x14ac:dyDescent="0.25">
      <c r="A10" s="42" t="str">
        <f>Matrice[[#This Row],[Ligne de la matrice]]</f>
        <v>Transfert/Transport</v>
      </c>
      <c r="B10" s="276">
        <f>(SUMIF(Fonctionnement[Affectation matrice],$AB$3,Fonctionnement[Montant (€HT)])+SUMIF(Invest[Affectation matrice],$AB$3,Invest[Amortissement HT + intérêts]))*BC10</f>
        <v>0</v>
      </c>
      <c r="C10" s="276">
        <f>(SUMIF(Fonctionnement[Affectation matrice],$AB$3,Fonctionnement[Montant (€HT)])+SUMIF(Invest[Affectation matrice],$AB$3,Invest[Amortissement HT + intérêts]))*BD10</f>
        <v>0</v>
      </c>
      <c r="D10" s="276">
        <f>(SUMIF(Fonctionnement[Affectation matrice],$AB$3,Fonctionnement[Montant (€HT)])+SUMIF(Invest[Affectation matrice],$AB$3,Invest[Amortissement HT + intérêts]))*BE10</f>
        <v>0</v>
      </c>
      <c r="E10" s="276">
        <f>(SUMIF(Fonctionnement[Affectation matrice],$AB$3,Fonctionnement[Montant (€HT)])+SUMIF(Invest[Affectation matrice],$AB$3,Invest[Amortissement HT + intérêts]))*BF10</f>
        <v>0</v>
      </c>
      <c r="F10" s="276">
        <f>(SUMIF(Fonctionnement[Affectation matrice],$AB$3,Fonctionnement[Montant (€HT)])+SUMIF(Invest[Affectation matrice],$AB$3,Invest[Amortissement HT + intérêts]))*BG10</f>
        <v>0</v>
      </c>
      <c r="G10" s="276">
        <f>(SUMIF(Fonctionnement[Affectation matrice],$AB$3,Fonctionnement[Montant (€HT)])+SUMIF(Invest[Affectation matrice],$AB$3,Invest[Amortissement HT + intérêts]))*BH10</f>
        <v>0</v>
      </c>
      <c r="H10" s="276">
        <f>(SUMIF(Fonctionnement[Affectation matrice],$AB$3,Fonctionnement[Montant (€HT)])+SUMIF(Invest[Affectation matrice],$AB$3,Invest[Amortissement HT + intérêts]))*BI10</f>
        <v>0</v>
      </c>
      <c r="I10" s="276">
        <f>(SUMIF(Fonctionnement[Affectation matrice],$AB$3,Fonctionnement[Montant (€HT)])+SUMIF(Invest[Affectation matrice],$AB$3,Invest[Amortissement HT + intérêts]))*BJ10</f>
        <v>0</v>
      </c>
      <c r="J10" s="276">
        <f>(SUMIF(Fonctionnement[Affectation matrice],$AB$3,Fonctionnement[Montant (€HT)])+SUMIF(Invest[Affectation matrice],$AB$3,Invest[Amortissement HT + intérêts]))*BK10</f>
        <v>0</v>
      </c>
      <c r="K10" s="276">
        <f>(SUMIF(Fonctionnement[Affectation matrice],$AB$3,Fonctionnement[Montant (€HT)])+SUMIF(Invest[Affectation matrice],$AB$3,Invest[Amortissement HT + intérêts]))*BL10</f>
        <v>0</v>
      </c>
      <c r="L10" s="276">
        <f>(SUMIF(Fonctionnement[Affectation matrice],$AB$3,Fonctionnement[Montant (€HT)])+SUMIF(Invest[Affectation matrice],$AB$3,Invest[Amortissement HT + intérêts]))*BM10</f>
        <v>0</v>
      </c>
      <c r="M10" s="276">
        <f>(SUMIF(Fonctionnement[Affectation matrice],$AB$3,Fonctionnement[Montant (€HT)])+SUMIF(Invest[Affectation matrice],$AB$3,Invest[Amortissement HT + intérêts]))*BN10</f>
        <v>0</v>
      </c>
      <c r="N10" s="276">
        <f>(SUMIF(Fonctionnement[Affectation matrice],$AB$3,Fonctionnement[Montant (€HT)])+SUMIF(Invest[Affectation matrice],$AB$3,Invest[Amortissement HT + intérêts]))*BO10</f>
        <v>0</v>
      </c>
      <c r="O10" s="276">
        <f>(SUMIF(Fonctionnement[Affectation matrice],$AB$3,Fonctionnement[Montant (€HT)])+SUMIF(Invest[Affectation matrice],$AB$3,Invest[Amortissement HT + intérêts]))*BP10</f>
        <v>0</v>
      </c>
      <c r="P10" s="276">
        <f>(SUMIF(Fonctionnement[Affectation matrice],$AB$3,Fonctionnement[Montant (€HT)])+SUMIF(Invest[Affectation matrice],$AB$3,Invest[Amortissement HT + intérêts]))*BQ10</f>
        <v>0</v>
      </c>
      <c r="Q10" s="276">
        <f>(SUMIF(Fonctionnement[Affectation matrice],$AB$3,Fonctionnement[Montant (€HT)])+SUMIF(Invest[Affectation matrice],$AB$3,Invest[Amortissement HT + intérêts]))*BR10</f>
        <v>0</v>
      </c>
      <c r="R10" s="276">
        <f>(SUMIF(Fonctionnement[Affectation matrice],$AB$3,Fonctionnement[Montant (€HT)])+SUMIF(Invest[Affectation matrice],$AB$3,Invest[Amortissement HT + intérêts]))*BS10</f>
        <v>0</v>
      </c>
      <c r="S10" s="276">
        <f>(SUMIF(Fonctionnement[Affectation matrice],$AB$3,Fonctionnement[Montant (€HT)])+SUMIF(Invest[Affectation matrice],$AB$3,Invest[Amortissement HT + intérêts]))*BT10</f>
        <v>0</v>
      </c>
      <c r="T10" s="276">
        <f>(SUMIF(Fonctionnement[Affectation matrice],$AB$3,Fonctionnement[Montant (€HT)])+SUMIF(Invest[Affectation matrice],$AB$3,Invest[Amortissement HT + intérêts]))*BU10</f>
        <v>0</v>
      </c>
      <c r="U10" s="276">
        <f>(SUMIF(Fonctionnement[Affectation matrice],$AB$3,Fonctionnement[Montant (€HT)])+SUMIF(Invest[Affectation matrice],$AB$3,Invest[Amortissement HT + intérêts]))*BV10</f>
        <v>0</v>
      </c>
      <c r="V10" s="276">
        <f>(SUMIF(Fonctionnement[Affectation matrice],$AB$3,Fonctionnement[Montant (€HT)])+SUMIF(Invest[Affectation matrice],$AB$3,Invest[Amortissement HT + intérêts]))*BW10</f>
        <v>0</v>
      </c>
      <c r="W10" s="276">
        <f>(SUMIF(Fonctionnement[Affectation matrice],$AB$3,Fonctionnement[Montant (€HT)])+SUMIF(Invest[Affectation matrice],$AB$3,Invest[Amortissement HT + intérêts]))*BX10</f>
        <v>0</v>
      </c>
      <c r="X10" s="276">
        <f>(SUMIF(Fonctionnement[Affectation matrice],$AB$3,Fonctionnement[Montant (€HT)])+SUMIF(Invest[Affectation matrice],$AB$3,Invest[Amortissement HT + intérêts]))*BY10</f>
        <v>0</v>
      </c>
      <c r="Y10" s="276">
        <f>(SUMIF(Fonctionnement[Affectation matrice],$AB$3,Fonctionnement[Montant (€HT)])+SUMIF(Invest[Affectation matrice],$AB$3,Invest[Amortissement HT + intérêts]))*BZ10</f>
        <v>0</v>
      </c>
      <c r="Z10" s="276">
        <f>(SUMIF(Fonctionnement[Affectation matrice],$AB$3,Fonctionnement[Montant (€HT)])+SUMIF(Invest[Affectation matrice],$AB$3,Invest[Amortissement HT + intérêts]))*CA10</f>
        <v>0</v>
      </c>
      <c r="AA10" s="199"/>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283">
        <f t="shared" si="4"/>
        <v>0</v>
      </c>
      <c r="BB10" s="7"/>
      <c r="BC10" s="61">
        <f t="shared" si="2"/>
        <v>0</v>
      </c>
      <c r="BD10" s="61">
        <f t="shared" si="2"/>
        <v>0</v>
      </c>
      <c r="BE10" s="61">
        <f t="shared" si="2"/>
        <v>0</v>
      </c>
      <c r="BF10" s="61">
        <f t="shared" si="2"/>
        <v>0</v>
      </c>
      <c r="BG10" s="61">
        <f t="shared" si="2"/>
        <v>0</v>
      </c>
      <c r="BH10" s="61">
        <f t="shared" si="2"/>
        <v>0</v>
      </c>
      <c r="BI10" s="61">
        <f t="shared" si="2"/>
        <v>0</v>
      </c>
      <c r="BJ10" s="61">
        <f t="shared" si="2"/>
        <v>0</v>
      </c>
      <c r="BK10" s="61">
        <f t="shared" si="2"/>
        <v>0</v>
      </c>
      <c r="BL10" s="61">
        <f t="shared" si="2"/>
        <v>0</v>
      </c>
      <c r="BM10" s="61">
        <f t="shared" si="2"/>
        <v>0</v>
      </c>
      <c r="BN10" s="61">
        <f t="shared" si="2"/>
        <v>0</v>
      </c>
      <c r="BO10" s="61">
        <f t="shared" si="2"/>
        <v>0</v>
      </c>
      <c r="BP10" s="61">
        <f t="shared" si="2"/>
        <v>0</v>
      </c>
      <c r="BQ10" s="61">
        <f t="shared" si="2"/>
        <v>0</v>
      </c>
      <c r="BR10" s="61">
        <f t="shared" si="2"/>
        <v>0</v>
      </c>
      <c r="BS10" s="61">
        <f t="shared" si="3"/>
        <v>0</v>
      </c>
      <c r="BT10" s="61">
        <f t="shared" si="3"/>
        <v>0</v>
      </c>
      <c r="BU10" s="61">
        <f t="shared" si="3"/>
        <v>0</v>
      </c>
      <c r="BV10" s="61">
        <f t="shared" si="3"/>
        <v>0</v>
      </c>
      <c r="BW10" s="61">
        <f t="shared" si="3"/>
        <v>0</v>
      </c>
      <c r="BX10" s="61">
        <f t="shared" si="3"/>
        <v>0</v>
      </c>
      <c r="BY10" s="61">
        <f t="shared" si="3"/>
        <v>0</v>
      </c>
      <c r="BZ10" s="61">
        <f t="shared" si="3"/>
        <v>0</v>
      </c>
      <c r="CA10" s="61">
        <f t="shared" si="3"/>
        <v>0</v>
      </c>
      <c r="CB10" s="61">
        <f t="shared" si="5"/>
        <v>0</v>
      </c>
      <c r="CD10" s="200">
        <f>(SUMIF(Fonctionnement[Affectation matrice],$AB$3,Fonctionnement[TVA acquittée])+SUMIF(Invest[Affectation matrice],$AB$3,Invest[TVA acquittée]))*BC10</f>
        <v>0</v>
      </c>
      <c r="CE10" s="200">
        <f>(SUMIF(Fonctionnement[Affectation matrice],$AB$3,Fonctionnement[TVA acquittée])+SUMIF(Invest[Affectation matrice],$AB$3,Invest[TVA acquittée]))*BD10</f>
        <v>0</v>
      </c>
      <c r="CF10" s="200">
        <f>(SUMIF(Fonctionnement[Affectation matrice],$AB$3,Fonctionnement[TVA acquittée])+SUMIF(Invest[Affectation matrice],$AB$3,Invest[TVA acquittée]))*BE10</f>
        <v>0</v>
      </c>
      <c r="CG10" s="200">
        <f>(SUMIF(Fonctionnement[Affectation matrice],$AB$3,Fonctionnement[TVA acquittée])+SUMIF(Invest[Affectation matrice],$AB$3,Invest[TVA acquittée]))*BF10</f>
        <v>0</v>
      </c>
      <c r="CH10" s="200">
        <f>(SUMIF(Fonctionnement[Affectation matrice],$AB$3,Fonctionnement[TVA acquittée])+SUMIF(Invest[Affectation matrice],$AB$3,Invest[TVA acquittée]))*BG10</f>
        <v>0</v>
      </c>
      <c r="CI10" s="200">
        <f>(SUMIF(Fonctionnement[Affectation matrice],$AB$3,Fonctionnement[TVA acquittée])+SUMIF(Invest[Affectation matrice],$AB$3,Invest[TVA acquittée]))*BH10</f>
        <v>0</v>
      </c>
      <c r="CJ10" s="200">
        <f>(SUMIF(Fonctionnement[Affectation matrice],$AB$3,Fonctionnement[TVA acquittée])+SUMIF(Invest[Affectation matrice],$AB$3,Invest[TVA acquittée]))*BI10</f>
        <v>0</v>
      </c>
      <c r="CK10" s="200">
        <f>(SUMIF(Fonctionnement[Affectation matrice],$AB$3,Fonctionnement[TVA acquittée])+SUMIF(Invest[Affectation matrice],$AB$3,Invest[TVA acquittée]))*BJ10</f>
        <v>0</v>
      </c>
      <c r="CL10" s="200">
        <f>(SUMIF(Fonctionnement[Affectation matrice],$AB$3,Fonctionnement[TVA acquittée])+SUMIF(Invest[Affectation matrice],$AB$3,Invest[TVA acquittée]))*BK10</f>
        <v>0</v>
      </c>
      <c r="CM10" s="200">
        <f>(SUMIF(Fonctionnement[Affectation matrice],$AB$3,Fonctionnement[TVA acquittée])+SUMIF(Invest[Affectation matrice],$AB$3,Invest[TVA acquittée]))*BL10</f>
        <v>0</v>
      </c>
      <c r="CN10" s="200">
        <f>(SUMIF(Fonctionnement[Affectation matrice],$AB$3,Fonctionnement[TVA acquittée])+SUMIF(Invest[Affectation matrice],$AB$3,Invest[TVA acquittée]))*BM10</f>
        <v>0</v>
      </c>
      <c r="CO10" s="200">
        <f>(SUMIF(Fonctionnement[Affectation matrice],$AB$3,Fonctionnement[TVA acquittée])+SUMIF(Invest[Affectation matrice],$AB$3,Invest[TVA acquittée]))*BN10</f>
        <v>0</v>
      </c>
      <c r="CP10" s="200">
        <f>(SUMIF(Fonctionnement[Affectation matrice],$AB$3,Fonctionnement[TVA acquittée])+SUMIF(Invest[Affectation matrice],$AB$3,Invest[TVA acquittée]))*BO10</f>
        <v>0</v>
      </c>
      <c r="CQ10" s="200">
        <f>(SUMIF(Fonctionnement[Affectation matrice],$AB$3,Fonctionnement[TVA acquittée])+SUMIF(Invest[Affectation matrice],$AB$3,Invest[TVA acquittée]))*BP10</f>
        <v>0</v>
      </c>
      <c r="CR10" s="200">
        <f>(SUMIF(Fonctionnement[Affectation matrice],$AB$3,Fonctionnement[TVA acquittée])+SUMIF(Invest[Affectation matrice],$AB$3,Invest[TVA acquittée]))*BQ10</f>
        <v>0</v>
      </c>
      <c r="CS10" s="200">
        <f>(SUMIF(Fonctionnement[Affectation matrice],$AB$3,Fonctionnement[TVA acquittée])+SUMIF(Invest[Affectation matrice],$AB$3,Invest[TVA acquittée]))*BR10</f>
        <v>0</v>
      </c>
      <c r="CT10" s="200">
        <f>(SUMIF(Fonctionnement[Affectation matrice],$AB$3,Fonctionnement[TVA acquittée])+SUMIF(Invest[Affectation matrice],$AB$3,Invest[TVA acquittée]))*BS10</f>
        <v>0</v>
      </c>
      <c r="CU10" s="200">
        <f>(SUMIF(Fonctionnement[Affectation matrice],$AB$3,Fonctionnement[TVA acquittée])+SUMIF(Invest[Affectation matrice],$AB$3,Invest[TVA acquittée]))*BT10</f>
        <v>0</v>
      </c>
      <c r="CV10" s="200">
        <f>(SUMIF(Fonctionnement[Affectation matrice],$AB$3,Fonctionnement[TVA acquittée])+SUMIF(Invest[Affectation matrice],$AB$3,Invest[TVA acquittée]))*BU10</f>
        <v>0</v>
      </c>
      <c r="CW10" s="200">
        <f>(SUMIF(Fonctionnement[Affectation matrice],$AB$3,Fonctionnement[TVA acquittée])+SUMIF(Invest[Affectation matrice],$AB$3,Invest[TVA acquittée]))*BV10</f>
        <v>0</v>
      </c>
      <c r="CX10" s="200">
        <f>(SUMIF(Fonctionnement[Affectation matrice],$AB$3,Fonctionnement[TVA acquittée])+SUMIF(Invest[Affectation matrice],$AB$3,Invest[TVA acquittée]))*BW10</f>
        <v>0</v>
      </c>
      <c r="CY10" s="200">
        <f>(SUMIF(Fonctionnement[Affectation matrice],$AB$3,Fonctionnement[TVA acquittée])+SUMIF(Invest[Affectation matrice],$AB$3,Invest[TVA acquittée]))*BX10</f>
        <v>0</v>
      </c>
      <c r="CZ10" s="200">
        <f>(SUMIF(Fonctionnement[Affectation matrice],$AB$3,Fonctionnement[TVA acquittée])+SUMIF(Invest[Affectation matrice],$AB$3,Invest[TVA acquittée]))*BY10</f>
        <v>0</v>
      </c>
      <c r="DA10" s="200">
        <f>(SUMIF(Fonctionnement[Affectation matrice],$AB$3,Fonctionnement[TVA acquittée])+SUMIF(Invest[Affectation matrice],$AB$3,Invest[TVA acquittée]))*BZ10</f>
        <v>0</v>
      </c>
      <c r="DB10" s="200">
        <f>(SUMIF(Fonctionnement[Affectation matrice],$AB$3,Fonctionnement[TVA acquittée])+SUMIF(Invest[Affectation matrice],$AB$3,Invest[TVA acquittée]))*CA10</f>
        <v>0</v>
      </c>
    </row>
    <row r="11" spans="1:106" s="22" customFormat="1" ht="12.75" customHeight="1" x14ac:dyDescent="0.25">
      <c r="A11" s="42" t="str">
        <f>Matrice[[#This Row],[Ligne de la matrice]]</f>
        <v>Traitement des déchets non dangereux</v>
      </c>
      <c r="B11" s="276">
        <f>(SUMIF(Fonctionnement[Affectation matrice],$AB$3,Fonctionnement[Montant (€HT)])+SUMIF(Invest[Affectation matrice],$AB$3,Invest[Amortissement HT + intérêts]))*BC11</f>
        <v>0</v>
      </c>
      <c r="C11" s="276">
        <f>(SUMIF(Fonctionnement[Affectation matrice],$AB$3,Fonctionnement[Montant (€HT)])+SUMIF(Invest[Affectation matrice],$AB$3,Invest[Amortissement HT + intérêts]))*BD11</f>
        <v>0</v>
      </c>
      <c r="D11" s="276">
        <f>(SUMIF(Fonctionnement[Affectation matrice],$AB$3,Fonctionnement[Montant (€HT)])+SUMIF(Invest[Affectation matrice],$AB$3,Invest[Amortissement HT + intérêts]))*BE11</f>
        <v>0</v>
      </c>
      <c r="E11" s="276">
        <f>(SUMIF(Fonctionnement[Affectation matrice],$AB$3,Fonctionnement[Montant (€HT)])+SUMIF(Invest[Affectation matrice],$AB$3,Invest[Amortissement HT + intérêts]))*BF11</f>
        <v>0</v>
      </c>
      <c r="F11" s="276">
        <f>(SUMIF(Fonctionnement[Affectation matrice],$AB$3,Fonctionnement[Montant (€HT)])+SUMIF(Invest[Affectation matrice],$AB$3,Invest[Amortissement HT + intérêts]))*BG11</f>
        <v>0</v>
      </c>
      <c r="G11" s="276">
        <f>(SUMIF(Fonctionnement[Affectation matrice],$AB$3,Fonctionnement[Montant (€HT)])+SUMIF(Invest[Affectation matrice],$AB$3,Invest[Amortissement HT + intérêts]))*BH11</f>
        <v>0</v>
      </c>
      <c r="H11" s="276">
        <f>(SUMIF(Fonctionnement[Affectation matrice],$AB$3,Fonctionnement[Montant (€HT)])+SUMIF(Invest[Affectation matrice],$AB$3,Invest[Amortissement HT + intérêts]))*BI11</f>
        <v>0</v>
      </c>
      <c r="I11" s="276">
        <f>(SUMIF(Fonctionnement[Affectation matrice],$AB$3,Fonctionnement[Montant (€HT)])+SUMIF(Invest[Affectation matrice],$AB$3,Invest[Amortissement HT + intérêts]))*BJ11</f>
        <v>0</v>
      </c>
      <c r="J11" s="276">
        <f>(SUMIF(Fonctionnement[Affectation matrice],$AB$3,Fonctionnement[Montant (€HT)])+SUMIF(Invest[Affectation matrice],$AB$3,Invest[Amortissement HT + intérêts]))*BK11</f>
        <v>0</v>
      </c>
      <c r="K11" s="276">
        <f>(SUMIF(Fonctionnement[Affectation matrice],$AB$3,Fonctionnement[Montant (€HT)])+SUMIF(Invest[Affectation matrice],$AB$3,Invest[Amortissement HT + intérêts]))*BL11</f>
        <v>0</v>
      </c>
      <c r="L11" s="276">
        <f>(SUMIF(Fonctionnement[Affectation matrice],$AB$3,Fonctionnement[Montant (€HT)])+SUMIF(Invest[Affectation matrice],$AB$3,Invest[Amortissement HT + intérêts]))*BM11</f>
        <v>0</v>
      </c>
      <c r="M11" s="276">
        <f>(SUMIF(Fonctionnement[Affectation matrice],$AB$3,Fonctionnement[Montant (€HT)])+SUMIF(Invest[Affectation matrice],$AB$3,Invest[Amortissement HT + intérêts]))*BN11</f>
        <v>0</v>
      </c>
      <c r="N11" s="276">
        <f>(SUMIF(Fonctionnement[Affectation matrice],$AB$3,Fonctionnement[Montant (€HT)])+SUMIF(Invest[Affectation matrice],$AB$3,Invest[Amortissement HT + intérêts]))*BO11</f>
        <v>0</v>
      </c>
      <c r="O11" s="276">
        <f>(SUMIF(Fonctionnement[Affectation matrice],$AB$3,Fonctionnement[Montant (€HT)])+SUMIF(Invest[Affectation matrice],$AB$3,Invest[Amortissement HT + intérêts]))*BP11</f>
        <v>0</v>
      </c>
      <c r="P11" s="276">
        <f>(SUMIF(Fonctionnement[Affectation matrice],$AB$3,Fonctionnement[Montant (€HT)])+SUMIF(Invest[Affectation matrice],$AB$3,Invest[Amortissement HT + intérêts]))*BQ11</f>
        <v>0</v>
      </c>
      <c r="Q11" s="276">
        <f>(SUMIF(Fonctionnement[Affectation matrice],$AB$3,Fonctionnement[Montant (€HT)])+SUMIF(Invest[Affectation matrice],$AB$3,Invest[Amortissement HT + intérêts]))*BR11</f>
        <v>0</v>
      </c>
      <c r="R11" s="276">
        <f>(SUMIF(Fonctionnement[Affectation matrice],$AB$3,Fonctionnement[Montant (€HT)])+SUMIF(Invest[Affectation matrice],$AB$3,Invest[Amortissement HT + intérêts]))*BS11</f>
        <v>0</v>
      </c>
      <c r="S11" s="276">
        <f>(SUMIF(Fonctionnement[Affectation matrice],$AB$3,Fonctionnement[Montant (€HT)])+SUMIF(Invest[Affectation matrice],$AB$3,Invest[Amortissement HT + intérêts]))*BT11</f>
        <v>0</v>
      </c>
      <c r="T11" s="276">
        <f>(SUMIF(Fonctionnement[Affectation matrice],$AB$3,Fonctionnement[Montant (€HT)])+SUMIF(Invest[Affectation matrice],$AB$3,Invest[Amortissement HT + intérêts]))*BU11</f>
        <v>0</v>
      </c>
      <c r="U11" s="276">
        <f>(SUMIF(Fonctionnement[Affectation matrice],$AB$3,Fonctionnement[Montant (€HT)])+SUMIF(Invest[Affectation matrice],$AB$3,Invest[Amortissement HT + intérêts]))*BV11</f>
        <v>0</v>
      </c>
      <c r="V11" s="276">
        <f>(SUMIF(Fonctionnement[Affectation matrice],$AB$3,Fonctionnement[Montant (€HT)])+SUMIF(Invest[Affectation matrice],$AB$3,Invest[Amortissement HT + intérêts]))*BW11</f>
        <v>0</v>
      </c>
      <c r="W11" s="276">
        <f>(SUMIF(Fonctionnement[Affectation matrice],$AB$3,Fonctionnement[Montant (€HT)])+SUMIF(Invest[Affectation matrice],$AB$3,Invest[Amortissement HT + intérêts]))*BX11</f>
        <v>0</v>
      </c>
      <c r="X11" s="276">
        <f>(SUMIF(Fonctionnement[Affectation matrice],$AB$3,Fonctionnement[Montant (€HT)])+SUMIF(Invest[Affectation matrice],$AB$3,Invest[Amortissement HT + intérêts]))*BY11</f>
        <v>0</v>
      </c>
      <c r="Y11" s="276">
        <f>(SUMIF(Fonctionnement[Affectation matrice],$AB$3,Fonctionnement[Montant (€HT)])+SUMIF(Invest[Affectation matrice],$AB$3,Invest[Amortissement HT + intérêts]))*BZ11</f>
        <v>0</v>
      </c>
      <c r="Z11" s="276">
        <f>(SUMIF(Fonctionnement[Affectation matrice],$AB$3,Fonctionnement[Montant (€HT)])+SUMIF(Invest[Affectation matrice],$AB$3,Invest[Amortissement HT + intérêts]))*CA11</f>
        <v>0</v>
      </c>
      <c r="AA11" s="199"/>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283">
        <f t="shared" si="4"/>
        <v>0</v>
      </c>
      <c r="BB11" s="7"/>
      <c r="BC11" s="61">
        <f t="shared" si="2"/>
        <v>0</v>
      </c>
      <c r="BD11" s="61">
        <f t="shared" si="2"/>
        <v>0</v>
      </c>
      <c r="BE11" s="61">
        <f t="shared" si="2"/>
        <v>0</v>
      </c>
      <c r="BF11" s="61">
        <f t="shared" si="2"/>
        <v>0</v>
      </c>
      <c r="BG11" s="61">
        <f t="shared" si="2"/>
        <v>0</v>
      </c>
      <c r="BH11" s="61">
        <f t="shared" si="2"/>
        <v>0</v>
      </c>
      <c r="BI11" s="61">
        <f t="shared" si="2"/>
        <v>0</v>
      </c>
      <c r="BJ11" s="61">
        <f t="shared" si="2"/>
        <v>0</v>
      </c>
      <c r="BK11" s="61">
        <f t="shared" si="2"/>
        <v>0</v>
      </c>
      <c r="BL11" s="61">
        <f t="shared" si="2"/>
        <v>0</v>
      </c>
      <c r="BM11" s="61">
        <f t="shared" si="2"/>
        <v>0</v>
      </c>
      <c r="BN11" s="61">
        <f t="shared" si="2"/>
        <v>0</v>
      </c>
      <c r="BO11" s="61">
        <f t="shared" si="2"/>
        <v>0</v>
      </c>
      <c r="BP11" s="61">
        <f t="shared" si="2"/>
        <v>0</v>
      </c>
      <c r="BQ11" s="61">
        <f t="shared" si="2"/>
        <v>0</v>
      </c>
      <c r="BR11" s="61">
        <f t="shared" si="2"/>
        <v>0</v>
      </c>
      <c r="BS11" s="61">
        <f t="shared" si="3"/>
        <v>0</v>
      </c>
      <c r="BT11" s="61">
        <f t="shared" si="3"/>
        <v>0</v>
      </c>
      <c r="BU11" s="61">
        <f t="shared" si="3"/>
        <v>0</v>
      </c>
      <c r="BV11" s="61">
        <f t="shared" si="3"/>
        <v>0</v>
      </c>
      <c r="BW11" s="61">
        <f t="shared" si="3"/>
        <v>0</v>
      </c>
      <c r="BX11" s="61">
        <f t="shared" si="3"/>
        <v>0</v>
      </c>
      <c r="BY11" s="61">
        <f t="shared" si="3"/>
        <v>0</v>
      </c>
      <c r="BZ11" s="61">
        <f t="shared" si="3"/>
        <v>0</v>
      </c>
      <c r="CA11" s="61">
        <f t="shared" si="3"/>
        <v>0</v>
      </c>
      <c r="CB11" s="61">
        <f t="shared" si="5"/>
        <v>0</v>
      </c>
      <c r="CD11" s="200">
        <f>(SUMIF(Fonctionnement[Affectation matrice],$AB$3,Fonctionnement[TVA acquittée])+SUMIF(Invest[Affectation matrice],$AB$3,Invest[TVA acquittée]))*BC11</f>
        <v>0</v>
      </c>
      <c r="CE11" s="200">
        <f>(SUMIF(Fonctionnement[Affectation matrice],$AB$3,Fonctionnement[TVA acquittée])+SUMIF(Invest[Affectation matrice],$AB$3,Invest[TVA acquittée]))*BD11</f>
        <v>0</v>
      </c>
      <c r="CF11" s="200">
        <f>(SUMIF(Fonctionnement[Affectation matrice],$AB$3,Fonctionnement[TVA acquittée])+SUMIF(Invest[Affectation matrice],$AB$3,Invest[TVA acquittée]))*BE11</f>
        <v>0</v>
      </c>
      <c r="CG11" s="200">
        <f>(SUMIF(Fonctionnement[Affectation matrice],$AB$3,Fonctionnement[TVA acquittée])+SUMIF(Invest[Affectation matrice],$AB$3,Invest[TVA acquittée]))*BF11</f>
        <v>0</v>
      </c>
      <c r="CH11" s="200">
        <f>(SUMIF(Fonctionnement[Affectation matrice],$AB$3,Fonctionnement[TVA acquittée])+SUMIF(Invest[Affectation matrice],$AB$3,Invest[TVA acquittée]))*BG11</f>
        <v>0</v>
      </c>
      <c r="CI11" s="200">
        <f>(SUMIF(Fonctionnement[Affectation matrice],$AB$3,Fonctionnement[TVA acquittée])+SUMIF(Invest[Affectation matrice],$AB$3,Invest[TVA acquittée]))*BH11</f>
        <v>0</v>
      </c>
      <c r="CJ11" s="200">
        <f>(SUMIF(Fonctionnement[Affectation matrice],$AB$3,Fonctionnement[TVA acquittée])+SUMIF(Invest[Affectation matrice],$AB$3,Invest[TVA acquittée]))*BI11</f>
        <v>0</v>
      </c>
      <c r="CK11" s="200">
        <f>(SUMIF(Fonctionnement[Affectation matrice],$AB$3,Fonctionnement[TVA acquittée])+SUMIF(Invest[Affectation matrice],$AB$3,Invest[TVA acquittée]))*BJ11</f>
        <v>0</v>
      </c>
      <c r="CL11" s="200">
        <f>(SUMIF(Fonctionnement[Affectation matrice],$AB$3,Fonctionnement[TVA acquittée])+SUMIF(Invest[Affectation matrice],$AB$3,Invest[TVA acquittée]))*BK11</f>
        <v>0</v>
      </c>
      <c r="CM11" s="200">
        <f>(SUMIF(Fonctionnement[Affectation matrice],$AB$3,Fonctionnement[TVA acquittée])+SUMIF(Invest[Affectation matrice],$AB$3,Invest[TVA acquittée]))*BL11</f>
        <v>0</v>
      </c>
      <c r="CN11" s="200">
        <f>(SUMIF(Fonctionnement[Affectation matrice],$AB$3,Fonctionnement[TVA acquittée])+SUMIF(Invest[Affectation matrice],$AB$3,Invest[TVA acquittée]))*BM11</f>
        <v>0</v>
      </c>
      <c r="CO11" s="200">
        <f>(SUMIF(Fonctionnement[Affectation matrice],$AB$3,Fonctionnement[TVA acquittée])+SUMIF(Invest[Affectation matrice],$AB$3,Invest[TVA acquittée]))*BN11</f>
        <v>0</v>
      </c>
      <c r="CP11" s="200">
        <f>(SUMIF(Fonctionnement[Affectation matrice],$AB$3,Fonctionnement[TVA acquittée])+SUMIF(Invest[Affectation matrice],$AB$3,Invest[TVA acquittée]))*BO11</f>
        <v>0</v>
      </c>
      <c r="CQ11" s="200">
        <f>(SUMIF(Fonctionnement[Affectation matrice],$AB$3,Fonctionnement[TVA acquittée])+SUMIF(Invest[Affectation matrice],$AB$3,Invest[TVA acquittée]))*BP11</f>
        <v>0</v>
      </c>
      <c r="CR11" s="200">
        <f>(SUMIF(Fonctionnement[Affectation matrice],$AB$3,Fonctionnement[TVA acquittée])+SUMIF(Invest[Affectation matrice],$AB$3,Invest[TVA acquittée]))*BQ11</f>
        <v>0</v>
      </c>
      <c r="CS11" s="200">
        <f>(SUMIF(Fonctionnement[Affectation matrice],$AB$3,Fonctionnement[TVA acquittée])+SUMIF(Invest[Affectation matrice],$AB$3,Invest[TVA acquittée]))*BR11</f>
        <v>0</v>
      </c>
      <c r="CT11" s="200">
        <f>(SUMIF(Fonctionnement[Affectation matrice],$AB$3,Fonctionnement[TVA acquittée])+SUMIF(Invest[Affectation matrice],$AB$3,Invest[TVA acquittée]))*BS11</f>
        <v>0</v>
      </c>
      <c r="CU11" s="200">
        <f>(SUMIF(Fonctionnement[Affectation matrice],$AB$3,Fonctionnement[TVA acquittée])+SUMIF(Invest[Affectation matrice],$AB$3,Invest[TVA acquittée]))*BT11</f>
        <v>0</v>
      </c>
      <c r="CV11" s="200">
        <f>(SUMIF(Fonctionnement[Affectation matrice],$AB$3,Fonctionnement[TVA acquittée])+SUMIF(Invest[Affectation matrice],$AB$3,Invest[TVA acquittée]))*BU11</f>
        <v>0</v>
      </c>
      <c r="CW11" s="200">
        <f>(SUMIF(Fonctionnement[Affectation matrice],$AB$3,Fonctionnement[TVA acquittée])+SUMIF(Invest[Affectation matrice],$AB$3,Invest[TVA acquittée]))*BV11</f>
        <v>0</v>
      </c>
      <c r="CX11" s="200">
        <f>(SUMIF(Fonctionnement[Affectation matrice],$AB$3,Fonctionnement[TVA acquittée])+SUMIF(Invest[Affectation matrice],$AB$3,Invest[TVA acquittée]))*BW11</f>
        <v>0</v>
      </c>
      <c r="CY11" s="200">
        <f>(SUMIF(Fonctionnement[Affectation matrice],$AB$3,Fonctionnement[TVA acquittée])+SUMIF(Invest[Affectation matrice],$AB$3,Invest[TVA acquittée]))*BX11</f>
        <v>0</v>
      </c>
      <c r="CZ11" s="200">
        <f>(SUMIF(Fonctionnement[Affectation matrice],$AB$3,Fonctionnement[TVA acquittée])+SUMIF(Invest[Affectation matrice],$AB$3,Invest[TVA acquittée]))*BY11</f>
        <v>0</v>
      </c>
      <c r="DA11" s="200">
        <f>(SUMIF(Fonctionnement[Affectation matrice],$AB$3,Fonctionnement[TVA acquittée])+SUMIF(Invest[Affectation matrice],$AB$3,Invest[TVA acquittée]))*BZ11</f>
        <v>0</v>
      </c>
      <c r="DB11" s="200">
        <f>(SUMIF(Fonctionnement[Affectation matrice],$AB$3,Fonctionnement[TVA acquittée])+SUMIF(Invest[Affectation matrice],$AB$3,Invest[TVA acquittée]))*CA11</f>
        <v>0</v>
      </c>
    </row>
    <row r="12" spans="1:106" s="22" customFormat="1" ht="12.75" customHeight="1" x14ac:dyDescent="0.25">
      <c r="A12" s="42" t="str">
        <f>Matrice[[#This Row],[Ligne de la matrice]]</f>
        <v>Enlèvement et traitement des déchets dangereux</v>
      </c>
      <c r="B12" s="276">
        <f>(SUMIF(Fonctionnement[Affectation matrice],$AB$3,Fonctionnement[Montant (€HT)])+SUMIF(Invest[Affectation matrice],$AB$3,Invest[Amortissement HT + intérêts]))*BC12</f>
        <v>0</v>
      </c>
      <c r="C12" s="276">
        <f>(SUMIF(Fonctionnement[Affectation matrice],$AB$3,Fonctionnement[Montant (€HT)])+SUMIF(Invest[Affectation matrice],$AB$3,Invest[Amortissement HT + intérêts]))*BD12</f>
        <v>0</v>
      </c>
      <c r="D12" s="276">
        <f>(SUMIF(Fonctionnement[Affectation matrice],$AB$3,Fonctionnement[Montant (€HT)])+SUMIF(Invest[Affectation matrice],$AB$3,Invest[Amortissement HT + intérêts]))*BE12</f>
        <v>0</v>
      </c>
      <c r="E12" s="276">
        <f>(SUMIF(Fonctionnement[Affectation matrice],$AB$3,Fonctionnement[Montant (€HT)])+SUMIF(Invest[Affectation matrice],$AB$3,Invest[Amortissement HT + intérêts]))*BF12</f>
        <v>0</v>
      </c>
      <c r="F12" s="276">
        <f>(SUMIF(Fonctionnement[Affectation matrice],$AB$3,Fonctionnement[Montant (€HT)])+SUMIF(Invest[Affectation matrice],$AB$3,Invest[Amortissement HT + intérêts]))*BG12</f>
        <v>0</v>
      </c>
      <c r="G12" s="276">
        <f>(SUMIF(Fonctionnement[Affectation matrice],$AB$3,Fonctionnement[Montant (€HT)])+SUMIF(Invest[Affectation matrice],$AB$3,Invest[Amortissement HT + intérêts]))*BH12</f>
        <v>0</v>
      </c>
      <c r="H12" s="276">
        <f>(SUMIF(Fonctionnement[Affectation matrice],$AB$3,Fonctionnement[Montant (€HT)])+SUMIF(Invest[Affectation matrice],$AB$3,Invest[Amortissement HT + intérêts]))*BI12</f>
        <v>0</v>
      </c>
      <c r="I12" s="276">
        <f>(SUMIF(Fonctionnement[Affectation matrice],$AB$3,Fonctionnement[Montant (€HT)])+SUMIF(Invest[Affectation matrice],$AB$3,Invest[Amortissement HT + intérêts]))*BJ12</f>
        <v>0</v>
      </c>
      <c r="J12" s="276">
        <f>(SUMIF(Fonctionnement[Affectation matrice],$AB$3,Fonctionnement[Montant (€HT)])+SUMIF(Invest[Affectation matrice],$AB$3,Invest[Amortissement HT + intérêts]))*BK12</f>
        <v>0</v>
      </c>
      <c r="K12" s="276">
        <f>(SUMIF(Fonctionnement[Affectation matrice],$AB$3,Fonctionnement[Montant (€HT)])+SUMIF(Invest[Affectation matrice],$AB$3,Invest[Amortissement HT + intérêts]))*BL12</f>
        <v>0</v>
      </c>
      <c r="L12" s="276">
        <f>(SUMIF(Fonctionnement[Affectation matrice],$AB$3,Fonctionnement[Montant (€HT)])+SUMIF(Invest[Affectation matrice],$AB$3,Invest[Amortissement HT + intérêts]))*BM12</f>
        <v>0</v>
      </c>
      <c r="M12" s="276">
        <f>(SUMIF(Fonctionnement[Affectation matrice],$AB$3,Fonctionnement[Montant (€HT)])+SUMIF(Invest[Affectation matrice],$AB$3,Invest[Amortissement HT + intérêts]))*BN12</f>
        <v>0</v>
      </c>
      <c r="N12" s="276">
        <f>(SUMIF(Fonctionnement[Affectation matrice],$AB$3,Fonctionnement[Montant (€HT)])+SUMIF(Invest[Affectation matrice],$AB$3,Invest[Amortissement HT + intérêts]))*BO12</f>
        <v>0</v>
      </c>
      <c r="O12" s="276">
        <f>(SUMIF(Fonctionnement[Affectation matrice],$AB$3,Fonctionnement[Montant (€HT)])+SUMIF(Invest[Affectation matrice],$AB$3,Invest[Amortissement HT + intérêts]))*BP12</f>
        <v>0</v>
      </c>
      <c r="P12" s="276">
        <f>(SUMIF(Fonctionnement[Affectation matrice],$AB$3,Fonctionnement[Montant (€HT)])+SUMIF(Invest[Affectation matrice],$AB$3,Invest[Amortissement HT + intérêts]))*BQ12</f>
        <v>0</v>
      </c>
      <c r="Q12" s="276">
        <f>(SUMIF(Fonctionnement[Affectation matrice],$AB$3,Fonctionnement[Montant (€HT)])+SUMIF(Invest[Affectation matrice],$AB$3,Invest[Amortissement HT + intérêts]))*BR12</f>
        <v>0</v>
      </c>
      <c r="R12" s="276">
        <f>(SUMIF(Fonctionnement[Affectation matrice],$AB$3,Fonctionnement[Montant (€HT)])+SUMIF(Invest[Affectation matrice],$AB$3,Invest[Amortissement HT + intérêts]))*BS12</f>
        <v>0</v>
      </c>
      <c r="S12" s="276">
        <f>(SUMIF(Fonctionnement[Affectation matrice],$AB$3,Fonctionnement[Montant (€HT)])+SUMIF(Invest[Affectation matrice],$AB$3,Invest[Amortissement HT + intérêts]))*BT12</f>
        <v>0</v>
      </c>
      <c r="T12" s="276">
        <f>(SUMIF(Fonctionnement[Affectation matrice],$AB$3,Fonctionnement[Montant (€HT)])+SUMIF(Invest[Affectation matrice],$AB$3,Invest[Amortissement HT + intérêts]))*BU12</f>
        <v>0</v>
      </c>
      <c r="U12" s="276">
        <f>(SUMIF(Fonctionnement[Affectation matrice],$AB$3,Fonctionnement[Montant (€HT)])+SUMIF(Invest[Affectation matrice],$AB$3,Invest[Amortissement HT + intérêts]))*BV12</f>
        <v>0</v>
      </c>
      <c r="V12" s="276">
        <f>(SUMIF(Fonctionnement[Affectation matrice],$AB$3,Fonctionnement[Montant (€HT)])+SUMIF(Invest[Affectation matrice],$AB$3,Invest[Amortissement HT + intérêts]))*BW12</f>
        <v>0</v>
      </c>
      <c r="W12" s="276">
        <f>(SUMIF(Fonctionnement[Affectation matrice],$AB$3,Fonctionnement[Montant (€HT)])+SUMIF(Invest[Affectation matrice],$AB$3,Invest[Amortissement HT + intérêts]))*BX12</f>
        <v>0</v>
      </c>
      <c r="X12" s="276">
        <f>(SUMIF(Fonctionnement[Affectation matrice],$AB$3,Fonctionnement[Montant (€HT)])+SUMIF(Invest[Affectation matrice],$AB$3,Invest[Amortissement HT + intérêts]))*BY12</f>
        <v>0</v>
      </c>
      <c r="Y12" s="276">
        <f>(SUMIF(Fonctionnement[Affectation matrice],$AB$3,Fonctionnement[Montant (€HT)])+SUMIF(Invest[Affectation matrice],$AB$3,Invest[Amortissement HT + intérêts]))*BZ12</f>
        <v>0</v>
      </c>
      <c r="Z12" s="276">
        <f>(SUMIF(Fonctionnement[Affectation matrice],$AB$3,Fonctionnement[Montant (€HT)])+SUMIF(Invest[Affectation matrice],$AB$3,Invest[Amortissement HT + intérêts]))*CA12</f>
        <v>0</v>
      </c>
      <c r="AA12" s="199"/>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283">
        <f t="shared" si="4"/>
        <v>0</v>
      </c>
      <c r="BB12" s="7"/>
      <c r="BC12" s="61">
        <f t="shared" si="2"/>
        <v>0</v>
      </c>
      <c r="BD12" s="61">
        <f t="shared" si="2"/>
        <v>0</v>
      </c>
      <c r="BE12" s="61">
        <f t="shared" si="2"/>
        <v>0</v>
      </c>
      <c r="BF12" s="61">
        <f t="shared" si="2"/>
        <v>0</v>
      </c>
      <c r="BG12" s="61">
        <f t="shared" si="2"/>
        <v>0</v>
      </c>
      <c r="BH12" s="61">
        <f t="shared" si="2"/>
        <v>0</v>
      </c>
      <c r="BI12" s="61">
        <f t="shared" si="2"/>
        <v>0</v>
      </c>
      <c r="BJ12" s="61">
        <f t="shared" si="2"/>
        <v>0</v>
      </c>
      <c r="BK12" s="61">
        <f t="shared" si="2"/>
        <v>0</v>
      </c>
      <c r="BL12" s="61">
        <f t="shared" si="2"/>
        <v>0</v>
      </c>
      <c r="BM12" s="61">
        <f t="shared" si="2"/>
        <v>0</v>
      </c>
      <c r="BN12" s="61">
        <f t="shared" si="2"/>
        <v>0</v>
      </c>
      <c r="BO12" s="61">
        <f t="shared" si="2"/>
        <v>0</v>
      </c>
      <c r="BP12" s="61">
        <f t="shared" si="2"/>
        <v>0</v>
      </c>
      <c r="BQ12" s="61">
        <f t="shared" si="2"/>
        <v>0</v>
      </c>
      <c r="BR12" s="61">
        <f t="shared" si="2"/>
        <v>0</v>
      </c>
      <c r="BS12" s="61">
        <f t="shared" si="3"/>
        <v>0</v>
      </c>
      <c r="BT12" s="61">
        <f t="shared" si="3"/>
        <v>0</v>
      </c>
      <c r="BU12" s="61">
        <f t="shared" si="3"/>
        <v>0</v>
      </c>
      <c r="BV12" s="61">
        <f t="shared" si="3"/>
        <v>0</v>
      </c>
      <c r="BW12" s="61">
        <f t="shared" si="3"/>
        <v>0</v>
      </c>
      <c r="BX12" s="61">
        <f t="shared" si="3"/>
        <v>0</v>
      </c>
      <c r="BY12" s="61">
        <f t="shared" si="3"/>
        <v>0</v>
      </c>
      <c r="BZ12" s="61">
        <f t="shared" si="3"/>
        <v>0</v>
      </c>
      <c r="CA12" s="61">
        <f t="shared" si="3"/>
        <v>0</v>
      </c>
      <c r="CB12" s="61">
        <f t="shared" si="5"/>
        <v>0</v>
      </c>
      <c r="CD12" s="200">
        <f>(SUMIF(Fonctionnement[Affectation matrice],$AB$3,Fonctionnement[TVA acquittée])+SUMIF(Invest[Affectation matrice],$AB$3,Invest[TVA acquittée]))*BC12</f>
        <v>0</v>
      </c>
      <c r="CE12" s="200">
        <f>(SUMIF(Fonctionnement[Affectation matrice],$AB$3,Fonctionnement[TVA acquittée])+SUMIF(Invest[Affectation matrice],$AB$3,Invest[TVA acquittée]))*BD12</f>
        <v>0</v>
      </c>
      <c r="CF12" s="200">
        <f>(SUMIF(Fonctionnement[Affectation matrice],$AB$3,Fonctionnement[TVA acquittée])+SUMIF(Invest[Affectation matrice],$AB$3,Invest[TVA acquittée]))*BE12</f>
        <v>0</v>
      </c>
      <c r="CG12" s="200">
        <f>(SUMIF(Fonctionnement[Affectation matrice],$AB$3,Fonctionnement[TVA acquittée])+SUMIF(Invest[Affectation matrice],$AB$3,Invest[TVA acquittée]))*BF12</f>
        <v>0</v>
      </c>
      <c r="CH12" s="200">
        <f>(SUMIF(Fonctionnement[Affectation matrice],$AB$3,Fonctionnement[TVA acquittée])+SUMIF(Invest[Affectation matrice],$AB$3,Invest[TVA acquittée]))*BG12</f>
        <v>0</v>
      </c>
      <c r="CI12" s="200">
        <f>(SUMIF(Fonctionnement[Affectation matrice],$AB$3,Fonctionnement[TVA acquittée])+SUMIF(Invest[Affectation matrice],$AB$3,Invest[TVA acquittée]))*BH12</f>
        <v>0</v>
      </c>
      <c r="CJ12" s="200">
        <f>(SUMIF(Fonctionnement[Affectation matrice],$AB$3,Fonctionnement[TVA acquittée])+SUMIF(Invest[Affectation matrice],$AB$3,Invest[TVA acquittée]))*BI12</f>
        <v>0</v>
      </c>
      <c r="CK12" s="200">
        <f>(SUMIF(Fonctionnement[Affectation matrice],$AB$3,Fonctionnement[TVA acquittée])+SUMIF(Invest[Affectation matrice],$AB$3,Invest[TVA acquittée]))*BJ12</f>
        <v>0</v>
      </c>
      <c r="CL12" s="200">
        <f>(SUMIF(Fonctionnement[Affectation matrice],$AB$3,Fonctionnement[TVA acquittée])+SUMIF(Invest[Affectation matrice],$AB$3,Invest[TVA acquittée]))*BK12</f>
        <v>0</v>
      </c>
      <c r="CM12" s="200">
        <f>(SUMIF(Fonctionnement[Affectation matrice],$AB$3,Fonctionnement[TVA acquittée])+SUMIF(Invest[Affectation matrice],$AB$3,Invest[TVA acquittée]))*BL12</f>
        <v>0</v>
      </c>
      <c r="CN12" s="200">
        <f>(SUMIF(Fonctionnement[Affectation matrice],$AB$3,Fonctionnement[TVA acquittée])+SUMIF(Invest[Affectation matrice],$AB$3,Invest[TVA acquittée]))*BM12</f>
        <v>0</v>
      </c>
      <c r="CO12" s="200">
        <f>(SUMIF(Fonctionnement[Affectation matrice],$AB$3,Fonctionnement[TVA acquittée])+SUMIF(Invest[Affectation matrice],$AB$3,Invest[TVA acquittée]))*BN12</f>
        <v>0</v>
      </c>
      <c r="CP12" s="200">
        <f>(SUMIF(Fonctionnement[Affectation matrice],$AB$3,Fonctionnement[TVA acquittée])+SUMIF(Invest[Affectation matrice],$AB$3,Invest[TVA acquittée]))*BO12</f>
        <v>0</v>
      </c>
      <c r="CQ12" s="200">
        <f>(SUMIF(Fonctionnement[Affectation matrice],$AB$3,Fonctionnement[TVA acquittée])+SUMIF(Invest[Affectation matrice],$AB$3,Invest[TVA acquittée]))*BP12</f>
        <v>0</v>
      </c>
      <c r="CR12" s="200">
        <f>(SUMIF(Fonctionnement[Affectation matrice],$AB$3,Fonctionnement[TVA acquittée])+SUMIF(Invest[Affectation matrice],$AB$3,Invest[TVA acquittée]))*BQ12</f>
        <v>0</v>
      </c>
      <c r="CS12" s="200">
        <f>(SUMIF(Fonctionnement[Affectation matrice],$AB$3,Fonctionnement[TVA acquittée])+SUMIF(Invest[Affectation matrice],$AB$3,Invest[TVA acquittée]))*BR12</f>
        <v>0</v>
      </c>
      <c r="CT12" s="200">
        <f>(SUMIF(Fonctionnement[Affectation matrice],$AB$3,Fonctionnement[TVA acquittée])+SUMIF(Invest[Affectation matrice],$AB$3,Invest[TVA acquittée]))*BS12</f>
        <v>0</v>
      </c>
      <c r="CU12" s="200">
        <f>(SUMIF(Fonctionnement[Affectation matrice],$AB$3,Fonctionnement[TVA acquittée])+SUMIF(Invest[Affectation matrice],$AB$3,Invest[TVA acquittée]))*BT12</f>
        <v>0</v>
      </c>
      <c r="CV12" s="200">
        <f>(SUMIF(Fonctionnement[Affectation matrice],$AB$3,Fonctionnement[TVA acquittée])+SUMIF(Invest[Affectation matrice],$AB$3,Invest[TVA acquittée]))*BU12</f>
        <v>0</v>
      </c>
      <c r="CW12" s="200">
        <f>(SUMIF(Fonctionnement[Affectation matrice],$AB$3,Fonctionnement[TVA acquittée])+SUMIF(Invest[Affectation matrice],$AB$3,Invest[TVA acquittée]))*BV12</f>
        <v>0</v>
      </c>
      <c r="CX12" s="200">
        <f>(SUMIF(Fonctionnement[Affectation matrice],$AB$3,Fonctionnement[TVA acquittée])+SUMIF(Invest[Affectation matrice],$AB$3,Invest[TVA acquittée]))*BW12</f>
        <v>0</v>
      </c>
      <c r="CY12" s="200">
        <f>(SUMIF(Fonctionnement[Affectation matrice],$AB$3,Fonctionnement[TVA acquittée])+SUMIF(Invest[Affectation matrice],$AB$3,Invest[TVA acquittée]))*BX12</f>
        <v>0</v>
      </c>
      <c r="CZ12" s="200">
        <f>(SUMIF(Fonctionnement[Affectation matrice],$AB$3,Fonctionnement[TVA acquittée])+SUMIF(Invest[Affectation matrice],$AB$3,Invest[TVA acquittée]))*BY12</f>
        <v>0</v>
      </c>
      <c r="DA12" s="200">
        <f>(SUMIF(Fonctionnement[Affectation matrice],$AB$3,Fonctionnement[TVA acquittée])+SUMIF(Invest[Affectation matrice],$AB$3,Invest[TVA acquittée]))*BZ12</f>
        <v>0</v>
      </c>
      <c r="DB12" s="200">
        <f>(SUMIF(Fonctionnement[Affectation matrice],$AB$3,Fonctionnement[TVA acquittée])+SUMIF(Invest[Affectation matrice],$AB$3,Invest[TVA acquittée]))*CA12</f>
        <v>0</v>
      </c>
    </row>
    <row r="13" spans="1:106" s="22" customFormat="1" ht="12.75" hidden="1" customHeight="1" x14ac:dyDescent="0.25">
      <c r="A13" s="42">
        <f>Matrice[[#This Row],[Ligne de la matrice]]</f>
        <v>0</v>
      </c>
      <c r="B13" s="276">
        <f>(SUMIF(Fonctionnement[Affectation matrice],$AB$3,Fonctionnement[Montant (€HT)])+SUMIF(Invest[Affectation matrice],$AB$3,Invest[Amortissement HT + intérêts]))*BC13</f>
        <v>0</v>
      </c>
      <c r="C13" s="276">
        <f>(SUMIF(Fonctionnement[Affectation matrice],$AB$3,Fonctionnement[Montant (€HT)])+SUMIF(Invest[Affectation matrice],$AB$3,Invest[Amortissement HT + intérêts]))*BD13</f>
        <v>0</v>
      </c>
      <c r="D13" s="276">
        <f>(SUMIF(Fonctionnement[Affectation matrice],$AB$3,Fonctionnement[Montant (€HT)])+SUMIF(Invest[Affectation matrice],$AB$3,Invest[Amortissement HT + intérêts]))*BE13</f>
        <v>0</v>
      </c>
      <c r="E13" s="276">
        <f>(SUMIF(Fonctionnement[Affectation matrice],$AB$3,Fonctionnement[Montant (€HT)])+SUMIF(Invest[Affectation matrice],$AB$3,Invest[Amortissement HT + intérêts]))*BF13</f>
        <v>0</v>
      </c>
      <c r="F13" s="276">
        <f>(SUMIF(Fonctionnement[Affectation matrice],$AB$3,Fonctionnement[Montant (€HT)])+SUMIF(Invest[Affectation matrice],$AB$3,Invest[Amortissement HT + intérêts]))*BG13</f>
        <v>0</v>
      </c>
      <c r="G13" s="276">
        <f>(SUMIF(Fonctionnement[Affectation matrice],$AB$3,Fonctionnement[Montant (€HT)])+SUMIF(Invest[Affectation matrice],$AB$3,Invest[Amortissement HT + intérêts]))*BH13</f>
        <v>0</v>
      </c>
      <c r="H13" s="276">
        <f>(SUMIF(Fonctionnement[Affectation matrice],$AB$3,Fonctionnement[Montant (€HT)])+SUMIF(Invest[Affectation matrice],$AB$3,Invest[Amortissement HT + intérêts]))*BI13</f>
        <v>0</v>
      </c>
      <c r="I13" s="276">
        <f>(SUMIF(Fonctionnement[Affectation matrice],$AB$3,Fonctionnement[Montant (€HT)])+SUMIF(Invest[Affectation matrice],$AB$3,Invest[Amortissement HT + intérêts]))*BJ13</f>
        <v>0</v>
      </c>
      <c r="J13" s="276">
        <f>(SUMIF(Fonctionnement[Affectation matrice],$AB$3,Fonctionnement[Montant (€HT)])+SUMIF(Invest[Affectation matrice],$AB$3,Invest[Amortissement HT + intérêts]))*BK13</f>
        <v>0</v>
      </c>
      <c r="K13" s="276">
        <f>(SUMIF(Fonctionnement[Affectation matrice],$AB$3,Fonctionnement[Montant (€HT)])+SUMIF(Invest[Affectation matrice],$AB$3,Invest[Amortissement HT + intérêts]))*BL13</f>
        <v>0</v>
      </c>
      <c r="L13" s="276">
        <f>(SUMIF(Fonctionnement[Affectation matrice],$AB$3,Fonctionnement[Montant (€HT)])+SUMIF(Invest[Affectation matrice],$AB$3,Invest[Amortissement HT + intérêts]))*BM13</f>
        <v>0</v>
      </c>
      <c r="M13" s="276">
        <f>(SUMIF(Fonctionnement[Affectation matrice],$AB$3,Fonctionnement[Montant (€HT)])+SUMIF(Invest[Affectation matrice],$AB$3,Invest[Amortissement HT + intérêts]))*BN13</f>
        <v>0</v>
      </c>
      <c r="N13" s="276">
        <f>(SUMIF(Fonctionnement[Affectation matrice],$AB$3,Fonctionnement[Montant (€HT)])+SUMIF(Invest[Affectation matrice],$AB$3,Invest[Amortissement HT + intérêts]))*BO13</f>
        <v>0</v>
      </c>
      <c r="O13" s="276">
        <f>(SUMIF(Fonctionnement[Affectation matrice],$AB$3,Fonctionnement[Montant (€HT)])+SUMIF(Invest[Affectation matrice],$AB$3,Invest[Amortissement HT + intérêts]))*BP13</f>
        <v>0</v>
      </c>
      <c r="P13" s="276">
        <f>(SUMIF(Fonctionnement[Affectation matrice],$AB$3,Fonctionnement[Montant (€HT)])+SUMIF(Invest[Affectation matrice],$AB$3,Invest[Amortissement HT + intérêts]))*BQ13</f>
        <v>0</v>
      </c>
      <c r="Q13" s="276">
        <f>(SUMIF(Fonctionnement[Affectation matrice],$AB$3,Fonctionnement[Montant (€HT)])+SUMIF(Invest[Affectation matrice],$AB$3,Invest[Amortissement HT + intérêts]))*BR13</f>
        <v>0</v>
      </c>
      <c r="R13" s="276">
        <f>(SUMIF(Fonctionnement[Affectation matrice],$AB$3,Fonctionnement[Montant (€HT)])+SUMIF(Invest[Affectation matrice],$AB$3,Invest[Amortissement HT + intérêts]))*BS13</f>
        <v>0</v>
      </c>
      <c r="S13" s="276">
        <f>(SUMIF(Fonctionnement[Affectation matrice],$AB$3,Fonctionnement[Montant (€HT)])+SUMIF(Invest[Affectation matrice],$AB$3,Invest[Amortissement HT + intérêts]))*BT13</f>
        <v>0</v>
      </c>
      <c r="T13" s="276">
        <f>(SUMIF(Fonctionnement[Affectation matrice],$AB$3,Fonctionnement[Montant (€HT)])+SUMIF(Invest[Affectation matrice],$AB$3,Invest[Amortissement HT + intérêts]))*BU13</f>
        <v>0</v>
      </c>
      <c r="U13" s="276">
        <f>(SUMIF(Fonctionnement[Affectation matrice],$AB$3,Fonctionnement[Montant (€HT)])+SUMIF(Invest[Affectation matrice],$AB$3,Invest[Amortissement HT + intérêts]))*BV13</f>
        <v>0</v>
      </c>
      <c r="V13" s="276">
        <f>(SUMIF(Fonctionnement[Affectation matrice],$AB$3,Fonctionnement[Montant (€HT)])+SUMIF(Invest[Affectation matrice],$AB$3,Invest[Amortissement HT + intérêts]))*BW13</f>
        <v>0</v>
      </c>
      <c r="W13" s="276">
        <f>(SUMIF(Fonctionnement[Affectation matrice],$AB$3,Fonctionnement[Montant (€HT)])+SUMIF(Invest[Affectation matrice],$AB$3,Invest[Amortissement HT + intérêts]))*BX13</f>
        <v>0</v>
      </c>
      <c r="X13" s="276">
        <f>(SUMIF(Fonctionnement[Affectation matrice],$AB$3,Fonctionnement[Montant (€HT)])+SUMIF(Invest[Affectation matrice],$AB$3,Invest[Amortissement HT + intérêts]))*BY13</f>
        <v>0</v>
      </c>
      <c r="Y13" s="276">
        <f>(SUMIF(Fonctionnement[Affectation matrice],$AB$3,Fonctionnement[Montant (€HT)])+SUMIF(Invest[Affectation matrice],$AB$3,Invest[Amortissement HT + intérêts]))*BZ13</f>
        <v>0</v>
      </c>
      <c r="Z13" s="276">
        <f>(SUMIF(Fonctionnement[Affectation matrice],$AB$3,Fonctionnement[Montant (€HT)])+SUMIF(Invest[Affectation matrice],$AB$3,Invest[Amortissement HT + intérêts]))*CA13</f>
        <v>0</v>
      </c>
      <c r="AA13" s="199"/>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283">
        <f t="shared" si="4"/>
        <v>0</v>
      </c>
      <c r="BB13" s="7"/>
      <c r="BC13" s="61">
        <f t="shared" si="2"/>
        <v>0</v>
      </c>
      <c r="BD13" s="61">
        <f t="shared" si="2"/>
        <v>0</v>
      </c>
      <c r="BE13" s="61">
        <f t="shared" si="2"/>
        <v>0</v>
      </c>
      <c r="BF13" s="61">
        <f t="shared" si="2"/>
        <v>0</v>
      </c>
      <c r="BG13" s="61">
        <f t="shared" si="2"/>
        <v>0</v>
      </c>
      <c r="BH13" s="61">
        <f t="shared" si="2"/>
        <v>0</v>
      </c>
      <c r="BI13" s="61">
        <f t="shared" si="2"/>
        <v>0</v>
      </c>
      <c r="BJ13" s="61">
        <f t="shared" si="2"/>
        <v>0</v>
      </c>
      <c r="BK13" s="61">
        <f t="shared" si="2"/>
        <v>0</v>
      </c>
      <c r="BL13" s="61">
        <f t="shared" si="2"/>
        <v>0</v>
      </c>
      <c r="BM13" s="61">
        <f t="shared" si="2"/>
        <v>0</v>
      </c>
      <c r="BN13" s="61">
        <f t="shared" si="2"/>
        <v>0</v>
      </c>
      <c r="BO13" s="61">
        <f t="shared" si="2"/>
        <v>0</v>
      </c>
      <c r="BP13" s="61">
        <f t="shared" si="2"/>
        <v>0</v>
      </c>
      <c r="BQ13" s="61">
        <f t="shared" si="2"/>
        <v>0</v>
      </c>
      <c r="BR13" s="61">
        <f t="shared" si="2"/>
        <v>0</v>
      </c>
      <c r="BS13" s="61">
        <f t="shared" si="3"/>
        <v>0</v>
      </c>
      <c r="BT13" s="61">
        <f t="shared" si="3"/>
        <v>0</v>
      </c>
      <c r="BU13" s="61">
        <f t="shared" si="3"/>
        <v>0</v>
      </c>
      <c r="BV13" s="61">
        <f t="shared" si="3"/>
        <v>0</v>
      </c>
      <c r="BW13" s="61">
        <f t="shared" si="3"/>
        <v>0</v>
      </c>
      <c r="BX13" s="61">
        <f t="shared" si="3"/>
        <v>0</v>
      </c>
      <c r="BY13" s="61">
        <f t="shared" si="3"/>
        <v>0</v>
      </c>
      <c r="BZ13" s="61">
        <f t="shared" si="3"/>
        <v>0</v>
      </c>
      <c r="CA13" s="61">
        <f t="shared" si="3"/>
        <v>0</v>
      </c>
      <c r="CB13" s="61">
        <f t="shared" si="5"/>
        <v>0</v>
      </c>
      <c r="CD13" s="200">
        <f>(SUMIF(Fonctionnement[Affectation matrice],$AB$3,Fonctionnement[TVA acquittée])+SUMIF(Invest[Affectation matrice],$AB$3,Invest[TVA acquittée]))*BC13</f>
        <v>0</v>
      </c>
      <c r="CE13" s="200">
        <f>(SUMIF(Fonctionnement[Affectation matrice],$AB$3,Fonctionnement[TVA acquittée])+SUMIF(Invest[Affectation matrice],$AB$3,Invest[TVA acquittée]))*BD13</f>
        <v>0</v>
      </c>
      <c r="CF13" s="200">
        <f>(SUMIF(Fonctionnement[Affectation matrice],$AB$3,Fonctionnement[TVA acquittée])+SUMIF(Invest[Affectation matrice],$AB$3,Invest[TVA acquittée]))*BE13</f>
        <v>0</v>
      </c>
      <c r="CG13" s="200">
        <f>(SUMIF(Fonctionnement[Affectation matrice],$AB$3,Fonctionnement[TVA acquittée])+SUMIF(Invest[Affectation matrice],$AB$3,Invest[TVA acquittée]))*BF13</f>
        <v>0</v>
      </c>
      <c r="CH13" s="200">
        <f>(SUMIF(Fonctionnement[Affectation matrice],$AB$3,Fonctionnement[TVA acquittée])+SUMIF(Invest[Affectation matrice],$AB$3,Invest[TVA acquittée]))*BG13</f>
        <v>0</v>
      </c>
      <c r="CI13" s="200">
        <f>(SUMIF(Fonctionnement[Affectation matrice],$AB$3,Fonctionnement[TVA acquittée])+SUMIF(Invest[Affectation matrice],$AB$3,Invest[TVA acquittée]))*BH13</f>
        <v>0</v>
      </c>
      <c r="CJ13" s="200">
        <f>(SUMIF(Fonctionnement[Affectation matrice],$AB$3,Fonctionnement[TVA acquittée])+SUMIF(Invest[Affectation matrice],$AB$3,Invest[TVA acquittée]))*BI13</f>
        <v>0</v>
      </c>
      <c r="CK13" s="200">
        <f>(SUMIF(Fonctionnement[Affectation matrice],$AB$3,Fonctionnement[TVA acquittée])+SUMIF(Invest[Affectation matrice],$AB$3,Invest[TVA acquittée]))*BJ13</f>
        <v>0</v>
      </c>
      <c r="CL13" s="200">
        <f>(SUMIF(Fonctionnement[Affectation matrice],$AB$3,Fonctionnement[TVA acquittée])+SUMIF(Invest[Affectation matrice],$AB$3,Invest[TVA acquittée]))*BK13</f>
        <v>0</v>
      </c>
      <c r="CM13" s="200">
        <f>(SUMIF(Fonctionnement[Affectation matrice],$AB$3,Fonctionnement[TVA acquittée])+SUMIF(Invest[Affectation matrice],$AB$3,Invest[TVA acquittée]))*BL13</f>
        <v>0</v>
      </c>
      <c r="CN13" s="200">
        <f>(SUMIF(Fonctionnement[Affectation matrice],$AB$3,Fonctionnement[TVA acquittée])+SUMIF(Invest[Affectation matrice],$AB$3,Invest[TVA acquittée]))*BM13</f>
        <v>0</v>
      </c>
      <c r="CO13" s="200">
        <f>(SUMIF(Fonctionnement[Affectation matrice],$AB$3,Fonctionnement[TVA acquittée])+SUMIF(Invest[Affectation matrice],$AB$3,Invest[TVA acquittée]))*BN13</f>
        <v>0</v>
      </c>
      <c r="CP13" s="200">
        <f>(SUMIF(Fonctionnement[Affectation matrice],$AB$3,Fonctionnement[TVA acquittée])+SUMIF(Invest[Affectation matrice],$AB$3,Invest[TVA acquittée]))*BO13</f>
        <v>0</v>
      </c>
      <c r="CQ13" s="200">
        <f>(SUMIF(Fonctionnement[Affectation matrice],$AB$3,Fonctionnement[TVA acquittée])+SUMIF(Invest[Affectation matrice],$AB$3,Invest[TVA acquittée]))*BP13</f>
        <v>0</v>
      </c>
      <c r="CR13" s="200">
        <f>(SUMIF(Fonctionnement[Affectation matrice],$AB$3,Fonctionnement[TVA acquittée])+SUMIF(Invest[Affectation matrice],$AB$3,Invest[TVA acquittée]))*BQ13</f>
        <v>0</v>
      </c>
      <c r="CS13" s="200">
        <f>(SUMIF(Fonctionnement[Affectation matrice],$AB$3,Fonctionnement[TVA acquittée])+SUMIF(Invest[Affectation matrice],$AB$3,Invest[TVA acquittée]))*BR13</f>
        <v>0</v>
      </c>
      <c r="CT13" s="200">
        <f>(SUMIF(Fonctionnement[Affectation matrice],$AB$3,Fonctionnement[TVA acquittée])+SUMIF(Invest[Affectation matrice],$AB$3,Invest[TVA acquittée]))*BS13</f>
        <v>0</v>
      </c>
      <c r="CU13" s="200">
        <f>(SUMIF(Fonctionnement[Affectation matrice],$AB$3,Fonctionnement[TVA acquittée])+SUMIF(Invest[Affectation matrice],$AB$3,Invest[TVA acquittée]))*BT13</f>
        <v>0</v>
      </c>
      <c r="CV13" s="200">
        <f>(SUMIF(Fonctionnement[Affectation matrice],$AB$3,Fonctionnement[TVA acquittée])+SUMIF(Invest[Affectation matrice],$AB$3,Invest[TVA acquittée]))*BU13</f>
        <v>0</v>
      </c>
      <c r="CW13" s="200">
        <f>(SUMIF(Fonctionnement[Affectation matrice],$AB$3,Fonctionnement[TVA acquittée])+SUMIF(Invest[Affectation matrice],$AB$3,Invest[TVA acquittée]))*BV13</f>
        <v>0</v>
      </c>
      <c r="CX13" s="200">
        <f>(SUMIF(Fonctionnement[Affectation matrice],$AB$3,Fonctionnement[TVA acquittée])+SUMIF(Invest[Affectation matrice],$AB$3,Invest[TVA acquittée]))*BW13</f>
        <v>0</v>
      </c>
      <c r="CY13" s="200">
        <f>(SUMIF(Fonctionnement[Affectation matrice],$AB$3,Fonctionnement[TVA acquittée])+SUMIF(Invest[Affectation matrice],$AB$3,Invest[TVA acquittée]))*BX13</f>
        <v>0</v>
      </c>
      <c r="CZ13" s="200">
        <f>(SUMIF(Fonctionnement[Affectation matrice],$AB$3,Fonctionnement[TVA acquittée])+SUMIF(Invest[Affectation matrice],$AB$3,Invest[TVA acquittée]))*BY13</f>
        <v>0</v>
      </c>
      <c r="DA13" s="200">
        <f>(SUMIF(Fonctionnement[Affectation matrice],$AB$3,Fonctionnement[TVA acquittée])+SUMIF(Invest[Affectation matrice],$AB$3,Invest[TVA acquittée]))*BZ13</f>
        <v>0</v>
      </c>
      <c r="DB13" s="200">
        <f>(SUMIF(Fonctionnement[Affectation matrice],$AB$3,Fonctionnement[TVA acquittée])+SUMIF(Invest[Affectation matrice],$AB$3,Invest[TVA acquittée]))*CA13</f>
        <v>0</v>
      </c>
    </row>
    <row r="14" spans="1:106" s="22" customFormat="1" ht="12.75" hidden="1" customHeight="1" x14ac:dyDescent="0.25">
      <c r="A14" s="42">
        <f>Matrice[[#This Row],[Ligne de la matrice]]</f>
        <v>0</v>
      </c>
      <c r="B14" s="276">
        <f>(SUMIF(Fonctionnement[Affectation matrice],$AB$3,Fonctionnement[Montant (€HT)])+SUMIF(Invest[Affectation matrice],$AB$3,Invest[Amortissement HT + intérêts]))*BC14</f>
        <v>0</v>
      </c>
      <c r="C14" s="276">
        <f>(SUMIF(Fonctionnement[Affectation matrice],$AB$3,Fonctionnement[Montant (€HT)])+SUMIF(Invest[Affectation matrice],$AB$3,Invest[Amortissement HT + intérêts]))*BD14</f>
        <v>0</v>
      </c>
      <c r="D14" s="276">
        <f>(SUMIF(Fonctionnement[Affectation matrice],$AB$3,Fonctionnement[Montant (€HT)])+SUMIF(Invest[Affectation matrice],$AB$3,Invest[Amortissement HT + intérêts]))*BE14</f>
        <v>0</v>
      </c>
      <c r="E14" s="276">
        <f>(SUMIF(Fonctionnement[Affectation matrice],$AB$3,Fonctionnement[Montant (€HT)])+SUMIF(Invest[Affectation matrice],$AB$3,Invest[Amortissement HT + intérêts]))*BF14</f>
        <v>0</v>
      </c>
      <c r="F14" s="276">
        <f>(SUMIF(Fonctionnement[Affectation matrice],$AB$3,Fonctionnement[Montant (€HT)])+SUMIF(Invest[Affectation matrice],$AB$3,Invest[Amortissement HT + intérêts]))*BG14</f>
        <v>0</v>
      </c>
      <c r="G14" s="276">
        <f>(SUMIF(Fonctionnement[Affectation matrice],$AB$3,Fonctionnement[Montant (€HT)])+SUMIF(Invest[Affectation matrice],$AB$3,Invest[Amortissement HT + intérêts]))*BH14</f>
        <v>0</v>
      </c>
      <c r="H14" s="276">
        <f>(SUMIF(Fonctionnement[Affectation matrice],$AB$3,Fonctionnement[Montant (€HT)])+SUMIF(Invest[Affectation matrice],$AB$3,Invest[Amortissement HT + intérêts]))*BI14</f>
        <v>0</v>
      </c>
      <c r="I14" s="276">
        <f>(SUMIF(Fonctionnement[Affectation matrice],$AB$3,Fonctionnement[Montant (€HT)])+SUMIF(Invest[Affectation matrice],$AB$3,Invest[Amortissement HT + intérêts]))*BJ14</f>
        <v>0</v>
      </c>
      <c r="J14" s="276">
        <f>(SUMIF(Fonctionnement[Affectation matrice],$AB$3,Fonctionnement[Montant (€HT)])+SUMIF(Invest[Affectation matrice],$AB$3,Invest[Amortissement HT + intérêts]))*BK14</f>
        <v>0</v>
      </c>
      <c r="K14" s="276">
        <f>(SUMIF(Fonctionnement[Affectation matrice],$AB$3,Fonctionnement[Montant (€HT)])+SUMIF(Invest[Affectation matrice],$AB$3,Invest[Amortissement HT + intérêts]))*BL14</f>
        <v>0</v>
      </c>
      <c r="L14" s="276">
        <f>(SUMIF(Fonctionnement[Affectation matrice],$AB$3,Fonctionnement[Montant (€HT)])+SUMIF(Invest[Affectation matrice],$AB$3,Invest[Amortissement HT + intérêts]))*BM14</f>
        <v>0</v>
      </c>
      <c r="M14" s="276">
        <f>(SUMIF(Fonctionnement[Affectation matrice],$AB$3,Fonctionnement[Montant (€HT)])+SUMIF(Invest[Affectation matrice],$AB$3,Invest[Amortissement HT + intérêts]))*BN14</f>
        <v>0</v>
      </c>
      <c r="N14" s="276">
        <f>(SUMIF(Fonctionnement[Affectation matrice],$AB$3,Fonctionnement[Montant (€HT)])+SUMIF(Invest[Affectation matrice],$AB$3,Invest[Amortissement HT + intérêts]))*BO14</f>
        <v>0</v>
      </c>
      <c r="O14" s="276">
        <f>(SUMIF(Fonctionnement[Affectation matrice],$AB$3,Fonctionnement[Montant (€HT)])+SUMIF(Invest[Affectation matrice],$AB$3,Invest[Amortissement HT + intérêts]))*BP14</f>
        <v>0</v>
      </c>
      <c r="P14" s="276">
        <f>(SUMIF(Fonctionnement[Affectation matrice],$AB$3,Fonctionnement[Montant (€HT)])+SUMIF(Invest[Affectation matrice],$AB$3,Invest[Amortissement HT + intérêts]))*BQ14</f>
        <v>0</v>
      </c>
      <c r="Q14" s="276">
        <f>(SUMIF(Fonctionnement[Affectation matrice],$AB$3,Fonctionnement[Montant (€HT)])+SUMIF(Invest[Affectation matrice],$AB$3,Invest[Amortissement HT + intérêts]))*BR14</f>
        <v>0</v>
      </c>
      <c r="R14" s="276">
        <f>(SUMIF(Fonctionnement[Affectation matrice],$AB$3,Fonctionnement[Montant (€HT)])+SUMIF(Invest[Affectation matrice],$AB$3,Invest[Amortissement HT + intérêts]))*BS14</f>
        <v>0</v>
      </c>
      <c r="S14" s="276">
        <f>(SUMIF(Fonctionnement[Affectation matrice],$AB$3,Fonctionnement[Montant (€HT)])+SUMIF(Invest[Affectation matrice],$AB$3,Invest[Amortissement HT + intérêts]))*BT14</f>
        <v>0</v>
      </c>
      <c r="T14" s="276">
        <f>(SUMIF(Fonctionnement[Affectation matrice],$AB$3,Fonctionnement[Montant (€HT)])+SUMIF(Invest[Affectation matrice],$AB$3,Invest[Amortissement HT + intérêts]))*BU14</f>
        <v>0</v>
      </c>
      <c r="U14" s="276">
        <f>(SUMIF(Fonctionnement[Affectation matrice],$AB$3,Fonctionnement[Montant (€HT)])+SUMIF(Invest[Affectation matrice],$AB$3,Invest[Amortissement HT + intérêts]))*BV14</f>
        <v>0</v>
      </c>
      <c r="V14" s="276">
        <f>(SUMIF(Fonctionnement[Affectation matrice],$AB$3,Fonctionnement[Montant (€HT)])+SUMIF(Invest[Affectation matrice],$AB$3,Invest[Amortissement HT + intérêts]))*BW14</f>
        <v>0</v>
      </c>
      <c r="W14" s="276">
        <f>(SUMIF(Fonctionnement[Affectation matrice],$AB$3,Fonctionnement[Montant (€HT)])+SUMIF(Invest[Affectation matrice],$AB$3,Invest[Amortissement HT + intérêts]))*BX14</f>
        <v>0</v>
      </c>
      <c r="X14" s="276">
        <f>(SUMIF(Fonctionnement[Affectation matrice],$AB$3,Fonctionnement[Montant (€HT)])+SUMIF(Invest[Affectation matrice],$AB$3,Invest[Amortissement HT + intérêts]))*BY14</f>
        <v>0</v>
      </c>
      <c r="Y14" s="276">
        <f>(SUMIF(Fonctionnement[Affectation matrice],$AB$3,Fonctionnement[Montant (€HT)])+SUMIF(Invest[Affectation matrice],$AB$3,Invest[Amortissement HT + intérêts]))*BZ14</f>
        <v>0</v>
      </c>
      <c r="Z14" s="276">
        <f>(SUMIF(Fonctionnement[Affectation matrice],$AB$3,Fonctionnement[Montant (€HT)])+SUMIF(Invest[Affectation matrice],$AB$3,Invest[Amortissement HT + intérêts]))*CA14</f>
        <v>0</v>
      </c>
      <c r="AA14" s="199"/>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283">
        <f t="shared" si="4"/>
        <v>0</v>
      </c>
      <c r="BB14" s="7"/>
      <c r="BC14" s="61">
        <f t="shared" si="2"/>
        <v>0</v>
      </c>
      <c r="BD14" s="61">
        <f t="shared" si="2"/>
        <v>0</v>
      </c>
      <c r="BE14" s="61">
        <f t="shared" si="2"/>
        <v>0</v>
      </c>
      <c r="BF14" s="61">
        <f t="shared" si="2"/>
        <v>0</v>
      </c>
      <c r="BG14" s="61">
        <f t="shared" si="2"/>
        <v>0</v>
      </c>
      <c r="BH14" s="61">
        <f t="shared" si="2"/>
        <v>0</v>
      </c>
      <c r="BI14" s="61">
        <f t="shared" si="2"/>
        <v>0</v>
      </c>
      <c r="BJ14" s="61">
        <f t="shared" si="2"/>
        <v>0</v>
      </c>
      <c r="BK14" s="61">
        <f t="shared" si="2"/>
        <v>0</v>
      </c>
      <c r="BL14" s="61">
        <f t="shared" si="2"/>
        <v>0</v>
      </c>
      <c r="BM14" s="61">
        <f t="shared" si="2"/>
        <v>0</v>
      </c>
      <c r="BN14" s="61">
        <f t="shared" si="2"/>
        <v>0</v>
      </c>
      <c r="BO14" s="61">
        <f t="shared" si="2"/>
        <v>0</v>
      </c>
      <c r="BP14" s="61">
        <f t="shared" si="2"/>
        <v>0</v>
      </c>
      <c r="BQ14" s="61">
        <f t="shared" si="2"/>
        <v>0</v>
      </c>
      <c r="BR14" s="61">
        <f t="shared" si="2"/>
        <v>0</v>
      </c>
      <c r="BS14" s="61">
        <f t="shared" si="3"/>
        <v>0</v>
      </c>
      <c r="BT14" s="61">
        <f t="shared" si="3"/>
        <v>0</v>
      </c>
      <c r="BU14" s="61">
        <f t="shared" si="3"/>
        <v>0</v>
      </c>
      <c r="BV14" s="61">
        <f t="shared" si="3"/>
        <v>0</v>
      </c>
      <c r="BW14" s="61">
        <f t="shared" si="3"/>
        <v>0</v>
      </c>
      <c r="BX14" s="61">
        <f t="shared" si="3"/>
        <v>0</v>
      </c>
      <c r="BY14" s="61">
        <f t="shared" si="3"/>
        <v>0</v>
      </c>
      <c r="BZ14" s="61">
        <f t="shared" si="3"/>
        <v>0</v>
      </c>
      <c r="CA14" s="61">
        <f t="shared" si="3"/>
        <v>0</v>
      </c>
      <c r="CB14" s="61">
        <f t="shared" si="5"/>
        <v>0</v>
      </c>
      <c r="CD14" s="200">
        <f>(SUMIF(Fonctionnement[Affectation matrice],$AB$3,Fonctionnement[TVA acquittée])+SUMIF(Invest[Affectation matrice],$AB$3,Invest[TVA acquittée]))*BC14</f>
        <v>0</v>
      </c>
      <c r="CE14" s="200">
        <f>(SUMIF(Fonctionnement[Affectation matrice],$AB$3,Fonctionnement[TVA acquittée])+SUMIF(Invest[Affectation matrice],$AB$3,Invest[TVA acquittée]))*BD14</f>
        <v>0</v>
      </c>
      <c r="CF14" s="200">
        <f>(SUMIF(Fonctionnement[Affectation matrice],$AB$3,Fonctionnement[TVA acquittée])+SUMIF(Invest[Affectation matrice],$AB$3,Invest[TVA acquittée]))*BE14</f>
        <v>0</v>
      </c>
      <c r="CG14" s="200">
        <f>(SUMIF(Fonctionnement[Affectation matrice],$AB$3,Fonctionnement[TVA acquittée])+SUMIF(Invest[Affectation matrice],$AB$3,Invest[TVA acquittée]))*BF14</f>
        <v>0</v>
      </c>
      <c r="CH14" s="200">
        <f>(SUMIF(Fonctionnement[Affectation matrice],$AB$3,Fonctionnement[TVA acquittée])+SUMIF(Invest[Affectation matrice],$AB$3,Invest[TVA acquittée]))*BG14</f>
        <v>0</v>
      </c>
      <c r="CI14" s="200">
        <f>(SUMIF(Fonctionnement[Affectation matrice],$AB$3,Fonctionnement[TVA acquittée])+SUMIF(Invest[Affectation matrice],$AB$3,Invest[TVA acquittée]))*BH14</f>
        <v>0</v>
      </c>
      <c r="CJ14" s="200">
        <f>(SUMIF(Fonctionnement[Affectation matrice],$AB$3,Fonctionnement[TVA acquittée])+SUMIF(Invest[Affectation matrice],$AB$3,Invest[TVA acquittée]))*BI14</f>
        <v>0</v>
      </c>
      <c r="CK14" s="200">
        <f>(SUMIF(Fonctionnement[Affectation matrice],$AB$3,Fonctionnement[TVA acquittée])+SUMIF(Invest[Affectation matrice],$AB$3,Invest[TVA acquittée]))*BJ14</f>
        <v>0</v>
      </c>
      <c r="CL14" s="200">
        <f>(SUMIF(Fonctionnement[Affectation matrice],$AB$3,Fonctionnement[TVA acquittée])+SUMIF(Invest[Affectation matrice],$AB$3,Invest[TVA acquittée]))*BK14</f>
        <v>0</v>
      </c>
      <c r="CM14" s="200">
        <f>(SUMIF(Fonctionnement[Affectation matrice],$AB$3,Fonctionnement[TVA acquittée])+SUMIF(Invest[Affectation matrice],$AB$3,Invest[TVA acquittée]))*BL14</f>
        <v>0</v>
      </c>
      <c r="CN14" s="200">
        <f>(SUMIF(Fonctionnement[Affectation matrice],$AB$3,Fonctionnement[TVA acquittée])+SUMIF(Invest[Affectation matrice],$AB$3,Invest[TVA acquittée]))*BM14</f>
        <v>0</v>
      </c>
      <c r="CO14" s="200">
        <f>(SUMIF(Fonctionnement[Affectation matrice],$AB$3,Fonctionnement[TVA acquittée])+SUMIF(Invest[Affectation matrice],$AB$3,Invest[TVA acquittée]))*BN14</f>
        <v>0</v>
      </c>
      <c r="CP14" s="200">
        <f>(SUMIF(Fonctionnement[Affectation matrice],$AB$3,Fonctionnement[TVA acquittée])+SUMIF(Invest[Affectation matrice],$AB$3,Invest[TVA acquittée]))*BO14</f>
        <v>0</v>
      </c>
      <c r="CQ14" s="200">
        <f>(SUMIF(Fonctionnement[Affectation matrice],$AB$3,Fonctionnement[TVA acquittée])+SUMIF(Invest[Affectation matrice],$AB$3,Invest[TVA acquittée]))*BP14</f>
        <v>0</v>
      </c>
      <c r="CR14" s="200">
        <f>(SUMIF(Fonctionnement[Affectation matrice],$AB$3,Fonctionnement[TVA acquittée])+SUMIF(Invest[Affectation matrice],$AB$3,Invest[TVA acquittée]))*BQ14</f>
        <v>0</v>
      </c>
      <c r="CS14" s="200">
        <f>(SUMIF(Fonctionnement[Affectation matrice],$AB$3,Fonctionnement[TVA acquittée])+SUMIF(Invest[Affectation matrice],$AB$3,Invest[TVA acquittée]))*BR14</f>
        <v>0</v>
      </c>
      <c r="CT14" s="200">
        <f>(SUMIF(Fonctionnement[Affectation matrice],$AB$3,Fonctionnement[TVA acquittée])+SUMIF(Invest[Affectation matrice],$AB$3,Invest[TVA acquittée]))*BS14</f>
        <v>0</v>
      </c>
      <c r="CU14" s="200">
        <f>(SUMIF(Fonctionnement[Affectation matrice],$AB$3,Fonctionnement[TVA acquittée])+SUMIF(Invest[Affectation matrice],$AB$3,Invest[TVA acquittée]))*BT14</f>
        <v>0</v>
      </c>
      <c r="CV14" s="200">
        <f>(SUMIF(Fonctionnement[Affectation matrice],$AB$3,Fonctionnement[TVA acquittée])+SUMIF(Invest[Affectation matrice],$AB$3,Invest[TVA acquittée]))*BU14</f>
        <v>0</v>
      </c>
      <c r="CW14" s="200">
        <f>(SUMIF(Fonctionnement[Affectation matrice],$AB$3,Fonctionnement[TVA acquittée])+SUMIF(Invest[Affectation matrice],$AB$3,Invest[TVA acquittée]))*BV14</f>
        <v>0</v>
      </c>
      <c r="CX14" s="200">
        <f>(SUMIF(Fonctionnement[Affectation matrice],$AB$3,Fonctionnement[TVA acquittée])+SUMIF(Invest[Affectation matrice],$AB$3,Invest[TVA acquittée]))*BW14</f>
        <v>0</v>
      </c>
      <c r="CY14" s="200">
        <f>(SUMIF(Fonctionnement[Affectation matrice],$AB$3,Fonctionnement[TVA acquittée])+SUMIF(Invest[Affectation matrice],$AB$3,Invest[TVA acquittée]))*BX14</f>
        <v>0</v>
      </c>
      <c r="CZ14" s="200">
        <f>(SUMIF(Fonctionnement[Affectation matrice],$AB$3,Fonctionnement[TVA acquittée])+SUMIF(Invest[Affectation matrice],$AB$3,Invest[TVA acquittée]))*BY14</f>
        <v>0</v>
      </c>
      <c r="DA14" s="200">
        <f>(SUMIF(Fonctionnement[Affectation matrice],$AB$3,Fonctionnement[TVA acquittée])+SUMIF(Invest[Affectation matrice],$AB$3,Invest[TVA acquittée]))*BZ14</f>
        <v>0</v>
      </c>
      <c r="DB14" s="200">
        <f>(SUMIF(Fonctionnement[Affectation matrice],$AB$3,Fonctionnement[TVA acquittée])+SUMIF(Invest[Affectation matrice],$AB$3,Invest[TVA acquittée]))*CA14</f>
        <v>0</v>
      </c>
    </row>
    <row r="15" spans="1:106" s="22" customFormat="1" ht="12.75" hidden="1" customHeight="1" x14ac:dyDescent="0.25">
      <c r="A15" s="42">
        <f>Matrice[[#This Row],[Ligne de la matrice]]</f>
        <v>0</v>
      </c>
      <c r="B15" s="276">
        <f>(SUMIF(Fonctionnement[Affectation matrice],$AB$3,Fonctionnement[Montant (€HT)])+SUMIF(Invest[Affectation matrice],$AB$3,Invest[Amortissement HT + intérêts]))*BC15</f>
        <v>0</v>
      </c>
      <c r="C15" s="276">
        <f>(SUMIF(Fonctionnement[Affectation matrice],$AB$3,Fonctionnement[Montant (€HT)])+SUMIF(Invest[Affectation matrice],$AB$3,Invest[Amortissement HT + intérêts]))*BD15</f>
        <v>0</v>
      </c>
      <c r="D15" s="276">
        <f>(SUMIF(Fonctionnement[Affectation matrice],$AB$3,Fonctionnement[Montant (€HT)])+SUMIF(Invest[Affectation matrice],$AB$3,Invest[Amortissement HT + intérêts]))*BE15</f>
        <v>0</v>
      </c>
      <c r="E15" s="276">
        <f>(SUMIF(Fonctionnement[Affectation matrice],$AB$3,Fonctionnement[Montant (€HT)])+SUMIF(Invest[Affectation matrice],$AB$3,Invest[Amortissement HT + intérêts]))*BF15</f>
        <v>0</v>
      </c>
      <c r="F15" s="276">
        <f>(SUMIF(Fonctionnement[Affectation matrice],$AB$3,Fonctionnement[Montant (€HT)])+SUMIF(Invest[Affectation matrice],$AB$3,Invest[Amortissement HT + intérêts]))*BG15</f>
        <v>0</v>
      </c>
      <c r="G15" s="276">
        <f>(SUMIF(Fonctionnement[Affectation matrice],$AB$3,Fonctionnement[Montant (€HT)])+SUMIF(Invest[Affectation matrice],$AB$3,Invest[Amortissement HT + intérêts]))*BH15</f>
        <v>0</v>
      </c>
      <c r="H15" s="276">
        <f>(SUMIF(Fonctionnement[Affectation matrice],$AB$3,Fonctionnement[Montant (€HT)])+SUMIF(Invest[Affectation matrice],$AB$3,Invest[Amortissement HT + intérêts]))*BI15</f>
        <v>0</v>
      </c>
      <c r="I15" s="276">
        <f>(SUMIF(Fonctionnement[Affectation matrice],$AB$3,Fonctionnement[Montant (€HT)])+SUMIF(Invest[Affectation matrice],$AB$3,Invest[Amortissement HT + intérêts]))*BJ15</f>
        <v>0</v>
      </c>
      <c r="J15" s="276">
        <f>(SUMIF(Fonctionnement[Affectation matrice],$AB$3,Fonctionnement[Montant (€HT)])+SUMIF(Invest[Affectation matrice],$AB$3,Invest[Amortissement HT + intérêts]))*BK15</f>
        <v>0</v>
      </c>
      <c r="K15" s="276">
        <f>(SUMIF(Fonctionnement[Affectation matrice],$AB$3,Fonctionnement[Montant (€HT)])+SUMIF(Invest[Affectation matrice],$AB$3,Invest[Amortissement HT + intérêts]))*BL15</f>
        <v>0</v>
      </c>
      <c r="L15" s="276">
        <f>(SUMIF(Fonctionnement[Affectation matrice],$AB$3,Fonctionnement[Montant (€HT)])+SUMIF(Invest[Affectation matrice],$AB$3,Invest[Amortissement HT + intérêts]))*BM15</f>
        <v>0</v>
      </c>
      <c r="M15" s="276">
        <f>(SUMIF(Fonctionnement[Affectation matrice],$AB$3,Fonctionnement[Montant (€HT)])+SUMIF(Invest[Affectation matrice],$AB$3,Invest[Amortissement HT + intérêts]))*BN15</f>
        <v>0</v>
      </c>
      <c r="N15" s="276">
        <f>(SUMIF(Fonctionnement[Affectation matrice],$AB$3,Fonctionnement[Montant (€HT)])+SUMIF(Invest[Affectation matrice],$AB$3,Invest[Amortissement HT + intérêts]))*BO15</f>
        <v>0</v>
      </c>
      <c r="O15" s="276">
        <f>(SUMIF(Fonctionnement[Affectation matrice],$AB$3,Fonctionnement[Montant (€HT)])+SUMIF(Invest[Affectation matrice],$AB$3,Invest[Amortissement HT + intérêts]))*BP15</f>
        <v>0</v>
      </c>
      <c r="P15" s="276">
        <f>(SUMIF(Fonctionnement[Affectation matrice],$AB$3,Fonctionnement[Montant (€HT)])+SUMIF(Invest[Affectation matrice],$AB$3,Invest[Amortissement HT + intérêts]))*BQ15</f>
        <v>0</v>
      </c>
      <c r="Q15" s="276">
        <f>(SUMIF(Fonctionnement[Affectation matrice],$AB$3,Fonctionnement[Montant (€HT)])+SUMIF(Invest[Affectation matrice],$AB$3,Invest[Amortissement HT + intérêts]))*BR15</f>
        <v>0</v>
      </c>
      <c r="R15" s="276">
        <f>(SUMIF(Fonctionnement[Affectation matrice],$AB$3,Fonctionnement[Montant (€HT)])+SUMIF(Invest[Affectation matrice],$AB$3,Invest[Amortissement HT + intérêts]))*BS15</f>
        <v>0</v>
      </c>
      <c r="S15" s="276">
        <f>(SUMIF(Fonctionnement[Affectation matrice],$AB$3,Fonctionnement[Montant (€HT)])+SUMIF(Invest[Affectation matrice],$AB$3,Invest[Amortissement HT + intérêts]))*BT15</f>
        <v>0</v>
      </c>
      <c r="T15" s="276">
        <f>(SUMIF(Fonctionnement[Affectation matrice],$AB$3,Fonctionnement[Montant (€HT)])+SUMIF(Invest[Affectation matrice],$AB$3,Invest[Amortissement HT + intérêts]))*BU15</f>
        <v>0</v>
      </c>
      <c r="U15" s="276">
        <f>(SUMIF(Fonctionnement[Affectation matrice],$AB$3,Fonctionnement[Montant (€HT)])+SUMIF(Invest[Affectation matrice],$AB$3,Invest[Amortissement HT + intérêts]))*BV15</f>
        <v>0</v>
      </c>
      <c r="V15" s="276">
        <f>(SUMIF(Fonctionnement[Affectation matrice],$AB$3,Fonctionnement[Montant (€HT)])+SUMIF(Invest[Affectation matrice],$AB$3,Invest[Amortissement HT + intérêts]))*BW15</f>
        <v>0</v>
      </c>
      <c r="W15" s="276">
        <f>(SUMIF(Fonctionnement[Affectation matrice],$AB$3,Fonctionnement[Montant (€HT)])+SUMIF(Invest[Affectation matrice],$AB$3,Invest[Amortissement HT + intérêts]))*BX15</f>
        <v>0</v>
      </c>
      <c r="X15" s="276">
        <f>(SUMIF(Fonctionnement[Affectation matrice],$AB$3,Fonctionnement[Montant (€HT)])+SUMIF(Invest[Affectation matrice],$AB$3,Invest[Amortissement HT + intérêts]))*BY15</f>
        <v>0</v>
      </c>
      <c r="Y15" s="276">
        <f>(SUMIF(Fonctionnement[Affectation matrice],$AB$3,Fonctionnement[Montant (€HT)])+SUMIF(Invest[Affectation matrice],$AB$3,Invest[Amortissement HT + intérêts]))*BZ15</f>
        <v>0</v>
      </c>
      <c r="Z15" s="276">
        <f>(SUMIF(Fonctionnement[Affectation matrice],$AB$3,Fonctionnement[Montant (€HT)])+SUMIF(Invest[Affectation matrice],$AB$3,Invest[Amortissement HT + intérêts]))*CA15</f>
        <v>0</v>
      </c>
      <c r="AA15" s="199"/>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283">
        <f t="shared" si="4"/>
        <v>0</v>
      </c>
      <c r="BB15" s="7"/>
      <c r="BC15" s="61">
        <f t="shared" si="2"/>
        <v>0</v>
      </c>
      <c r="BD15" s="61">
        <f t="shared" si="2"/>
        <v>0</v>
      </c>
      <c r="BE15" s="61">
        <f t="shared" si="2"/>
        <v>0</v>
      </c>
      <c r="BF15" s="61">
        <f t="shared" si="2"/>
        <v>0</v>
      </c>
      <c r="BG15" s="61">
        <f t="shared" si="2"/>
        <v>0</v>
      </c>
      <c r="BH15" s="61">
        <f t="shared" si="2"/>
        <v>0</v>
      </c>
      <c r="BI15" s="61">
        <f t="shared" si="2"/>
        <v>0</v>
      </c>
      <c r="BJ15" s="61">
        <f t="shared" si="2"/>
        <v>0</v>
      </c>
      <c r="BK15" s="61">
        <f t="shared" si="2"/>
        <v>0</v>
      </c>
      <c r="BL15" s="61">
        <f t="shared" si="2"/>
        <v>0</v>
      </c>
      <c r="BM15" s="61">
        <f t="shared" si="2"/>
        <v>0</v>
      </c>
      <c r="BN15" s="61">
        <f t="shared" si="2"/>
        <v>0</v>
      </c>
      <c r="BO15" s="61">
        <f t="shared" si="2"/>
        <v>0</v>
      </c>
      <c r="BP15" s="61">
        <f t="shared" si="2"/>
        <v>0</v>
      </c>
      <c r="BQ15" s="61">
        <f t="shared" si="2"/>
        <v>0</v>
      </c>
      <c r="BR15" s="61">
        <f t="shared" si="2"/>
        <v>0</v>
      </c>
      <c r="BS15" s="61">
        <f t="shared" si="3"/>
        <v>0</v>
      </c>
      <c r="BT15" s="61">
        <f t="shared" si="3"/>
        <v>0</v>
      </c>
      <c r="BU15" s="61">
        <f t="shared" si="3"/>
        <v>0</v>
      </c>
      <c r="BV15" s="61">
        <f t="shared" si="3"/>
        <v>0</v>
      </c>
      <c r="BW15" s="61">
        <f t="shared" si="3"/>
        <v>0</v>
      </c>
      <c r="BX15" s="61">
        <f t="shared" si="3"/>
        <v>0</v>
      </c>
      <c r="BY15" s="61">
        <f t="shared" si="3"/>
        <v>0</v>
      </c>
      <c r="BZ15" s="61">
        <f t="shared" si="3"/>
        <v>0</v>
      </c>
      <c r="CA15" s="61">
        <f t="shared" si="3"/>
        <v>0</v>
      </c>
      <c r="CB15" s="61">
        <f t="shared" si="5"/>
        <v>0</v>
      </c>
      <c r="CD15" s="200">
        <f>(SUMIF(Fonctionnement[Affectation matrice],$AB$3,Fonctionnement[TVA acquittée])+SUMIF(Invest[Affectation matrice],$AB$3,Invest[TVA acquittée]))*BC15</f>
        <v>0</v>
      </c>
      <c r="CE15" s="200">
        <f>(SUMIF(Fonctionnement[Affectation matrice],$AB$3,Fonctionnement[TVA acquittée])+SUMIF(Invest[Affectation matrice],$AB$3,Invest[TVA acquittée]))*BD15</f>
        <v>0</v>
      </c>
      <c r="CF15" s="200">
        <f>(SUMIF(Fonctionnement[Affectation matrice],$AB$3,Fonctionnement[TVA acquittée])+SUMIF(Invest[Affectation matrice],$AB$3,Invest[TVA acquittée]))*BE15</f>
        <v>0</v>
      </c>
      <c r="CG15" s="200">
        <f>(SUMIF(Fonctionnement[Affectation matrice],$AB$3,Fonctionnement[TVA acquittée])+SUMIF(Invest[Affectation matrice],$AB$3,Invest[TVA acquittée]))*BF15</f>
        <v>0</v>
      </c>
      <c r="CH15" s="200">
        <f>(SUMIF(Fonctionnement[Affectation matrice],$AB$3,Fonctionnement[TVA acquittée])+SUMIF(Invest[Affectation matrice],$AB$3,Invest[TVA acquittée]))*BG15</f>
        <v>0</v>
      </c>
      <c r="CI15" s="200">
        <f>(SUMIF(Fonctionnement[Affectation matrice],$AB$3,Fonctionnement[TVA acquittée])+SUMIF(Invest[Affectation matrice],$AB$3,Invest[TVA acquittée]))*BH15</f>
        <v>0</v>
      </c>
      <c r="CJ15" s="200">
        <f>(SUMIF(Fonctionnement[Affectation matrice],$AB$3,Fonctionnement[TVA acquittée])+SUMIF(Invest[Affectation matrice],$AB$3,Invest[TVA acquittée]))*BI15</f>
        <v>0</v>
      </c>
      <c r="CK15" s="200">
        <f>(SUMIF(Fonctionnement[Affectation matrice],$AB$3,Fonctionnement[TVA acquittée])+SUMIF(Invest[Affectation matrice],$AB$3,Invest[TVA acquittée]))*BJ15</f>
        <v>0</v>
      </c>
      <c r="CL15" s="200">
        <f>(SUMIF(Fonctionnement[Affectation matrice],$AB$3,Fonctionnement[TVA acquittée])+SUMIF(Invest[Affectation matrice],$AB$3,Invest[TVA acquittée]))*BK15</f>
        <v>0</v>
      </c>
      <c r="CM15" s="200">
        <f>(SUMIF(Fonctionnement[Affectation matrice],$AB$3,Fonctionnement[TVA acquittée])+SUMIF(Invest[Affectation matrice],$AB$3,Invest[TVA acquittée]))*BL15</f>
        <v>0</v>
      </c>
      <c r="CN15" s="200">
        <f>(SUMIF(Fonctionnement[Affectation matrice],$AB$3,Fonctionnement[TVA acquittée])+SUMIF(Invest[Affectation matrice],$AB$3,Invest[TVA acquittée]))*BM15</f>
        <v>0</v>
      </c>
      <c r="CO15" s="200">
        <f>(SUMIF(Fonctionnement[Affectation matrice],$AB$3,Fonctionnement[TVA acquittée])+SUMIF(Invest[Affectation matrice],$AB$3,Invest[TVA acquittée]))*BN15</f>
        <v>0</v>
      </c>
      <c r="CP15" s="200">
        <f>(SUMIF(Fonctionnement[Affectation matrice],$AB$3,Fonctionnement[TVA acquittée])+SUMIF(Invest[Affectation matrice],$AB$3,Invest[TVA acquittée]))*BO15</f>
        <v>0</v>
      </c>
      <c r="CQ15" s="200">
        <f>(SUMIF(Fonctionnement[Affectation matrice],$AB$3,Fonctionnement[TVA acquittée])+SUMIF(Invest[Affectation matrice],$AB$3,Invest[TVA acquittée]))*BP15</f>
        <v>0</v>
      </c>
      <c r="CR15" s="200">
        <f>(SUMIF(Fonctionnement[Affectation matrice],$AB$3,Fonctionnement[TVA acquittée])+SUMIF(Invest[Affectation matrice],$AB$3,Invest[TVA acquittée]))*BQ15</f>
        <v>0</v>
      </c>
      <c r="CS15" s="200">
        <f>(SUMIF(Fonctionnement[Affectation matrice],$AB$3,Fonctionnement[TVA acquittée])+SUMIF(Invest[Affectation matrice],$AB$3,Invest[TVA acquittée]))*BR15</f>
        <v>0</v>
      </c>
      <c r="CT15" s="200">
        <f>(SUMIF(Fonctionnement[Affectation matrice],$AB$3,Fonctionnement[TVA acquittée])+SUMIF(Invest[Affectation matrice],$AB$3,Invest[TVA acquittée]))*BS15</f>
        <v>0</v>
      </c>
      <c r="CU15" s="200">
        <f>(SUMIF(Fonctionnement[Affectation matrice],$AB$3,Fonctionnement[TVA acquittée])+SUMIF(Invest[Affectation matrice],$AB$3,Invest[TVA acquittée]))*BT15</f>
        <v>0</v>
      </c>
      <c r="CV15" s="200">
        <f>(SUMIF(Fonctionnement[Affectation matrice],$AB$3,Fonctionnement[TVA acquittée])+SUMIF(Invest[Affectation matrice],$AB$3,Invest[TVA acquittée]))*BU15</f>
        <v>0</v>
      </c>
      <c r="CW15" s="200">
        <f>(SUMIF(Fonctionnement[Affectation matrice],$AB$3,Fonctionnement[TVA acquittée])+SUMIF(Invest[Affectation matrice],$AB$3,Invest[TVA acquittée]))*BV15</f>
        <v>0</v>
      </c>
      <c r="CX15" s="200">
        <f>(SUMIF(Fonctionnement[Affectation matrice],$AB$3,Fonctionnement[TVA acquittée])+SUMIF(Invest[Affectation matrice],$AB$3,Invest[TVA acquittée]))*BW15</f>
        <v>0</v>
      </c>
      <c r="CY15" s="200">
        <f>(SUMIF(Fonctionnement[Affectation matrice],$AB$3,Fonctionnement[TVA acquittée])+SUMIF(Invest[Affectation matrice],$AB$3,Invest[TVA acquittée]))*BX15</f>
        <v>0</v>
      </c>
      <c r="CZ15" s="200">
        <f>(SUMIF(Fonctionnement[Affectation matrice],$AB$3,Fonctionnement[TVA acquittée])+SUMIF(Invest[Affectation matrice],$AB$3,Invest[TVA acquittée]))*BY15</f>
        <v>0</v>
      </c>
      <c r="DA15" s="200">
        <f>(SUMIF(Fonctionnement[Affectation matrice],$AB$3,Fonctionnement[TVA acquittée])+SUMIF(Invest[Affectation matrice],$AB$3,Invest[TVA acquittée]))*BZ15</f>
        <v>0</v>
      </c>
      <c r="DB15" s="200">
        <f>(SUMIF(Fonctionnement[Affectation matrice],$AB$3,Fonctionnement[TVA acquittée])+SUMIF(Invest[Affectation matrice],$AB$3,Invest[TVA acquittée]))*CA15</f>
        <v>0</v>
      </c>
    </row>
    <row r="16" spans="1:106" s="22" customFormat="1" ht="12.75" hidden="1" customHeight="1" x14ac:dyDescent="0.25">
      <c r="A16" s="42">
        <f>Matrice[[#This Row],[Ligne de la matrice]]</f>
        <v>0</v>
      </c>
      <c r="B16" s="276">
        <f>(SUMIF(Fonctionnement[Affectation matrice],$AB$3,Fonctionnement[Montant (€HT)])+SUMIF(Invest[Affectation matrice],$AB$3,Invest[Amortissement HT + intérêts]))*BC16</f>
        <v>0</v>
      </c>
      <c r="C16" s="276">
        <f>(SUMIF(Fonctionnement[Affectation matrice],$AB$3,Fonctionnement[Montant (€HT)])+SUMIF(Invest[Affectation matrice],$AB$3,Invest[Amortissement HT + intérêts]))*BD16</f>
        <v>0</v>
      </c>
      <c r="D16" s="276">
        <f>(SUMIF(Fonctionnement[Affectation matrice],$AB$3,Fonctionnement[Montant (€HT)])+SUMIF(Invest[Affectation matrice],$AB$3,Invest[Amortissement HT + intérêts]))*BE16</f>
        <v>0</v>
      </c>
      <c r="E16" s="276">
        <f>(SUMIF(Fonctionnement[Affectation matrice],$AB$3,Fonctionnement[Montant (€HT)])+SUMIF(Invest[Affectation matrice],$AB$3,Invest[Amortissement HT + intérêts]))*BF16</f>
        <v>0</v>
      </c>
      <c r="F16" s="276">
        <f>(SUMIF(Fonctionnement[Affectation matrice],$AB$3,Fonctionnement[Montant (€HT)])+SUMIF(Invest[Affectation matrice],$AB$3,Invest[Amortissement HT + intérêts]))*BG16</f>
        <v>0</v>
      </c>
      <c r="G16" s="276">
        <f>(SUMIF(Fonctionnement[Affectation matrice],$AB$3,Fonctionnement[Montant (€HT)])+SUMIF(Invest[Affectation matrice],$AB$3,Invest[Amortissement HT + intérêts]))*BH16</f>
        <v>0</v>
      </c>
      <c r="H16" s="276">
        <f>(SUMIF(Fonctionnement[Affectation matrice],$AB$3,Fonctionnement[Montant (€HT)])+SUMIF(Invest[Affectation matrice],$AB$3,Invest[Amortissement HT + intérêts]))*BI16</f>
        <v>0</v>
      </c>
      <c r="I16" s="276">
        <f>(SUMIF(Fonctionnement[Affectation matrice],$AB$3,Fonctionnement[Montant (€HT)])+SUMIF(Invest[Affectation matrice],$AB$3,Invest[Amortissement HT + intérêts]))*BJ16</f>
        <v>0</v>
      </c>
      <c r="J16" s="276">
        <f>(SUMIF(Fonctionnement[Affectation matrice],$AB$3,Fonctionnement[Montant (€HT)])+SUMIF(Invest[Affectation matrice],$AB$3,Invest[Amortissement HT + intérêts]))*BK16</f>
        <v>0</v>
      </c>
      <c r="K16" s="276">
        <f>(SUMIF(Fonctionnement[Affectation matrice],$AB$3,Fonctionnement[Montant (€HT)])+SUMIF(Invest[Affectation matrice],$AB$3,Invest[Amortissement HT + intérêts]))*BL16</f>
        <v>0</v>
      </c>
      <c r="L16" s="276">
        <f>(SUMIF(Fonctionnement[Affectation matrice],$AB$3,Fonctionnement[Montant (€HT)])+SUMIF(Invest[Affectation matrice],$AB$3,Invest[Amortissement HT + intérêts]))*BM16</f>
        <v>0</v>
      </c>
      <c r="M16" s="276">
        <f>(SUMIF(Fonctionnement[Affectation matrice],$AB$3,Fonctionnement[Montant (€HT)])+SUMIF(Invest[Affectation matrice],$AB$3,Invest[Amortissement HT + intérêts]))*BN16</f>
        <v>0</v>
      </c>
      <c r="N16" s="276">
        <f>(SUMIF(Fonctionnement[Affectation matrice],$AB$3,Fonctionnement[Montant (€HT)])+SUMIF(Invest[Affectation matrice],$AB$3,Invest[Amortissement HT + intérêts]))*BO16</f>
        <v>0</v>
      </c>
      <c r="O16" s="276">
        <f>(SUMIF(Fonctionnement[Affectation matrice],$AB$3,Fonctionnement[Montant (€HT)])+SUMIF(Invest[Affectation matrice],$AB$3,Invest[Amortissement HT + intérêts]))*BP16</f>
        <v>0</v>
      </c>
      <c r="P16" s="276">
        <f>(SUMIF(Fonctionnement[Affectation matrice],$AB$3,Fonctionnement[Montant (€HT)])+SUMIF(Invest[Affectation matrice],$AB$3,Invest[Amortissement HT + intérêts]))*BQ16</f>
        <v>0</v>
      </c>
      <c r="Q16" s="276">
        <f>(SUMIF(Fonctionnement[Affectation matrice],$AB$3,Fonctionnement[Montant (€HT)])+SUMIF(Invest[Affectation matrice],$AB$3,Invest[Amortissement HT + intérêts]))*BR16</f>
        <v>0</v>
      </c>
      <c r="R16" s="276">
        <f>(SUMIF(Fonctionnement[Affectation matrice],$AB$3,Fonctionnement[Montant (€HT)])+SUMIF(Invest[Affectation matrice],$AB$3,Invest[Amortissement HT + intérêts]))*BS16</f>
        <v>0</v>
      </c>
      <c r="S16" s="276">
        <f>(SUMIF(Fonctionnement[Affectation matrice],$AB$3,Fonctionnement[Montant (€HT)])+SUMIF(Invest[Affectation matrice],$AB$3,Invest[Amortissement HT + intérêts]))*BT16</f>
        <v>0</v>
      </c>
      <c r="T16" s="276">
        <f>(SUMIF(Fonctionnement[Affectation matrice],$AB$3,Fonctionnement[Montant (€HT)])+SUMIF(Invest[Affectation matrice],$AB$3,Invest[Amortissement HT + intérêts]))*BU16</f>
        <v>0</v>
      </c>
      <c r="U16" s="276">
        <f>(SUMIF(Fonctionnement[Affectation matrice],$AB$3,Fonctionnement[Montant (€HT)])+SUMIF(Invest[Affectation matrice],$AB$3,Invest[Amortissement HT + intérêts]))*BV16</f>
        <v>0</v>
      </c>
      <c r="V16" s="276">
        <f>(SUMIF(Fonctionnement[Affectation matrice],$AB$3,Fonctionnement[Montant (€HT)])+SUMIF(Invest[Affectation matrice],$AB$3,Invest[Amortissement HT + intérêts]))*BW16</f>
        <v>0</v>
      </c>
      <c r="W16" s="276">
        <f>(SUMIF(Fonctionnement[Affectation matrice],$AB$3,Fonctionnement[Montant (€HT)])+SUMIF(Invest[Affectation matrice],$AB$3,Invest[Amortissement HT + intérêts]))*BX16</f>
        <v>0</v>
      </c>
      <c r="X16" s="276">
        <f>(SUMIF(Fonctionnement[Affectation matrice],$AB$3,Fonctionnement[Montant (€HT)])+SUMIF(Invest[Affectation matrice],$AB$3,Invest[Amortissement HT + intérêts]))*BY16</f>
        <v>0</v>
      </c>
      <c r="Y16" s="276">
        <f>(SUMIF(Fonctionnement[Affectation matrice],$AB$3,Fonctionnement[Montant (€HT)])+SUMIF(Invest[Affectation matrice],$AB$3,Invest[Amortissement HT + intérêts]))*BZ16</f>
        <v>0</v>
      </c>
      <c r="Z16" s="276">
        <f>(SUMIF(Fonctionnement[Affectation matrice],$AB$3,Fonctionnement[Montant (€HT)])+SUMIF(Invest[Affectation matrice],$AB$3,Invest[Amortissement HT + intérêts]))*CA16</f>
        <v>0</v>
      </c>
      <c r="AA16" s="199"/>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283">
        <f t="shared" si="4"/>
        <v>0</v>
      </c>
      <c r="BB16" s="7"/>
      <c r="BC16" s="61">
        <f t="shared" si="2"/>
        <v>0</v>
      </c>
      <c r="BD16" s="61">
        <f t="shared" si="2"/>
        <v>0</v>
      </c>
      <c r="BE16" s="61">
        <f t="shared" si="2"/>
        <v>0</v>
      </c>
      <c r="BF16" s="61">
        <f t="shared" si="2"/>
        <v>0</v>
      </c>
      <c r="BG16" s="61">
        <f t="shared" si="2"/>
        <v>0</v>
      </c>
      <c r="BH16" s="61">
        <f t="shared" si="2"/>
        <v>0</v>
      </c>
      <c r="BI16" s="61">
        <f t="shared" si="2"/>
        <v>0</v>
      </c>
      <c r="BJ16" s="61">
        <f t="shared" si="2"/>
        <v>0</v>
      </c>
      <c r="BK16" s="61">
        <f t="shared" si="2"/>
        <v>0</v>
      </c>
      <c r="BL16" s="61">
        <f t="shared" si="2"/>
        <v>0</v>
      </c>
      <c r="BM16" s="61">
        <f t="shared" si="2"/>
        <v>0</v>
      </c>
      <c r="BN16" s="61">
        <f t="shared" si="2"/>
        <v>0</v>
      </c>
      <c r="BO16" s="61">
        <f t="shared" si="2"/>
        <v>0</v>
      </c>
      <c r="BP16" s="61">
        <f t="shared" si="2"/>
        <v>0</v>
      </c>
      <c r="BQ16" s="61">
        <f t="shared" si="2"/>
        <v>0</v>
      </c>
      <c r="BR16" s="61">
        <f t="shared" si="2"/>
        <v>0</v>
      </c>
      <c r="BS16" s="61">
        <f t="shared" si="3"/>
        <v>0</v>
      </c>
      <c r="BT16" s="61">
        <f t="shared" si="3"/>
        <v>0</v>
      </c>
      <c r="BU16" s="61">
        <f t="shared" si="3"/>
        <v>0</v>
      </c>
      <c r="BV16" s="61">
        <f t="shared" si="3"/>
        <v>0</v>
      </c>
      <c r="BW16" s="61">
        <f t="shared" si="3"/>
        <v>0</v>
      </c>
      <c r="BX16" s="61">
        <f t="shared" si="3"/>
        <v>0</v>
      </c>
      <c r="BY16" s="61">
        <f t="shared" si="3"/>
        <v>0</v>
      </c>
      <c r="BZ16" s="61">
        <f t="shared" si="3"/>
        <v>0</v>
      </c>
      <c r="CA16" s="61">
        <f t="shared" si="3"/>
        <v>0</v>
      </c>
      <c r="CB16" s="61">
        <f t="shared" si="5"/>
        <v>0</v>
      </c>
      <c r="CD16" s="200">
        <f>(SUMIF(Fonctionnement[Affectation matrice],$AB$3,Fonctionnement[TVA acquittée])+SUMIF(Invest[Affectation matrice],$AB$3,Invest[TVA acquittée]))*BC16</f>
        <v>0</v>
      </c>
      <c r="CE16" s="200">
        <f>(SUMIF(Fonctionnement[Affectation matrice],$AB$3,Fonctionnement[TVA acquittée])+SUMIF(Invest[Affectation matrice],$AB$3,Invest[TVA acquittée]))*BD16</f>
        <v>0</v>
      </c>
      <c r="CF16" s="200">
        <f>(SUMIF(Fonctionnement[Affectation matrice],$AB$3,Fonctionnement[TVA acquittée])+SUMIF(Invest[Affectation matrice],$AB$3,Invest[TVA acquittée]))*BE16</f>
        <v>0</v>
      </c>
      <c r="CG16" s="200">
        <f>(SUMIF(Fonctionnement[Affectation matrice],$AB$3,Fonctionnement[TVA acquittée])+SUMIF(Invest[Affectation matrice],$AB$3,Invest[TVA acquittée]))*BF16</f>
        <v>0</v>
      </c>
      <c r="CH16" s="200">
        <f>(SUMIF(Fonctionnement[Affectation matrice],$AB$3,Fonctionnement[TVA acquittée])+SUMIF(Invest[Affectation matrice],$AB$3,Invest[TVA acquittée]))*BG16</f>
        <v>0</v>
      </c>
      <c r="CI16" s="200">
        <f>(SUMIF(Fonctionnement[Affectation matrice],$AB$3,Fonctionnement[TVA acquittée])+SUMIF(Invest[Affectation matrice],$AB$3,Invest[TVA acquittée]))*BH16</f>
        <v>0</v>
      </c>
      <c r="CJ16" s="200">
        <f>(SUMIF(Fonctionnement[Affectation matrice],$AB$3,Fonctionnement[TVA acquittée])+SUMIF(Invest[Affectation matrice],$AB$3,Invest[TVA acquittée]))*BI16</f>
        <v>0</v>
      </c>
      <c r="CK16" s="200">
        <f>(SUMIF(Fonctionnement[Affectation matrice],$AB$3,Fonctionnement[TVA acquittée])+SUMIF(Invest[Affectation matrice],$AB$3,Invest[TVA acquittée]))*BJ16</f>
        <v>0</v>
      </c>
      <c r="CL16" s="200">
        <f>(SUMIF(Fonctionnement[Affectation matrice],$AB$3,Fonctionnement[TVA acquittée])+SUMIF(Invest[Affectation matrice],$AB$3,Invest[TVA acquittée]))*BK16</f>
        <v>0</v>
      </c>
      <c r="CM16" s="200">
        <f>(SUMIF(Fonctionnement[Affectation matrice],$AB$3,Fonctionnement[TVA acquittée])+SUMIF(Invest[Affectation matrice],$AB$3,Invest[TVA acquittée]))*BL16</f>
        <v>0</v>
      </c>
      <c r="CN16" s="200">
        <f>(SUMIF(Fonctionnement[Affectation matrice],$AB$3,Fonctionnement[TVA acquittée])+SUMIF(Invest[Affectation matrice],$AB$3,Invest[TVA acquittée]))*BM16</f>
        <v>0</v>
      </c>
      <c r="CO16" s="200">
        <f>(SUMIF(Fonctionnement[Affectation matrice],$AB$3,Fonctionnement[TVA acquittée])+SUMIF(Invest[Affectation matrice],$AB$3,Invest[TVA acquittée]))*BN16</f>
        <v>0</v>
      </c>
      <c r="CP16" s="200">
        <f>(SUMIF(Fonctionnement[Affectation matrice],$AB$3,Fonctionnement[TVA acquittée])+SUMIF(Invest[Affectation matrice],$AB$3,Invest[TVA acquittée]))*BO16</f>
        <v>0</v>
      </c>
      <c r="CQ16" s="200">
        <f>(SUMIF(Fonctionnement[Affectation matrice],$AB$3,Fonctionnement[TVA acquittée])+SUMIF(Invest[Affectation matrice],$AB$3,Invest[TVA acquittée]))*BP16</f>
        <v>0</v>
      </c>
      <c r="CR16" s="200">
        <f>(SUMIF(Fonctionnement[Affectation matrice],$AB$3,Fonctionnement[TVA acquittée])+SUMIF(Invest[Affectation matrice],$AB$3,Invest[TVA acquittée]))*BQ16</f>
        <v>0</v>
      </c>
      <c r="CS16" s="200">
        <f>(SUMIF(Fonctionnement[Affectation matrice],$AB$3,Fonctionnement[TVA acquittée])+SUMIF(Invest[Affectation matrice],$AB$3,Invest[TVA acquittée]))*BR16</f>
        <v>0</v>
      </c>
      <c r="CT16" s="200">
        <f>(SUMIF(Fonctionnement[Affectation matrice],$AB$3,Fonctionnement[TVA acquittée])+SUMIF(Invest[Affectation matrice],$AB$3,Invest[TVA acquittée]))*BS16</f>
        <v>0</v>
      </c>
      <c r="CU16" s="200">
        <f>(SUMIF(Fonctionnement[Affectation matrice],$AB$3,Fonctionnement[TVA acquittée])+SUMIF(Invest[Affectation matrice],$AB$3,Invest[TVA acquittée]))*BT16</f>
        <v>0</v>
      </c>
      <c r="CV16" s="200">
        <f>(SUMIF(Fonctionnement[Affectation matrice],$AB$3,Fonctionnement[TVA acquittée])+SUMIF(Invest[Affectation matrice],$AB$3,Invest[TVA acquittée]))*BU16</f>
        <v>0</v>
      </c>
      <c r="CW16" s="200">
        <f>(SUMIF(Fonctionnement[Affectation matrice],$AB$3,Fonctionnement[TVA acquittée])+SUMIF(Invest[Affectation matrice],$AB$3,Invest[TVA acquittée]))*BV16</f>
        <v>0</v>
      </c>
      <c r="CX16" s="200">
        <f>(SUMIF(Fonctionnement[Affectation matrice],$AB$3,Fonctionnement[TVA acquittée])+SUMIF(Invest[Affectation matrice],$AB$3,Invest[TVA acquittée]))*BW16</f>
        <v>0</v>
      </c>
      <c r="CY16" s="200">
        <f>(SUMIF(Fonctionnement[Affectation matrice],$AB$3,Fonctionnement[TVA acquittée])+SUMIF(Invest[Affectation matrice],$AB$3,Invest[TVA acquittée]))*BX16</f>
        <v>0</v>
      </c>
      <c r="CZ16" s="200">
        <f>(SUMIF(Fonctionnement[Affectation matrice],$AB$3,Fonctionnement[TVA acquittée])+SUMIF(Invest[Affectation matrice],$AB$3,Invest[TVA acquittée]))*BY16</f>
        <v>0</v>
      </c>
      <c r="DA16" s="200">
        <f>(SUMIF(Fonctionnement[Affectation matrice],$AB$3,Fonctionnement[TVA acquittée])+SUMIF(Invest[Affectation matrice],$AB$3,Invest[TVA acquittée]))*BZ16</f>
        <v>0</v>
      </c>
      <c r="DB16" s="200">
        <f>(SUMIF(Fonctionnement[Affectation matrice],$AB$3,Fonctionnement[TVA acquittée])+SUMIF(Invest[Affectation matrice],$AB$3,Invest[TVA acquittée]))*CA16</f>
        <v>0</v>
      </c>
    </row>
    <row r="17" spans="1:106" ht="12.75" hidden="1" customHeight="1" x14ac:dyDescent="0.25">
      <c r="A17" s="42">
        <f>Matrice[[#This Row],[Ligne de la matrice]]</f>
        <v>0</v>
      </c>
      <c r="B17" s="276">
        <f>(SUMIF(Fonctionnement[Affectation matrice],$AB$3,Fonctionnement[Montant (€HT)])+SUMIF(Invest[Affectation matrice],$AB$3,Invest[Amortissement HT + intérêts]))*BC17</f>
        <v>0</v>
      </c>
      <c r="C17" s="276">
        <f>(SUMIF(Fonctionnement[Affectation matrice],$AB$3,Fonctionnement[Montant (€HT)])+SUMIF(Invest[Affectation matrice],$AB$3,Invest[Amortissement HT + intérêts]))*BD17</f>
        <v>0</v>
      </c>
      <c r="D17" s="276">
        <f>(SUMIF(Fonctionnement[Affectation matrice],$AB$3,Fonctionnement[Montant (€HT)])+SUMIF(Invest[Affectation matrice],$AB$3,Invest[Amortissement HT + intérêts]))*BE17</f>
        <v>0</v>
      </c>
      <c r="E17" s="276">
        <f>(SUMIF(Fonctionnement[Affectation matrice],$AB$3,Fonctionnement[Montant (€HT)])+SUMIF(Invest[Affectation matrice],$AB$3,Invest[Amortissement HT + intérêts]))*BF17</f>
        <v>0</v>
      </c>
      <c r="F17" s="276">
        <f>(SUMIF(Fonctionnement[Affectation matrice],$AB$3,Fonctionnement[Montant (€HT)])+SUMIF(Invest[Affectation matrice],$AB$3,Invest[Amortissement HT + intérêts]))*BG17</f>
        <v>0</v>
      </c>
      <c r="G17" s="276">
        <f>(SUMIF(Fonctionnement[Affectation matrice],$AB$3,Fonctionnement[Montant (€HT)])+SUMIF(Invest[Affectation matrice],$AB$3,Invest[Amortissement HT + intérêts]))*BH17</f>
        <v>0</v>
      </c>
      <c r="H17" s="276">
        <f>(SUMIF(Fonctionnement[Affectation matrice],$AB$3,Fonctionnement[Montant (€HT)])+SUMIF(Invest[Affectation matrice],$AB$3,Invest[Amortissement HT + intérêts]))*BI17</f>
        <v>0</v>
      </c>
      <c r="I17" s="276">
        <f>(SUMIF(Fonctionnement[Affectation matrice],$AB$3,Fonctionnement[Montant (€HT)])+SUMIF(Invest[Affectation matrice],$AB$3,Invest[Amortissement HT + intérêts]))*BJ17</f>
        <v>0</v>
      </c>
      <c r="J17" s="276">
        <f>(SUMIF(Fonctionnement[Affectation matrice],$AB$3,Fonctionnement[Montant (€HT)])+SUMIF(Invest[Affectation matrice],$AB$3,Invest[Amortissement HT + intérêts]))*BK17</f>
        <v>0</v>
      </c>
      <c r="K17" s="276">
        <f>(SUMIF(Fonctionnement[Affectation matrice],$AB$3,Fonctionnement[Montant (€HT)])+SUMIF(Invest[Affectation matrice],$AB$3,Invest[Amortissement HT + intérêts]))*BL17</f>
        <v>0</v>
      </c>
      <c r="L17" s="276">
        <f>(SUMIF(Fonctionnement[Affectation matrice],$AB$3,Fonctionnement[Montant (€HT)])+SUMIF(Invest[Affectation matrice],$AB$3,Invest[Amortissement HT + intérêts]))*BM17</f>
        <v>0</v>
      </c>
      <c r="M17" s="276">
        <f>(SUMIF(Fonctionnement[Affectation matrice],$AB$3,Fonctionnement[Montant (€HT)])+SUMIF(Invest[Affectation matrice],$AB$3,Invest[Amortissement HT + intérêts]))*BN17</f>
        <v>0</v>
      </c>
      <c r="N17" s="276">
        <f>(SUMIF(Fonctionnement[Affectation matrice],$AB$3,Fonctionnement[Montant (€HT)])+SUMIF(Invest[Affectation matrice],$AB$3,Invest[Amortissement HT + intérêts]))*BO17</f>
        <v>0</v>
      </c>
      <c r="O17" s="276">
        <f>(SUMIF(Fonctionnement[Affectation matrice],$AB$3,Fonctionnement[Montant (€HT)])+SUMIF(Invest[Affectation matrice],$AB$3,Invest[Amortissement HT + intérêts]))*BP17</f>
        <v>0</v>
      </c>
      <c r="P17" s="276">
        <f>(SUMIF(Fonctionnement[Affectation matrice],$AB$3,Fonctionnement[Montant (€HT)])+SUMIF(Invest[Affectation matrice],$AB$3,Invest[Amortissement HT + intérêts]))*BQ17</f>
        <v>0</v>
      </c>
      <c r="Q17" s="276">
        <f>(SUMIF(Fonctionnement[Affectation matrice],$AB$3,Fonctionnement[Montant (€HT)])+SUMIF(Invest[Affectation matrice],$AB$3,Invest[Amortissement HT + intérêts]))*BR17</f>
        <v>0</v>
      </c>
      <c r="R17" s="276">
        <f>(SUMIF(Fonctionnement[Affectation matrice],$AB$3,Fonctionnement[Montant (€HT)])+SUMIF(Invest[Affectation matrice],$AB$3,Invest[Amortissement HT + intérêts]))*BS17</f>
        <v>0</v>
      </c>
      <c r="S17" s="276">
        <f>(SUMIF(Fonctionnement[Affectation matrice],$AB$3,Fonctionnement[Montant (€HT)])+SUMIF(Invest[Affectation matrice],$AB$3,Invest[Amortissement HT + intérêts]))*BT17</f>
        <v>0</v>
      </c>
      <c r="T17" s="276">
        <f>(SUMIF(Fonctionnement[Affectation matrice],$AB$3,Fonctionnement[Montant (€HT)])+SUMIF(Invest[Affectation matrice],$AB$3,Invest[Amortissement HT + intérêts]))*BU17</f>
        <v>0</v>
      </c>
      <c r="U17" s="276">
        <f>(SUMIF(Fonctionnement[Affectation matrice],$AB$3,Fonctionnement[Montant (€HT)])+SUMIF(Invest[Affectation matrice],$AB$3,Invest[Amortissement HT + intérêts]))*BV17</f>
        <v>0</v>
      </c>
      <c r="V17" s="276">
        <f>(SUMIF(Fonctionnement[Affectation matrice],$AB$3,Fonctionnement[Montant (€HT)])+SUMIF(Invest[Affectation matrice],$AB$3,Invest[Amortissement HT + intérêts]))*BW17</f>
        <v>0</v>
      </c>
      <c r="W17" s="276">
        <f>(SUMIF(Fonctionnement[Affectation matrice],$AB$3,Fonctionnement[Montant (€HT)])+SUMIF(Invest[Affectation matrice],$AB$3,Invest[Amortissement HT + intérêts]))*BX17</f>
        <v>0</v>
      </c>
      <c r="X17" s="276">
        <f>(SUMIF(Fonctionnement[Affectation matrice],$AB$3,Fonctionnement[Montant (€HT)])+SUMIF(Invest[Affectation matrice],$AB$3,Invest[Amortissement HT + intérêts]))*BY17</f>
        <v>0</v>
      </c>
      <c r="Y17" s="276">
        <f>(SUMIF(Fonctionnement[Affectation matrice],$AB$3,Fonctionnement[Montant (€HT)])+SUMIF(Invest[Affectation matrice],$AB$3,Invest[Amortissement HT + intérêts]))*BZ17</f>
        <v>0</v>
      </c>
      <c r="Z17" s="276">
        <f>(SUMIF(Fonctionnement[Affectation matrice],$AB$3,Fonctionnement[Montant (€HT)])+SUMIF(Invest[Affectation matrice],$AB$3,Invest[Amortissement HT + intérêts]))*CA17</f>
        <v>0</v>
      </c>
      <c r="AA17" s="199"/>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283">
        <f t="shared" si="4"/>
        <v>0</v>
      </c>
      <c r="BC17" s="61">
        <f t="shared" si="2"/>
        <v>0</v>
      </c>
      <c r="BD17" s="61">
        <f t="shared" si="2"/>
        <v>0</v>
      </c>
      <c r="BE17" s="61">
        <f t="shared" si="2"/>
        <v>0</v>
      </c>
      <c r="BF17" s="61">
        <f t="shared" si="2"/>
        <v>0</v>
      </c>
      <c r="BG17" s="61">
        <f t="shared" si="2"/>
        <v>0</v>
      </c>
      <c r="BH17" s="61">
        <f t="shared" si="2"/>
        <v>0</v>
      </c>
      <c r="BI17" s="61">
        <f t="shared" si="2"/>
        <v>0</v>
      </c>
      <c r="BJ17" s="61">
        <f t="shared" si="2"/>
        <v>0</v>
      </c>
      <c r="BK17" s="61">
        <f t="shared" si="2"/>
        <v>0</v>
      </c>
      <c r="BL17" s="61">
        <f t="shared" si="2"/>
        <v>0</v>
      </c>
      <c r="BM17" s="61">
        <f t="shared" si="2"/>
        <v>0</v>
      </c>
      <c r="BN17" s="61">
        <f t="shared" si="2"/>
        <v>0</v>
      </c>
      <c r="BO17" s="61">
        <f t="shared" si="2"/>
        <v>0</v>
      </c>
      <c r="BP17" s="61">
        <f t="shared" si="2"/>
        <v>0</v>
      </c>
      <c r="BQ17" s="61">
        <f t="shared" si="2"/>
        <v>0</v>
      </c>
      <c r="BR17" s="61">
        <f t="shared" si="2"/>
        <v>0</v>
      </c>
      <c r="BS17" s="61">
        <f t="shared" si="3"/>
        <v>0</v>
      </c>
      <c r="BT17" s="61">
        <f t="shared" si="3"/>
        <v>0</v>
      </c>
      <c r="BU17" s="61">
        <f t="shared" si="3"/>
        <v>0</v>
      </c>
      <c r="BV17" s="61">
        <f t="shared" si="3"/>
        <v>0</v>
      </c>
      <c r="BW17" s="61">
        <f t="shared" si="3"/>
        <v>0</v>
      </c>
      <c r="BX17" s="61">
        <f t="shared" si="3"/>
        <v>0</v>
      </c>
      <c r="BY17" s="61">
        <f t="shared" si="3"/>
        <v>0</v>
      </c>
      <c r="BZ17" s="61">
        <f t="shared" si="3"/>
        <v>0</v>
      </c>
      <c r="CA17" s="61">
        <f t="shared" si="3"/>
        <v>0</v>
      </c>
      <c r="CB17" s="61">
        <f t="shared" si="5"/>
        <v>0</v>
      </c>
      <c r="CD17" s="200">
        <f>(SUMIF(Fonctionnement[Affectation matrice],$AB$3,Fonctionnement[TVA acquittée])+SUMIF(Invest[Affectation matrice],$AB$3,Invest[TVA acquittée]))*BC17</f>
        <v>0</v>
      </c>
      <c r="CE17" s="200">
        <f>(SUMIF(Fonctionnement[Affectation matrice],$AB$3,Fonctionnement[TVA acquittée])+SUMIF(Invest[Affectation matrice],$AB$3,Invest[TVA acquittée]))*BD17</f>
        <v>0</v>
      </c>
      <c r="CF17" s="200">
        <f>(SUMIF(Fonctionnement[Affectation matrice],$AB$3,Fonctionnement[TVA acquittée])+SUMIF(Invest[Affectation matrice],$AB$3,Invest[TVA acquittée]))*BE17</f>
        <v>0</v>
      </c>
      <c r="CG17" s="200">
        <f>(SUMIF(Fonctionnement[Affectation matrice],$AB$3,Fonctionnement[TVA acquittée])+SUMIF(Invest[Affectation matrice],$AB$3,Invest[TVA acquittée]))*BF17</f>
        <v>0</v>
      </c>
      <c r="CH17" s="200">
        <f>(SUMIF(Fonctionnement[Affectation matrice],$AB$3,Fonctionnement[TVA acquittée])+SUMIF(Invest[Affectation matrice],$AB$3,Invest[TVA acquittée]))*BG17</f>
        <v>0</v>
      </c>
      <c r="CI17" s="200">
        <f>(SUMIF(Fonctionnement[Affectation matrice],$AB$3,Fonctionnement[TVA acquittée])+SUMIF(Invest[Affectation matrice],$AB$3,Invest[TVA acquittée]))*BH17</f>
        <v>0</v>
      </c>
      <c r="CJ17" s="200">
        <f>(SUMIF(Fonctionnement[Affectation matrice],$AB$3,Fonctionnement[TVA acquittée])+SUMIF(Invest[Affectation matrice],$AB$3,Invest[TVA acquittée]))*BI17</f>
        <v>0</v>
      </c>
      <c r="CK17" s="200">
        <f>(SUMIF(Fonctionnement[Affectation matrice],$AB$3,Fonctionnement[TVA acquittée])+SUMIF(Invest[Affectation matrice],$AB$3,Invest[TVA acquittée]))*BJ17</f>
        <v>0</v>
      </c>
      <c r="CL17" s="200">
        <f>(SUMIF(Fonctionnement[Affectation matrice],$AB$3,Fonctionnement[TVA acquittée])+SUMIF(Invest[Affectation matrice],$AB$3,Invest[TVA acquittée]))*BK17</f>
        <v>0</v>
      </c>
      <c r="CM17" s="200">
        <f>(SUMIF(Fonctionnement[Affectation matrice],$AB$3,Fonctionnement[TVA acquittée])+SUMIF(Invest[Affectation matrice],$AB$3,Invest[TVA acquittée]))*BL17</f>
        <v>0</v>
      </c>
      <c r="CN17" s="200">
        <f>(SUMIF(Fonctionnement[Affectation matrice],$AB$3,Fonctionnement[TVA acquittée])+SUMIF(Invest[Affectation matrice],$AB$3,Invest[TVA acquittée]))*BM17</f>
        <v>0</v>
      </c>
      <c r="CO17" s="200">
        <f>(SUMIF(Fonctionnement[Affectation matrice],$AB$3,Fonctionnement[TVA acquittée])+SUMIF(Invest[Affectation matrice],$AB$3,Invest[TVA acquittée]))*BN17</f>
        <v>0</v>
      </c>
      <c r="CP17" s="200">
        <f>(SUMIF(Fonctionnement[Affectation matrice],$AB$3,Fonctionnement[TVA acquittée])+SUMIF(Invest[Affectation matrice],$AB$3,Invest[TVA acquittée]))*BO17</f>
        <v>0</v>
      </c>
      <c r="CQ17" s="200">
        <f>(SUMIF(Fonctionnement[Affectation matrice],$AB$3,Fonctionnement[TVA acquittée])+SUMIF(Invest[Affectation matrice],$AB$3,Invest[TVA acquittée]))*BP17</f>
        <v>0</v>
      </c>
      <c r="CR17" s="200">
        <f>(SUMIF(Fonctionnement[Affectation matrice],$AB$3,Fonctionnement[TVA acquittée])+SUMIF(Invest[Affectation matrice],$AB$3,Invest[TVA acquittée]))*BQ17</f>
        <v>0</v>
      </c>
      <c r="CS17" s="200">
        <f>(SUMIF(Fonctionnement[Affectation matrice],$AB$3,Fonctionnement[TVA acquittée])+SUMIF(Invest[Affectation matrice],$AB$3,Invest[TVA acquittée]))*BR17</f>
        <v>0</v>
      </c>
      <c r="CT17" s="200">
        <f>(SUMIF(Fonctionnement[Affectation matrice],$AB$3,Fonctionnement[TVA acquittée])+SUMIF(Invest[Affectation matrice],$AB$3,Invest[TVA acquittée]))*BS17</f>
        <v>0</v>
      </c>
      <c r="CU17" s="200">
        <f>(SUMIF(Fonctionnement[Affectation matrice],$AB$3,Fonctionnement[TVA acquittée])+SUMIF(Invest[Affectation matrice],$AB$3,Invest[TVA acquittée]))*BT17</f>
        <v>0</v>
      </c>
      <c r="CV17" s="200">
        <f>(SUMIF(Fonctionnement[Affectation matrice],$AB$3,Fonctionnement[TVA acquittée])+SUMIF(Invest[Affectation matrice],$AB$3,Invest[TVA acquittée]))*BU17</f>
        <v>0</v>
      </c>
      <c r="CW17" s="200">
        <f>(SUMIF(Fonctionnement[Affectation matrice],$AB$3,Fonctionnement[TVA acquittée])+SUMIF(Invest[Affectation matrice],$AB$3,Invest[TVA acquittée]))*BV17</f>
        <v>0</v>
      </c>
      <c r="CX17" s="200">
        <f>(SUMIF(Fonctionnement[Affectation matrice],$AB$3,Fonctionnement[TVA acquittée])+SUMIF(Invest[Affectation matrice],$AB$3,Invest[TVA acquittée]))*BW17</f>
        <v>0</v>
      </c>
      <c r="CY17" s="200">
        <f>(SUMIF(Fonctionnement[Affectation matrice],$AB$3,Fonctionnement[TVA acquittée])+SUMIF(Invest[Affectation matrice],$AB$3,Invest[TVA acquittée]))*BX17</f>
        <v>0</v>
      </c>
      <c r="CZ17" s="200">
        <f>(SUMIF(Fonctionnement[Affectation matrice],$AB$3,Fonctionnement[TVA acquittée])+SUMIF(Invest[Affectation matrice],$AB$3,Invest[TVA acquittée]))*BY17</f>
        <v>0</v>
      </c>
      <c r="DA17" s="200">
        <f>(SUMIF(Fonctionnement[Affectation matrice],$AB$3,Fonctionnement[TVA acquittée])+SUMIF(Invest[Affectation matrice],$AB$3,Invest[TVA acquittée]))*BZ17</f>
        <v>0</v>
      </c>
      <c r="DB17" s="200">
        <f>(SUMIF(Fonctionnement[Affectation matrice],$AB$3,Fonctionnement[TVA acquittée])+SUMIF(Invest[Affectation matrice],$AB$3,Invest[TVA acquittée]))*CA17</f>
        <v>0</v>
      </c>
    </row>
    <row r="18" spans="1:106" ht="12.75" hidden="1" customHeight="1" x14ac:dyDescent="0.25">
      <c r="A18" s="42">
        <f>Matrice[[#This Row],[Ligne de la matrice]]</f>
        <v>0</v>
      </c>
      <c r="B18" s="276">
        <f>(SUMIF(Fonctionnement[Affectation matrice],$AB$3,Fonctionnement[Montant (€HT)])+SUMIF(Invest[Affectation matrice],$AB$3,Invest[Amortissement HT + intérêts]))*BC18</f>
        <v>0</v>
      </c>
      <c r="C18" s="276">
        <f>(SUMIF(Fonctionnement[Affectation matrice],$AB$3,Fonctionnement[Montant (€HT)])+SUMIF(Invest[Affectation matrice],$AB$3,Invest[Amortissement HT + intérêts]))*BD18</f>
        <v>0</v>
      </c>
      <c r="D18" s="276">
        <f>(SUMIF(Fonctionnement[Affectation matrice],$AB$3,Fonctionnement[Montant (€HT)])+SUMIF(Invest[Affectation matrice],$AB$3,Invest[Amortissement HT + intérêts]))*BE18</f>
        <v>0</v>
      </c>
      <c r="E18" s="276">
        <f>(SUMIF(Fonctionnement[Affectation matrice],$AB$3,Fonctionnement[Montant (€HT)])+SUMIF(Invest[Affectation matrice],$AB$3,Invest[Amortissement HT + intérêts]))*BF18</f>
        <v>0</v>
      </c>
      <c r="F18" s="276">
        <f>(SUMIF(Fonctionnement[Affectation matrice],$AB$3,Fonctionnement[Montant (€HT)])+SUMIF(Invest[Affectation matrice],$AB$3,Invest[Amortissement HT + intérêts]))*BG18</f>
        <v>0</v>
      </c>
      <c r="G18" s="276">
        <f>(SUMIF(Fonctionnement[Affectation matrice],$AB$3,Fonctionnement[Montant (€HT)])+SUMIF(Invest[Affectation matrice],$AB$3,Invest[Amortissement HT + intérêts]))*BH18</f>
        <v>0</v>
      </c>
      <c r="H18" s="276">
        <f>(SUMIF(Fonctionnement[Affectation matrice],$AB$3,Fonctionnement[Montant (€HT)])+SUMIF(Invest[Affectation matrice],$AB$3,Invest[Amortissement HT + intérêts]))*BI18</f>
        <v>0</v>
      </c>
      <c r="I18" s="276">
        <f>(SUMIF(Fonctionnement[Affectation matrice],$AB$3,Fonctionnement[Montant (€HT)])+SUMIF(Invest[Affectation matrice],$AB$3,Invest[Amortissement HT + intérêts]))*BJ18</f>
        <v>0</v>
      </c>
      <c r="J18" s="276">
        <f>(SUMIF(Fonctionnement[Affectation matrice],$AB$3,Fonctionnement[Montant (€HT)])+SUMIF(Invest[Affectation matrice],$AB$3,Invest[Amortissement HT + intérêts]))*BK18</f>
        <v>0</v>
      </c>
      <c r="K18" s="276">
        <f>(SUMIF(Fonctionnement[Affectation matrice],$AB$3,Fonctionnement[Montant (€HT)])+SUMIF(Invest[Affectation matrice],$AB$3,Invest[Amortissement HT + intérêts]))*BL18</f>
        <v>0</v>
      </c>
      <c r="L18" s="276">
        <f>(SUMIF(Fonctionnement[Affectation matrice],$AB$3,Fonctionnement[Montant (€HT)])+SUMIF(Invest[Affectation matrice],$AB$3,Invest[Amortissement HT + intérêts]))*BM18</f>
        <v>0</v>
      </c>
      <c r="M18" s="276">
        <f>(SUMIF(Fonctionnement[Affectation matrice],$AB$3,Fonctionnement[Montant (€HT)])+SUMIF(Invest[Affectation matrice],$AB$3,Invest[Amortissement HT + intérêts]))*BN18</f>
        <v>0</v>
      </c>
      <c r="N18" s="276">
        <f>(SUMIF(Fonctionnement[Affectation matrice],$AB$3,Fonctionnement[Montant (€HT)])+SUMIF(Invest[Affectation matrice],$AB$3,Invest[Amortissement HT + intérêts]))*BO18</f>
        <v>0</v>
      </c>
      <c r="O18" s="276">
        <f>(SUMIF(Fonctionnement[Affectation matrice],$AB$3,Fonctionnement[Montant (€HT)])+SUMIF(Invest[Affectation matrice],$AB$3,Invest[Amortissement HT + intérêts]))*BP18</f>
        <v>0</v>
      </c>
      <c r="P18" s="276">
        <f>(SUMIF(Fonctionnement[Affectation matrice],$AB$3,Fonctionnement[Montant (€HT)])+SUMIF(Invest[Affectation matrice],$AB$3,Invest[Amortissement HT + intérêts]))*BQ18</f>
        <v>0</v>
      </c>
      <c r="Q18" s="276">
        <f>(SUMIF(Fonctionnement[Affectation matrice],$AB$3,Fonctionnement[Montant (€HT)])+SUMIF(Invest[Affectation matrice],$AB$3,Invest[Amortissement HT + intérêts]))*BR18</f>
        <v>0</v>
      </c>
      <c r="R18" s="276">
        <f>(SUMIF(Fonctionnement[Affectation matrice],$AB$3,Fonctionnement[Montant (€HT)])+SUMIF(Invest[Affectation matrice],$AB$3,Invest[Amortissement HT + intérêts]))*BS18</f>
        <v>0</v>
      </c>
      <c r="S18" s="276">
        <f>(SUMIF(Fonctionnement[Affectation matrice],$AB$3,Fonctionnement[Montant (€HT)])+SUMIF(Invest[Affectation matrice],$AB$3,Invest[Amortissement HT + intérêts]))*BT18</f>
        <v>0</v>
      </c>
      <c r="T18" s="276">
        <f>(SUMIF(Fonctionnement[Affectation matrice],$AB$3,Fonctionnement[Montant (€HT)])+SUMIF(Invest[Affectation matrice],$AB$3,Invest[Amortissement HT + intérêts]))*BU18</f>
        <v>0</v>
      </c>
      <c r="U18" s="276">
        <f>(SUMIF(Fonctionnement[Affectation matrice],$AB$3,Fonctionnement[Montant (€HT)])+SUMIF(Invest[Affectation matrice],$AB$3,Invest[Amortissement HT + intérêts]))*BV18</f>
        <v>0</v>
      </c>
      <c r="V18" s="276">
        <f>(SUMIF(Fonctionnement[Affectation matrice],$AB$3,Fonctionnement[Montant (€HT)])+SUMIF(Invest[Affectation matrice],$AB$3,Invest[Amortissement HT + intérêts]))*BW18</f>
        <v>0</v>
      </c>
      <c r="W18" s="276">
        <f>(SUMIF(Fonctionnement[Affectation matrice],$AB$3,Fonctionnement[Montant (€HT)])+SUMIF(Invest[Affectation matrice],$AB$3,Invest[Amortissement HT + intérêts]))*BX18</f>
        <v>0</v>
      </c>
      <c r="X18" s="276">
        <f>(SUMIF(Fonctionnement[Affectation matrice],$AB$3,Fonctionnement[Montant (€HT)])+SUMIF(Invest[Affectation matrice],$AB$3,Invest[Amortissement HT + intérêts]))*BY18</f>
        <v>0</v>
      </c>
      <c r="Y18" s="276">
        <f>(SUMIF(Fonctionnement[Affectation matrice],$AB$3,Fonctionnement[Montant (€HT)])+SUMIF(Invest[Affectation matrice],$AB$3,Invest[Amortissement HT + intérêts]))*BZ18</f>
        <v>0</v>
      </c>
      <c r="Z18" s="276">
        <f>(SUMIF(Fonctionnement[Affectation matrice],$AB$3,Fonctionnement[Montant (€HT)])+SUMIF(Invest[Affectation matrice],$AB$3,Invest[Amortissement HT + intérêts]))*CA18</f>
        <v>0</v>
      </c>
      <c r="AA18" s="199"/>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283">
        <f t="shared" si="4"/>
        <v>0</v>
      </c>
      <c r="BC18" s="61">
        <f t="shared" si="2"/>
        <v>0</v>
      </c>
      <c r="BD18" s="61">
        <f t="shared" si="2"/>
        <v>0</v>
      </c>
      <c r="BE18" s="61">
        <f t="shared" si="2"/>
        <v>0</v>
      </c>
      <c r="BF18" s="61">
        <f t="shared" si="2"/>
        <v>0</v>
      </c>
      <c r="BG18" s="61">
        <f t="shared" si="2"/>
        <v>0</v>
      </c>
      <c r="BH18" s="61">
        <f t="shared" si="2"/>
        <v>0</v>
      </c>
      <c r="BI18" s="61">
        <f t="shared" si="2"/>
        <v>0</v>
      </c>
      <c r="BJ18" s="61">
        <f t="shared" si="2"/>
        <v>0</v>
      </c>
      <c r="BK18" s="61">
        <f t="shared" si="2"/>
        <v>0</v>
      </c>
      <c r="BL18" s="61">
        <f t="shared" si="2"/>
        <v>0</v>
      </c>
      <c r="BM18" s="61">
        <f t="shared" si="2"/>
        <v>0</v>
      </c>
      <c r="BN18" s="61">
        <f t="shared" si="2"/>
        <v>0</v>
      </c>
      <c r="BO18" s="61">
        <f t="shared" si="2"/>
        <v>0</v>
      </c>
      <c r="BP18" s="61">
        <f t="shared" si="2"/>
        <v>0</v>
      </c>
      <c r="BQ18" s="61">
        <f t="shared" si="2"/>
        <v>0</v>
      </c>
      <c r="BR18" s="61">
        <f t="shared" si="2"/>
        <v>0</v>
      </c>
      <c r="BS18" s="61">
        <f t="shared" si="3"/>
        <v>0</v>
      </c>
      <c r="BT18" s="61">
        <f t="shared" si="3"/>
        <v>0</v>
      </c>
      <c r="BU18" s="61">
        <f t="shared" si="3"/>
        <v>0</v>
      </c>
      <c r="BV18" s="61">
        <f t="shared" si="3"/>
        <v>0</v>
      </c>
      <c r="BW18" s="61">
        <f t="shared" si="3"/>
        <v>0</v>
      </c>
      <c r="BX18" s="61">
        <f t="shared" si="3"/>
        <v>0</v>
      </c>
      <c r="BY18" s="61">
        <f t="shared" si="3"/>
        <v>0</v>
      </c>
      <c r="BZ18" s="61">
        <f t="shared" si="3"/>
        <v>0</v>
      </c>
      <c r="CA18" s="61">
        <f t="shared" si="3"/>
        <v>0</v>
      </c>
      <c r="CB18" s="61">
        <f t="shared" si="5"/>
        <v>0</v>
      </c>
      <c r="CD18" s="200">
        <f>(SUMIF(Fonctionnement[Affectation matrice],$AB$3,Fonctionnement[TVA acquittée])+SUMIF(Invest[Affectation matrice],$AB$3,Invest[TVA acquittée]))*BC18</f>
        <v>0</v>
      </c>
      <c r="CE18" s="200">
        <f>(SUMIF(Fonctionnement[Affectation matrice],$AB$3,Fonctionnement[TVA acquittée])+SUMIF(Invest[Affectation matrice],$AB$3,Invest[TVA acquittée]))*BD18</f>
        <v>0</v>
      </c>
      <c r="CF18" s="200">
        <f>(SUMIF(Fonctionnement[Affectation matrice],$AB$3,Fonctionnement[TVA acquittée])+SUMIF(Invest[Affectation matrice],$AB$3,Invest[TVA acquittée]))*BE18</f>
        <v>0</v>
      </c>
      <c r="CG18" s="200">
        <f>(SUMIF(Fonctionnement[Affectation matrice],$AB$3,Fonctionnement[TVA acquittée])+SUMIF(Invest[Affectation matrice],$AB$3,Invest[TVA acquittée]))*BF18</f>
        <v>0</v>
      </c>
      <c r="CH18" s="200">
        <f>(SUMIF(Fonctionnement[Affectation matrice],$AB$3,Fonctionnement[TVA acquittée])+SUMIF(Invest[Affectation matrice],$AB$3,Invest[TVA acquittée]))*BG18</f>
        <v>0</v>
      </c>
      <c r="CI18" s="200">
        <f>(SUMIF(Fonctionnement[Affectation matrice],$AB$3,Fonctionnement[TVA acquittée])+SUMIF(Invest[Affectation matrice],$AB$3,Invest[TVA acquittée]))*BH18</f>
        <v>0</v>
      </c>
      <c r="CJ18" s="200">
        <f>(SUMIF(Fonctionnement[Affectation matrice],$AB$3,Fonctionnement[TVA acquittée])+SUMIF(Invest[Affectation matrice],$AB$3,Invest[TVA acquittée]))*BI18</f>
        <v>0</v>
      </c>
      <c r="CK18" s="200">
        <f>(SUMIF(Fonctionnement[Affectation matrice],$AB$3,Fonctionnement[TVA acquittée])+SUMIF(Invest[Affectation matrice],$AB$3,Invest[TVA acquittée]))*BJ18</f>
        <v>0</v>
      </c>
      <c r="CL18" s="200">
        <f>(SUMIF(Fonctionnement[Affectation matrice],$AB$3,Fonctionnement[TVA acquittée])+SUMIF(Invest[Affectation matrice],$AB$3,Invest[TVA acquittée]))*BK18</f>
        <v>0</v>
      </c>
      <c r="CM18" s="200">
        <f>(SUMIF(Fonctionnement[Affectation matrice],$AB$3,Fonctionnement[TVA acquittée])+SUMIF(Invest[Affectation matrice],$AB$3,Invest[TVA acquittée]))*BL18</f>
        <v>0</v>
      </c>
      <c r="CN18" s="200">
        <f>(SUMIF(Fonctionnement[Affectation matrice],$AB$3,Fonctionnement[TVA acquittée])+SUMIF(Invest[Affectation matrice],$AB$3,Invest[TVA acquittée]))*BM18</f>
        <v>0</v>
      </c>
      <c r="CO18" s="200">
        <f>(SUMIF(Fonctionnement[Affectation matrice],$AB$3,Fonctionnement[TVA acquittée])+SUMIF(Invest[Affectation matrice],$AB$3,Invest[TVA acquittée]))*BN18</f>
        <v>0</v>
      </c>
      <c r="CP18" s="200">
        <f>(SUMIF(Fonctionnement[Affectation matrice],$AB$3,Fonctionnement[TVA acquittée])+SUMIF(Invest[Affectation matrice],$AB$3,Invest[TVA acquittée]))*BO18</f>
        <v>0</v>
      </c>
      <c r="CQ18" s="200">
        <f>(SUMIF(Fonctionnement[Affectation matrice],$AB$3,Fonctionnement[TVA acquittée])+SUMIF(Invest[Affectation matrice],$AB$3,Invest[TVA acquittée]))*BP18</f>
        <v>0</v>
      </c>
      <c r="CR18" s="200">
        <f>(SUMIF(Fonctionnement[Affectation matrice],$AB$3,Fonctionnement[TVA acquittée])+SUMIF(Invest[Affectation matrice],$AB$3,Invest[TVA acquittée]))*BQ18</f>
        <v>0</v>
      </c>
      <c r="CS18" s="200">
        <f>(SUMIF(Fonctionnement[Affectation matrice],$AB$3,Fonctionnement[TVA acquittée])+SUMIF(Invest[Affectation matrice],$AB$3,Invest[TVA acquittée]))*BR18</f>
        <v>0</v>
      </c>
      <c r="CT18" s="200">
        <f>(SUMIF(Fonctionnement[Affectation matrice],$AB$3,Fonctionnement[TVA acquittée])+SUMIF(Invest[Affectation matrice],$AB$3,Invest[TVA acquittée]))*BS18</f>
        <v>0</v>
      </c>
      <c r="CU18" s="200">
        <f>(SUMIF(Fonctionnement[Affectation matrice],$AB$3,Fonctionnement[TVA acquittée])+SUMIF(Invest[Affectation matrice],$AB$3,Invest[TVA acquittée]))*BT18</f>
        <v>0</v>
      </c>
      <c r="CV18" s="200">
        <f>(SUMIF(Fonctionnement[Affectation matrice],$AB$3,Fonctionnement[TVA acquittée])+SUMIF(Invest[Affectation matrice],$AB$3,Invest[TVA acquittée]))*BU18</f>
        <v>0</v>
      </c>
      <c r="CW18" s="200">
        <f>(SUMIF(Fonctionnement[Affectation matrice],$AB$3,Fonctionnement[TVA acquittée])+SUMIF(Invest[Affectation matrice],$AB$3,Invest[TVA acquittée]))*BV18</f>
        <v>0</v>
      </c>
      <c r="CX18" s="200">
        <f>(SUMIF(Fonctionnement[Affectation matrice],$AB$3,Fonctionnement[TVA acquittée])+SUMIF(Invest[Affectation matrice],$AB$3,Invest[TVA acquittée]))*BW18</f>
        <v>0</v>
      </c>
      <c r="CY18" s="200">
        <f>(SUMIF(Fonctionnement[Affectation matrice],$AB$3,Fonctionnement[TVA acquittée])+SUMIF(Invest[Affectation matrice],$AB$3,Invest[TVA acquittée]))*BX18</f>
        <v>0</v>
      </c>
      <c r="CZ18" s="200">
        <f>(SUMIF(Fonctionnement[Affectation matrice],$AB$3,Fonctionnement[TVA acquittée])+SUMIF(Invest[Affectation matrice],$AB$3,Invest[TVA acquittée]))*BY18</f>
        <v>0</v>
      </c>
      <c r="DA18" s="200">
        <f>(SUMIF(Fonctionnement[Affectation matrice],$AB$3,Fonctionnement[TVA acquittée])+SUMIF(Invest[Affectation matrice],$AB$3,Invest[TVA acquittée]))*BZ18</f>
        <v>0</v>
      </c>
      <c r="DB18" s="200">
        <f>(SUMIF(Fonctionnement[Affectation matrice],$AB$3,Fonctionnement[TVA acquittée])+SUMIF(Invest[Affectation matrice],$AB$3,Invest[TVA acquittée]))*CA18</f>
        <v>0</v>
      </c>
    </row>
    <row r="19" spans="1:106" ht="12.75" hidden="1" customHeight="1" x14ac:dyDescent="0.25">
      <c r="A19" s="42">
        <f>Matrice[[#This Row],[Ligne de la matrice]]</f>
        <v>0</v>
      </c>
      <c r="B19" s="276">
        <f>(SUMIF(Fonctionnement[Affectation matrice],$AB$3,Fonctionnement[Montant (€HT)])+SUMIF(Invest[Affectation matrice],$AB$3,Invest[Amortissement HT + intérêts]))*BC19</f>
        <v>0</v>
      </c>
      <c r="C19" s="276">
        <f>(SUMIF(Fonctionnement[Affectation matrice],$AB$3,Fonctionnement[Montant (€HT)])+SUMIF(Invest[Affectation matrice],$AB$3,Invest[Amortissement HT + intérêts]))*BD19</f>
        <v>0</v>
      </c>
      <c r="D19" s="276">
        <f>(SUMIF(Fonctionnement[Affectation matrice],$AB$3,Fonctionnement[Montant (€HT)])+SUMIF(Invest[Affectation matrice],$AB$3,Invest[Amortissement HT + intérêts]))*BE19</f>
        <v>0</v>
      </c>
      <c r="E19" s="276">
        <f>(SUMIF(Fonctionnement[Affectation matrice],$AB$3,Fonctionnement[Montant (€HT)])+SUMIF(Invest[Affectation matrice],$AB$3,Invest[Amortissement HT + intérêts]))*BF19</f>
        <v>0</v>
      </c>
      <c r="F19" s="276">
        <f>(SUMIF(Fonctionnement[Affectation matrice],$AB$3,Fonctionnement[Montant (€HT)])+SUMIF(Invest[Affectation matrice],$AB$3,Invest[Amortissement HT + intérêts]))*BG19</f>
        <v>0</v>
      </c>
      <c r="G19" s="276">
        <f>(SUMIF(Fonctionnement[Affectation matrice],$AB$3,Fonctionnement[Montant (€HT)])+SUMIF(Invest[Affectation matrice],$AB$3,Invest[Amortissement HT + intérêts]))*BH19</f>
        <v>0</v>
      </c>
      <c r="H19" s="276">
        <f>(SUMIF(Fonctionnement[Affectation matrice],$AB$3,Fonctionnement[Montant (€HT)])+SUMIF(Invest[Affectation matrice],$AB$3,Invest[Amortissement HT + intérêts]))*BI19</f>
        <v>0</v>
      </c>
      <c r="I19" s="276">
        <f>(SUMIF(Fonctionnement[Affectation matrice],$AB$3,Fonctionnement[Montant (€HT)])+SUMIF(Invest[Affectation matrice],$AB$3,Invest[Amortissement HT + intérêts]))*BJ19</f>
        <v>0</v>
      </c>
      <c r="J19" s="276">
        <f>(SUMIF(Fonctionnement[Affectation matrice],$AB$3,Fonctionnement[Montant (€HT)])+SUMIF(Invest[Affectation matrice],$AB$3,Invest[Amortissement HT + intérêts]))*BK19</f>
        <v>0</v>
      </c>
      <c r="K19" s="276">
        <f>(SUMIF(Fonctionnement[Affectation matrice],$AB$3,Fonctionnement[Montant (€HT)])+SUMIF(Invest[Affectation matrice],$AB$3,Invest[Amortissement HT + intérêts]))*BL19</f>
        <v>0</v>
      </c>
      <c r="L19" s="276">
        <f>(SUMIF(Fonctionnement[Affectation matrice],$AB$3,Fonctionnement[Montant (€HT)])+SUMIF(Invest[Affectation matrice],$AB$3,Invest[Amortissement HT + intérêts]))*BM19</f>
        <v>0</v>
      </c>
      <c r="M19" s="276">
        <f>(SUMIF(Fonctionnement[Affectation matrice],$AB$3,Fonctionnement[Montant (€HT)])+SUMIF(Invest[Affectation matrice],$AB$3,Invest[Amortissement HT + intérêts]))*BN19</f>
        <v>0</v>
      </c>
      <c r="N19" s="276">
        <f>(SUMIF(Fonctionnement[Affectation matrice],$AB$3,Fonctionnement[Montant (€HT)])+SUMIF(Invest[Affectation matrice],$AB$3,Invest[Amortissement HT + intérêts]))*BO19</f>
        <v>0</v>
      </c>
      <c r="O19" s="276">
        <f>(SUMIF(Fonctionnement[Affectation matrice],$AB$3,Fonctionnement[Montant (€HT)])+SUMIF(Invest[Affectation matrice],$AB$3,Invest[Amortissement HT + intérêts]))*BP19</f>
        <v>0</v>
      </c>
      <c r="P19" s="276">
        <f>(SUMIF(Fonctionnement[Affectation matrice],$AB$3,Fonctionnement[Montant (€HT)])+SUMIF(Invest[Affectation matrice],$AB$3,Invest[Amortissement HT + intérêts]))*BQ19</f>
        <v>0</v>
      </c>
      <c r="Q19" s="276">
        <f>(SUMIF(Fonctionnement[Affectation matrice],$AB$3,Fonctionnement[Montant (€HT)])+SUMIF(Invest[Affectation matrice],$AB$3,Invest[Amortissement HT + intérêts]))*BR19</f>
        <v>0</v>
      </c>
      <c r="R19" s="276">
        <f>(SUMIF(Fonctionnement[Affectation matrice],$AB$3,Fonctionnement[Montant (€HT)])+SUMIF(Invest[Affectation matrice],$AB$3,Invest[Amortissement HT + intérêts]))*BS19</f>
        <v>0</v>
      </c>
      <c r="S19" s="276">
        <f>(SUMIF(Fonctionnement[Affectation matrice],$AB$3,Fonctionnement[Montant (€HT)])+SUMIF(Invest[Affectation matrice],$AB$3,Invest[Amortissement HT + intérêts]))*BT19</f>
        <v>0</v>
      </c>
      <c r="T19" s="276">
        <f>(SUMIF(Fonctionnement[Affectation matrice],$AB$3,Fonctionnement[Montant (€HT)])+SUMIF(Invest[Affectation matrice],$AB$3,Invest[Amortissement HT + intérêts]))*BU19</f>
        <v>0</v>
      </c>
      <c r="U19" s="276">
        <f>(SUMIF(Fonctionnement[Affectation matrice],$AB$3,Fonctionnement[Montant (€HT)])+SUMIF(Invest[Affectation matrice],$AB$3,Invest[Amortissement HT + intérêts]))*BV19</f>
        <v>0</v>
      </c>
      <c r="V19" s="276">
        <f>(SUMIF(Fonctionnement[Affectation matrice],$AB$3,Fonctionnement[Montant (€HT)])+SUMIF(Invest[Affectation matrice],$AB$3,Invest[Amortissement HT + intérêts]))*BW19</f>
        <v>0</v>
      </c>
      <c r="W19" s="276">
        <f>(SUMIF(Fonctionnement[Affectation matrice],$AB$3,Fonctionnement[Montant (€HT)])+SUMIF(Invest[Affectation matrice],$AB$3,Invest[Amortissement HT + intérêts]))*BX19</f>
        <v>0</v>
      </c>
      <c r="X19" s="276">
        <f>(SUMIF(Fonctionnement[Affectation matrice],$AB$3,Fonctionnement[Montant (€HT)])+SUMIF(Invest[Affectation matrice],$AB$3,Invest[Amortissement HT + intérêts]))*BY19</f>
        <v>0</v>
      </c>
      <c r="Y19" s="276">
        <f>(SUMIF(Fonctionnement[Affectation matrice],$AB$3,Fonctionnement[Montant (€HT)])+SUMIF(Invest[Affectation matrice],$AB$3,Invest[Amortissement HT + intérêts]))*BZ19</f>
        <v>0</v>
      </c>
      <c r="Z19" s="276">
        <f>(SUMIF(Fonctionnement[Affectation matrice],$AB$3,Fonctionnement[Montant (€HT)])+SUMIF(Invest[Affectation matrice],$AB$3,Invest[Amortissement HT + intérêts]))*CA19</f>
        <v>0</v>
      </c>
      <c r="AA19" s="199"/>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283">
        <f t="shared" si="4"/>
        <v>0</v>
      </c>
      <c r="BC19" s="61">
        <f t="shared" si="2"/>
        <v>0</v>
      </c>
      <c r="BD19" s="61">
        <f t="shared" si="2"/>
        <v>0</v>
      </c>
      <c r="BE19" s="61">
        <f t="shared" si="2"/>
        <v>0</v>
      </c>
      <c r="BF19" s="61">
        <f t="shared" si="2"/>
        <v>0</v>
      </c>
      <c r="BG19" s="61">
        <f t="shared" si="2"/>
        <v>0</v>
      </c>
      <c r="BH19" s="61">
        <f t="shared" si="2"/>
        <v>0</v>
      </c>
      <c r="BI19" s="61">
        <f t="shared" si="2"/>
        <v>0</v>
      </c>
      <c r="BJ19" s="61">
        <f t="shared" si="2"/>
        <v>0</v>
      </c>
      <c r="BK19" s="61">
        <f t="shared" si="2"/>
        <v>0</v>
      </c>
      <c r="BL19" s="61">
        <f t="shared" si="2"/>
        <v>0</v>
      </c>
      <c r="BM19" s="61">
        <f t="shared" si="2"/>
        <v>0</v>
      </c>
      <c r="BN19" s="61">
        <f t="shared" si="2"/>
        <v>0</v>
      </c>
      <c r="BO19" s="61">
        <f t="shared" si="2"/>
        <v>0</v>
      </c>
      <c r="BP19" s="61">
        <f t="shared" si="2"/>
        <v>0</v>
      </c>
      <c r="BQ19" s="61">
        <f t="shared" si="2"/>
        <v>0</v>
      </c>
      <c r="BR19" s="61">
        <f t="shared" si="2"/>
        <v>0</v>
      </c>
      <c r="BS19" s="61">
        <f t="shared" si="3"/>
        <v>0</v>
      </c>
      <c r="BT19" s="61">
        <f t="shared" si="3"/>
        <v>0</v>
      </c>
      <c r="BU19" s="61">
        <f t="shared" si="3"/>
        <v>0</v>
      </c>
      <c r="BV19" s="61">
        <f t="shared" si="3"/>
        <v>0</v>
      </c>
      <c r="BW19" s="61">
        <f t="shared" si="3"/>
        <v>0</v>
      </c>
      <c r="BX19" s="61">
        <f t="shared" si="3"/>
        <v>0</v>
      </c>
      <c r="BY19" s="61">
        <f t="shared" si="3"/>
        <v>0</v>
      </c>
      <c r="BZ19" s="61">
        <f t="shared" si="3"/>
        <v>0</v>
      </c>
      <c r="CA19" s="61">
        <f t="shared" si="3"/>
        <v>0</v>
      </c>
      <c r="CB19" s="61">
        <f t="shared" si="5"/>
        <v>0</v>
      </c>
      <c r="CD19" s="200">
        <f>(SUMIF(Fonctionnement[Affectation matrice],$AB$3,Fonctionnement[TVA acquittée])+SUMIF(Invest[Affectation matrice],$AB$3,Invest[TVA acquittée]))*BC19</f>
        <v>0</v>
      </c>
      <c r="CE19" s="200">
        <f>(SUMIF(Fonctionnement[Affectation matrice],$AB$3,Fonctionnement[TVA acquittée])+SUMIF(Invest[Affectation matrice],$AB$3,Invest[TVA acquittée]))*BD19</f>
        <v>0</v>
      </c>
      <c r="CF19" s="200">
        <f>(SUMIF(Fonctionnement[Affectation matrice],$AB$3,Fonctionnement[TVA acquittée])+SUMIF(Invest[Affectation matrice],$AB$3,Invest[TVA acquittée]))*BE19</f>
        <v>0</v>
      </c>
      <c r="CG19" s="200">
        <f>(SUMIF(Fonctionnement[Affectation matrice],$AB$3,Fonctionnement[TVA acquittée])+SUMIF(Invest[Affectation matrice],$AB$3,Invest[TVA acquittée]))*BF19</f>
        <v>0</v>
      </c>
      <c r="CH19" s="200">
        <f>(SUMIF(Fonctionnement[Affectation matrice],$AB$3,Fonctionnement[TVA acquittée])+SUMIF(Invest[Affectation matrice],$AB$3,Invest[TVA acquittée]))*BG19</f>
        <v>0</v>
      </c>
      <c r="CI19" s="200">
        <f>(SUMIF(Fonctionnement[Affectation matrice],$AB$3,Fonctionnement[TVA acquittée])+SUMIF(Invest[Affectation matrice],$AB$3,Invest[TVA acquittée]))*BH19</f>
        <v>0</v>
      </c>
      <c r="CJ19" s="200">
        <f>(SUMIF(Fonctionnement[Affectation matrice],$AB$3,Fonctionnement[TVA acquittée])+SUMIF(Invest[Affectation matrice],$AB$3,Invest[TVA acquittée]))*BI19</f>
        <v>0</v>
      </c>
      <c r="CK19" s="200">
        <f>(SUMIF(Fonctionnement[Affectation matrice],$AB$3,Fonctionnement[TVA acquittée])+SUMIF(Invest[Affectation matrice],$AB$3,Invest[TVA acquittée]))*BJ19</f>
        <v>0</v>
      </c>
      <c r="CL19" s="200">
        <f>(SUMIF(Fonctionnement[Affectation matrice],$AB$3,Fonctionnement[TVA acquittée])+SUMIF(Invest[Affectation matrice],$AB$3,Invest[TVA acquittée]))*BK19</f>
        <v>0</v>
      </c>
      <c r="CM19" s="200">
        <f>(SUMIF(Fonctionnement[Affectation matrice],$AB$3,Fonctionnement[TVA acquittée])+SUMIF(Invest[Affectation matrice],$AB$3,Invest[TVA acquittée]))*BL19</f>
        <v>0</v>
      </c>
      <c r="CN19" s="200">
        <f>(SUMIF(Fonctionnement[Affectation matrice],$AB$3,Fonctionnement[TVA acquittée])+SUMIF(Invest[Affectation matrice],$AB$3,Invest[TVA acquittée]))*BM19</f>
        <v>0</v>
      </c>
      <c r="CO19" s="200">
        <f>(SUMIF(Fonctionnement[Affectation matrice],$AB$3,Fonctionnement[TVA acquittée])+SUMIF(Invest[Affectation matrice],$AB$3,Invest[TVA acquittée]))*BN19</f>
        <v>0</v>
      </c>
      <c r="CP19" s="200">
        <f>(SUMIF(Fonctionnement[Affectation matrice],$AB$3,Fonctionnement[TVA acquittée])+SUMIF(Invest[Affectation matrice],$AB$3,Invest[TVA acquittée]))*BO19</f>
        <v>0</v>
      </c>
      <c r="CQ19" s="200">
        <f>(SUMIF(Fonctionnement[Affectation matrice],$AB$3,Fonctionnement[TVA acquittée])+SUMIF(Invest[Affectation matrice],$AB$3,Invest[TVA acquittée]))*BP19</f>
        <v>0</v>
      </c>
      <c r="CR19" s="200">
        <f>(SUMIF(Fonctionnement[Affectation matrice],$AB$3,Fonctionnement[TVA acquittée])+SUMIF(Invest[Affectation matrice],$AB$3,Invest[TVA acquittée]))*BQ19</f>
        <v>0</v>
      </c>
      <c r="CS19" s="200">
        <f>(SUMIF(Fonctionnement[Affectation matrice],$AB$3,Fonctionnement[TVA acquittée])+SUMIF(Invest[Affectation matrice],$AB$3,Invest[TVA acquittée]))*BR19</f>
        <v>0</v>
      </c>
      <c r="CT19" s="200">
        <f>(SUMIF(Fonctionnement[Affectation matrice],$AB$3,Fonctionnement[TVA acquittée])+SUMIF(Invest[Affectation matrice],$AB$3,Invest[TVA acquittée]))*BS19</f>
        <v>0</v>
      </c>
      <c r="CU19" s="200">
        <f>(SUMIF(Fonctionnement[Affectation matrice],$AB$3,Fonctionnement[TVA acquittée])+SUMIF(Invest[Affectation matrice],$AB$3,Invest[TVA acquittée]))*BT19</f>
        <v>0</v>
      </c>
      <c r="CV19" s="200">
        <f>(SUMIF(Fonctionnement[Affectation matrice],$AB$3,Fonctionnement[TVA acquittée])+SUMIF(Invest[Affectation matrice],$AB$3,Invest[TVA acquittée]))*BU19</f>
        <v>0</v>
      </c>
      <c r="CW19" s="200">
        <f>(SUMIF(Fonctionnement[Affectation matrice],$AB$3,Fonctionnement[TVA acquittée])+SUMIF(Invest[Affectation matrice],$AB$3,Invest[TVA acquittée]))*BV19</f>
        <v>0</v>
      </c>
      <c r="CX19" s="200">
        <f>(SUMIF(Fonctionnement[Affectation matrice],$AB$3,Fonctionnement[TVA acquittée])+SUMIF(Invest[Affectation matrice],$AB$3,Invest[TVA acquittée]))*BW19</f>
        <v>0</v>
      </c>
      <c r="CY19" s="200">
        <f>(SUMIF(Fonctionnement[Affectation matrice],$AB$3,Fonctionnement[TVA acquittée])+SUMIF(Invest[Affectation matrice],$AB$3,Invest[TVA acquittée]))*BX19</f>
        <v>0</v>
      </c>
      <c r="CZ19" s="200">
        <f>(SUMIF(Fonctionnement[Affectation matrice],$AB$3,Fonctionnement[TVA acquittée])+SUMIF(Invest[Affectation matrice],$AB$3,Invest[TVA acquittée]))*BY19</f>
        <v>0</v>
      </c>
      <c r="DA19" s="200">
        <f>(SUMIF(Fonctionnement[Affectation matrice],$AB$3,Fonctionnement[TVA acquittée])+SUMIF(Invest[Affectation matrice],$AB$3,Invest[TVA acquittée]))*BZ19</f>
        <v>0</v>
      </c>
      <c r="DB19" s="200">
        <f>(SUMIF(Fonctionnement[Affectation matrice],$AB$3,Fonctionnement[TVA acquittée])+SUMIF(Invest[Affectation matrice],$AB$3,Invest[TVA acquittée]))*CA19</f>
        <v>0</v>
      </c>
    </row>
    <row r="20" spans="1:106" ht="12.75" hidden="1" customHeight="1" x14ac:dyDescent="0.25">
      <c r="A20" s="42">
        <f>Matrice[[#This Row],[Ligne de la matrice]]</f>
        <v>0</v>
      </c>
      <c r="B20" s="276">
        <f>(SUMIF(Fonctionnement[Affectation matrice],$AB$3,Fonctionnement[Montant (€HT)])+SUMIF(Invest[Affectation matrice],$AB$3,Invest[Amortissement HT + intérêts]))*BC20</f>
        <v>0</v>
      </c>
      <c r="C20" s="276">
        <f>(SUMIF(Fonctionnement[Affectation matrice],$AB$3,Fonctionnement[Montant (€HT)])+SUMIF(Invest[Affectation matrice],$AB$3,Invest[Amortissement HT + intérêts]))*BD20</f>
        <v>0</v>
      </c>
      <c r="D20" s="276">
        <f>(SUMIF(Fonctionnement[Affectation matrice],$AB$3,Fonctionnement[Montant (€HT)])+SUMIF(Invest[Affectation matrice],$AB$3,Invest[Amortissement HT + intérêts]))*BE20</f>
        <v>0</v>
      </c>
      <c r="E20" s="276">
        <f>(SUMIF(Fonctionnement[Affectation matrice],$AB$3,Fonctionnement[Montant (€HT)])+SUMIF(Invest[Affectation matrice],$AB$3,Invest[Amortissement HT + intérêts]))*BF20</f>
        <v>0</v>
      </c>
      <c r="F20" s="276">
        <f>(SUMIF(Fonctionnement[Affectation matrice],$AB$3,Fonctionnement[Montant (€HT)])+SUMIF(Invest[Affectation matrice],$AB$3,Invest[Amortissement HT + intérêts]))*BG20</f>
        <v>0</v>
      </c>
      <c r="G20" s="276">
        <f>(SUMIF(Fonctionnement[Affectation matrice],$AB$3,Fonctionnement[Montant (€HT)])+SUMIF(Invest[Affectation matrice],$AB$3,Invest[Amortissement HT + intérêts]))*BH20</f>
        <v>0</v>
      </c>
      <c r="H20" s="276">
        <f>(SUMIF(Fonctionnement[Affectation matrice],$AB$3,Fonctionnement[Montant (€HT)])+SUMIF(Invest[Affectation matrice],$AB$3,Invest[Amortissement HT + intérêts]))*BI20</f>
        <v>0</v>
      </c>
      <c r="I20" s="276">
        <f>(SUMIF(Fonctionnement[Affectation matrice],$AB$3,Fonctionnement[Montant (€HT)])+SUMIF(Invest[Affectation matrice],$AB$3,Invest[Amortissement HT + intérêts]))*BJ20</f>
        <v>0</v>
      </c>
      <c r="J20" s="276">
        <f>(SUMIF(Fonctionnement[Affectation matrice],$AB$3,Fonctionnement[Montant (€HT)])+SUMIF(Invest[Affectation matrice],$AB$3,Invest[Amortissement HT + intérêts]))*BK20</f>
        <v>0</v>
      </c>
      <c r="K20" s="276">
        <f>(SUMIF(Fonctionnement[Affectation matrice],$AB$3,Fonctionnement[Montant (€HT)])+SUMIF(Invest[Affectation matrice],$AB$3,Invest[Amortissement HT + intérêts]))*BL20</f>
        <v>0</v>
      </c>
      <c r="L20" s="276">
        <f>(SUMIF(Fonctionnement[Affectation matrice],$AB$3,Fonctionnement[Montant (€HT)])+SUMIF(Invest[Affectation matrice],$AB$3,Invest[Amortissement HT + intérêts]))*BM20</f>
        <v>0</v>
      </c>
      <c r="M20" s="276">
        <f>(SUMIF(Fonctionnement[Affectation matrice],$AB$3,Fonctionnement[Montant (€HT)])+SUMIF(Invest[Affectation matrice],$AB$3,Invest[Amortissement HT + intérêts]))*BN20</f>
        <v>0</v>
      </c>
      <c r="N20" s="276">
        <f>(SUMIF(Fonctionnement[Affectation matrice],$AB$3,Fonctionnement[Montant (€HT)])+SUMIF(Invest[Affectation matrice],$AB$3,Invest[Amortissement HT + intérêts]))*BO20</f>
        <v>0</v>
      </c>
      <c r="O20" s="276">
        <f>(SUMIF(Fonctionnement[Affectation matrice],$AB$3,Fonctionnement[Montant (€HT)])+SUMIF(Invest[Affectation matrice],$AB$3,Invest[Amortissement HT + intérêts]))*BP20</f>
        <v>0</v>
      </c>
      <c r="P20" s="276">
        <f>(SUMIF(Fonctionnement[Affectation matrice],$AB$3,Fonctionnement[Montant (€HT)])+SUMIF(Invest[Affectation matrice],$AB$3,Invest[Amortissement HT + intérêts]))*BQ20</f>
        <v>0</v>
      </c>
      <c r="Q20" s="276">
        <f>(SUMIF(Fonctionnement[Affectation matrice],$AB$3,Fonctionnement[Montant (€HT)])+SUMIF(Invest[Affectation matrice],$AB$3,Invest[Amortissement HT + intérêts]))*BR20</f>
        <v>0</v>
      </c>
      <c r="R20" s="276">
        <f>(SUMIF(Fonctionnement[Affectation matrice],$AB$3,Fonctionnement[Montant (€HT)])+SUMIF(Invest[Affectation matrice],$AB$3,Invest[Amortissement HT + intérêts]))*BS20</f>
        <v>0</v>
      </c>
      <c r="S20" s="276">
        <f>(SUMIF(Fonctionnement[Affectation matrice],$AB$3,Fonctionnement[Montant (€HT)])+SUMIF(Invest[Affectation matrice],$AB$3,Invest[Amortissement HT + intérêts]))*BT20</f>
        <v>0</v>
      </c>
      <c r="T20" s="276">
        <f>(SUMIF(Fonctionnement[Affectation matrice],$AB$3,Fonctionnement[Montant (€HT)])+SUMIF(Invest[Affectation matrice],$AB$3,Invest[Amortissement HT + intérêts]))*BU20</f>
        <v>0</v>
      </c>
      <c r="U20" s="276">
        <f>(SUMIF(Fonctionnement[Affectation matrice],$AB$3,Fonctionnement[Montant (€HT)])+SUMIF(Invest[Affectation matrice],$AB$3,Invest[Amortissement HT + intérêts]))*BV20</f>
        <v>0</v>
      </c>
      <c r="V20" s="276">
        <f>(SUMIF(Fonctionnement[Affectation matrice],$AB$3,Fonctionnement[Montant (€HT)])+SUMIF(Invest[Affectation matrice],$AB$3,Invest[Amortissement HT + intérêts]))*BW20</f>
        <v>0</v>
      </c>
      <c r="W20" s="276">
        <f>(SUMIF(Fonctionnement[Affectation matrice],$AB$3,Fonctionnement[Montant (€HT)])+SUMIF(Invest[Affectation matrice],$AB$3,Invest[Amortissement HT + intérêts]))*BX20</f>
        <v>0</v>
      </c>
      <c r="X20" s="276">
        <f>(SUMIF(Fonctionnement[Affectation matrice],$AB$3,Fonctionnement[Montant (€HT)])+SUMIF(Invest[Affectation matrice],$AB$3,Invest[Amortissement HT + intérêts]))*BY20</f>
        <v>0</v>
      </c>
      <c r="Y20" s="276">
        <f>(SUMIF(Fonctionnement[Affectation matrice],$AB$3,Fonctionnement[Montant (€HT)])+SUMIF(Invest[Affectation matrice],$AB$3,Invest[Amortissement HT + intérêts]))*BZ20</f>
        <v>0</v>
      </c>
      <c r="Z20" s="276">
        <f>(SUMIF(Fonctionnement[Affectation matrice],$AB$3,Fonctionnement[Montant (€HT)])+SUMIF(Invest[Affectation matrice],$AB$3,Invest[Amortissement HT + intérêts]))*CA20</f>
        <v>0</v>
      </c>
      <c r="AA20" s="199"/>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283">
        <f t="shared" si="4"/>
        <v>0</v>
      </c>
      <c r="BC20" s="61">
        <f t="shared" si="2"/>
        <v>0</v>
      </c>
      <c r="BD20" s="61">
        <f t="shared" si="2"/>
        <v>0</v>
      </c>
      <c r="BE20" s="61">
        <f t="shared" si="2"/>
        <v>0</v>
      </c>
      <c r="BF20" s="61">
        <f t="shared" si="2"/>
        <v>0</v>
      </c>
      <c r="BG20" s="61">
        <f t="shared" si="2"/>
        <v>0</v>
      </c>
      <c r="BH20" s="61">
        <f t="shared" si="2"/>
        <v>0</v>
      </c>
      <c r="BI20" s="61">
        <f t="shared" si="2"/>
        <v>0</v>
      </c>
      <c r="BJ20" s="61">
        <f t="shared" si="2"/>
        <v>0</v>
      </c>
      <c r="BK20" s="61">
        <f t="shared" si="2"/>
        <v>0</v>
      </c>
      <c r="BL20" s="61">
        <f t="shared" si="2"/>
        <v>0</v>
      </c>
      <c r="BM20" s="61">
        <f t="shared" si="2"/>
        <v>0</v>
      </c>
      <c r="BN20" s="61">
        <f t="shared" si="2"/>
        <v>0</v>
      </c>
      <c r="BO20" s="61">
        <f t="shared" si="2"/>
        <v>0</v>
      </c>
      <c r="BP20" s="61">
        <f t="shared" si="2"/>
        <v>0</v>
      </c>
      <c r="BQ20" s="61">
        <f t="shared" si="2"/>
        <v>0</v>
      </c>
      <c r="BR20" s="61">
        <f t="shared" ref="BR20:BR22" si="6">IF($BA$53=0,0,AQ20/$BA$53)</f>
        <v>0</v>
      </c>
      <c r="BS20" s="61">
        <f t="shared" si="3"/>
        <v>0</v>
      </c>
      <c r="BT20" s="61">
        <f t="shared" si="3"/>
        <v>0</v>
      </c>
      <c r="BU20" s="61">
        <f t="shared" si="3"/>
        <v>0</v>
      </c>
      <c r="BV20" s="61">
        <f t="shared" si="3"/>
        <v>0</v>
      </c>
      <c r="BW20" s="61">
        <f t="shared" si="3"/>
        <v>0</v>
      </c>
      <c r="BX20" s="61">
        <f t="shared" si="3"/>
        <v>0</v>
      </c>
      <c r="BY20" s="61">
        <f t="shared" si="3"/>
        <v>0</v>
      </c>
      <c r="BZ20" s="61">
        <f t="shared" si="3"/>
        <v>0</v>
      </c>
      <c r="CA20" s="61">
        <f t="shared" si="3"/>
        <v>0</v>
      </c>
      <c r="CB20" s="61">
        <f t="shared" si="5"/>
        <v>0</v>
      </c>
      <c r="CD20" s="200">
        <f>(SUMIF(Fonctionnement[Affectation matrice],$AB$3,Fonctionnement[TVA acquittée])+SUMIF(Invest[Affectation matrice],$AB$3,Invest[TVA acquittée]))*BC20</f>
        <v>0</v>
      </c>
      <c r="CE20" s="200">
        <f>(SUMIF(Fonctionnement[Affectation matrice],$AB$3,Fonctionnement[TVA acquittée])+SUMIF(Invest[Affectation matrice],$AB$3,Invest[TVA acquittée]))*BD20</f>
        <v>0</v>
      </c>
      <c r="CF20" s="200">
        <f>(SUMIF(Fonctionnement[Affectation matrice],$AB$3,Fonctionnement[TVA acquittée])+SUMIF(Invest[Affectation matrice],$AB$3,Invest[TVA acquittée]))*BE20</f>
        <v>0</v>
      </c>
      <c r="CG20" s="200">
        <f>(SUMIF(Fonctionnement[Affectation matrice],$AB$3,Fonctionnement[TVA acquittée])+SUMIF(Invest[Affectation matrice],$AB$3,Invest[TVA acquittée]))*BF20</f>
        <v>0</v>
      </c>
      <c r="CH20" s="200">
        <f>(SUMIF(Fonctionnement[Affectation matrice],$AB$3,Fonctionnement[TVA acquittée])+SUMIF(Invest[Affectation matrice],$AB$3,Invest[TVA acquittée]))*BG20</f>
        <v>0</v>
      </c>
      <c r="CI20" s="200">
        <f>(SUMIF(Fonctionnement[Affectation matrice],$AB$3,Fonctionnement[TVA acquittée])+SUMIF(Invest[Affectation matrice],$AB$3,Invest[TVA acquittée]))*BH20</f>
        <v>0</v>
      </c>
      <c r="CJ20" s="200">
        <f>(SUMIF(Fonctionnement[Affectation matrice],$AB$3,Fonctionnement[TVA acquittée])+SUMIF(Invest[Affectation matrice],$AB$3,Invest[TVA acquittée]))*BI20</f>
        <v>0</v>
      </c>
      <c r="CK20" s="200">
        <f>(SUMIF(Fonctionnement[Affectation matrice],$AB$3,Fonctionnement[TVA acquittée])+SUMIF(Invest[Affectation matrice],$AB$3,Invest[TVA acquittée]))*BJ20</f>
        <v>0</v>
      </c>
      <c r="CL20" s="200">
        <f>(SUMIF(Fonctionnement[Affectation matrice],$AB$3,Fonctionnement[TVA acquittée])+SUMIF(Invest[Affectation matrice],$AB$3,Invest[TVA acquittée]))*BK20</f>
        <v>0</v>
      </c>
      <c r="CM20" s="200">
        <f>(SUMIF(Fonctionnement[Affectation matrice],$AB$3,Fonctionnement[TVA acquittée])+SUMIF(Invest[Affectation matrice],$AB$3,Invest[TVA acquittée]))*BL20</f>
        <v>0</v>
      </c>
      <c r="CN20" s="200">
        <f>(SUMIF(Fonctionnement[Affectation matrice],$AB$3,Fonctionnement[TVA acquittée])+SUMIF(Invest[Affectation matrice],$AB$3,Invest[TVA acquittée]))*BM20</f>
        <v>0</v>
      </c>
      <c r="CO20" s="200">
        <f>(SUMIF(Fonctionnement[Affectation matrice],$AB$3,Fonctionnement[TVA acquittée])+SUMIF(Invest[Affectation matrice],$AB$3,Invest[TVA acquittée]))*BN20</f>
        <v>0</v>
      </c>
      <c r="CP20" s="200">
        <f>(SUMIF(Fonctionnement[Affectation matrice],$AB$3,Fonctionnement[TVA acquittée])+SUMIF(Invest[Affectation matrice],$AB$3,Invest[TVA acquittée]))*BO20</f>
        <v>0</v>
      </c>
      <c r="CQ20" s="200">
        <f>(SUMIF(Fonctionnement[Affectation matrice],$AB$3,Fonctionnement[TVA acquittée])+SUMIF(Invest[Affectation matrice],$AB$3,Invest[TVA acquittée]))*BP20</f>
        <v>0</v>
      </c>
      <c r="CR20" s="200">
        <f>(SUMIF(Fonctionnement[Affectation matrice],$AB$3,Fonctionnement[TVA acquittée])+SUMIF(Invest[Affectation matrice],$AB$3,Invest[TVA acquittée]))*BQ20</f>
        <v>0</v>
      </c>
      <c r="CS20" s="200">
        <f>(SUMIF(Fonctionnement[Affectation matrice],$AB$3,Fonctionnement[TVA acquittée])+SUMIF(Invest[Affectation matrice],$AB$3,Invest[TVA acquittée]))*BR20</f>
        <v>0</v>
      </c>
      <c r="CT20" s="200">
        <f>(SUMIF(Fonctionnement[Affectation matrice],$AB$3,Fonctionnement[TVA acquittée])+SUMIF(Invest[Affectation matrice],$AB$3,Invest[TVA acquittée]))*BS20</f>
        <v>0</v>
      </c>
      <c r="CU20" s="200">
        <f>(SUMIF(Fonctionnement[Affectation matrice],$AB$3,Fonctionnement[TVA acquittée])+SUMIF(Invest[Affectation matrice],$AB$3,Invest[TVA acquittée]))*BT20</f>
        <v>0</v>
      </c>
      <c r="CV20" s="200">
        <f>(SUMIF(Fonctionnement[Affectation matrice],$AB$3,Fonctionnement[TVA acquittée])+SUMIF(Invest[Affectation matrice],$AB$3,Invest[TVA acquittée]))*BU20</f>
        <v>0</v>
      </c>
      <c r="CW20" s="200">
        <f>(SUMIF(Fonctionnement[Affectation matrice],$AB$3,Fonctionnement[TVA acquittée])+SUMIF(Invest[Affectation matrice],$AB$3,Invest[TVA acquittée]))*BV20</f>
        <v>0</v>
      </c>
      <c r="CX20" s="200">
        <f>(SUMIF(Fonctionnement[Affectation matrice],$AB$3,Fonctionnement[TVA acquittée])+SUMIF(Invest[Affectation matrice],$AB$3,Invest[TVA acquittée]))*BW20</f>
        <v>0</v>
      </c>
      <c r="CY20" s="200">
        <f>(SUMIF(Fonctionnement[Affectation matrice],$AB$3,Fonctionnement[TVA acquittée])+SUMIF(Invest[Affectation matrice],$AB$3,Invest[TVA acquittée]))*BX20</f>
        <v>0</v>
      </c>
      <c r="CZ20" s="200">
        <f>(SUMIF(Fonctionnement[Affectation matrice],$AB$3,Fonctionnement[TVA acquittée])+SUMIF(Invest[Affectation matrice],$AB$3,Invest[TVA acquittée]))*BY20</f>
        <v>0</v>
      </c>
      <c r="DA20" s="200">
        <f>(SUMIF(Fonctionnement[Affectation matrice],$AB$3,Fonctionnement[TVA acquittée])+SUMIF(Invest[Affectation matrice],$AB$3,Invest[TVA acquittée]))*BZ20</f>
        <v>0</v>
      </c>
      <c r="DB20" s="200">
        <f>(SUMIF(Fonctionnement[Affectation matrice],$AB$3,Fonctionnement[TVA acquittée])+SUMIF(Invest[Affectation matrice],$AB$3,Invest[TVA acquittée]))*CA20</f>
        <v>0</v>
      </c>
    </row>
    <row r="21" spans="1:106" s="22" customFormat="1" ht="12.75" hidden="1" customHeight="1" x14ac:dyDescent="0.25">
      <c r="A21" s="42">
        <f>Matrice[[#This Row],[Ligne de la matrice]]</f>
        <v>0</v>
      </c>
      <c r="B21" s="276">
        <f>(SUMIF(Fonctionnement[Affectation matrice],$AB$3,Fonctionnement[Montant (€HT)])+SUMIF(Invest[Affectation matrice],$AB$3,Invest[Amortissement HT + intérêts]))*BC21</f>
        <v>0</v>
      </c>
      <c r="C21" s="276">
        <f>(SUMIF(Fonctionnement[Affectation matrice],$AB$3,Fonctionnement[Montant (€HT)])+SUMIF(Invest[Affectation matrice],$AB$3,Invest[Amortissement HT + intérêts]))*BD21</f>
        <v>0</v>
      </c>
      <c r="D21" s="276">
        <f>(SUMIF(Fonctionnement[Affectation matrice],$AB$3,Fonctionnement[Montant (€HT)])+SUMIF(Invest[Affectation matrice],$AB$3,Invest[Amortissement HT + intérêts]))*BE21</f>
        <v>0</v>
      </c>
      <c r="E21" s="276">
        <f>(SUMIF(Fonctionnement[Affectation matrice],$AB$3,Fonctionnement[Montant (€HT)])+SUMIF(Invest[Affectation matrice],$AB$3,Invest[Amortissement HT + intérêts]))*BF21</f>
        <v>0</v>
      </c>
      <c r="F21" s="276">
        <f>(SUMIF(Fonctionnement[Affectation matrice],$AB$3,Fonctionnement[Montant (€HT)])+SUMIF(Invest[Affectation matrice],$AB$3,Invest[Amortissement HT + intérêts]))*BG21</f>
        <v>0</v>
      </c>
      <c r="G21" s="276">
        <f>(SUMIF(Fonctionnement[Affectation matrice],$AB$3,Fonctionnement[Montant (€HT)])+SUMIF(Invest[Affectation matrice],$AB$3,Invest[Amortissement HT + intérêts]))*BH21</f>
        <v>0</v>
      </c>
      <c r="H21" s="276">
        <f>(SUMIF(Fonctionnement[Affectation matrice],$AB$3,Fonctionnement[Montant (€HT)])+SUMIF(Invest[Affectation matrice],$AB$3,Invest[Amortissement HT + intérêts]))*BI21</f>
        <v>0</v>
      </c>
      <c r="I21" s="276">
        <f>(SUMIF(Fonctionnement[Affectation matrice],$AB$3,Fonctionnement[Montant (€HT)])+SUMIF(Invest[Affectation matrice],$AB$3,Invest[Amortissement HT + intérêts]))*BJ21</f>
        <v>0</v>
      </c>
      <c r="J21" s="276">
        <f>(SUMIF(Fonctionnement[Affectation matrice],$AB$3,Fonctionnement[Montant (€HT)])+SUMIF(Invest[Affectation matrice],$AB$3,Invest[Amortissement HT + intérêts]))*BK21</f>
        <v>0</v>
      </c>
      <c r="K21" s="276">
        <f>(SUMIF(Fonctionnement[Affectation matrice],$AB$3,Fonctionnement[Montant (€HT)])+SUMIF(Invest[Affectation matrice],$AB$3,Invest[Amortissement HT + intérêts]))*BL21</f>
        <v>0</v>
      </c>
      <c r="L21" s="276">
        <f>(SUMIF(Fonctionnement[Affectation matrice],$AB$3,Fonctionnement[Montant (€HT)])+SUMIF(Invest[Affectation matrice],$AB$3,Invest[Amortissement HT + intérêts]))*BM21</f>
        <v>0</v>
      </c>
      <c r="M21" s="276">
        <f>(SUMIF(Fonctionnement[Affectation matrice],$AB$3,Fonctionnement[Montant (€HT)])+SUMIF(Invest[Affectation matrice],$AB$3,Invest[Amortissement HT + intérêts]))*BN21</f>
        <v>0</v>
      </c>
      <c r="N21" s="276">
        <f>(SUMIF(Fonctionnement[Affectation matrice],$AB$3,Fonctionnement[Montant (€HT)])+SUMIF(Invest[Affectation matrice],$AB$3,Invest[Amortissement HT + intérêts]))*BO21</f>
        <v>0</v>
      </c>
      <c r="O21" s="276">
        <f>(SUMIF(Fonctionnement[Affectation matrice],$AB$3,Fonctionnement[Montant (€HT)])+SUMIF(Invest[Affectation matrice],$AB$3,Invest[Amortissement HT + intérêts]))*BP21</f>
        <v>0</v>
      </c>
      <c r="P21" s="276">
        <f>(SUMIF(Fonctionnement[Affectation matrice],$AB$3,Fonctionnement[Montant (€HT)])+SUMIF(Invest[Affectation matrice],$AB$3,Invest[Amortissement HT + intérêts]))*BQ21</f>
        <v>0</v>
      </c>
      <c r="Q21" s="276">
        <f>(SUMIF(Fonctionnement[Affectation matrice],$AB$3,Fonctionnement[Montant (€HT)])+SUMIF(Invest[Affectation matrice],$AB$3,Invest[Amortissement HT + intérêts]))*BR21</f>
        <v>0</v>
      </c>
      <c r="R21" s="276">
        <f>(SUMIF(Fonctionnement[Affectation matrice],$AB$3,Fonctionnement[Montant (€HT)])+SUMIF(Invest[Affectation matrice],$AB$3,Invest[Amortissement HT + intérêts]))*BS21</f>
        <v>0</v>
      </c>
      <c r="S21" s="276">
        <f>(SUMIF(Fonctionnement[Affectation matrice],$AB$3,Fonctionnement[Montant (€HT)])+SUMIF(Invest[Affectation matrice],$AB$3,Invest[Amortissement HT + intérêts]))*BT21</f>
        <v>0</v>
      </c>
      <c r="T21" s="276">
        <f>(SUMIF(Fonctionnement[Affectation matrice],$AB$3,Fonctionnement[Montant (€HT)])+SUMIF(Invest[Affectation matrice],$AB$3,Invest[Amortissement HT + intérêts]))*BU21</f>
        <v>0</v>
      </c>
      <c r="U21" s="276">
        <f>(SUMIF(Fonctionnement[Affectation matrice],$AB$3,Fonctionnement[Montant (€HT)])+SUMIF(Invest[Affectation matrice],$AB$3,Invest[Amortissement HT + intérêts]))*BV21</f>
        <v>0</v>
      </c>
      <c r="V21" s="276">
        <f>(SUMIF(Fonctionnement[Affectation matrice],$AB$3,Fonctionnement[Montant (€HT)])+SUMIF(Invest[Affectation matrice],$AB$3,Invest[Amortissement HT + intérêts]))*BW21</f>
        <v>0</v>
      </c>
      <c r="W21" s="276">
        <f>(SUMIF(Fonctionnement[Affectation matrice],$AB$3,Fonctionnement[Montant (€HT)])+SUMIF(Invest[Affectation matrice],$AB$3,Invest[Amortissement HT + intérêts]))*BX21</f>
        <v>0</v>
      </c>
      <c r="X21" s="276">
        <f>(SUMIF(Fonctionnement[Affectation matrice],$AB$3,Fonctionnement[Montant (€HT)])+SUMIF(Invest[Affectation matrice],$AB$3,Invest[Amortissement HT + intérêts]))*BY21</f>
        <v>0</v>
      </c>
      <c r="Y21" s="276">
        <f>(SUMIF(Fonctionnement[Affectation matrice],$AB$3,Fonctionnement[Montant (€HT)])+SUMIF(Invest[Affectation matrice],$AB$3,Invest[Amortissement HT + intérêts]))*BZ21</f>
        <v>0</v>
      </c>
      <c r="Z21" s="276">
        <f>(SUMIF(Fonctionnement[Affectation matrice],$AB$3,Fonctionnement[Montant (€HT)])+SUMIF(Invest[Affectation matrice],$AB$3,Invest[Amortissement HT + intérêts]))*CA21</f>
        <v>0</v>
      </c>
      <c r="AA21" s="199"/>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283">
        <f t="shared" si="4"/>
        <v>0</v>
      </c>
      <c r="BB21" s="7"/>
      <c r="BC21" s="61">
        <f t="shared" ref="BC21:BQ22" si="7">IF($BA$53=0,0,AB21/$BA$53)</f>
        <v>0</v>
      </c>
      <c r="BD21" s="61">
        <f t="shared" si="7"/>
        <v>0</v>
      </c>
      <c r="BE21" s="61">
        <f t="shared" si="7"/>
        <v>0</v>
      </c>
      <c r="BF21" s="61">
        <f t="shared" si="7"/>
        <v>0</v>
      </c>
      <c r="BG21" s="61">
        <f t="shared" si="7"/>
        <v>0</v>
      </c>
      <c r="BH21" s="61">
        <f t="shared" si="7"/>
        <v>0</v>
      </c>
      <c r="BI21" s="61">
        <f t="shared" si="7"/>
        <v>0</v>
      </c>
      <c r="BJ21" s="61">
        <f t="shared" si="7"/>
        <v>0</v>
      </c>
      <c r="BK21" s="61">
        <f t="shared" si="7"/>
        <v>0</v>
      </c>
      <c r="BL21" s="61">
        <f t="shared" si="7"/>
        <v>0</v>
      </c>
      <c r="BM21" s="61">
        <f t="shared" si="7"/>
        <v>0</v>
      </c>
      <c r="BN21" s="61">
        <f t="shared" si="7"/>
        <v>0</v>
      </c>
      <c r="BO21" s="61">
        <f t="shared" si="7"/>
        <v>0</v>
      </c>
      <c r="BP21" s="61">
        <f t="shared" si="7"/>
        <v>0</v>
      </c>
      <c r="BQ21" s="61">
        <f t="shared" si="7"/>
        <v>0</v>
      </c>
      <c r="BR21" s="61">
        <f t="shared" si="6"/>
        <v>0</v>
      </c>
      <c r="BS21" s="61">
        <f t="shared" si="3"/>
        <v>0</v>
      </c>
      <c r="BT21" s="61">
        <f t="shared" si="3"/>
        <v>0</v>
      </c>
      <c r="BU21" s="61">
        <f t="shared" si="3"/>
        <v>0</v>
      </c>
      <c r="BV21" s="61">
        <f t="shared" si="3"/>
        <v>0</v>
      </c>
      <c r="BW21" s="61">
        <f t="shared" si="3"/>
        <v>0</v>
      </c>
      <c r="BX21" s="61">
        <f t="shared" si="3"/>
        <v>0</v>
      </c>
      <c r="BY21" s="61">
        <f t="shared" si="3"/>
        <v>0</v>
      </c>
      <c r="BZ21" s="61">
        <f t="shared" si="3"/>
        <v>0</v>
      </c>
      <c r="CA21" s="61">
        <f t="shared" si="3"/>
        <v>0</v>
      </c>
      <c r="CB21" s="61">
        <f t="shared" si="5"/>
        <v>0</v>
      </c>
      <c r="CD21" s="200">
        <f>(SUMIF(Fonctionnement[Affectation matrice],$AB$3,Fonctionnement[TVA acquittée])+SUMIF(Invest[Affectation matrice],$AB$3,Invest[TVA acquittée]))*BC21</f>
        <v>0</v>
      </c>
      <c r="CE21" s="200">
        <f>(SUMIF(Fonctionnement[Affectation matrice],$AB$3,Fonctionnement[TVA acquittée])+SUMIF(Invest[Affectation matrice],$AB$3,Invest[TVA acquittée]))*BD21</f>
        <v>0</v>
      </c>
      <c r="CF21" s="200">
        <f>(SUMIF(Fonctionnement[Affectation matrice],$AB$3,Fonctionnement[TVA acquittée])+SUMIF(Invest[Affectation matrice],$AB$3,Invest[TVA acquittée]))*BE21</f>
        <v>0</v>
      </c>
      <c r="CG21" s="200">
        <f>(SUMIF(Fonctionnement[Affectation matrice],$AB$3,Fonctionnement[TVA acquittée])+SUMIF(Invest[Affectation matrice],$AB$3,Invest[TVA acquittée]))*BF21</f>
        <v>0</v>
      </c>
      <c r="CH21" s="200">
        <f>(SUMIF(Fonctionnement[Affectation matrice],$AB$3,Fonctionnement[TVA acquittée])+SUMIF(Invest[Affectation matrice],$AB$3,Invest[TVA acquittée]))*BG21</f>
        <v>0</v>
      </c>
      <c r="CI21" s="200">
        <f>(SUMIF(Fonctionnement[Affectation matrice],$AB$3,Fonctionnement[TVA acquittée])+SUMIF(Invest[Affectation matrice],$AB$3,Invest[TVA acquittée]))*BH21</f>
        <v>0</v>
      </c>
      <c r="CJ21" s="200">
        <f>(SUMIF(Fonctionnement[Affectation matrice],$AB$3,Fonctionnement[TVA acquittée])+SUMIF(Invest[Affectation matrice],$AB$3,Invest[TVA acquittée]))*BI21</f>
        <v>0</v>
      </c>
      <c r="CK21" s="200">
        <f>(SUMIF(Fonctionnement[Affectation matrice],$AB$3,Fonctionnement[TVA acquittée])+SUMIF(Invest[Affectation matrice],$AB$3,Invest[TVA acquittée]))*BJ21</f>
        <v>0</v>
      </c>
      <c r="CL21" s="200">
        <f>(SUMIF(Fonctionnement[Affectation matrice],$AB$3,Fonctionnement[TVA acquittée])+SUMIF(Invest[Affectation matrice],$AB$3,Invest[TVA acquittée]))*BK21</f>
        <v>0</v>
      </c>
      <c r="CM21" s="200">
        <f>(SUMIF(Fonctionnement[Affectation matrice],$AB$3,Fonctionnement[TVA acquittée])+SUMIF(Invest[Affectation matrice],$AB$3,Invest[TVA acquittée]))*BL21</f>
        <v>0</v>
      </c>
      <c r="CN21" s="200">
        <f>(SUMIF(Fonctionnement[Affectation matrice],$AB$3,Fonctionnement[TVA acquittée])+SUMIF(Invest[Affectation matrice],$AB$3,Invest[TVA acquittée]))*BM21</f>
        <v>0</v>
      </c>
      <c r="CO21" s="200">
        <f>(SUMIF(Fonctionnement[Affectation matrice],$AB$3,Fonctionnement[TVA acquittée])+SUMIF(Invest[Affectation matrice],$AB$3,Invest[TVA acquittée]))*BN21</f>
        <v>0</v>
      </c>
      <c r="CP21" s="200">
        <f>(SUMIF(Fonctionnement[Affectation matrice],$AB$3,Fonctionnement[TVA acquittée])+SUMIF(Invest[Affectation matrice],$AB$3,Invest[TVA acquittée]))*BO21</f>
        <v>0</v>
      </c>
      <c r="CQ21" s="200">
        <f>(SUMIF(Fonctionnement[Affectation matrice],$AB$3,Fonctionnement[TVA acquittée])+SUMIF(Invest[Affectation matrice],$AB$3,Invest[TVA acquittée]))*BP21</f>
        <v>0</v>
      </c>
      <c r="CR21" s="200">
        <f>(SUMIF(Fonctionnement[Affectation matrice],$AB$3,Fonctionnement[TVA acquittée])+SUMIF(Invest[Affectation matrice],$AB$3,Invest[TVA acquittée]))*BQ21</f>
        <v>0</v>
      </c>
      <c r="CS21" s="200">
        <f>(SUMIF(Fonctionnement[Affectation matrice],$AB$3,Fonctionnement[TVA acquittée])+SUMIF(Invest[Affectation matrice],$AB$3,Invest[TVA acquittée]))*BR21</f>
        <v>0</v>
      </c>
      <c r="CT21" s="200">
        <f>(SUMIF(Fonctionnement[Affectation matrice],$AB$3,Fonctionnement[TVA acquittée])+SUMIF(Invest[Affectation matrice],$AB$3,Invest[TVA acquittée]))*BS21</f>
        <v>0</v>
      </c>
      <c r="CU21" s="200">
        <f>(SUMIF(Fonctionnement[Affectation matrice],$AB$3,Fonctionnement[TVA acquittée])+SUMIF(Invest[Affectation matrice],$AB$3,Invest[TVA acquittée]))*BT21</f>
        <v>0</v>
      </c>
      <c r="CV21" s="200">
        <f>(SUMIF(Fonctionnement[Affectation matrice],$AB$3,Fonctionnement[TVA acquittée])+SUMIF(Invest[Affectation matrice],$AB$3,Invest[TVA acquittée]))*BU21</f>
        <v>0</v>
      </c>
      <c r="CW21" s="200">
        <f>(SUMIF(Fonctionnement[Affectation matrice],$AB$3,Fonctionnement[TVA acquittée])+SUMIF(Invest[Affectation matrice],$AB$3,Invest[TVA acquittée]))*BV21</f>
        <v>0</v>
      </c>
      <c r="CX21" s="200">
        <f>(SUMIF(Fonctionnement[Affectation matrice],$AB$3,Fonctionnement[TVA acquittée])+SUMIF(Invest[Affectation matrice],$AB$3,Invest[TVA acquittée]))*BW21</f>
        <v>0</v>
      </c>
      <c r="CY21" s="200">
        <f>(SUMIF(Fonctionnement[Affectation matrice],$AB$3,Fonctionnement[TVA acquittée])+SUMIF(Invest[Affectation matrice],$AB$3,Invest[TVA acquittée]))*BX21</f>
        <v>0</v>
      </c>
      <c r="CZ21" s="200">
        <f>(SUMIF(Fonctionnement[Affectation matrice],$AB$3,Fonctionnement[TVA acquittée])+SUMIF(Invest[Affectation matrice],$AB$3,Invest[TVA acquittée]))*BY21</f>
        <v>0</v>
      </c>
      <c r="DA21" s="200">
        <f>(SUMIF(Fonctionnement[Affectation matrice],$AB$3,Fonctionnement[TVA acquittée])+SUMIF(Invest[Affectation matrice],$AB$3,Invest[TVA acquittée]))*BZ21</f>
        <v>0</v>
      </c>
      <c r="DB21" s="200">
        <f>(SUMIF(Fonctionnement[Affectation matrice],$AB$3,Fonctionnement[TVA acquittée])+SUMIF(Invest[Affectation matrice],$AB$3,Invest[TVA acquittée]))*CA21</f>
        <v>0</v>
      </c>
    </row>
    <row r="22" spans="1:106" s="22" customFormat="1" ht="12.75" hidden="1" customHeight="1" x14ac:dyDescent="0.25">
      <c r="A22" s="42">
        <f>Matrice[[#This Row],[Ligne de la matrice]]</f>
        <v>0</v>
      </c>
      <c r="B22" s="276">
        <f>(SUMIF(Fonctionnement[Affectation matrice],$AB$3,Fonctionnement[Montant (€HT)])+SUMIF(Invest[Affectation matrice],$AB$3,Invest[Amortissement HT + intérêts]))*BC22</f>
        <v>0</v>
      </c>
      <c r="C22" s="276">
        <f>(SUMIF(Fonctionnement[Affectation matrice],$AB$3,Fonctionnement[Montant (€HT)])+SUMIF(Invest[Affectation matrice],$AB$3,Invest[Amortissement HT + intérêts]))*BD22</f>
        <v>0</v>
      </c>
      <c r="D22" s="276">
        <f>(SUMIF(Fonctionnement[Affectation matrice],$AB$3,Fonctionnement[Montant (€HT)])+SUMIF(Invest[Affectation matrice],$AB$3,Invest[Amortissement HT + intérêts]))*BE22</f>
        <v>0</v>
      </c>
      <c r="E22" s="276">
        <f>(SUMIF(Fonctionnement[Affectation matrice],$AB$3,Fonctionnement[Montant (€HT)])+SUMIF(Invest[Affectation matrice],$AB$3,Invest[Amortissement HT + intérêts]))*BF22</f>
        <v>0</v>
      </c>
      <c r="F22" s="276">
        <f>(SUMIF(Fonctionnement[Affectation matrice],$AB$3,Fonctionnement[Montant (€HT)])+SUMIF(Invest[Affectation matrice],$AB$3,Invest[Amortissement HT + intérêts]))*BG22</f>
        <v>0</v>
      </c>
      <c r="G22" s="276">
        <f>(SUMIF(Fonctionnement[Affectation matrice],$AB$3,Fonctionnement[Montant (€HT)])+SUMIF(Invest[Affectation matrice],$AB$3,Invest[Amortissement HT + intérêts]))*BH22</f>
        <v>0</v>
      </c>
      <c r="H22" s="276">
        <f>(SUMIF(Fonctionnement[Affectation matrice],$AB$3,Fonctionnement[Montant (€HT)])+SUMIF(Invest[Affectation matrice],$AB$3,Invest[Amortissement HT + intérêts]))*BI22</f>
        <v>0</v>
      </c>
      <c r="I22" s="276">
        <f>(SUMIF(Fonctionnement[Affectation matrice],$AB$3,Fonctionnement[Montant (€HT)])+SUMIF(Invest[Affectation matrice],$AB$3,Invest[Amortissement HT + intérêts]))*BJ22</f>
        <v>0</v>
      </c>
      <c r="J22" s="276">
        <f>(SUMIF(Fonctionnement[Affectation matrice],$AB$3,Fonctionnement[Montant (€HT)])+SUMIF(Invest[Affectation matrice],$AB$3,Invest[Amortissement HT + intérêts]))*BK22</f>
        <v>0</v>
      </c>
      <c r="K22" s="276">
        <f>(SUMIF(Fonctionnement[Affectation matrice],$AB$3,Fonctionnement[Montant (€HT)])+SUMIF(Invest[Affectation matrice],$AB$3,Invest[Amortissement HT + intérêts]))*BL22</f>
        <v>0</v>
      </c>
      <c r="L22" s="276">
        <f>(SUMIF(Fonctionnement[Affectation matrice],$AB$3,Fonctionnement[Montant (€HT)])+SUMIF(Invest[Affectation matrice],$AB$3,Invest[Amortissement HT + intérêts]))*BM22</f>
        <v>0</v>
      </c>
      <c r="M22" s="276">
        <f>(SUMIF(Fonctionnement[Affectation matrice],$AB$3,Fonctionnement[Montant (€HT)])+SUMIF(Invest[Affectation matrice],$AB$3,Invest[Amortissement HT + intérêts]))*BN22</f>
        <v>0</v>
      </c>
      <c r="N22" s="276">
        <f>(SUMIF(Fonctionnement[Affectation matrice],$AB$3,Fonctionnement[Montant (€HT)])+SUMIF(Invest[Affectation matrice],$AB$3,Invest[Amortissement HT + intérêts]))*BO22</f>
        <v>0</v>
      </c>
      <c r="O22" s="276">
        <f>(SUMIF(Fonctionnement[Affectation matrice],$AB$3,Fonctionnement[Montant (€HT)])+SUMIF(Invest[Affectation matrice],$AB$3,Invest[Amortissement HT + intérêts]))*BP22</f>
        <v>0</v>
      </c>
      <c r="P22" s="276">
        <f>(SUMIF(Fonctionnement[Affectation matrice],$AB$3,Fonctionnement[Montant (€HT)])+SUMIF(Invest[Affectation matrice],$AB$3,Invest[Amortissement HT + intérêts]))*BQ22</f>
        <v>0</v>
      </c>
      <c r="Q22" s="276">
        <f>(SUMIF(Fonctionnement[Affectation matrice],$AB$3,Fonctionnement[Montant (€HT)])+SUMIF(Invest[Affectation matrice],$AB$3,Invest[Amortissement HT + intérêts]))*BR22</f>
        <v>0</v>
      </c>
      <c r="R22" s="276">
        <f>(SUMIF(Fonctionnement[Affectation matrice],$AB$3,Fonctionnement[Montant (€HT)])+SUMIF(Invest[Affectation matrice],$AB$3,Invest[Amortissement HT + intérêts]))*BS22</f>
        <v>0</v>
      </c>
      <c r="S22" s="276">
        <f>(SUMIF(Fonctionnement[Affectation matrice],$AB$3,Fonctionnement[Montant (€HT)])+SUMIF(Invest[Affectation matrice],$AB$3,Invest[Amortissement HT + intérêts]))*BT22</f>
        <v>0</v>
      </c>
      <c r="T22" s="276">
        <f>(SUMIF(Fonctionnement[Affectation matrice],$AB$3,Fonctionnement[Montant (€HT)])+SUMIF(Invest[Affectation matrice],$AB$3,Invest[Amortissement HT + intérêts]))*BU22</f>
        <v>0</v>
      </c>
      <c r="U22" s="276">
        <f>(SUMIF(Fonctionnement[Affectation matrice],$AB$3,Fonctionnement[Montant (€HT)])+SUMIF(Invest[Affectation matrice],$AB$3,Invest[Amortissement HT + intérêts]))*BV22</f>
        <v>0</v>
      </c>
      <c r="V22" s="276">
        <f>(SUMIF(Fonctionnement[Affectation matrice],$AB$3,Fonctionnement[Montant (€HT)])+SUMIF(Invest[Affectation matrice],$AB$3,Invest[Amortissement HT + intérêts]))*BW22</f>
        <v>0</v>
      </c>
      <c r="W22" s="276">
        <f>(SUMIF(Fonctionnement[Affectation matrice],$AB$3,Fonctionnement[Montant (€HT)])+SUMIF(Invest[Affectation matrice],$AB$3,Invest[Amortissement HT + intérêts]))*BX22</f>
        <v>0</v>
      </c>
      <c r="X22" s="276">
        <f>(SUMIF(Fonctionnement[Affectation matrice],$AB$3,Fonctionnement[Montant (€HT)])+SUMIF(Invest[Affectation matrice],$AB$3,Invest[Amortissement HT + intérêts]))*BY22</f>
        <v>0</v>
      </c>
      <c r="Y22" s="276">
        <f>(SUMIF(Fonctionnement[Affectation matrice],$AB$3,Fonctionnement[Montant (€HT)])+SUMIF(Invest[Affectation matrice],$AB$3,Invest[Amortissement HT + intérêts]))*BZ22</f>
        <v>0</v>
      </c>
      <c r="Z22" s="276">
        <f>(SUMIF(Fonctionnement[Affectation matrice],$AB$3,Fonctionnement[Montant (€HT)])+SUMIF(Invest[Affectation matrice],$AB$3,Invest[Amortissement HT + intérêts]))*CA22</f>
        <v>0</v>
      </c>
      <c r="AA22" s="199"/>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283">
        <f t="shared" si="4"/>
        <v>0</v>
      </c>
      <c r="BB22" s="7"/>
      <c r="BC22" s="61">
        <f t="shared" si="7"/>
        <v>0</v>
      </c>
      <c r="BD22" s="61">
        <f t="shared" si="7"/>
        <v>0</v>
      </c>
      <c r="BE22" s="61">
        <f t="shared" si="7"/>
        <v>0</v>
      </c>
      <c r="BF22" s="61">
        <f t="shared" si="7"/>
        <v>0</v>
      </c>
      <c r="BG22" s="61">
        <f t="shared" si="7"/>
        <v>0</v>
      </c>
      <c r="BH22" s="61">
        <f t="shared" si="7"/>
        <v>0</v>
      </c>
      <c r="BI22" s="61">
        <f t="shared" si="7"/>
        <v>0</v>
      </c>
      <c r="BJ22" s="61">
        <f t="shared" si="7"/>
        <v>0</v>
      </c>
      <c r="BK22" s="61">
        <f t="shared" si="7"/>
        <v>0</v>
      </c>
      <c r="BL22" s="61">
        <f t="shared" si="7"/>
        <v>0</v>
      </c>
      <c r="BM22" s="61">
        <f t="shared" si="7"/>
        <v>0</v>
      </c>
      <c r="BN22" s="61">
        <f t="shared" si="7"/>
        <v>0</v>
      </c>
      <c r="BO22" s="61">
        <f t="shared" si="7"/>
        <v>0</v>
      </c>
      <c r="BP22" s="61">
        <f t="shared" si="7"/>
        <v>0</v>
      </c>
      <c r="BQ22" s="61">
        <f t="shared" si="7"/>
        <v>0</v>
      </c>
      <c r="BR22" s="61">
        <f t="shared" si="6"/>
        <v>0</v>
      </c>
      <c r="BS22" s="61">
        <f t="shared" si="3"/>
        <v>0</v>
      </c>
      <c r="BT22" s="61">
        <f t="shared" si="3"/>
        <v>0</v>
      </c>
      <c r="BU22" s="61">
        <f t="shared" si="3"/>
        <v>0</v>
      </c>
      <c r="BV22" s="61">
        <f t="shared" si="3"/>
        <v>0</v>
      </c>
      <c r="BW22" s="61">
        <f t="shared" si="3"/>
        <v>0</v>
      </c>
      <c r="BX22" s="61">
        <f t="shared" si="3"/>
        <v>0</v>
      </c>
      <c r="BY22" s="61">
        <f t="shared" si="3"/>
        <v>0</v>
      </c>
      <c r="BZ22" s="61">
        <f t="shared" si="3"/>
        <v>0</v>
      </c>
      <c r="CA22" s="61">
        <f t="shared" si="3"/>
        <v>0</v>
      </c>
      <c r="CB22" s="61">
        <f t="shared" si="5"/>
        <v>0</v>
      </c>
      <c r="CD22" s="200">
        <f>(SUMIF(Fonctionnement[Affectation matrice],$AB$3,Fonctionnement[TVA acquittée])+SUMIF(Invest[Affectation matrice],$AB$3,Invest[TVA acquittée]))*BC22</f>
        <v>0</v>
      </c>
      <c r="CE22" s="200">
        <f>(SUMIF(Fonctionnement[Affectation matrice],$AB$3,Fonctionnement[TVA acquittée])+SUMIF(Invest[Affectation matrice],$AB$3,Invest[TVA acquittée]))*BD22</f>
        <v>0</v>
      </c>
      <c r="CF22" s="200">
        <f>(SUMIF(Fonctionnement[Affectation matrice],$AB$3,Fonctionnement[TVA acquittée])+SUMIF(Invest[Affectation matrice],$AB$3,Invest[TVA acquittée]))*BE22</f>
        <v>0</v>
      </c>
      <c r="CG22" s="200">
        <f>(SUMIF(Fonctionnement[Affectation matrice],$AB$3,Fonctionnement[TVA acquittée])+SUMIF(Invest[Affectation matrice],$AB$3,Invest[TVA acquittée]))*BF22</f>
        <v>0</v>
      </c>
      <c r="CH22" s="200">
        <f>(SUMIF(Fonctionnement[Affectation matrice],$AB$3,Fonctionnement[TVA acquittée])+SUMIF(Invest[Affectation matrice],$AB$3,Invest[TVA acquittée]))*BG22</f>
        <v>0</v>
      </c>
      <c r="CI22" s="200">
        <f>(SUMIF(Fonctionnement[Affectation matrice],$AB$3,Fonctionnement[TVA acquittée])+SUMIF(Invest[Affectation matrice],$AB$3,Invest[TVA acquittée]))*BH22</f>
        <v>0</v>
      </c>
      <c r="CJ22" s="200">
        <f>(SUMIF(Fonctionnement[Affectation matrice],$AB$3,Fonctionnement[TVA acquittée])+SUMIF(Invest[Affectation matrice],$AB$3,Invest[TVA acquittée]))*BI22</f>
        <v>0</v>
      </c>
      <c r="CK22" s="200">
        <f>(SUMIF(Fonctionnement[Affectation matrice],$AB$3,Fonctionnement[TVA acquittée])+SUMIF(Invest[Affectation matrice],$AB$3,Invest[TVA acquittée]))*BJ22</f>
        <v>0</v>
      </c>
      <c r="CL22" s="200">
        <f>(SUMIF(Fonctionnement[Affectation matrice],$AB$3,Fonctionnement[TVA acquittée])+SUMIF(Invest[Affectation matrice],$AB$3,Invest[TVA acquittée]))*BK22</f>
        <v>0</v>
      </c>
      <c r="CM22" s="200">
        <f>(SUMIF(Fonctionnement[Affectation matrice],$AB$3,Fonctionnement[TVA acquittée])+SUMIF(Invest[Affectation matrice],$AB$3,Invest[TVA acquittée]))*BL22</f>
        <v>0</v>
      </c>
      <c r="CN22" s="200">
        <f>(SUMIF(Fonctionnement[Affectation matrice],$AB$3,Fonctionnement[TVA acquittée])+SUMIF(Invest[Affectation matrice],$AB$3,Invest[TVA acquittée]))*BM22</f>
        <v>0</v>
      </c>
      <c r="CO22" s="200">
        <f>(SUMIF(Fonctionnement[Affectation matrice],$AB$3,Fonctionnement[TVA acquittée])+SUMIF(Invest[Affectation matrice],$AB$3,Invest[TVA acquittée]))*BN22</f>
        <v>0</v>
      </c>
      <c r="CP22" s="200">
        <f>(SUMIF(Fonctionnement[Affectation matrice],$AB$3,Fonctionnement[TVA acquittée])+SUMIF(Invest[Affectation matrice],$AB$3,Invest[TVA acquittée]))*BO22</f>
        <v>0</v>
      </c>
      <c r="CQ22" s="200">
        <f>(SUMIF(Fonctionnement[Affectation matrice],$AB$3,Fonctionnement[TVA acquittée])+SUMIF(Invest[Affectation matrice],$AB$3,Invest[TVA acquittée]))*BP22</f>
        <v>0</v>
      </c>
      <c r="CR22" s="200">
        <f>(SUMIF(Fonctionnement[Affectation matrice],$AB$3,Fonctionnement[TVA acquittée])+SUMIF(Invest[Affectation matrice],$AB$3,Invest[TVA acquittée]))*BQ22</f>
        <v>0</v>
      </c>
      <c r="CS22" s="200">
        <f>(SUMIF(Fonctionnement[Affectation matrice],$AB$3,Fonctionnement[TVA acquittée])+SUMIF(Invest[Affectation matrice],$AB$3,Invest[TVA acquittée]))*BR22</f>
        <v>0</v>
      </c>
      <c r="CT22" s="200">
        <f>(SUMIF(Fonctionnement[Affectation matrice],$AB$3,Fonctionnement[TVA acquittée])+SUMIF(Invest[Affectation matrice],$AB$3,Invest[TVA acquittée]))*BS22</f>
        <v>0</v>
      </c>
      <c r="CU22" s="200">
        <f>(SUMIF(Fonctionnement[Affectation matrice],$AB$3,Fonctionnement[TVA acquittée])+SUMIF(Invest[Affectation matrice],$AB$3,Invest[TVA acquittée]))*BT22</f>
        <v>0</v>
      </c>
      <c r="CV22" s="200">
        <f>(SUMIF(Fonctionnement[Affectation matrice],$AB$3,Fonctionnement[TVA acquittée])+SUMIF(Invest[Affectation matrice],$AB$3,Invest[TVA acquittée]))*BU22</f>
        <v>0</v>
      </c>
      <c r="CW22" s="200">
        <f>(SUMIF(Fonctionnement[Affectation matrice],$AB$3,Fonctionnement[TVA acquittée])+SUMIF(Invest[Affectation matrice],$AB$3,Invest[TVA acquittée]))*BV22</f>
        <v>0</v>
      </c>
      <c r="CX22" s="200">
        <f>(SUMIF(Fonctionnement[Affectation matrice],$AB$3,Fonctionnement[TVA acquittée])+SUMIF(Invest[Affectation matrice],$AB$3,Invest[TVA acquittée]))*BW22</f>
        <v>0</v>
      </c>
      <c r="CY22" s="200">
        <f>(SUMIF(Fonctionnement[Affectation matrice],$AB$3,Fonctionnement[TVA acquittée])+SUMIF(Invest[Affectation matrice],$AB$3,Invest[TVA acquittée]))*BX22</f>
        <v>0</v>
      </c>
      <c r="CZ22" s="200">
        <f>(SUMIF(Fonctionnement[Affectation matrice],$AB$3,Fonctionnement[TVA acquittée])+SUMIF(Invest[Affectation matrice],$AB$3,Invest[TVA acquittée]))*BY22</f>
        <v>0</v>
      </c>
      <c r="DA22" s="200">
        <f>(SUMIF(Fonctionnement[Affectation matrice],$AB$3,Fonctionnement[TVA acquittée])+SUMIF(Invest[Affectation matrice],$AB$3,Invest[TVA acquittée]))*BZ22</f>
        <v>0</v>
      </c>
      <c r="DB22" s="200">
        <f>(SUMIF(Fonctionnement[Affectation matrice],$AB$3,Fonctionnement[TVA acquittée])+SUMIF(Invest[Affectation matrice],$AB$3,Invest[TVA acquittée]))*CA22</f>
        <v>0</v>
      </c>
    </row>
    <row r="23" spans="1:106" s="205" customFormat="1" ht="12.75" hidden="1" customHeight="1" x14ac:dyDescent="0.25">
      <c r="A23" s="186"/>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02"/>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03"/>
      <c r="BB23" s="204"/>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row>
    <row r="24" spans="1:106" s="22" customFormat="1" ht="12.75" hidden="1" customHeight="1" x14ac:dyDescent="0.25">
      <c r="A24" s="42" t="str">
        <f>Matrice[[#This Row],[Ligne de la matrice]]</f>
        <v>Ventes de produits et d'énergie</v>
      </c>
      <c r="B24" s="276">
        <f>(SUMIF(Fonctionnement[Affectation matrice],$AB$3,Fonctionnement[Montant (€HT)])+SUMIF(Invest[Affectation matrice],$AB$3,Invest[Amortissement HT + intérêts]))*BC24</f>
        <v>0</v>
      </c>
      <c r="C24" s="276">
        <f>(SUMIF(Fonctionnement[Affectation matrice],$AB$3,Fonctionnement[Montant (€HT)])+SUMIF(Invest[Affectation matrice],$AB$3,Invest[Amortissement HT + intérêts]))*BD24</f>
        <v>0</v>
      </c>
      <c r="D24" s="276">
        <f>(SUMIF(Fonctionnement[Affectation matrice],$AB$3,Fonctionnement[Montant (€HT)])+SUMIF(Invest[Affectation matrice],$AB$3,Invest[Amortissement HT + intérêts]))*BE24</f>
        <v>0</v>
      </c>
      <c r="E24" s="276">
        <f>(SUMIF(Fonctionnement[Affectation matrice],$AB$3,Fonctionnement[Montant (€HT)])+SUMIF(Invest[Affectation matrice],$AB$3,Invest[Amortissement HT + intérêts]))*BF24</f>
        <v>0</v>
      </c>
      <c r="F24" s="276">
        <f>(SUMIF(Fonctionnement[Affectation matrice],$AB$3,Fonctionnement[Montant (€HT)])+SUMIF(Invest[Affectation matrice],$AB$3,Invest[Amortissement HT + intérêts]))*BG24</f>
        <v>0</v>
      </c>
      <c r="G24" s="276">
        <f>(SUMIF(Fonctionnement[Affectation matrice],$AB$3,Fonctionnement[Montant (€HT)])+SUMIF(Invest[Affectation matrice],$AB$3,Invest[Amortissement HT + intérêts]))*BH24</f>
        <v>0</v>
      </c>
      <c r="H24" s="276">
        <f>(SUMIF(Fonctionnement[Affectation matrice],$AB$3,Fonctionnement[Montant (€HT)])+SUMIF(Invest[Affectation matrice],$AB$3,Invest[Amortissement HT + intérêts]))*BI24</f>
        <v>0</v>
      </c>
      <c r="I24" s="276">
        <f>(SUMIF(Fonctionnement[Affectation matrice],$AB$3,Fonctionnement[Montant (€HT)])+SUMIF(Invest[Affectation matrice],$AB$3,Invest[Amortissement HT + intérêts]))*BJ24</f>
        <v>0</v>
      </c>
      <c r="J24" s="276">
        <f>(SUMIF(Fonctionnement[Affectation matrice],$AB$3,Fonctionnement[Montant (€HT)])+SUMIF(Invest[Affectation matrice],$AB$3,Invest[Amortissement HT + intérêts]))*BK24</f>
        <v>0</v>
      </c>
      <c r="K24" s="276">
        <f>(SUMIF(Fonctionnement[Affectation matrice],$AB$3,Fonctionnement[Montant (€HT)])+SUMIF(Invest[Affectation matrice],$AB$3,Invest[Amortissement HT + intérêts]))*BL24</f>
        <v>0</v>
      </c>
      <c r="L24" s="276">
        <f>(SUMIF(Fonctionnement[Affectation matrice],$AB$3,Fonctionnement[Montant (€HT)])+SUMIF(Invest[Affectation matrice],$AB$3,Invest[Amortissement HT + intérêts]))*BM24</f>
        <v>0</v>
      </c>
      <c r="M24" s="276">
        <f>(SUMIF(Fonctionnement[Affectation matrice],$AB$3,Fonctionnement[Montant (€HT)])+SUMIF(Invest[Affectation matrice],$AB$3,Invest[Amortissement HT + intérêts]))*BN24</f>
        <v>0</v>
      </c>
      <c r="N24" s="276">
        <f>(SUMIF(Fonctionnement[Affectation matrice],$AB$3,Fonctionnement[Montant (€HT)])+SUMIF(Invest[Affectation matrice],$AB$3,Invest[Amortissement HT + intérêts]))*BO24</f>
        <v>0</v>
      </c>
      <c r="O24" s="276">
        <f>(SUMIF(Fonctionnement[Affectation matrice],$AB$3,Fonctionnement[Montant (€HT)])+SUMIF(Invest[Affectation matrice],$AB$3,Invest[Amortissement HT + intérêts]))*BP24</f>
        <v>0</v>
      </c>
      <c r="P24" s="276">
        <f>(SUMIF(Fonctionnement[Affectation matrice],$AB$3,Fonctionnement[Montant (€HT)])+SUMIF(Invest[Affectation matrice],$AB$3,Invest[Amortissement HT + intérêts]))*BQ24</f>
        <v>0</v>
      </c>
      <c r="Q24" s="276">
        <f>(SUMIF(Fonctionnement[Affectation matrice],$AB$3,Fonctionnement[Montant (€HT)])+SUMIF(Invest[Affectation matrice],$AB$3,Invest[Amortissement HT + intérêts]))*BR24</f>
        <v>0</v>
      </c>
      <c r="R24" s="276">
        <f>(SUMIF(Fonctionnement[Affectation matrice],$AB$3,Fonctionnement[Montant (€HT)])+SUMIF(Invest[Affectation matrice],$AB$3,Invest[Amortissement HT + intérêts]))*BS24</f>
        <v>0</v>
      </c>
      <c r="S24" s="276">
        <f>(SUMIF(Fonctionnement[Affectation matrice],$AB$3,Fonctionnement[Montant (€HT)])+SUMIF(Invest[Affectation matrice],$AB$3,Invest[Amortissement HT + intérêts]))*BT24</f>
        <v>0</v>
      </c>
      <c r="T24" s="276">
        <f>(SUMIF(Fonctionnement[Affectation matrice],$AB$3,Fonctionnement[Montant (€HT)])+SUMIF(Invest[Affectation matrice],$AB$3,Invest[Amortissement HT + intérêts]))*BU24</f>
        <v>0</v>
      </c>
      <c r="U24" s="276">
        <f>(SUMIF(Fonctionnement[Affectation matrice],$AB$3,Fonctionnement[Montant (€HT)])+SUMIF(Invest[Affectation matrice],$AB$3,Invest[Amortissement HT + intérêts]))*BV24</f>
        <v>0</v>
      </c>
      <c r="V24" s="276">
        <f>(SUMIF(Fonctionnement[Affectation matrice],$AB$3,Fonctionnement[Montant (€HT)])+SUMIF(Invest[Affectation matrice],$AB$3,Invest[Amortissement HT + intérêts]))*BW24</f>
        <v>0</v>
      </c>
      <c r="W24" s="276">
        <f>(SUMIF(Fonctionnement[Affectation matrice],$AB$3,Fonctionnement[Montant (€HT)])+SUMIF(Invest[Affectation matrice],$AB$3,Invest[Amortissement HT + intérêts]))*BX24</f>
        <v>0</v>
      </c>
      <c r="X24" s="276">
        <f>(SUMIF(Fonctionnement[Affectation matrice],$AB$3,Fonctionnement[Montant (€HT)])+SUMIF(Invest[Affectation matrice],$AB$3,Invest[Amortissement HT + intérêts]))*BY24</f>
        <v>0</v>
      </c>
      <c r="Y24" s="276">
        <f>(SUMIF(Fonctionnement[Affectation matrice],$AB$3,Fonctionnement[Montant (€HT)])+SUMIF(Invest[Affectation matrice],$AB$3,Invest[Amortissement HT + intérêts]))*BZ24</f>
        <v>0</v>
      </c>
      <c r="Z24" s="276">
        <f>(SUMIF(Fonctionnement[Affectation matrice],$AB$3,Fonctionnement[Montant (€HT)])+SUMIF(Invest[Affectation matrice],$AB$3,Invest[Amortissement HT + intérêts]))*CA24</f>
        <v>0</v>
      </c>
      <c r="AA24" s="199"/>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283">
        <f t="shared" si="4"/>
        <v>0</v>
      </c>
      <c r="BB24" s="7"/>
      <c r="BC24" s="61">
        <f t="shared" ref="BC24:BR33" si="8">IF($BA$53=0,0,AB24/$BA$53)</f>
        <v>0</v>
      </c>
      <c r="BD24" s="61">
        <f t="shared" si="8"/>
        <v>0</v>
      </c>
      <c r="BE24" s="61">
        <f t="shared" si="8"/>
        <v>0</v>
      </c>
      <c r="BF24" s="61">
        <f t="shared" si="8"/>
        <v>0</v>
      </c>
      <c r="BG24" s="61">
        <f t="shared" si="8"/>
        <v>0</v>
      </c>
      <c r="BH24" s="61">
        <f t="shared" si="8"/>
        <v>0</v>
      </c>
      <c r="BI24" s="61">
        <f t="shared" si="8"/>
        <v>0</v>
      </c>
      <c r="BJ24" s="61">
        <f t="shared" si="8"/>
        <v>0</v>
      </c>
      <c r="BK24" s="61">
        <f t="shared" si="8"/>
        <v>0</v>
      </c>
      <c r="BL24" s="61">
        <f t="shared" si="8"/>
        <v>0</v>
      </c>
      <c r="BM24" s="61">
        <f t="shared" si="8"/>
        <v>0</v>
      </c>
      <c r="BN24" s="61">
        <f t="shared" si="8"/>
        <v>0</v>
      </c>
      <c r="BO24" s="61">
        <f t="shared" si="8"/>
        <v>0</v>
      </c>
      <c r="BP24" s="61">
        <f t="shared" si="8"/>
        <v>0</v>
      </c>
      <c r="BQ24" s="61">
        <f t="shared" si="8"/>
        <v>0</v>
      </c>
      <c r="BR24" s="61">
        <f t="shared" si="8"/>
        <v>0</v>
      </c>
      <c r="BS24" s="61">
        <f t="shared" ref="BS24:CA33" si="9">IF($BA$53=0,0,AR24/$BA$53)</f>
        <v>0</v>
      </c>
      <c r="BT24" s="61">
        <f t="shared" si="9"/>
        <v>0</v>
      </c>
      <c r="BU24" s="61">
        <f t="shared" si="9"/>
        <v>0</v>
      </c>
      <c r="BV24" s="61">
        <f t="shared" si="9"/>
        <v>0</v>
      </c>
      <c r="BW24" s="61">
        <f t="shared" si="9"/>
        <v>0</v>
      </c>
      <c r="BX24" s="61">
        <f t="shared" si="9"/>
        <v>0</v>
      </c>
      <c r="BY24" s="61">
        <f t="shared" si="9"/>
        <v>0</v>
      </c>
      <c r="BZ24" s="61">
        <f t="shared" si="9"/>
        <v>0</v>
      </c>
      <c r="CA24" s="61">
        <f t="shared" si="9"/>
        <v>0</v>
      </c>
      <c r="CB24" s="61">
        <f t="shared" si="5"/>
        <v>0</v>
      </c>
      <c r="CD24" s="200">
        <f>(SUMIF(Fonctionnement[Affectation matrice],$AB$3,Fonctionnement[TVA acquittée])+SUMIF(Invest[Affectation matrice],$AB$3,Invest[TVA acquittée]))*BC24</f>
        <v>0</v>
      </c>
      <c r="CE24" s="200">
        <f>(SUMIF(Fonctionnement[Affectation matrice],$AB$3,Fonctionnement[TVA acquittée])+SUMIF(Invest[Affectation matrice],$AB$3,Invest[TVA acquittée]))*BD24</f>
        <v>0</v>
      </c>
      <c r="CF24" s="200">
        <f>(SUMIF(Fonctionnement[Affectation matrice],$AB$3,Fonctionnement[TVA acquittée])+SUMIF(Invest[Affectation matrice],$AB$3,Invest[TVA acquittée]))*BE24</f>
        <v>0</v>
      </c>
      <c r="CG24" s="200">
        <f>(SUMIF(Fonctionnement[Affectation matrice],$AB$3,Fonctionnement[TVA acquittée])+SUMIF(Invest[Affectation matrice],$AB$3,Invest[TVA acquittée]))*BF24</f>
        <v>0</v>
      </c>
      <c r="CH24" s="200">
        <f>(SUMIF(Fonctionnement[Affectation matrice],$AB$3,Fonctionnement[TVA acquittée])+SUMIF(Invest[Affectation matrice],$AB$3,Invest[TVA acquittée]))*BG24</f>
        <v>0</v>
      </c>
      <c r="CI24" s="200">
        <f>(SUMIF(Fonctionnement[Affectation matrice],$AB$3,Fonctionnement[TVA acquittée])+SUMIF(Invest[Affectation matrice],$AB$3,Invest[TVA acquittée]))*BH24</f>
        <v>0</v>
      </c>
      <c r="CJ24" s="200">
        <f>(SUMIF(Fonctionnement[Affectation matrice],$AB$3,Fonctionnement[TVA acquittée])+SUMIF(Invest[Affectation matrice],$AB$3,Invest[TVA acquittée]))*BI24</f>
        <v>0</v>
      </c>
      <c r="CK24" s="200">
        <f>(SUMIF(Fonctionnement[Affectation matrice],$AB$3,Fonctionnement[TVA acquittée])+SUMIF(Invest[Affectation matrice],$AB$3,Invest[TVA acquittée]))*BJ24</f>
        <v>0</v>
      </c>
      <c r="CL24" s="200">
        <f>(SUMIF(Fonctionnement[Affectation matrice],$AB$3,Fonctionnement[TVA acquittée])+SUMIF(Invest[Affectation matrice],$AB$3,Invest[TVA acquittée]))*BK24</f>
        <v>0</v>
      </c>
      <c r="CM24" s="200">
        <f>(SUMIF(Fonctionnement[Affectation matrice],$AB$3,Fonctionnement[TVA acquittée])+SUMIF(Invest[Affectation matrice],$AB$3,Invest[TVA acquittée]))*BL24</f>
        <v>0</v>
      </c>
      <c r="CN24" s="200">
        <f>(SUMIF(Fonctionnement[Affectation matrice],$AB$3,Fonctionnement[TVA acquittée])+SUMIF(Invest[Affectation matrice],$AB$3,Invest[TVA acquittée]))*BM24</f>
        <v>0</v>
      </c>
      <c r="CO24" s="200">
        <f>(SUMIF(Fonctionnement[Affectation matrice],$AB$3,Fonctionnement[TVA acquittée])+SUMIF(Invest[Affectation matrice],$AB$3,Invest[TVA acquittée]))*BN24</f>
        <v>0</v>
      </c>
      <c r="CP24" s="200">
        <f>(SUMIF(Fonctionnement[Affectation matrice],$AB$3,Fonctionnement[TVA acquittée])+SUMIF(Invest[Affectation matrice],$AB$3,Invest[TVA acquittée]))*BO24</f>
        <v>0</v>
      </c>
      <c r="CQ24" s="200">
        <f>(SUMIF(Fonctionnement[Affectation matrice],$AB$3,Fonctionnement[TVA acquittée])+SUMIF(Invest[Affectation matrice],$AB$3,Invest[TVA acquittée]))*BP24</f>
        <v>0</v>
      </c>
      <c r="CR24" s="200">
        <f>(SUMIF(Fonctionnement[Affectation matrice],$AB$3,Fonctionnement[TVA acquittée])+SUMIF(Invest[Affectation matrice],$AB$3,Invest[TVA acquittée]))*BQ24</f>
        <v>0</v>
      </c>
      <c r="CS24" s="200">
        <f>(SUMIF(Fonctionnement[Affectation matrice],$AB$3,Fonctionnement[TVA acquittée])+SUMIF(Invest[Affectation matrice],$AB$3,Invest[TVA acquittée]))*BR24</f>
        <v>0</v>
      </c>
      <c r="CT24" s="200">
        <f>(SUMIF(Fonctionnement[Affectation matrice],$AB$3,Fonctionnement[TVA acquittée])+SUMIF(Invest[Affectation matrice],$AB$3,Invest[TVA acquittée]))*BS24</f>
        <v>0</v>
      </c>
      <c r="CU24" s="200">
        <f>(SUMIF(Fonctionnement[Affectation matrice],$AB$3,Fonctionnement[TVA acquittée])+SUMIF(Invest[Affectation matrice],$AB$3,Invest[TVA acquittée]))*BT24</f>
        <v>0</v>
      </c>
      <c r="CV24" s="200">
        <f>(SUMIF(Fonctionnement[Affectation matrice],$AB$3,Fonctionnement[TVA acquittée])+SUMIF(Invest[Affectation matrice],$AB$3,Invest[TVA acquittée]))*BU24</f>
        <v>0</v>
      </c>
      <c r="CW24" s="200">
        <f>(SUMIF(Fonctionnement[Affectation matrice],$AB$3,Fonctionnement[TVA acquittée])+SUMIF(Invest[Affectation matrice],$AB$3,Invest[TVA acquittée]))*BV24</f>
        <v>0</v>
      </c>
      <c r="CX24" s="200">
        <f>(SUMIF(Fonctionnement[Affectation matrice],$AB$3,Fonctionnement[TVA acquittée])+SUMIF(Invest[Affectation matrice],$AB$3,Invest[TVA acquittée]))*BW24</f>
        <v>0</v>
      </c>
      <c r="CY24" s="200">
        <f>(SUMIF(Fonctionnement[Affectation matrice],$AB$3,Fonctionnement[TVA acquittée])+SUMIF(Invest[Affectation matrice],$AB$3,Invest[TVA acquittée]))*BX24</f>
        <v>0</v>
      </c>
      <c r="CZ24" s="200">
        <f>(SUMIF(Fonctionnement[Affectation matrice],$AB$3,Fonctionnement[TVA acquittée])+SUMIF(Invest[Affectation matrice],$AB$3,Invest[TVA acquittée]))*BY24</f>
        <v>0</v>
      </c>
      <c r="DA24" s="200">
        <f>(SUMIF(Fonctionnement[Affectation matrice],$AB$3,Fonctionnement[TVA acquittée])+SUMIF(Invest[Affectation matrice],$AB$3,Invest[TVA acquittée]))*BZ24</f>
        <v>0</v>
      </c>
      <c r="DB24" s="200">
        <f>(SUMIF(Fonctionnement[Affectation matrice],$AB$3,Fonctionnement[TVA acquittée])+SUMIF(Invest[Affectation matrice],$AB$3,Invest[TVA acquittée]))*CA24</f>
        <v>0</v>
      </c>
    </row>
    <row r="25" spans="1:106" s="22" customFormat="1" ht="12.75" hidden="1" customHeight="1" x14ac:dyDescent="0.25">
      <c r="A25" s="42" t="str">
        <f>Matrice[[#This Row],[Ligne de la matrice]]</f>
        <v>Matériaux</v>
      </c>
      <c r="B25" s="276">
        <f>(SUMIF(Fonctionnement[Affectation matrice],$AB$3,Fonctionnement[Montant (€HT)])+SUMIF(Invest[Affectation matrice],$AB$3,Invest[Amortissement HT + intérêts]))*BC25</f>
        <v>0</v>
      </c>
      <c r="C25" s="276">
        <f>(SUMIF(Fonctionnement[Affectation matrice],$AB$3,Fonctionnement[Montant (€HT)])+SUMIF(Invest[Affectation matrice],$AB$3,Invest[Amortissement HT + intérêts]))*BD25</f>
        <v>0</v>
      </c>
      <c r="D25" s="276">
        <f>(SUMIF(Fonctionnement[Affectation matrice],$AB$3,Fonctionnement[Montant (€HT)])+SUMIF(Invest[Affectation matrice],$AB$3,Invest[Amortissement HT + intérêts]))*BE25</f>
        <v>0</v>
      </c>
      <c r="E25" s="276">
        <f>(SUMIF(Fonctionnement[Affectation matrice],$AB$3,Fonctionnement[Montant (€HT)])+SUMIF(Invest[Affectation matrice],$AB$3,Invest[Amortissement HT + intérêts]))*BF25</f>
        <v>0</v>
      </c>
      <c r="F25" s="276">
        <f>(SUMIF(Fonctionnement[Affectation matrice],$AB$3,Fonctionnement[Montant (€HT)])+SUMIF(Invest[Affectation matrice],$AB$3,Invest[Amortissement HT + intérêts]))*BG25</f>
        <v>0</v>
      </c>
      <c r="G25" s="276">
        <f>(SUMIF(Fonctionnement[Affectation matrice],$AB$3,Fonctionnement[Montant (€HT)])+SUMIF(Invest[Affectation matrice],$AB$3,Invest[Amortissement HT + intérêts]))*BH25</f>
        <v>0</v>
      </c>
      <c r="H25" s="276">
        <f>(SUMIF(Fonctionnement[Affectation matrice],$AB$3,Fonctionnement[Montant (€HT)])+SUMIF(Invest[Affectation matrice],$AB$3,Invest[Amortissement HT + intérêts]))*BI25</f>
        <v>0</v>
      </c>
      <c r="I25" s="276">
        <f>(SUMIF(Fonctionnement[Affectation matrice],$AB$3,Fonctionnement[Montant (€HT)])+SUMIF(Invest[Affectation matrice],$AB$3,Invest[Amortissement HT + intérêts]))*BJ25</f>
        <v>0</v>
      </c>
      <c r="J25" s="276">
        <f>(SUMIF(Fonctionnement[Affectation matrice],$AB$3,Fonctionnement[Montant (€HT)])+SUMIF(Invest[Affectation matrice],$AB$3,Invest[Amortissement HT + intérêts]))*BK25</f>
        <v>0</v>
      </c>
      <c r="K25" s="276">
        <f>(SUMIF(Fonctionnement[Affectation matrice],$AB$3,Fonctionnement[Montant (€HT)])+SUMIF(Invest[Affectation matrice],$AB$3,Invest[Amortissement HT + intérêts]))*BL25</f>
        <v>0</v>
      </c>
      <c r="L25" s="276">
        <f>(SUMIF(Fonctionnement[Affectation matrice],$AB$3,Fonctionnement[Montant (€HT)])+SUMIF(Invest[Affectation matrice],$AB$3,Invest[Amortissement HT + intérêts]))*BM25</f>
        <v>0</v>
      </c>
      <c r="M25" s="276">
        <f>(SUMIF(Fonctionnement[Affectation matrice],$AB$3,Fonctionnement[Montant (€HT)])+SUMIF(Invest[Affectation matrice],$AB$3,Invest[Amortissement HT + intérêts]))*BN25</f>
        <v>0</v>
      </c>
      <c r="N25" s="276">
        <f>(SUMIF(Fonctionnement[Affectation matrice],$AB$3,Fonctionnement[Montant (€HT)])+SUMIF(Invest[Affectation matrice],$AB$3,Invest[Amortissement HT + intérêts]))*BO25</f>
        <v>0</v>
      </c>
      <c r="O25" s="276">
        <f>(SUMIF(Fonctionnement[Affectation matrice],$AB$3,Fonctionnement[Montant (€HT)])+SUMIF(Invest[Affectation matrice],$AB$3,Invest[Amortissement HT + intérêts]))*BP25</f>
        <v>0</v>
      </c>
      <c r="P25" s="276">
        <f>(SUMIF(Fonctionnement[Affectation matrice],$AB$3,Fonctionnement[Montant (€HT)])+SUMIF(Invest[Affectation matrice],$AB$3,Invest[Amortissement HT + intérêts]))*BQ25</f>
        <v>0</v>
      </c>
      <c r="Q25" s="276">
        <f>(SUMIF(Fonctionnement[Affectation matrice],$AB$3,Fonctionnement[Montant (€HT)])+SUMIF(Invest[Affectation matrice],$AB$3,Invest[Amortissement HT + intérêts]))*BR25</f>
        <v>0</v>
      </c>
      <c r="R25" s="276">
        <f>(SUMIF(Fonctionnement[Affectation matrice],$AB$3,Fonctionnement[Montant (€HT)])+SUMIF(Invest[Affectation matrice],$AB$3,Invest[Amortissement HT + intérêts]))*BS25</f>
        <v>0</v>
      </c>
      <c r="S25" s="276">
        <f>(SUMIF(Fonctionnement[Affectation matrice],$AB$3,Fonctionnement[Montant (€HT)])+SUMIF(Invest[Affectation matrice],$AB$3,Invest[Amortissement HT + intérêts]))*BT25</f>
        <v>0</v>
      </c>
      <c r="T25" s="276">
        <f>(SUMIF(Fonctionnement[Affectation matrice],$AB$3,Fonctionnement[Montant (€HT)])+SUMIF(Invest[Affectation matrice],$AB$3,Invest[Amortissement HT + intérêts]))*BU25</f>
        <v>0</v>
      </c>
      <c r="U25" s="276">
        <f>(SUMIF(Fonctionnement[Affectation matrice],$AB$3,Fonctionnement[Montant (€HT)])+SUMIF(Invest[Affectation matrice],$AB$3,Invest[Amortissement HT + intérêts]))*BV25</f>
        <v>0</v>
      </c>
      <c r="V25" s="276">
        <f>(SUMIF(Fonctionnement[Affectation matrice],$AB$3,Fonctionnement[Montant (€HT)])+SUMIF(Invest[Affectation matrice],$AB$3,Invest[Amortissement HT + intérêts]))*BW25</f>
        <v>0</v>
      </c>
      <c r="W25" s="276">
        <f>(SUMIF(Fonctionnement[Affectation matrice],$AB$3,Fonctionnement[Montant (€HT)])+SUMIF(Invest[Affectation matrice],$AB$3,Invest[Amortissement HT + intérêts]))*BX25</f>
        <v>0</v>
      </c>
      <c r="X25" s="276">
        <f>(SUMIF(Fonctionnement[Affectation matrice],$AB$3,Fonctionnement[Montant (€HT)])+SUMIF(Invest[Affectation matrice],$AB$3,Invest[Amortissement HT + intérêts]))*BY25</f>
        <v>0</v>
      </c>
      <c r="Y25" s="276">
        <f>(SUMIF(Fonctionnement[Affectation matrice],$AB$3,Fonctionnement[Montant (€HT)])+SUMIF(Invest[Affectation matrice],$AB$3,Invest[Amortissement HT + intérêts]))*BZ25</f>
        <v>0</v>
      </c>
      <c r="Z25" s="276">
        <f>(SUMIF(Fonctionnement[Affectation matrice],$AB$3,Fonctionnement[Montant (€HT)])+SUMIF(Invest[Affectation matrice],$AB$3,Invest[Amortissement HT + intérêts]))*CA25</f>
        <v>0</v>
      </c>
      <c r="AA25" s="199"/>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283">
        <f t="shared" si="4"/>
        <v>0</v>
      </c>
      <c r="BB25" s="7"/>
      <c r="BC25" s="61">
        <f t="shared" si="8"/>
        <v>0</v>
      </c>
      <c r="BD25" s="61">
        <f t="shared" si="8"/>
        <v>0</v>
      </c>
      <c r="BE25" s="61">
        <f t="shared" si="8"/>
        <v>0</v>
      </c>
      <c r="BF25" s="61">
        <f t="shared" si="8"/>
        <v>0</v>
      </c>
      <c r="BG25" s="61">
        <f t="shared" si="8"/>
        <v>0</v>
      </c>
      <c r="BH25" s="61">
        <f t="shared" si="8"/>
        <v>0</v>
      </c>
      <c r="BI25" s="61">
        <f t="shared" si="8"/>
        <v>0</v>
      </c>
      <c r="BJ25" s="61">
        <f t="shared" si="8"/>
        <v>0</v>
      </c>
      <c r="BK25" s="61">
        <f t="shared" si="8"/>
        <v>0</v>
      </c>
      <c r="BL25" s="61">
        <f t="shared" si="8"/>
        <v>0</v>
      </c>
      <c r="BM25" s="61">
        <f t="shared" si="8"/>
        <v>0</v>
      </c>
      <c r="BN25" s="61">
        <f t="shared" si="8"/>
        <v>0</v>
      </c>
      <c r="BO25" s="61">
        <f t="shared" si="8"/>
        <v>0</v>
      </c>
      <c r="BP25" s="61">
        <f t="shared" si="8"/>
        <v>0</v>
      </c>
      <c r="BQ25" s="61">
        <f t="shared" si="8"/>
        <v>0</v>
      </c>
      <c r="BR25" s="61">
        <f t="shared" si="8"/>
        <v>0</v>
      </c>
      <c r="BS25" s="61">
        <f t="shared" si="9"/>
        <v>0</v>
      </c>
      <c r="BT25" s="61">
        <f t="shared" si="9"/>
        <v>0</v>
      </c>
      <c r="BU25" s="61">
        <f t="shared" si="9"/>
        <v>0</v>
      </c>
      <c r="BV25" s="61">
        <f t="shared" si="9"/>
        <v>0</v>
      </c>
      <c r="BW25" s="61">
        <f t="shared" si="9"/>
        <v>0</v>
      </c>
      <c r="BX25" s="61">
        <f t="shared" si="9"/>
        <v>0</v>
      </c>
      <c r="BY25" s="61">
        <f t="shared" si="9"/>
        <v>0</v>
      </c>
      <c r="BZ25" s="61">
        <f t="shared" si="9"/>
        <v>0</v>
      </c>
      <c r="CA25" s="61">
        <f t="shared" si="9"/>
        <v>0</v>
      </c>
      <c r="CB25" s="61">
        <f t="shared" si="5"/>
        <v>0</v>
      </c>
      <c r="CD25" s="200">
        <f>(SUMIF(Fonctionnement[Affectation matrice],$AB$3,Fonctionnement[TVA acquittée])+SUMIF(Invest[Affectation matrice],$AB$3,Invest[TVA acquittée]))*BC25</f>
        <v>0</v>
      </c>
      <c r="CE25" s="200">
        <f>(SUMIF(Fonctionnement[Affectation matrice],$AB$3,Fonctionnement[TVA acquittée])+SUMIF(Invest[Affectation matrice],$AB$3,Invest[TVA acquittée]))*BD25</f>
        <v>0</v>
      </c>
      <c r="CF25" s="200">
        <f>(SUMIF(Fonctionnement[Affectation matrice],$AB$3,Fonctionnement[TVA acquittée])+SUMIF(Invest[Affectation matrice],$AB$3,Invest[TVA acquittée]))*BE25</f>
        <v>0</v>
      </c>
      <c r="CG25" s="200">
        <f>(SUMIF(Fonctionnement[Affectation matrice],$AB$3,Fonctionnement[TVA acquittée])+SUMIF(Invest[Affectation matrice],$AB$3,Invest[TVA acquittée]))*BF25</f>
        <v>0</v>
      </c>
      <c r="CH25" s="200">
        <f>(SUMIF(Fonctionnement[Affectation matrice],$AB$3,Fonctionnement[TVA acquittée])+SUMIF(Invest[Affectation matrice],$AB$3,Invest[TVA acquittée]))*BG25</f>
        <v>0</v>
      </c>
      <c r="CI25" s="200">
        <f>(SUMIF(Fonctionnement[Affectation matrice],$AB$3,Fonctionnement[TVA acquittée])+SUMIF(Invest[Affectation matrice],$AB$3,Invest[TVA acquittée]))*BH25</f>
        <v>0</v>
      </c>
      <c r="CJ25" s="200">
        <f>(SUMIF(Fonctionnement[Affectation matrice],$AB$3,Fonctionnement[TVA acquittée])+SUMIF(Invest[Affectation matrice],$AB$3,Invest[TVA acquittée]))*BI25</f>
        <v>0</v>
      </c>
      <c r="CK25" s="200">
        <f>(SUMIF(Fonctionnement[Affectation matrice],$AB$3,Fonctionnement[TVA acquittée])+SUMIF(Invest[Affectation matrice],$AB$3,Invest[TVA acquittée]))*BJ25</f>
        <v>0</v>
      </c>
      <c r="CL25" s="200">
        <f>(SUMIF(Fonctionnement[Affectation matrice],$AB$3,Fonctionnement[TVA acquittée])+SUMIF(Invest[Affectation matrice],$AB$3,Invest[TVA acquittée]))*BK25</f>
        <v>0</v>
      </c>
      <c r="CM25" s="200">
        <f>(SUMIF(Fonctionnement[Affectation matrice],$AB$3,Fonctionnement[TVA acquittée])+SUMIF(Invest[Affectation matrice],$AB$3,Invest[TVA acquittée]))*BL25</f>
        <v>0</v>
      </c>
      <c r="CN25" s="200">
        <f>(SUMIF(Fonctionnement[Affectation matrice],$AB$3,Fonctionnement[TVA acquittée])+SUMIF(Invest[Affectation matrice],$AB$3,Invest[TVA acquittée]))*BM25</f>
        <v>0</v>
      </c>
      <c r="CO25" s="200">
        <f>(SUMIF(Fonctionnement[Affectation matrice],$AB$3,Fonctionnement[TVA acquittée])+SUMIF(Invest[Affectation matrice],$AB$3,Invest[TVA acquittée]))*BN25</f>
        <v>0</v>
      </c>
      <c r="CP25" s="200">
        <f>(SUMIF(Fonctionnement[Affectation matrice],$AB$3,Fonctionnement[TVA acquittée])+SUMIF(Invest[Affectation matrice],$AB$3,Invest[TVA acquittée]))*BO25</f>
        <v>0</v>
      </c>
      <c r="CQ25" s="200">
        <f>(SUMIF(Fonctionnement[Affectation matrice],$AB$3,Fonctionnement[TVA acquittée])+SUMIF(Invest[Affectation matrice],$AB$3,Invest[TVA acquittée]))*BP25</f>
        <v>0</v>
      </c>
      <c r="CR25" s="200">
        <f>(SUMIF(Fonctionnement[Affectation matrice],$AB$3,Fonctionnement[TVA acquittée])+SUMIF(Invest[Affectation matrice],$AB$3,Invest[TVA acquittée]))*BQ25</f>
        <v>0</v>
      </c>
      <c r="CS25" s="200">
        <f>(SUMIF(Fonctionnement[Affectation matrice],$AB$3,Fonctionnement[TVA acquittée])+SUMIF(Invest[Affectation matrice],$AB$3,Invest[TVA acquittée]))*BR25</f>
        <v>0</v>
      </c>
      <c r="CT25" s="200">
        <f>(SUMIF(Fonctionnement[Affectation matrice],$AB$3,Fonctionnement[TVA acquittée])+SUMIF(Invest[Affectation matrice],$AB$3,Invest[TVA acquittée]))*BS25</f>
        <v>0</v>
      </c>
      <c r="CU25" s="200">
        <f>(SUMIF(Fonctionnement[Affectation matrice],$AB$3,Fonctionnement[TVA acquittée])+SUMIF(Invest[Affectation matrice],$AB$3,Invest[TVA acquittée]))*BT25</f>
        <v>0</v>
      </c>
      <c r="CV25" s="200">
        <f>(SUMIF(Fonctionnement[Affectation matrice],$AB$3,Fonctionnement[TVA acquittée])+SUMIF(Invest[Affectation matrice],$AB$3,Invest[TVA acquittée]))*BU25</f>
        <v>0</v>
      </c>
      <c r="CW25" s="200">
        <f>(SUMIF(Fonctionnement[Affectation matrice],$AB$3,Fonctionnement[TVA acquittée])+SUMIF(Invest[Affectation matrice],$AB$3,Invest[TVA acquittée]))*BV25</f>
        <v>0</v>
      </c>
      <c r="CX25" s="200">
        <f>(SUMIF(Fonctionnement[Affectation matrice],$AB$3,Fonctionnement[TVA acquittée])+SUMIF(Invest[Affectation matrice],$AB$3,Invest[TVA acquittée]))*BW25</f>
        <v>0</v>
      </c>
      <c r="CY25" s="200">
        <f>(SUMIF(Fonctionnement[Affectation matrice],$AB$3,Fonctionnement[TVA acquittée])+SUMIF(Invest[Affectation matrice],$AB$3,Invest[TVA acquittée]))*BX25</f>
        <v>0</v>
      </c>
      <c r="CZ25" s="200">
        <f>(SUMIF(Fonctionnement[Affectation matrice],$AB$3,Fonctionnement[TVA acquittée])+SUMIF(Invest[Affectation matrice],$AB$3,Invest[TVA acquittée]))*BY25</f>
        <v>0</v>
      </c>
      <c r="DA25" s="200">
        <f>(SUMIF(Fonctionnement[Affectation matrice],$AB$3,Fonctionnement[TVA acquittée])+SUMIF(Invest[Affectation matrice],$AB$3,Invest[TVA acquittée]))*BZ25</f>
        <v>0</v>
      </c>
      <c r="DB25" s="200">
        <f>(SUMIF(Fonctionnement[Affectation matrice],$AB$3,Fonctionnement[TVA acquittée])+SUMIF(Invest[Affectation matrice],$AB$3,Invest[TVA acquittée]))*CA25</f>
        <v>0</v>
      </c>
    </row>
    <row r="26" spans="1:106" s="22" customFormat="1" ht="12.75" hidden="1" customHeight="1" x14ac:dyDescent="0.25">
      <c r="A26" s="42" t="str">
        <f>Matrice[[#This Row],[Ligne de la matrice]]</f>
        <v>Compost</v>
      </c>
      <c r="B26" s="276">
        <f>(SUMIF(Fonctionnement[Affectation matrice],$AB$3,Fonctionnement[Montant (€HT)])+SUMIF(Invest[Affectation matrice],$AB$3,Invest[Amortissement HT + intérêts]))*BC26</f>
        <v>0</v>
      </c>
      <c r="C26" s="276">
        <f>(SUMIF(Fonctionnement[Affectation matrice],$AB$3,Fonctionnement[Montant (€HT)])+SUMIF(Invest[Affectation matrice],$AB$3,Invest[Amortissement HT + intérêts]))*BD26</f>
        <v>0</v>
      </c>
      <c r="D26" s="276">
        <f>(SUMIF(Fonctionnement[Affectation matrice],$AB$3,Fonctionnement[Montant (€HT)])+SUMIF(Invest[Affectation matrice],$AB$3,Invest[Amortissement HT + intérêts]))*BE26</f>
        <v>0</v>
      </c>
      <c r="E26" s="276">
        <f>(SUMIF(Fonctionnement[Affectation matrice],$AB$3,Fonctionnement[Montant (€HT)])+SUMIF(Invest[Affectation matrice],$AB$3,Invest[Amortissement HT + intérêts]))*BF26</f>
        <v>0</v>
      </c>
      <c r="F26" s="276">
        <f>(SUMIF(Fonctionnement[Affectation matrice],$AB$3,Fonctionnement[Montant (€HT)])+SUMIF(Invest[Affectation matrice],$AB$3,Invest[Amortissement HT + intérêts]))*BG26</f>
        <v>0</v>
      </c>
      <c r="G26" s="276">
        <f>(SUMIF(Fonctionnement[Affectation matrice],$AB$3,Fonctionnement[Montant (€HT)])+SUMIF(Invest[Affectation matrice],$AB$3,Invest[Amortissement HT + intérêts]))*BH26</f>
        <v>0</v>
      </c>
      <c r="H26" s="276">
        <f>(SUMIF(Fonctionnement[Affectation matrice],$AB$3,Fonctionnement[Montant (€HT)])+SUMIF(Invest[Affectation matrice],$AB$3,Invest[Amortissement HT + intérêts]))*BI26</f>
        <v>0</v>
      </c>
      <c r="I26" s="276">
        <f>(SUMIF(Fonctionnement[Affectation matrice],$AB$3,Fonctionnement[Montant (€HT)])+SUMIF(Invest[Affectation matrice],$AB$3,Invest[Amortissement HT + intérêts]))*BJ26</f>
        <v>0</v>
      </c>
      <c r="J26" s="276">
        <f>(SUMIF(Fonctionnement[Affectation matrice],$AB$3,Fonctionnement[Montant (€HT)])+SUMIF(Invest[Affectation matrice],$AB$3,Invest[Amortissement HT + intérêts]))*BK26</f>
        <v>0</v>
      </c>
      <c r="K26" s="276">
        <f>(SUMIF(Fonctionnement[Affectation matrice],$AB$3,Fonctionnement[Montant (€HT)])+SUMIF(Invest[Affectation matrice],$AB$3,Invest[Amortissement HT + intérêts]))*BL26</f>
        <v>0</v>
      </c>
      <c r="L26" s="276">
        <f>(SUMIF(Fonctionnement[Affectation matrice],$AB$3,Fonctionnement[Montant (€HT)])+SUMIF(Invest[Affectation matrice],$AB$3,Invest[Amortissement HT + intérêts]))*BM26</f>
        <v>0</v>
      </c>
      <c r="M26" s="276">
        <f>(SUMIF(Fonctionnement[Affectation matrice],$AB$3,Fonctionnement[Montant (€HT)])+SUMIF(Invest[Affectation matrice],$AB$3,Invest[Amortissement HT + intérêts]))*BN26</f>
        <v>0</v>
      </c>
      <c r="N26" s="276">
        <f>(SUMIF(Fonctionnement[Affectation matrice],$AB$3,Fonctionnement[Montant (€HT)])+SUMIF(Invest[Affectation matrice],$AB$3,Invest[Amortissement HT + intérêts]))*BO26</f>
        <v>0</v>
      </c>
      <c r="O26" s="276">
        <f>(SUMIF(Fonctionnement[Affectation matrice],$AB$3,Fonctionnement[Montant (€HT)])+SUMIF(Invest[Affectation matrice],$AB$3,Invest[Amortissement HT + intérêts]))*BP26</f>
        <v>0</v>
      </c>
      <c r="P26" s="276">
        <f>(SUMIF(Fonctionnement[Affectation matrice],$AB$3,Fonctionnement[Montant (€HT)])+SUMIF(Invest[Affectation matrice],$AB$3,Invest[Amortissement HT + intérêts]))*BQ26</f>
        <v>0</v>
      </c>
      <c r="Q26" s="276">
        <f>(SUMIF(Fonctionnement[Affectation matrice],$AB$3,Fonctionnement[Montant (€HT)])+SUMIF(Invest[Affectation matrice],$AB$3,Invest[Amortissement HT + intérêts]))*BR26</f>
        <v>0</v>
      </c>
      <c r="R26" s="276">
        <f>(SUMIF(Fonctionnement[Affectation matrice],$AB$3,Fonctionnement[Montant (€HT)])+SUMIF(Invest[Affectation matrice],$AB$3,Invest[Amortissement HT + intérêts]))*BS26</f>
        <v>0</v>
      </c>
      <c r="S26" s="276">
        <f>(SUMIF(Fonctionnement[Affectation matrice],$AB$3,Fonctionnement[Montant (€HT)])+SUMIF(Invest[Affectation matrice],$AB$3,Invest[Amortissement HT + intérêts]))*BT26</f>
        <v>0</v>
      </c>
      <c r="T26" s="276">
        <f>(SUMIF(Fonctionnement[Affectation matrice],$AB$3,Fonctionnement[Montant (€HT)])+SUMIF(Invest[Affectation matrice],$AB$3,Invest[Amortissement HT + intérêts]))*BU26</f>
        <v>0</v>
      </c>
      <c r="U26" s="276">
        <f>(SUMIF(Fonctionnement[Affectation matrice],$AB$3,Fonctionnement[Montant (€HT)])+SUMIF(Invest[Affectation matrice],$AB$3,Invest[Amortissement HT + intérêts]))*BV26</f>
        <v>0</v>
      </c>
      <c r="V26" s="276">
        <f>(SUMIF(Fonctionnement[Affectation matrice],$AB$3,Fonctionnement[Montant (€HT)])+SUMIF(Invest[Affectation matrice],$AB$3,Invest[Amortissement HT + intérêts]))*BW26</f>
        <v>0</v>
      </c>
      <c r="W26" s="276">
        <f>(SUMIF(Fonctionnement[Affectation matrice],$AB$3,Fonctionnement[Montant (€HT)])+SUMIF(Invest[Affectation matrice],$AB$3,Invest[Amortissement HT + intérêts]))*BX26</f>
        <v>0</v>
      </c>
      <c r="X26" s="276">
        <f>(SUMIF(Fonctionnement[Affectation matrice],$AB$3,Fonctionnement[Montant (€HT)])+SUMIF(Invest[Affectation matrice],$AB$3,Invest[Amortissement HT + intérêts]))*BY26</f>
        <v>0</v>
      </c>
      <c r="Y26" s="276">
        <f>(SUMIF(Fonctionnement[Affectation matrice],$AB$3,Fonctionnement[Montant (€HT)])+SUMIF(Invest[Affectation matrice],$AB$3,Invest[Amortissement HT + intérêts]))*BZ26</f>
        <v>0</v>
      </c>
      <c r="Z26" s="276">
        <f>(SUMIF(Fonctionnement[Affectation matrice],$AB$3,Fonctionnement[Montant (€HT)])+SUMIF(Invest[Affectation matrice],$AB$3,Invest[Amortissement HT + intérêts]))*CA26</f>
        <v>0</v>
      </c>
      <c r="AA26" s="199"/>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283">
        <f t="shared" si="4"/>
        <v>0</v>
      </c>
      <c r="BB26" s="7"/>
      <c r="BC26" s="61">
        <f t="shared" si="8"/>
        <v>0</v>
      </c>
      <c r="BD26" s="61">
        <f t="shared" si="8"/>
        <v>0</v>
      </c>
      <c r="BE26" s="61">
        <f t="shared" si="8"/>
        <v>0</v>
      </c>
      <c r="BF26" s="61">
        <f t="shared" si="8"/>
        <v>0</v>
      </c>
      <c r="BG26" s="61">
        <f t="shared" si="8"/>
        <v>0</v>
      </c>
      <c r="BH26" s="61">
        <f t="shared" si="8"/>
        <v>0</v>
      </c>
      <c r="BI26" s="61">
        <f t="shared" si="8"/>
        <v>0</v>
      </c>
      <c r="BJ26" s="61">
        <f t="shared" si="8"/>
        <v>0</v>
      </c>
      <c r="BK26" s="61">
        <f t="shared" si="8"/>
        <v>0</v>
      </c>
      <c r="BL26" s="61">
        <f t="shared" si="8"/>
        <v>0</v>
      </c>
      <c r="BM26" s="61">
        <f t="shared" si="8"/>
        <v>0</v>
      </c>
      <c r="BN26" s="61">
        <f t="shared" si="8"/>
        <v>0</v>
      </c>
      <c r="BO26" s="61">
        <f t="shared" si="8"/>
        <v>0</v>
      </c>
      <c r="BP26" s="61">
        <f t="shared" si="8"/>
        <v>0</v>
      </c>
      <c r="BQ26" s="61">
        <f t="shared" si="8"/>
        <v>0</v>
      </c>
      <c r="BR26" s="61">
        <f t="shared" si="8"/>
        <v>0</v>
      </c>
      <c r="BS26" s="61">
        <f t="shared" si="9"/>
        <v>0</v>
      </c>
      <c r="BT26" s="61">
        <f t="shared" si="9"/>
        <v>0</v>
      </c>
      <c r="BU26" s="61">
        <f t="shared" si="9"/>
        <v>0</v>
      </c>
      <c r="BV26" s="61">
        <f t="shared" si="9"/>
        <v>0</v>
      </c>
      <c r="BW26" s="61">
        <f t="shared" si="9"/>
        <v>0</v>
      </c>
      <c r="BX26" s="61">
        <f t="shared" si="9"/>
        <v>0</v>
      </c>
      <c r="BY26" s="61">
        <f t="shared" si="9"/>
        <v>0</v>
      </c>
      <c r="BZ26" s="61">
        <f t="shared" si="9"/>
        <v>0</v>
      </c>
      <c r="CA26" s="61">
        <f t="shared" si="9"/>
        <v>0</v>
      </c>
      <c r="CB26" s="61">
        <f t="shared" si="5"/>
        <v>0</v>
      </c>
      <c r="CD26" s="200">
        <f>(SUMIF(Fonctionnement[Affectation matrice],$AB$3,Fonctionnement[TVA acquittée])+SUMIF(Invest[Affectation matrice],$AB$3,Invest[TVA acquittée]))*BC26</f>
        <v>0</v>
      </c>
      <c r="CE26" s="200">
        <f>(SUMIF(Fonctionnement[Affectation matrice],$AB$3,Fonctionnement[TVA acquittée])+SUMIF(Invest[Affectation matrice],$AB$3,Invest[TVA acquittée]))*BD26</f>
        <v>0</v>
      </c>
      <c r="CF26" s="200">
        <f>(SUMIF(Fonctionnement[Affectation matrice],$AB$3,Fonctionnement[TVA acquittée])+SUMIF(Invest[Affectation matrice],$AB$3,Invest[TVA acquittée]))*BE26</f>
        <v>0</v>
      </c>
      <c r="CG26" s="200">
        <f>(SUMIF(Fonctionnement[Affectation matrice],$AB$3,Fonctionnement[TVA acquittée])+SUMIF(Invest[Affectation matrice],$AB$3,Invest[TVA acquittée]))*BF26</f>
        <v>0</v>
      </c>
      <c r="CH26" s="200">
        <f>(SUMIF(Fonctionnement[Affectation matrice],$AB$3,Fonctionnement[TVA acquittée])+SUMIF(Invest[Affectation matrice],$AB$3,Invest[TVA acquittée]))*BG26</f>
        <v>0</v>
      </c>
      <c r="CI26" s="200">
        <f>(SUMIF(Fonctionnement[Affectation matrice],$AB$3,Fonctionnement[TVA acquittée])+SUMIF(Invest[Affectation matrice],$AB$3,Invest[TVA acquittée]))*BH26</f>
        <v>0</v>
      </c>
      <c r="CJ26" s="200">
        <f>(SUMIF(Fonctionnement[Affectation matrice],$AB$3,Fonctionnement[TVA acquittée])+SUMIF(Invest[Affectation matrice],$AB$3,Invest[TVA acquittée]))*BI26</f>
        <v>0</v>
      </c>
      <c r="CK26" s="200">
        <f>(SUMIF(Fonctionnement[Affectation matrice],$AB$3,Fonctionnement[TVA acquittée])+SUMIF(Invest[Affectation matrice],$AB$3,Invest[TVA acquittée]))*BJ26</f>
        <v>0</v>
      </c>
      <c r="CL26" s="200">
        <f>(SUMIF(Fonctionnement[Affectation matrice],$AB$3,Fonctionnement[TVA acquittée])+SUMIF(Invest[Affectation matrice],$AB$3,Invest[TVA acquittée]))*BK26</f>
        <v>0</v>
      </c>
      <c r="CM26" s="200">
        <f>(SUMIF(Fonctionnement[Affectation matrice],$AB$3,Fonctionnement[TVA acquittée])+SUMIF(Invest[Affectation matrice],$AB$3,Invest[TVA acquittée]))*BL26</f>
        <v>0</v>
      </c>
      <c r="CN26" s="200">
        <f>(SUMIF(Fonctionnement[Affectation matrice],$AB$3,Fonctionnement[TVA acquittée])+SUMIF(Invest[Affectation matrice],$AB$3,Invest[TVA acquittée]))*BM26</f>
        <v>0</v>
      </c>
      <c r="CO26" s="200">
        <f>(SUMIF(Fonctionnement[Affectation matrice],$AB$3,Fonctionnement[TVA acquittée])+SUMIF(Invest[Affectation matrice],$AB$3,Invest[TVA acquittée]))*BN26</f>
        <v>0</v>
      </c>
      <c r="CP26" s="200">
        <f>(SUMIF(Fonctionnement[Affectation matrice],$AB$3,Fonctionnement[TVA acquittée])+SUMIF(Invest[Affectation matrice],$AB$3,Invest[TVA acquittée]))*BO26</f>
        <v>0</v>
      </c>
      <c r="CQ26" s="200">
        <f>(SUMIF(Fonctionnement[Affectation matrice],$AB$3,Fonctionnement[TVA acquittée])+SUMIF(Invest[Affectation matrice],$AB$3,Invest[TVA acquittée]))*BP26</f>
        <v>0</v>
      </c>
      <c r="CR26" s="200">
        <f>(SUMIF(Fonctionnement[Affectation matrice],$AB$3,Fonctionnement[TVA acquittée])+SUMIF(Invest[Affectation matrice],$AB$3,Invest[TVA acquittée]))*BQ26</f>
        <v>0</v>
      </c>
      <c r="CS26" s="200">
        <f>(SUMIF(Fonctionnement[Affectation matrice],$AB$3,Fonctionnement[TVA acquittée])+SUMIF(Invest[Affectation matrice],$AB$3,Invest[TVA acquittée]))*BR26</f>
        <v>0</v>
      </c>
      <c r="CT26" s="200">
        <f>(SUMIF(Fonctionnement[Affectation matrice],$AB$3,Fonctionnement[TVA acquittée])+SUMIF(Invest[Affectation matrice],$AB$3,Invest[TVA acquittée]))*BS26</f>
        <v>0</v>
      </c>
      <c r="CU26" s="200">
        <f>(SUMIF(Fonctionnement[Affectation matrice],$AB$3,Fonctionnement[TVA acquittée])+SUMIF(Invest[Affectation matrice],$AB$3,Invest[TVA acquittée]))*BT26</f>
        <v>0</v>
      </c>
      <c r="CV26" s="200">
        <f>(SUMIF(Fonctionnement[Affectation matrice],$AB$3,Fonctionnement[TVA acquittée])+SUMIF(Invest[Affectation matrice],$AB$3,Invest[TVA acquittée]))*BU26</f>
        <v>0</v>
      </c>
      <c r="CW26" s="200">
        <f>(SUMIF(Fonctionnement[Affectation matrice],$AB$3,Fonctionnement[TVA acquittée])+SUMIF(Invest[Affectation matrice],$AB$3,Invest[TVA acquittée]))*BV26</f>
        <v>0</v>
      </c>
      <c r="CX26" s="200">
        <f>(SUMIF(Fonctionnement[Affectation matrice],$AB$3,Fonctionnement[TVA acquittée])+SUMIF(Invest[Affectation matrice],$AB$3,Invest[TVA acquittée]))*BW26</f>
        <v>0</v>
      </c>
      <c r="CY26" s="200">
        <f>(SUMIF(Fonctionnement[Affectation matrice],$AB$3,Fonctionnement[TVA acquittée])+SUMIF(Invest[Affectation matrice],$AB$3,Invest[TVA acquittée]))*BX26</f>
        <v>0</v>
      </c>
      <c r="CZ26" s="200">
        <f>(SUMIF(Fonctionnement[Affectation matrice],$AB$3,Fonctionnement[TVA acquittée])+SUMIF(Invest[Affectation matrice],$AB$3,Invest[TVA acquittée]))*BY26</f>
        <v>0</v>
      </c>
      <c r="DA26" s="200">
        <f>(SUMIF(Fonctionnement[Affectation matrice],$AB$3,Fonctionnement[TVA acquittée])+SUMIF(Invest[Affectation matrice],$AB$3,Invest[TVA acquittée]))*BZ26</f>
        <v>0</v>
      </c>
      <c r="DB26" s="200">
        <f>(SUMIF(Fonctionnement[Affectation matrice],$AB$3,Fonctionnement[TVA acquittée])+SUMIF(Invest[Affectation matrice],$AB$3,Invest[TVA acquittée]))*CA26</f>
        <v>0</v>
      </c>
    </row>
    <row r="27" spans="1:106" s="22" customFormat="1" ht="12.75" hidden="1" customHeight="1" x14ac:dyDescent="0.25">
      <c r="A27" s="42" t="str">
        <f>Matrice[[#This Row],[Ligne de la matrice]]</f>
        <v>Énergie</v>
      </c>
      <c r="B27" s="276">
        <f>(SUMIF(Fonctionnement[Affectation matrice],$AB$3,Fonctionnement[Montant (€HT)])+SUMIF(Invest[Affectation matrice],$AB$3,Invest[Amortissement HT + intérêts]))*BC27</f>
        <v>0</v>
      </c>
      <c r="C27" s="276">
        <f>(SUMIF(Fonctionnement[Affectation matrice],$AB$3,Fonctionnement[Montant (€HT)])+SUMIF(Invest[Affectation matrice],$AB$3,Invest[Amortissement HT + intérêts]))*BD27</f>
        <v>0</v>
      </c>
      <c r="D27" s="276">
        <f>(SUMIF(Fonctionnement[Affectation matrice],$AB$3,Fonctionnement[Montant (€HT)])+SUMIF(Invest[Affectation matrice],$AB$3,Invest[Amortissement HT + intérêts]))*BE27</f>
        <v>0</v>
      </c>
      <c r="E27" s="276">
        <f>(SUMIF(Fonctionnement[Affectation matrice],$AB$3,Fonctionnement[Montant (€HT)])+SUMIF(Invest[Affectation matrice],$AB$3,Invest[Amortissement HT + intérêts]))*BF27</f>
        <v>0</v>
      </c>
      <c r="F27" s="276">
        <f>(SUMIF(Fonctionnement[Affectation matrice],$AB$3,Fonctionnement[Montant (€HT)])+SUMIF(Invest[Affectation matrice],$AB$3,Invest[Amortissement HT + intérêts]))*BG27</f>
        <v>0</v>
      </c>
      <c r="G27" s="276">
        <f>(SUMIF(Fonctionnement[Affectation matrice],$AB$3,Fonctionnement[Montant (€HT)])+SUMIF(Invest[Affectation matrice],$AB$3,Invest[Amortissement HT + intérêts]))*BH27</f>
        <v>0</v>
      </c>
      <c r="H27" s="276">
        <f>(SUMIF(Fonctionnement[Affectation matrice],$AB$3,Fonctionnement[Montant (€HT)])+SUMIF(Invest[Affectation matrice],$AB$3,Invest[Amortissement HT + intérêts]))*BI27</f>
        <v>0</v>
      </c>
      <c r="I27" s="276">
        <f>(SUMIF(Fonctionnement[Affectation matrice],$AB$3,Fonctionnement[Montant (€HT)])+SUMIF(Invest[Affectation matrice],$AB$3,Invest[Amortissement HT + intérêts]))*BJ27</f>
        <v>0</v>
      </c>
      <c r="J27" s="276">
        <f>(SUMIF(Fonctionnement[Affectation matrice],$AB$3,Fonctionnement[Montant (€HT)])+SUMIF(Invest[Affectation matrice],$AB$3,Invest[Amortissement HT + intérêts]))*BK27</f>
        <v>0</v>
      </c>
      <c r="K27" s="276">
        <f>(SUMIF(Fonctionnement[Affectation matrice],$AB$3,Fonctionnement[Montant (€HT)])+SUMIF(Invest[Affectation matrice],$AB$3,Invest[Amortissement HT + intérêts]))*BL27</f>
        <v>0</v>
      </c>
      <c r="L27" s="276">
        <f>(SUMIF(Fonctionnement[Affectation matrice],$AB$3,Fonctionnement[Montant (€HT)])+SUMIF(Invest[Affectation matrice],$AB$3,Invest[Amortissement HT + intérêts]))*BM27</f>
        <v>0</v>
      </c>
      <c r="M27" s="276">
        <f>(SUMIF(Fonctionnement[Affectation matrice],$AB$3,Fonctionnement[Montant (€HT)])+SUMIF(Invest[Affectation matrice],$AB$3,Invest[Amortissement HT + intérêts]))*BN27</f>
        <v>0</v>
      </c>
      <c r="N27" s="276">
        <f>(SUMIF(Fonctionnement[Affectation matrice],$AB$3,Fonctionnement[Montant (€HT)])+SUMIF(Invest[Affectation matrice],$AB$3,Invest[Amortissement HT + intérêts]))*BO27</f>
        <v>0</v>
      </c>
      <c r="O27" s="276">
        <f>(SUMIF(Fonctionnement[Affectation matrice],$AB$3,Fonctionnement[Montant (€HT)])+SUMIF(Invest[Affectation matrice],$AB$3,Invest[Amortissement HT + intérêts]))*BP27</f>
        <v>0</v>
      </c>
      <c r="P27" s="276">
        <f>(SUMIF(Fonctionnement[Affectation matrice],$AB$3,Fonctionnement[Montant (€HT)])+SUMIF(Invest[Affectation matrice],$AB$3,Invest[Amortissement HT + intérêts]))*BQ27</f>
        <v>0</v>
      </c>
      <c r="Q27" s="276">
        <f>(SUMIF(Fonctionnement[Affectation matrice],$AB$3,Fonctionnement[Montant (€HT)])+SUMIF(Invest[Affectation matrice],$AB$3,Invest[Amortissement HT + intérêts]))*BR27</f>
        <v>0</v>
      </c>
      <c r="R27" s="276">
        <f>(SUMIF(Fonctionnement[Affectation matrice],$AB$3,Fonctionnement[Montant (€HT)])+SUMIF(Invest[Affectation matrice],$AB$3,Invest[Amortissement HT + intérêts]))*BS27</f>
        <v>0</v>
      </c>
      <c r="S27" s="276">
        <f>(SUMIF(Fonctionnement[Affectation matrice],$AB$3,Fonctionnement[Montant (€HT)])+SUMIF(Invest[Affectation matrice],$AB$3,Invest[Amortissement HT + intérêts]))*BT27</f>
        <v>0</v>
      </c>
      <c r="T27" s="276">
        <f>(SUMIF(Fonctionnement[Affectation matrice],$AB$3,Fonctionnement[Montant (€HT)])+SUMIF(Invest[Affectation matrice],$AB$3,Invest[Amortissement HT + intérêts]))*BU27</f>
        <v>0</v>
      </c>
      <c r="U27" s="276">
        <f>(SUMIF(Fonctionnement[Affectation matrice],$AB$3,Fonctionnement[Montant (€HT)])+SUMIF(Invest[Affectation matrice],$AB$3,Invest[Amortissement HT + intérêts]))*BV27</f>
        <v>0</v>
      </c>
      <c r="V27" s="276">
        <f>(SUMIF(Fonctionnement[Affectation matrice],$AB$3,Fonctionnement[Montant (€HT)])+SUMIF(Invest[Affectation matrice],$AB$3,Invest[Amortissement HT + intérêts]))*BW27</f>
        <v>0</v>
      </c>
      <c r="W27" s="276">
        <f>(SUMIF(Fonctionnement[Affectation matrice],$AB$3,Fonctionnement[Montant (€HT)])+SUMIF(Invest[Affectation matrice],$AB$3,Invest[Amortissement HT + intérêts]))*BX27</f>
        <v>0</v>
      </c>
      <c r="X27" s="276">
        <f>(SUMIF(Fonctionnement[Affectation matrice],$AB$3,Fonctionnement[Montant (€HT)])+SUMIF(Invest[Affectation matrice],$AB$3,Invest[Amortissement HT + intérêts]))*BY27</f>
        <v>0</v>
      </c>
      <c r="Y27" s="276">
        <f>(SUMIF(Fonctionnement[Affectation matrice],$AB$3,Fonctionnement[Montant (€HT)])+SUMIF(Invest[Affectation matrice],$AB$3,Invest[Amortissement HT + intérêts]))*BZ27</f>
        <v>0</v>
      </c>
      <c r="Z27" s="276">
        <f>(SUMIF(Fonctionnement[Affectation matrice],$AB$3,Fonctionnement[Montant (€HT)])+SUMIF(Invest[Affectation matrice],$AB$3,Invest[Amortissement HT + intérêts]))*CA27</f>
        <v>0</v>
      </c>
      <c r="AA27" s="199"/>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283">
        <f t="shared" si="4"/>
        <v>0</v>
      </c>
      <c r="BB27" s="7"/>
      <c r="BC27" s="61">
        <f t="shared" si="8"/>
        <v>0</v>
      </c>
      <c r="BD27" s="61">
        <f t="shared" si="8"/>
        <v>0</v>
      </c>
      <c r="BE27" s="61">
        <f t="shared" si="8"/>
        <v>0</v>
      </c>
      <c r="BF27" s="61">
        <f t="shared" si="8"/>
        <v>0</v>
      </c>
      <c r="BG27" s="61">
        <f t="shared" si="8"/>
        <v>0</v>
      </c>
      <c r="BH27" s="61">
        <f t="shared" si="8"/>
        <v>0</v>
      </c>
      <c r="BI27" s="61">
        <f t="shared" si="8"/>
        <v>0</v>
      </c>
      <c r="BJ27" s="61">
        <f t="shared" si="8"/>
        <v>0</v>
      </c>
      <c r="BK27" s="61">
        <f t="shared" si="8"/>
        <v>0</v>
      </c>
      <c r="BL27" s="61">
        <f t="shared" si="8"/>
        <v>0</v>
      </c>
      <c r="BM27" s="61">
        <f t="shared" si="8"/>
        <v>0</v>
      </c>
      <c r="BN27" s="61">
        <f t="shared" si="8"/>
        <v>0</v>
      </c>
      <c r="BO27" s="61">
        <f t="shared" si="8"/>
        <v>0</v>
      </c>
      <c r="BP27" s="61">
        <f t="shared" si="8"/>
        <v>0</v>
      </c>
      <c r="BQ27" s="61">
        <f t="shared" si="8"/>
        <v>0</v>
      </c>
      <c r="BR27" s="61">
        <f t="shared" si="8"/>
        <v>0</v>
      </c>
      <c r="BS27" s="61">
        <f t="shared" si="9"/>
        <v>0</v>
      </c>
      <c r="BT27" s="61">
        <f t="shared" si="9"/>
        <v>0</v>
      </c>
      <c r="BU27" s="61">
        <f t="shared" si="9"/>
        <v>0</v>
      </c>
      <c r="BV27" s="61">
        <f t="shared" si="9"/>
        <v>0</v>
      </c>
      <c r="BW27" s="61">
        <f t="shared" si="9"/>
        <v>0</v>
      </c>
      <c r="BX27" s="61">
        <f t="shared" si="9"/>
        <v>0</v>
      </c>
      <c r="BY27" s="61">
        <f t="shared" si="9"/>
        <v>0</v>
      </c>
      <c r="BZ27" s="61">
        <f t="shared" si="9"/>
        <v>0</v>
      </c>
      <c r="CA27" s="61">
        <f t="shared" si="9"/>
        <v>0</v>
      </c>
      <c r="CB27" s="61">
        <f t="shared" si="5"/>
        <v>0</v>
      </c>
      <c r="CD27" s="200">
        <f>(SUMIF(Fonctionnement[Affectation matrice],$AB$3,Fonctionnement[TVA acquittée])+SUMIF(Invest[Affectation matrice],$AB$3,Invest[TVA acquittée]))*BC27</f>
        <v>0</v>
      </c>
      <c r="CE27" s="200">
        <f>(SUMIF(Fonctionnement[Affectation matrice],$AB$3,Fonctionnement[TVA acquittée])+SUMIF(Invest[Affectation matrice],$AB$3,Invest[TVA acquittée]))*BD27</f>
        <v>0</v>
      </c>
      <c r="CF27" s="200">
        <f>(SUMIF(Fonctionnement[Affectation matrice],$AB$3,Fonctionnement[TVA acquittée])+SUMIF(Invest[Affectation matrice],$AB$3,Invest[TVA acquittée]))*BE27</f>
        <v>0</v>
      </c>
      <c r="CG27" s="200">
        <f>(SUMIF(Fonctionnement[Affectation matrice],$AB$3,Fonctionnement[TVA acquittée])+SUMIF(Invest[Affectation matrice],$AB$3,Invest[TVA acquittée]))*BF27</f>
        <v>0</v>
      </c>
      <c r="CH27" s="200">
        <f>(SUMIF(Fonctionnement[Affectation matrice],$AB$3,Fonctionnement[TVA acquittée])+SUMIF(Invest[Affectation matrice],$AB$3,Invest[TVA acquittée]))*BG27</f>
        <v>0</v>
      </c>
      <c r="CI27" s="200">
        <f>(SUMIF(Fonctionnement[Affectation matrice],$AB$3,Fonctionnement[TVA acquittée])+SUMIF(Invest[Affectation matrice],$AB$3,Invest[TVA acquittée]))*BH27</f>
        <v>0</v>
      </c>
      <c r="CJ27" s="200">
        <f>(SUMIF(Fonctionnement[Affectation matrice],$AB$3,Fonctionnement[TVA acquittée])+SUMIF(Invest[Affectation matrice],$AB$3,Invest[TVA acquittée]))*BI27</f>
        <v>0</v>
      </c>
      <c r="CK27" s="200">
        <f>(SUMIF(Fonctionnement[Affectation matrice],$AB$3,Fonctionnement[TVA acquittée])+SUMIF(Invest[Affectation matrice],$AB$3,Invest[TVA acquittée]))*BJ27</f>
        <v>0</v>
      </c>
      <c r="CL27" s="200">
        <f>(SUMIF(Fonctionnement[Affectation matrice],$AB$3,Fonctionnement[TVA acquittée])+SUMIF(Invest[Affectation matrice],$AB$3,Invest[TVA acquittée]))*BK27</f>
        <v>0</v>
      </c>
      <c r="CM27" s="200">
        <f>(SUMIF(Fonctionnement[Affectation matrice],$AB$3,Fonctionnement[TVA acquittée])+SUMIF(Invest[Affectation matrice],$AB$3,Invest[TVA acquittée]))*BL27</f>
        <v>0</v>
      </c>
      <c r="CN27" s="200">
        <f>(SUMIF(Fonctionnement[Affectation matrice],$AB$3,Fonctionnement[TVA acquittée])+SUMIF(Invest[Affectation matrice],$AB$3,Invest[TVA acquittée]))*BM27</f>
        <v>0</v>
      </c>
      <c r="CO27" s="200">
        <f>(SUMIF(Fonctionnement[Affectation matrice],$AB$3,Fonctionnement[TVA acquittée])+SUMIF(Invest[Affectation matrice],$AB$3,Invest[TVA acquittée]))*BN27</f>
        <v>0</v>
      </c>
      <c r="CP27" s="200">
        <f>(SUMIF(Fonctionnement[Affectation matrice],$AB$3,Fonctionnement[TVA acquittée])+SUMIF(Invest[Affectation matrice],$AB$3,Invest[TVA acquittée]))*BO27</f>
        <v>0</v>
      </c>
      <c r="CQ27" s="200">
        <f>(SUMIF(Fonctionnement[Affectation matrice],$AB$3,Fonctionnement[TVA acquittée])+SUMIF(Invest[Affectation matrice],$AB$3,Invest[TVA acquittée]))*BP27</f>
        <v>0</v>
      </c>
      <c r="CR27" s="200">
        <f>(SUMIF(Fonctionnement[Affectation matrice],$AB$3,Fonctionnement[TVA acquittée])+SUMIF(Invest[Affectation matrice],$AB$3,Invest[TVA acquittée]))*BQ27</f>
        <v>0</v>
      </c>
      <c r="CS27" s="200">
        <f>(SUMIF(Fonctionnement[Affectation matrice],$AB$3,Fonctionnement[TVA acquittée])+SUMIF(Invest[Affectation matrice],$AB$3,Invest[TVA acquittée]))*BR27</f>
        <v>0</v>
      </c>
      <c r="CT27" s="200">
        <f>(SUMIF(Fonctionnement[Affectation matrice],$AB$3,Fonctionnement[TVA acquittée])+SUMIF(Invest[Affectation matrice],$AB$3,Invest[TVA acquittée]))*BS27</f>
        <v>0</v>
      </c>
      <c r="CU27" s="200">
        <f>(SUMIF(Fonctionnement[Affectation matrice],$AB$3,Fonctionnement[TVA acquittée])+SUMIF(Invest[Affectation matrice],$AB$3,Invest[TVA acquittée]))*BT27</f>
        <v>0</v>
      </c>
      <c r="CV27" s="200">
        <f>(SUMIF(Fonctionnement[Affectation matrice],$AB$3,Fonctionnement[TVA acquittée])+SUMIF(Invest[Affectation matrice],$AB$3,Invest[TVA acquittée]))*BU27</f>
        <v>0</v>
      </c>
      <c r="CW27" s="200">
        <f>(SUMIF(Fonctionnement[Affectation matrice],$AB$3,Fonctionnement[TVA acquittée])+SUMIF(Invest[Affectation matrice],$AB$3,Invest[TVA acquittée]))*BV27</f>
        <v>0</v>
      </c>
      <c r="CX27" s="200">
        <f>(SUMIF(Fonctionnement[Affectation matrice],$AB$3,Fonctionnement[TVA acquittée])+SUMIF(Invest[Affectation matrice],$AB$3,Invest[TVA acquittée]))*BW27</f>
        <v>0</v>
      </c>
      <c r="CY27" s="200">
        <f>(SUMIF(Fonctionnement[Affectation matrice],$AB$3,Fonctionnement[TVA acquittée])+SUMIF(Invest[Affectation matrice],$AB$3,Invest[TVA acquittée]))*BX27</f>
        <v>0</v>
      </c>
      <c r="CZ27" s="200">
        <f>(SUMIF(Fonctionnement[Affectation matrice],$AB$3,Fonctionnement[TVA acquittée])+SUMIF(Invest[Affectation matrice],$AB$3,Invest[TVA acquittée]))*BY27</f>
        <v>0</v>
      </c>
      <c r="DA27" s="200">
        <f>(SUMIF(Fonctionnement[Affectation matrice],$AB$3,Fonctionnement[TVA acquittée])+SUMIF(Invest[Affectation matrice],$AB$3,Invest[TVA acquittée]))*BZ27</f>
        <v>0</v>
      </c>
      <c r="DB27" s="200">
        <f>(SUMIF(Fonctionnement[Affectation matrice],$AB$3,Fonctionnement[TVA acquittée])+SUMIF(Invest[Affectation matrice],$AB$3,Invest[TVA acquittée]))*CA27</f>
        <v>0</v>
      </c>
    </row>
    <row r="28" spans="1:106" s="22" customFormat="1" ht="12.75" hidden="1" customHeight="1" x14ac:dyDescent="0.25">
      <c r="A28" s="42" t="str">
        <f>Matrice[[#This Row],[Ligne de la matrice]]</f>
        <v>Prestation à des tiers</v>
      </c>
      <c r="B28" s="276">
        <f>(SUMIF(Fonctionnement[Affectation matrice],$AB$3,Fonctionnement[Montant (€HT)])+SUMIF(Invest[Affectation matrice],$AB$3,Invest[Amortissement HT + intérêts]))*BC28</f>
        <v>0</v>
      </c>
      <c r="C28" s="276">
        <f>(SUMIF(Fonctionnement[Affectation matrice],$AB$3,Fonctionnement[Montant (€HT)])+SUMIF(Invest[Affectation matrice],$AB$3,Invest[Amortissement HT + intérêts]))*BD28</f>
        <v>0</v>
      </c>
      <c r="D28" s="276">
        <f>(SUMIF(Fonctionnement[Affectation matrice],$AB$3,Fonctionnement[Montant (€HT)])+SUMIF(Invest[Affectation matrice],$AB$3,Invest[Amortissement HT + intérêts]))*BE28</f>
        <v>0</v>
      </c>
      <c r="E28" s="276">
        <f>(SUMIF(Fonctionnement[Affectation matrice],$AB$3,Fonctionnement[Montant (€HT)])+SUMIF(Invest[Affectation matrice],$AB$3,Invest[Amortissement HT + intérêts]))*BF28</f>
        <v>0</v>
      </c>
      <c r="F28" s="276">
        <f>(SUMIF(Fonctionnement[Affectation matrice],$AB$3,Fonctionnement[Montant (€HT)])+SUMIF(Invest[Affectation matrice],$AB$3,Invest[Amortissement HT + intérêts]))*BG28</f>
        <v>0</v>
      </c>
      <c r="G28" s="276">
        <f>(SUMIF(Fonctionnement[Affectation matrice],$AB$3,Fonctionnement[Montant (€HT)])+SUMIF(Invest[Affectation matrice],$AB$3,Invest[Amortissement HT + intérêts]))*BH28</f>
        <v>0</v>
      </c>
      <c r="H28" s="276">
        <f>(SUMIF(Fonctionnement[Affectation matrice],$AB$3,Fonctionnement[Montant (€HT)])+SUMIF(Invest[Affectation matrice],$AB$3,Invest[Amortissement HT + intérêts]))*BI28</f>
        <v>0</v>
      </c>
      <c r="I28" s="276">
        <f>(SUMIF(Fonctionnement[Affectation matrice],$AB$3,Fonctionnement[Montant (€HT)])+SUMIF(Invest[Affectation matrice],$AB$3,Invest[Amortissement HT + intérêts]))*BJ28</f>
        <v>0</v>
      </c>
      <c r="J28" s="276">
        <f>(SUMIF(Fonctionnement[Affectation matrice],$AB$3,Fonctionnement[Montant (€HT)])+SUMIF(Invest[Affectation matrice],$AB$3,Invest[Amortissement HT + intérêts]))*BK28</f>
        <v>0</v>
      </c>
      <c r="K28" s="276">
        <f>(SUMIF(Fonctionnement[Affectation matrice],$AB$3,Fonctionnement[Montant (€HT)])+SUMIF(Invest[Affectation matrice],$AB$3,Invest[Amortissement HT + intérêts]))*BL28</f>
        <v>0</v>
      </c>
      <c r="L28" s="276">
        <f>(SUMIF(Fonctionnement[Affectation matrice],$AB$3,Fonctionnement[Montant (€HT)])+SUMIF(Invest[Affectation matrice],$AB$3,Invest[Amortissement HT + intérêts]))*BM28</f>
        <v>0</v>
      </c>
      <c r="M28" s="276">
        <f>(SUMIF(Fonctionnement[Affectation matrice],$AB$3,Fonctionnement[Montant (€HT)])+SUMIF(Invest[Affectation matrice],$AB$3,Invest[Amortissement HT + intérêts]))*BN28</f>
        <v>0</v>
      </c>
      <c r="N28" s="276">
        <f>(SUMIF(Fonctionnement[Affectation matrice],$AB$3,Fonctionnement[Montant (€HT)])+SUMIF(Invest[Affectation matrice],$AB$3,Invest[Amortissement HT + intérêts]))*BO28</f>
        <v>0</v>
      </c>
      <c r="O28" s="276">
        <f>(SUMIF(Fonctionnement[Affectation matrice],$AB$3,Fonctionnement[Montant (€HT)])+SUMIF(Invest[Affectation matrice],$AB$3,Invest[Amortissement HT + intérêts]))*BP28</f>
        <v>0</v>
      </c>
      <c r="P28" s="276">
        <f>(SUMIF(Fonctionnement[Affectation matrice],$AB$3,Fonctionnement[Montant (€HT)])+SUMIF(Invest[Affectation matrice],$AB$3,Invest[Amortissement HT + intérêts]))*BQ28</f>
        <v>0</v>
      </c>
      <c r="Q28" s="276">
        <f>(SUMIF(Fonctionnement[Affectation matrice],$AB$3,Fonctionnement[Montant (€HT)])+SUMIF(Invest[Affectation matrice],$AB$3,Invest[Amortissement HT + intérêts]))*BR28</f>
        <v>0</v>
      </c>
      <c r="R28" s="276">
        <f>(SUMIF(Fonctionnement[Affectation matrice],$AB$3,Fonctionnement[Montant (€HT)])+SUMIF(Invest[Affectation matrice],$AB$3,Invest[Amortissement HT + intérêts]))*BS28</f>
        <v>0</v>
      </c>
      <c r="S28" s="276">
        <f>(SUMIF(Fonctionnement[Affectation matrice],$AB$3,Fonctionnement[Montant (€HT)])+SUMIF(Invest[Affectation matrice],$AB$3,Invest[Amortissement HT + intérêts]))*BT28</f>
        <v>0</v>
      </c>
      <c r="T28" s="276">
        <f>(SUMIF(Fonctionnement[Affectation matrice],$AB$3,Fonctionnement[Montant (€HT)])+SUMIF(Invest[Affectation matrice],$AB$3,Invest[Amortissement HT + intérêts]))*BU28</f>
        <v>0</v>
      </c>
      <c r="U28" s="276">
        <f>(SUMIF(Fonctionnement[Affectation matrice],$AB$3,Fonctionnement[Montant (€HT)])+SUMIF(Invest[Affectation matrice],$AB$3,Invest[Amortissement HT + intérêts]))*BV28</f>
        <v>0</v>
      </c>
      <c r="V28" s="276">
        <f>(SUMIF(Fonctionnement[Affectation matrice],$AB$3,Fonctionnement[Montant (€HT)])+SUMIF(Invest[Affectation matrice],$AB$3,Invest[Amortissement HT + intérêts]))*BW28</f>
        <v>0</v>
      </c>
      <c r="W28" s="276">
        <f>(SUMIF(Fonctionnement[Affectation matrice],$AB$3,Fonctionnement[Montant (€HT)])+SUMIF(Invest[Affectation matrice],$AB$3,Invest[Amortissement HT + intérêts]))*BX28</f>
        <v>0</v>
      </c>
      <c r="X28" s="276">
        <f>(SUMIF(Fonctionnement[Affectation matrice],$AB$3,Fonctionnement[Montant (€HT)])+SUMIF(Invest[Affectation matrice],$AB$3,Invest[Amortissement HT + intérêts]))*BY28</f>
        <v>0</v>
      </c>
      <c r="Y28" s="276">
        <f>(SUMIF(Fonctionnement[Affectation matrice],$AB$3,Fonctionnement[Montant (€HT)])+SUMIF(Invest[Affectation matrice],$AB$3,Invest[Amortissement HT + intérêts]))*BZ28</f>
        <v>0</v>
      </c>
      <c r="Z28" s="276">
        <f>(SUMIF(Fonctionnement[Affectation matrice],$AB$3,Fonctionnement[Montant (€HT)])+SUMIF(Invest[Affectation matrice],$AB$3,Invest[Amortissement HT + intérêts]))*CA28</f>
        <v>0</v>
      </c>
      <c r="AA28" s="199"/>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283">
        <f t="shared" si="4"/>
        <v>0</v>
      </c>
      <c r="BB28" s="7"/>
      <c r="BC28" s="61">
        <f t="shared" si="8"/>
        <v>0</v>
      </c>
      <c r="BD28" s="61">
        <f t="shared" si="8"/>
        <v>0</v>
      </c>
      <c r="BE28" s="61">
        <f t="shared" si="8"/>
        <v>0</v>
      </c>
      <c r="BF28" s="61">
        <f t="shared" si="8"/>
        <v>0</v>
      </c>
      <c r="BG28" s="61">
        <f t="shared" si="8"/>
        <v>0</v>
      </c>
      <c r="BH28" s="61">
        <f t="shared" si="8"/>
        <v>0</v>
      </c>
      <c r="BI28" s="61">
        <f t="shared" si="8"/>
        <v>0</v>
      </c>
      <c r="BJ28" s="61">
        <f t="shared" si="8"/>
        <v>0</v>
      </c>
      <c r="BK28" s="61">
        <f t="shared" si="8"/>
        <v>0</v>
      </c>
      <c r="BL28" s="61">
        <f t="shared" si="8"/>
        <v>0</v>
      </c>
      <c r="BM28" s="61">
        <f t="shared" si="8"/>
        <v>0</v>
      </c>
      <c r="BN28" s="61">
        <f t="shared" si="8"/>
        <v>0</v>
      </c>
      <c r="BO28" s="61">
        <f t="shared" si="8"/>
        <v>0</v>
      </c>
      <c r="BP28" s="61">
        <f t="shared" si="8"/>
        <v>0</v>
      </c>
      <c r="BQ28" s="61">
        <f t="shared" si="8"/>
        <v>0</v>
      </c>
      <c r="BR28" s="61">
        <f t="shared" si="8"/>
        <v>0</v>
      </c>
      <c r="BS28" s="61">
        <f t="shared" si="9"/>
        <v>0</v>
      </c>
      <c r="BT28" s="61">
        <f t="shared" si="9"/>
        <v>0</v>
      </c>
      <c r="BU28" s="61">
        <f t="shared" si="9"/>
        <v>0</v>
      </c>
      <c r="BV28" s="61">
        <f t="shared" si="9"/>
        <v>0</v>
      </c>
      <c r="BW28" s="61">
        <f t="shared" si="9"/>
        <v>0</v>
      </c>
      <c r="BX28" s="61">
        <f t="shared" si="9"/>
        <v>0</v>
      </c>
      <c r="BY28" s="61">
        <f t="shared" si="9"/>
        <v>0</v>
      </c>
      <c r="BZ28" s="61">
        <f t="shared" si="9"/>
        <v>0</v>
      </c>
      <c r="CA28" s="61">
        <f t="shared" si="9"/>
        <v>0</v>
      </c>
      <c r="CB28" s="61">
        <f t="shared" si="5"/>
        <v>0</v>
      </c>
      <c r="CD28" s="200">
        <f>(SUMIF(Fonctionnement[Affectation matrice],$AB$3,Fonctionnement[TVA acquittée])+SUMIF(Invest[Affectation matrice],$AB$3,Invest[TVA acquittée]))*BC28</f>
        <v>0</v>
      </c>
      <c r="CE28" s="200">
        <f>(SUMIF(Fonctionnement[Affectation matrice],$AB$3,Fonctionnement[TVA acquittée])+SUMIF(Invest[Affectation matrice],$AB$3,Invest[TVA acquittée]))*BD28</f>
        <v>0</v>
      </c>
      <c r="CF28" s="200">
        <f>(SUMIF(Fonctionnement[Affectation matrice],$AB$3,Fonctionnement[TVA acquittée])+SUMIF(Invest[Affectation matrice],$AB$3,Invest[TVA acquittée]))*BE28</f>
        <v>0</v>
      </c>
      <c r="CG28" s="200">
        <f>(SUMIF(Fonctionnement[Affectation matrice],$AB$3,Fonctionnement[TVA acquittée])+SUMIF(Invest[Affectation matrice],$AB$3,Invest[TVA acquittée]))*BF28</f>
        <v>0</v>
      </c>
      <c r="CH28" s="200">
        <f>(SUMIF(Fonctionnement[Affectation matrice],$AB$3,Fonctionnement[TVA acquittée])+SUMIF(Invest[Affectation matrice],$AB$3,Invest[TVA acquittée]))*BG28</f>
        <v>0</v>
      </c>
      <c r="CI28" s="200">
        <f>(SUMIF(Fonctionnement[Affectation matrice],$AB$3,Fonctionnement[TVA acquittée])+SUMIF(Invest[Affectation matrice],$AB$3,Invest[TVA acquittée]))*BH28</f>
        <v>0</v>
      </c>
      <c r="CJ28" s="200">
        <f>(SUMIF(Fonctionnement[Affectation matrice],$AB$3,Fonctionnement[TVA acquittée])+SUMIF(Invest[Affectation matrice],$AB$3,Invest[TVA acquittée]))*BI28</f>
        <v>0</v>
      </c>
      <c r="CK28" s="200">
        <f>(SUMIF(Fonctionnement[Affectation matrice],$AB$3,Fonctionnement[TVA acquittée])+SUMIF(Invest[Affectation matrice],$AB$3,Invest[TVA acquittée]))*BJ28</f>
        <v>0</v>
      </c>
      <c r="CL28" s="200">
        <f>(SUMIF(Fonctionnement[Affectation matrice],$AB$3,Fonctionnement[TVA acquittée])+SUMIF(Invest[Affectation matrice],$AB$3,Invest[TVA acquittée]))*BK28</f>
        <v>0</v>
      </c>
      <c r="CM28" s="200">
        <f>(SUMIF(Fonctionnement[Affectation matrice],$AB$3,Fonctionnement[TVA acquittée])+SUMIF(Invest[Affectation matrice],$AB$3,Invest[TVA acquittée]))*BL28</f>
        <v>0</v>
      </c>
      <c r="CN28" s="200">
        <f>(SUMIF(Fonctionnement[Affectation matrice],$AB$3,Fonctionnement[TVA acquittée])+SUMIF(Invest[Affectation matrice],$AB$3,Invest[TVA acquittée]))*BM28</f>
        <v>0</v>
      </c>
      <c r="CO28" s="200">
        <f>(SUMIF(Fonctionnement[Affectation matrice],$AB$3,Fonctionnement[TVA acquittée])+SUMIF(Invest[Affectation matrice],$AB$3,Invest[TVA acquittée]))*BN28</f>
        <v>0</v>
      </c>
      <c r="CP28" s="200">
        <f>(SUMIF(Fonctionnement[Affectation matrice],$AB$3,Fonctionnement[TVA acquittée])+SUMIF(Invest[Affectation matrice],$AB$3,Invest[TVA acquittée]))*BO28</f>
        <v>0</v>
      </c>
      <c r="CQ28" s="200">
        <f>(SUMIF(Fonctionnement[Affectation matrice],$AB$3,Fonctionnement[TVA acquittée])+SUMIF(Invest[Affectation matrice],$AB$3,Invest[TVA acquittée]))*BP28</f>
        <v>0</v>
      </c>
      <c r="CR28" s="200">
        <f>(SUMIF(Fonctionnement[Affectation matrice],$AB$3,Fonctionnement[TVA acquittée])+SUMIF(Invest[Affectation matrice],$AB$3,Invest[TVA acquittée]))*BQ28</f>
        <v>0</v>
      </c>
      <c r="CS28" s="200">
        <f>(SUMIF(Fonctionnement[Affectation matrice],$AB$3,Fonctionnement[TVA acquittée])+SUMIF(Invest[Affectation matrice],$AB$3,Invest[TVA acquittée]))*BR28</f>
        <v>0</v>
      </c>
      <c r="CT28" s="200">
        <f>(SUMIF(Fonctionnement[Affectation matrice],$AB$3,Fonctionnement[TVA acquittée])+SUMIF(Invest[Affectation matrice],$AB$3,Invest[TVA acquittée]))*BS28</f>
        <v>0</v>
      </c>
      <c r="CU28" s="200">
        <f>(SUMIF(Fonctionnement[Affectation matrice],$AB$3,Fonctionnement[TVA acquittée])+SUMIF(Invest[Affectation matrice],$AB$3,Invest[TVA acquittée]))*BT28</f>
        <v>0</v>
      </c>
      <c r="CV28" s="200">
        <f>(SUMIF(Fonctionnement[Affectation matrice],$AB$3,Fonctionnement[TVA acquittée])+SUMIF(Invest[Affectation matrice],$AB$3,Invest[TVA acquittée]))*BU28</f>
        <v>0</v>
      </c>
      <c r="CW28" s="200">
        <f>(SUMIF(Fonctionnement[Affectation matrice],$AB$3,Fonctionnement[TVA acquittée])+SUMIF(Invest[Affectation matrice],$AB$3,Invest[TVA acquittée]))*BV28</f>
        <v>0</v>
      </c>
      <c r="CX28" s="200">
        <f>(SUMIF(Fonctionnement[Affectation matrice],$AB$3,Fonctionnement[TVA acquittée])+SUMIF(Invest[Affectation matrice],$AB$3,Invest[TVA acquittée]))*BW28</f>
        <v>0</v>
      </c>
      <c r="CY28" s="200">
        <f>(SUMIF(Fonctionnement[Affectation matrice],$AB$3,Fonctionnement[TVA acquittée])+SUMIF(Invest[Affectation matrice],$AB$3,Invest[TVA acquittée]))*BX28</f>
        <v>0</v>
      </c>
      <c r="CZ28" s="200">
        <f>(SUMIF(Fonctionnement[Affectation matrice],$AB$3,Fonctionnement[TVA acquittée])+SUMIF(Invest[Affectation matrice],$AB$3,Invest[TVA acquittée]))*BY28</f>
        <v>0</v>
      </c>
      <c r="DA28" s="200">
        <f>(SUMIF(Fonctionnement[Affectation matrice],$AB$3,Fonctionnement[TVA acquittée])+SUMIF(Invest[Affectation matrice],$AB$3,Invest[TVA acquittée]))*BZ28</f>
        <v>0</v>
      </c>
      <c r="DB28" s="200">
        <f>(SUMIF(Fonctionnement[Affectation matrice],$AB$3,Fonctionnement[TVA acquittée])+SUMIF(Invest[Affectation matrice],$AB$3,Invest[TVA acquittée]))*CA28</f>
        <v>0</v>
      </c>
    </row>
    <row r="29" spans="1:106" s="22" customFormat="1" ht="12.75" hidden="1" customHeight="1" x14ac:dyDescent="0.25">
      <c r="A29" s="42" t="str">
        <f>Matrice[[#This Row],[Ligne de la matrice]]</f>
        <v>Autres produits</v>
      </c>
      <c r="B29" s="276">
        <f>(SUMIF(Fonctionnement[Affectation matrice],$AB$3,Fonctionnement[Montant (€HT)])+SUMIF(Invest[Affectation matrice],$AB$3,Invest[Amortissement HT + intérêts]))*BC29</f>
        <v>0</v>
      </c>
      <c r="C29" s="276">
        <f>(SUMIF(Fonctionnement[Affectation matrice],$AB$3,Fonctionnement[Montant (€HT)])+SUMIF(Invest[Affectation matrice],$AB$3,Invest[Amortissement HT + intérêts]))*BD29</f>
        <v>0</v>
      </c>
      <c r="D29" s="276">
        <f>(SUMIF(Fonctionnement[Affectation matrice],$AB$3,Fonctionnement[Montant (€HT)])+SUMIF(Invest[Affectation matrice],$AB$3,Invest[Amortissement HT + intérêts]))*BE29</f>
        <v>0</v>
      </c>
      <c r="E29" s="276">
        <f>(SUMIF(Fonctionnement[Affectation matrice],$AB$3,Fonctionnement[Montant (€HT)])+SUMIF(Invest[Affectation matrice],$AB$3,Invest[Amortissement HT + intérêts]))*BF29</f>
        <v>0</v>
      </c>
      <c r="F29" s="276">
        <f>(SUMIF(Fonctionnement[Affectation matrice],$AB$3,Fonctionnement[Montant (€HT)])+SUMIF(Invest[Affectation matrice],$AB$3,Invest[Amortissement HT + intérêts]))*BG29</f>
        <v>0</v>
      </c>
      <c r="G29" s="276">
        <f>(SUMIF(Fonctionnement[Affectation matrice],$AB$3,Fonctionnement[Montant (€HT)])+SUMIF(Invest[Affectation matrice],$AB$3,Invest[Amortissement HT + intérêts]))*BH29</f>
        <v>0</v>
      </c>
      <c r="H29" s="276">
        <f>(SUMIF(Fonctionnement[Affectation matrice],$AB$3,Fonctionnement[Montant (€HT)])+SUMIF(Invest[Affectation matrice],$AB$3,Invest[Amortissement HT + intérêts]))*BI29</f>
        <v>0</v>
      </c>
      <c r="I29" s="276">
        <f>(SUMIF(Fonctionnement[Affectation matrice],$AB$3,Fonctionnement[Montant (€HT)])+SUMIF(Invest[Affectation matrice],$AB$3,Invest[Amortissement HT + intérêts]))*BJ29</f>
        <v>0</v>
      </c>
      <c r="J29" s="276">
        <f>(SUMIF(Fonctionnement[Affectation matrice],$AB$3,Fonctionnement[Montant (€HT)])+SUMIF(Invest[Affectation matrice],$AB$3,Invest[Amortissement HT + intérêts]))*BK29</f>
        <v>0</v>
      </c>
      <c r="K29" s="276">
        <f>(SUMIF(Fonctionnement[Affectation matrice],$AB$3,Fonctionnement[Montant (€HT)])+SUMIF(Invest[Affectation matrice],$AB$3,Invest[Amortissement HT + intérêts]))*BL29</f>
        <v>0</v>
      </c>
      <c r="L29" s="276">
        <f>(SUMIF(Fonctionnement[Affectation matrice],$AB$3,Fonctionnement[Montant (€HT)])+SUMIF(Invest[Affectation matrice],$AB$3,Invest[Amortissement HT + intérêts]))*BM29</f>
        <v>0</v>
      </c>
      <c r="M29" s="276">
        <f>(SUMIF(Fonctionnement[Affectation matrice],$AB$3,Fonctionnement[Montant (€HT)])+SUMIF(Invest[Affectation matrice],$AB$3,Invest[Amortissement HT + intérêts]))*BN29</f>
        <v>0</v>
      </c>
      <c r="N29" s="276">
        <f>(SUMIF(Fonctionnement[Affectation matrice],$AB$3,Fonctionnement[Montant (€HT)])+SUMIF(Invest[Affectation matrice],$AB$3,Invest[Amortissement HT + intérêts]))*BO29</f>
        <v>0</v>
      </c>
      <c r="O29" s="276">
        <f>(SUMIF(Fonctionnement[Affectation matrice],$AB$3,Fonctionnement[Montant (€HT)])+SUMIF(Invest[Affectation matrice],$AB$3,Invest[Amortissement HT + intérêts]))*BP29</f>
        <v>0</v>
      </c>
      <c r="P29" s="276">
        <f>(SUMIF(Fonctionnement[Affectation matrice],$AB$3,Fonctionnement[Montant (€HT)])+SUMIF(Invest[Affectation matrice],$AB$3,Invest[Amortissement HT + intérêts]))*BQ29</f>
        <v>0</v>
      </c>
      <c r="Q29" s="276">
        <f>(SUMIF(Fonctionnement[Affectation matrice],$AB$3,Fonctionnement[Montant (€HT)])+SUMIF(Invest[Affectation matrice],$AB$3,Invest[Amortissement HT + intérêts]))*BR29</f>
        <v>0</v>
      </c>
      <c r="R29" s="276">
        <f>(SUMIF(Fonctionnement[Affectation matrice],$AB$3,Fonctionnement[Montant (€HT)])+SUMIF(Invest[Affectation matrice],$AB$3,Invest[Amortissement HT + intérêts]))*BS29</f>
        <v>0</v>
      </c>
      <c r="S29" s="276">
        <f>(SUMIF(Fonctionnement[Affectation matrice],$AB$3,Fonctionnement[Montant (€HT)])+SUMIF(Invest[Affectation matrice],$AB$3,Invest[Amortissement HT + intérêts]))*BT29</f>
        <v>0</v>
      </c>
      <c r="T29" s="276">
        <f>(SUMIF(Fonctionnement[Affectation matrice],$AB$3,Fonctionnement[Montant (€HT)])+SUMIF(Invest[Affectation matrice],$AB$3,Invest[Amortissement HT + intérêts]))*BU29</f>
        <v>0</v>
      </c>
      <c r="U29" s="276">
        <f>(SUMIF(Fonctionnement[Affectation matrice],$AB$3,Fonctionnement[Montant (€HT)])+SUMIF(Invest[Affectation matrice],$AB$3,Invest[Amortissement HT + intérêts]))*BV29</f>
        <v>0</v>
      </c>
      <c r="V29" s="276">
        <f>(SUMIF(Fonctionnement[Affectation matrice],$AB$3,Fonctionnement[Montant (€HT)])+SUMIF(Invest[Affectation matrice],$AB$3,Invest[Amortissement HT + intérêts]))*BW29</f>
        <v>0</v>
      </c>
      <c r="W29" s="276">
        <f>(SUMIF(Fonctionnement[Affectation matrice],$AB$3,Fonctionnement[Montant (€HT)])+SUMIF(Invest[Affectation matrice],$AB$3,Invest[Amortissement HT + intérêts]))*BX29</f>
        <v>0</v>
      </c>
      <c r="X29" s="276">
        <f>(SUMIF(Fonctionnement[Affectation matrice],$AB$3,Fonctionnement[Montant (€HT)])+SUMIF(Invest[Affectation matrice],$AB$3,Invest[Amortissement HT + intérêts]))*BY29</f>
        <v>0</v>
      </c>
      <c r="Y29" s="276">
        <f>(SUMIF(Fonctionnement[Affectation matrice],$AB$3,Fonctionnement[Montant (€HT)])+SUMIF(Invest[Affectation matrice],$AB$3,Invest[Amortissement HT + intérêts]))*BZ29</f>
        <v>0</v>
      </c>
      <c r="Z29" s="276">
        <f>(SUMIF(Fonctionnement[Affectation matrice],$AB$3,Fonctionnement[Montant (€HT)])+SUMIF(Invest[Affectation matrice],$AB$3,Invest[Amortissement HT + intérêts]))*CA29</f>
        <v>0</v>
      </c>
      <c r="AA29" s="199"/>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283">
        <f t="shared" si="4"/>
        <v>0</v>
      </c>
      <c r="BB29" s="7"/>
      <c r="BC29" s="61">
        <f t="shared" si="8"/>
        <v>0</v>
      </c>
      <c r="BD29" s="61">
        <f t="shared" si="8"/>
        <v>0</v>
      </c>
      <c r="BE29" s="61">
        <f t="shared" si="8"/>
        <v>0</v>
      </c>
      <c r="BF29" s="61">
        <f t="shared" si="8"/>
        <v>0</v>
      </c>
      <c r="BG29" s="61">
        <f t="shared" si="8"/>
        <v>0</v>
      </c>
      <c r="BH29" s="61">
        <f t="shared" si="8"/>
        <v>0</v>
      </c>
      <c r="BI29" s="61">
        <f t="shared" si="8"/>
        <v>0</v>
      </c>
      <c r="BJ29" s="61">
        <f t="shared" si="8"/>
        <v>0</v>
      </c>
      <c r="BK29" s="61">
        <f t="shared" si="8"/>
        <v>0</v>
      </c>
      <c r="BL29" s="61">
        <f t="shared" si="8"/>
        <v>0</v>
      </c>
      <c r="BM29" s="61">
        <f t="shared" si="8"/>
        <v>0</v>
      </c>
      <c r="BN29" s="61">
        <f t="shared" si="8"/>
        <v>0</v>
      </c>
      <c r="BO29" s="61">
        <f t="shared" si="8"/>
        <v>0</v>
      </c>
      <c r="BP29" s="61">
        <f t="shared" si="8"/>
        <v>0</v>
      </c>
      <c r="BQ29" s="61">
        <f t="shared" si="8"/>
        <v>0</v>
      </c>
      <c r="BR29" s="61">
        <f t="shared" si="8"/>
        <v>0</v>
      </c>
      <c r="BS29" s="61">
        <f t="shared" si="9"/>
        <v>0</v>
      </c>
      <c r="BT29" s="61">
        <f t="shared" si="9"/>
        <v>0</v>
      </c>
      <c r="BU29" s="61">
        <f t="shared" si="9"/>
        <v>0</v>
      </c>
      <c r="BV29" s="61">
        <f t="shared" si="9"/>
        <v>0</v>
      </c>
      <c r="BW29" s="61">
        <f t="shared" si="9"/>
        <v>0</v>
      </c>
      <c r="BX29" s="61">
        <f t="shared" si="9"/>
        <v>0</v>
      </c>
      <c r="BY29" s="61">
        <f t="shared" si="9"/>
        <v>0</v>
      </c>
      <c r="BZ29" s="61">
        <f t="shared" si="9"/>
        <v>0</v>
      </c>
      <c r="CA29" s="61">
        <f t="shared" si="9"/>
        <v>0</v>
      </c>
      <c r="CB29" s="61">
        <f t="shared" si="5"/>
        <v>0</v>
      </c>
      <c r="CD29" s="200">
        <f>(SUMIF(Fonctionnement[Affectation matrice],$AB$3,Fonctionnement[TVA acquittée])+SUMIF(Invest[Affectation matrice],$AB$3,Invest[TVA acquittée]))*BC29</f>
        <v>0</v>
      </c>
      <c r="CE29" s="200">
        <f>(SUMIF(Fonctionnement[Affectation matrice],$AB$3,Fonctionnement[TVA acquittée])+SUMIF(Invest[Affectation matrice],$AB$3,Invest[TVA acquittée]))*BD29</f>
        <v>0</v>
      </c>
      <c r="CF29" s="200">
        <f>(SUMIF(Fonctionnement[Affectation matrice],$AB$3,Fonctionnement[TVA acquittée])+SUMIF(Invest[Affectation matrice],$AB$3,Invest[TVA acquittée]))*BE29</f>
        <v>0</v>
      </c>
      <c r="CG29" s="200">
        <f>(SUMIF(Fonctionnement[Affectation matrice],$AB$3,Fonctionnement[TVA acquittée])+SUMIF(Invest[Affectation matrice],$AB$3,Invest[TVA acquittée]))*BF29</f>
        <v>0</v>
      </c>
      <c r="CH29" s="200">
        <f>(SUMIF(Fonctionnement[Affectation matrice],$AB$3,Fonctionnement[TVA acquittée])+SUMIF(Invest[Affectation matrice],$AB$3,Invest[TVA acquittée]))*BG29</f>
        <v>0</v>
      </c>
      <c r="CI29" s="200">
        <f>(SUMIF(Fonctionnement[Affectation matrice],$AB$3,Fonctionnement[TVA acquittée])+SUMIF(Invest[Affectation matrice],$AB$3,Invest[TVA acquittée]))*BH29</f>
        <v>0</v>
      </c>
      <c r="CJ29" s="200">
        <f>(SUMIF(Fonctionnement[Affectation matrice],$AB$3,Fonctionnement[TVA acquittée])+SUMIF(Invest[Affectation matrice],$AB$3,Invest[TVA acquittée]))*BI29</f>
        <v>0</v>
      </c>
      <c r="CK29" s="200">
        <f>(SUMIF(Fonctionnement[Affectation matrice],$AB$3,Fonctionnement[TVA acquittée])+SUMIF(Invest[Affectation matrice],$AB$3,Invest[TVA acquittée]))*BJ29</f>
        <v>0</v>
      </c>
      <c r="CL29" s="200">
        <f>(SUMIF(Fonctionnement[Affectation matrice],$AB$3,Fonctionnement[TVA acquittée])+SUMIF(Invest[Affectation matrice],$AB$3,Invest[TVA acquittée]))*BK29</f>
        <v>0</v>
      </c>
      <c r="CM29" s="200">
        <f>(SUMIF(Fonctionnement[Affectation matrice],$AB$3,Fonctionnement[TVA acquittée])+SUMIF(Invest[Affectation matrice],$AB$3,Invest[TVA acquittée]))*BL29</f>
        <v>0</v>
      </c>
      <c r="CN29" s="200">
        <f>(SUMIF(Fonctionnement[Affectation matrice],$AB$3,Fonctionnement[TVA acquittée])+SUMIF(Invest[Affectation matrice],$AB$3,Invest[TVA acquittée]))*BM29</f>
        <v>0</v>
      </c>
      <c r="CO29" s="200">
        <f>(SUMIF(Fonctionnement[Affectation matrice],$AB$3,Fonctionnement[TVA acquittée])+SUMIF(Invest[Affectation matrice],$AB$3,Invest[TVA acquittée]))*BN29</f>
        <v>0</v>
      </c>
      <c r="CP29" s="200">
        <f>(SUMIF(Fonctionnement[Affectation matrice],$AB$3,Fonctionnement[TVA acquittée])+SUMIF(Invest[Affectation matrice],$AB$3,Invest[TVA acquittée]))*BO29</f>
        <v>0</v>
      </c>
      <c r="CQ29" s="200">
        <f>(SUMIF(Fonctionnement[Affectation matrice],$AB$3,Fonctionnement[TVA acquittée])+SUMIF(Invest[Affectation matrice],$AB$3,Invest[TVA acquittée]))*BP29</f>
        <v>0</v>
      </c>
      <c r="CR29" s="200">
        <f>(SUMIF(Fonctionnement[Affectation matrice],$AB$3,Fonctionnement[TVA acquittée])+SUMIF(Invest[Affectation matrice],$AB$3,Invest[TVA acquittée]))*BQ29</f>
        <v>0</v>
      </c>
      <c r="CS29" s="200">
        <f>(SUMIF(Fonctionnement[Affectation matrice],$AB$3,Fonctionnement[TVA acquittée])+SUMIF(Invest[Affectation matrice],$AB$3,Invest[TVA acquittée]))*BR29</f>
        <v>0</v>
      </c>
      <c r="CT29" s="200">
        <f>(SUMIF(Fonctionnement[Affectation matrice],$AB$3,Fonctionnement[TVA acquittée])+SUMIF(Invest[Affectation matrice],$AB$3,Invest[TVA acquittée]))*BS29</f>
        <v>0</v>
      </c>
      <c r="CU29" s="200">
        <f>(SUMIF(Fonctionnement[Affectation matrice],$AB$3,Fonctionnement[TVA acquittée])+SUMIF(Invest[Affectation matrice],$AB$3,Invest[TVA acquittée]))*BT29</f>
        <v>0</v>
      </c>
      <c r="CV29" s="200">
        <f>(SUMIF(Fonctionnement[Affectation matrice],$AB$3,Fonctionnement[TVA acquittée])+SUMIF(Invest[Affectation matrice],$AB$3,Invest[TVA acquittée]))*BU29</f>
        <v>0</v>
      </c>
      <c r="CW29" s="200">
        <f>(SUMIF(Fonctionnement[Affectation matrice],$AB$3,Fonctionnement[TVA acquittée])+SUMIF(Invest[Affectation matrice],$AB$3,Invest[TVA acquittée]))*BV29</f>
        <v>0</v>
      </c>
      <c r="CX29" s="200">
        <f>(SUMIF(Fonctionnement[Affectation matrice],$AB$3,Fonctionnement[TVA acquittée])+SUMIF(Invest[Affectation matrice],$AB$3,Invest[TVA acquittée]))*BW29</f>
        <v>0</v>
      </c>
      <c r="CY29" s="200">
        <f>(SUMIF(Fonctionnement[Affectation matrice],$AB$3,Fonctionnement[TVA acquittée])+SUMIF(Invest[Affectation matrice],$AB$3,Invest[TVA acquittée]))*BX29</f>
        <v>0</v>
      </c>
      <c r="CZ29" s="200">
        <f>(SUMIF(Fonctionnement[Affectation matrice],$AB$3,Fonctionnement[TVA acquittée])+SUMIF(Invest[Affectation matrice],$AB$3,Invest[TVA acquittée]))*BY29</f>
        <v>0</v>
      </c>
      <c r="DA29" s="200">
        <f>(SUMIF(Fonctionnement[Affectation matrice],$AB$3,Fonctionnement[TVA acquittée])+SUMIF(Invest[Affectation matrice],$AB$3,Invest[TVA acquittée]))*BZ29</f>
        <v>0</v>
      </c>
      <c r="DB29" s="200">
        <f>(SUMIF(Fonctionnement[Affectation matrice],$AB$3,Fonctionnement[TVA acquittée])+SUMIF(Invest[Affectation matrice],$AB$3,Invest[TVA acquittée]))*CA29</f>
        <v>0</v>
      </c>
    </row>
    <row r="30" spans="1:106" s="22" customFormat="1" ht="12.75" hidden="1" customHeight="1" x14ac:dyDescent="0.25">
      <c r="A30" s="42" t="str">
        <f>Matrice[[#This Row],[Ligne de la matrice]]</f>
        <v>Tous soutiens des sociétés agréées</v>
      </c>
      <c r="B30" s="276">
        <f>(SUMIF(Fonctionnement[Affectation matrice],$AB$3,Fonctionnement[Montant (€HT)])+SUMIF(Invest[Affectation matrice],$AB$3,Invest[Amortissement HT + intérêts]))*BC30</f>
        <v>0</v>
      </c>
      <c r="C30" s="276">
        <f>(SUMIF(Fonctionnement[Affectation matrice],$AB$3,Fonctionnement[Montant (€HT)])+SUMIF(Invest[Affectation matrice],$AB$3,Invest[Amortissement HT + intérêts]))*BD30</f>
        <v>0</v>
      </c>
      <c r="D30" s="276">
        <f>(SUMIF(Fonctionnement[Affectation matrice],$AB$3,Fonctionnement[Montant (€HT)])+SUMIF(Invest[Affectation matrice],$AB$3,Invest[Amortissement HT + intérêts]))*BE30</f>
        <v>0</v>
      </c>
      <c r="E30" s="276">
        <f>(SUMIF(Fonctionnement[Affectation matrice],$AB$3,Fonctionnement[Montant (€HT)])+SUMIF(Invest[Affectation matrice],$AB$3,Invest[Amortissement HT + intérêts]))*BF30</f>
        <v>0</v>
      </c>
      <c r="F30" s="276">
        <f>(SUMIF(Fonctionnement[Affectation matrice],$AB$3,Fonctionnement[Montant (€HT)])+SUMIF(Invest[Affectation matrice],$AB$3,Invest[Amortissement HT + intérêts]))*BG30</f>
        <v>0</v>
      </c>
      <c r="G30" s="276">
        <f>(SUMIF(Fonctionnement[Affectation matrice],$AB$3,Fonctionnement[Montant (€HT)])+SUMIF(Invest[Affectation matrice],$AB$3,Invest[Amortissement HT + intérêts]))*BH30</f>
        <v>0</v>
      </c>
      <c r="H30" s="276">
        <f>(SUMIF(Fonctionnement[Affectation matrice],$AB$3,Fonctionnement[Montant (€HT)])+SUMIF(Invest[Affectation matrice],$AB$3,Invest[Amortissement HT + intérêts]))*BI30</f>
        <v>0</v>
      </c>
      <c r="I30" s="276">
        <f>(SUMIF(Fonctionnement[Affectation matrice],$AB$3,Fonctionnement[Montant (€HT)])+SUMIF(Invest[Affectation matrice],$AB$3,Invest[Amortissement HT + intérêts]))*BJ30</f>
        <v>0</v>
      </c>
      <c r="J30" s="276">
        <f>(SUMIF(Fonctionnement[Affectation matrice],$AB$3,Fonctionnement[Montant (€HT)])+SUMIF(Invest[Affectation matrice],$AB$3,Invest[Amortissement HT + intérêts]))*BK30</f>
        <v>0</v>
      </c>
      <c r="K30" s="276">
        <f>(SUMIF(Fonctionnement[Affectation matrice],$AB$3,Fonctionnement[Montant (€HT)])+SUMIF(Invest[Affectation matrice],$AB$3,Invest[Amortissement HT + intérêts]))*BL30</f>
        <v>0</v>
      </c>
      <c r="L30" s="276">
        <f>(SUMIF(Fonctionnement[Affectation matrice],$AB$3,Fonctionnement[Montant (€HT)])+SUMIF(Invest[Affectation matrice],$AB$3,Invest[Amortissement HT + intérêts]))*BM30</f>
        <v>0</v>
      </c>
      <c r="M30" s="276">
        <f>(SUMIF(Fonctionnement[Affectation matrice],$AB$3,Fonctionnement[Montant (€HT)])+SUMIF(Invest[Affectation matrice],$AB$3,Invest[Amortissement HT + intérêts]))*BN30</f>
        <v>0</v>
      </c>
      <c r="N30" s="276">
        <f>(SUMIF(Fonctionnement[Affectation matrice],$AB$3,Fonctionnement[Montant (€HT)])+SUMIF(Invest[Affectation matrice],$AB$3,Invest[Amortissement HT + intérêts]))*BO30</f>
        <v>0</v>
      </c>
      <c r="O30" s="276">
        <f>(SUMIF(Fonctionnement[Affectation matrice],$AB$3,Fonctionnement[Montant (€HT)])+SUMIF(Invest[Affectation matrice],$AB$3,Invest[Amortissement HT + intérêts]))*BP30</f>
        <v>0</v>
      </c>
      <c r="P30" s="276">
        <f>(SUMIF(Fonctionnement[Affectation matrice],$AB$3,Fonctionnement[Montant (€HT)])+SUMIF(Invest[Affectation matrice],$AB$3,Invest[Amortissement HT + intérêts]))*BQ30</f>
        <v>0</v>
      </c>
      <c r="Q30" s="276">
        <f>(SUMIF(Fonctionnement[Affectation matrice],$AB$3,Fonctionnement[Montant (€HT)])+SUMIF(Invest[Affectation matrice],$AB$3,Invest[Amortissement HT + intérêts]))*BR30</f>
        <v>0</v>
      </c>
      <c r="R30" s="276">
        <f>(SUMIF(Fonctionnement[Affectation matrice],$AB$3,Fonctionnement[Montant (€HT)])+SUMIF(Invest[Affectation matrice],$AB$3,Invest[Amortissement HT + intérêts]))*BS30</f>
        <v>0</v>
      </c>
      <c r="S30" s="276">
        <f>(SUMIF(Fonctionnement[Affectation matrice],$AB$3,Fonctionnement[Montant (€HT)])+SUMIF(Invest[Affectation matrice],$AB$3,Invest[Amortissement HT + intérêts]))*BT30</f>
        <v>0</v>
      </c>
      <c r="T30" s="276">
        <f>(SUMIF(Fonctionnement[Affectation matrice],$AB$3,Fonctionnement[Montant (€HT)])+SUMIF(Invest[Affectation matrice],$AB$3,Invest[Amortissement HT + intérêts]))*BU30</f>
        <v>0</v>
      </c>
      <c r="U30" s="276">
        <f>(SUMIF(Fonctionnement[Affectation matrice],$AB$3,Fonctionnement[Montant (€HT)])+SUMIF(Invest[Affectation matrice],$AB$3,Invest[Amortissement HT + intérêts]))*BV30</f>
        <v>0</v>
      </c>
      <c r="V30" s="276">
        <f>(SUMIF(Fonctionnement[Affectation matrice],$AB$3,Fonctionnement[Montant (€HT)])+SUMIF(Invest[Affectation matrice],$AB$3,Invest[Amortissement HT + intérêts]))*BW30</f>
        <v>0</v>
      </c>
      <c r="W30" s="276">
        <f>(SUMIF(Fonctionnement[Affectation matrice],$AB$3,Fonctionnement[Montant (€HT)])+SUMIF(Invest[Affectation matrice],$AB$3,Invest[Amortissement HT + intérêts]))*BX30</f>
        <v>0</v>
      </c>
      <c r="X30" s="276">
        <f>(SUMIF(Fonctionnement[Affectation matrice],$AB$3,Fonctionnement[Montant (€HT)])+SUMIF(Invest[Affectation matrice],$AB$3,Invest[Amortissement HT + intérêts]))*BY30</f>
        <v>0</v>
      </c>
      <c r="Y30" s="276">
        <f>(SUMIF(Fonctionnement[Affectation matrice],$AB$3,Fonctionnement[Montant (€HT)])+SUMIF(Invest[Affectation matrice],$AB$3,Invest[Amortissement HT + intérêts]))*BZ30</f>
        <v>0</v>
      </c>
      <c r="Z30" s="276">
        <f>(SUMIF(Fonctionnement[Affectation matrice],$AB$3,Fonctionnement[Montant (€HT)])+SUMIF(Invest[Affectation matrice],$AB$3,Invest[Amortissement HT + intérêts]))*CA30</f>
        <v>0</v>
      </c>
      <c r="AA30" s="199"/>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283">
        <f t="shared" si="4"/>
        <v>0</v>
      </c>
      <c r="BB30" s="7"/>
      <c r="BC30" s="61">
        <f t="shared" si="8"/>
        <v>0</v>
      </c>
      <c r="BD30" s="61">
        <f t="shared" si="8"/>
        <v>0</v>
      </c>
      <c r="BE30" s="61">
        <f t="shared" si="8"/>
        <v>0</v>
      </c>
      <c r="BF30" s="61">
        <f t="shared" si="8"/>
        <v>0</v>
      </c>
      <c r="BG30" s="61">
        <f t="shared" si="8"/>
        <v>0</v>
      </c>
      <c r="BH30" s="61">
        <f t="shared" si="8"/>
        <v>0</v>
      </c>
      <c r="BI30" s="61">
        <f t="shared" si="8"/>
        <v>0</v>
      </c>
      <c r="BJ30" s="61">
        <f t="shared" si="8"/>
        <v>0</v>
      </c>
      <c r="BK30" s="61">
        <f t="shared" si="8"/>
        <v>0</v>
      </c>
      <c r="BL30" s="61">
        <f t="shared" si="8"/>
        <v>0</v>
      </c>
      <c r="BM30" s="61">
        <f t="shared" si="8"/>
        <v>0</v>
      </c>
      <c r="BN30" s="61">
        <f t="shared" si="8"/>
        <v>0</v>
      </c>
      <c r="BO30" s="61">
        <f t="shared" si="8"/>
        <v>0</v>
      </c>
      <c r="BP30" s="61">
        <f t="shared" si="8"/>
        <v>0</v>
      </c>
      <c r="BQ30" s="61">
        <f t="shared" si="8"/>
        <v>0</v>
      </c>
      <c r="BR30" s="61">
        <f t="shared" si="8"/>
        <v>0</v>
      </c>
      <c r="BS30" s="61">
        <f t="shared" si="9"/>
        <v>0</v>
      </c>
      <c r="BT30" s="61">
        <f t="shared" si="9"/>
        <v>0</v>
      </c>
      <c r="BU30" s="61">
        <f t="shared" si="9"/>
        <v>0</v>
      </c>
      <c r="BV30" s="61">
        <f t="shared" si="9"/>
        <v>0</v>
      </c>
      <c r="BW30" s="61">
        <f t="shared" si="9"/>
        <v>0</v>
      </c>
      <c r="BX30" s="61">
        <f t="shared" si="9"/>
        <v>0</v>
      </c>
      <c r="BY30" s="61">
        <f t="shared" si="9"/>
        <v>0</v>
      </c>
      <c r="BZ30" s="61">
        <f t="shared" si="9"/>
        <v>0</v>
      </c>
      <c r="CA30" s="61">
        <f t="shared" si="9"/>
        <v>0</v>
      </c>
      <c r="CB30" s="61">
        <f t="shared" si="5"/>
        <v>0</v>
      </c>
      <c r="CD30" s="200">
        <f>(SUMIF(Fonctionnement[Affectation matrice],$AB$3,Fonctionnement[TVA acquittée])+SUMIF(Invest[Affectation matrice],$AB$3,Invest[TVA acquittée]))*BC30</f>
        <v>0</v>
      </c>
      <c r="CE30" s="200">
        <f>(SUMIF(Fonctionnement[Affectation matrice],$AB$3,Fonctionnement[TVA acquittée])+SUMIF(Invest[Affectation matrice],$AB$3,Invest[TVA acquittée]))*BD30</f>
        <v>0</v>
      </c>
      <c r="CF30" s="200">
        <f>(SUMIF(Fonctionnement[Affectation matrice],$AB$3,Fonctionnement[TVA acquittée])+SUMIF(Invest[Affectation matrice],$AB$3,Invest[TVA acquittée]))*BE30</f>
        <v>0</v>
      </c>
      <c r="CG30" s="200">
        <f>(SUMIF(Fonctionnement[Affectation matrice],$AB$3,Fonctionnement[TVA acquittée])+SUMIF(Invest[Affectation matrice],$AB$3,Invest[TVA acquittée]))*BF30</f>
        <v>0</v>
      </c>
      <c r="CH30" s="200">
        <f>(SUMIF(Fonctionnement[Affectation matrice],$AB$3,Fonctionnement[TVA acquittée])+SUMIF(Invest[Affectation matrice],$AB$3,Invest[TVA acquittée]))*BG30</f>
        <v>0</v>
      </c>
      <c r="CI30" s="200">
        <f>(SUMIF(Fonctionnement[Affectation matrice],$AB$3,Fonctionnement[TVA acquittée])+SUMIF(Invest[Affectation matrice],$AB$3,Invest[TVA acquittée]))*BH30</f>
        <v>0</v>
      </c>
      <c r="CJ30" s="200">
        <f>(SUMIF(Fonctionnement[Affectation matrice],$AB$3,Fonctionnement[TVA acquittée])+SUMIF(Invest[Affectation matrice],$AB$3,Invest[TVA acquittée]))*BI30</f>
        <v>0</v>
      </c>
      <c r="CK30" s="200">
        <f>(SUMIF(Fonctionnement[Affectation matrice],$AB$3,Fonctionnement[TVA acquittée])+SUMIF(Invest[Affectation matrice],$AB$3,Invest[TVA acquittée]))*BJ30</f>
        <v>0</v>
      </c>
      <c r="CL30" s="200">
        <f>(SUMIF(Fonctionnement[Affectation matrice],$AB$3,Fonctionnement[TVA acquittée])+SUMIF(Invest[Affectation matrice],$AB$3,Invest[TVA acquittée]))*BK30</f>
        <v>0</v>
      </c>
      <c r="CM30" s="200">
        <f>(SUMIF(Fonctionnement[Affectation matrice],$AB$3,Fonctionnement[TVA acquittée])+SUMIF(Invest[Affectation matrice],$AB$3,Invest[TVA acquittée]))*BL30</f>
        <v>0</v>
      </c>
      <c r="CN30" s="200">
        <f>(SUMIF(Fonctionnement[Affectation matrice],$AB$3,Fonctionnement[TVA acquittée])+SUMIF(Invest[Affectation matrice],$AB$3,Invest[TVA acquittée]))*BM30</f>
        <v>0</v>
      </c>
      <c r="CO30" s="200">
        <f>(SUMIF(Fonctionnement[Affectation matrice],$AB$3,Fonctionnement[TVA acquittée])+SUMIF(Invest[Affectation matrice],$AB$3,Invest[TVA acquittée]))*BN30</f>
        <v>0</v>
      </c>
      <c r="CP30" s="200">
        <f>(SUMIF(Fonctionnement[Affectation matrice],$AB$3,Fonctionnement[TVA acquittée])+SUMIF(Invest[Affectation matrice],$AB$3,Invest[TVA acquittée]))*BO30</f>
        <v>0</v>
      </c>
      <c r="CQ30" s="200">
        <f>(SUMIF(Fonctionnement[Affectation matrice],$AB$3,Fonctionnement[TVA acquittée])+SUMIF(Invest[Affectation matrice],$AB$3,Invest[TVA acquittée]))*BP30</f>
        <v>0</v>
      </c>
      <c r="CR30" s="200">
        <f>(SUMIF(Fonctionnement[Affectation matrice],$AB$3,Fonctionnement[TVA acquittée])+SUMIF(Invest[Affectation matrice],$AB$3,Invest[TVA acquittée]))*BQ30</f>
        <v>0</v>
      </c>
      <c r="CS30" s="200">
        <f>(SUMIF(Fonctionnement[Affectation matrice],$AB$3,Fonctionnement[TVA acquittée])+SUMIF(Invest[Affectation matrice],$AB$3,Invest[TVA acquittée]))*BR30</f>
        <v>0</v>
      </c>
      <c r="CT30" s="200">
        <f>(SUMIF(Fonctionnement[Affectation matrice],$AB$3,Fonctionnement[TVA acquittée])+SUMIF(Invest[Affectation matrice],$AB$3,Invest[TVA acquittée]))*BS30</f>
        <v>0</v>
      </c>
      <c r="CU30" s="200">
        <f>(SUMIF(Fonctionnement[Affectation matrice],$AB$3,Fonctionnement[TVA acquittée])+SUMIF(Invest[Affectation matrice],$AB$3,Invest[TVA acquittée]))*BT30</f>
        <v>0</v>
      </c>
      <c r="CV30" s="200">
        <f>(SUMIF(Fonctionnement[Affectation matrice],$AB$3,Fonctionnement[TVA acquittée])+SUMIF(Invest[Affectation matrice],$AB$3,Invest[TVA acquittée]))*BU30</f>
        <v>0</v>
      </c>
      <c r="CW30" s="200">
        <f>(SUMIF(Fonctionnement[Affectation matrice],$AB$3,Fonctionnement[TVA acquittée])+SUMIF(Invest[Affectation matrice],$AB$3,Invest[TVA acquittée]))*BV30</f>
        <v>0</v>
      </c>
      <c r="CX30" s="200">
        <f>(SUMIF(Fonctionnement[Affectation matrice],$AB$3,Fonctionnement[TVA acquittée])+SUMIF(Invest[Affectation matrice],$AB$3,Invest[TVA acquittée]))*BW30</f>
        <v>0</v>
      </c>
      <c r="CY30" s="200">
        <f>(SUMIF(Fonctionnement[Affectation matrice],$AB$3,Fonctionnement[TVA acquittée])+SUMIF(Invest[Affectation matrice],$AB$3,Invest[TVA acquittée]))*BX30</f>
        <v>0</v>
      </c>
      <c r="CZ30" s="200">
        <f>(SUMIF(Fonctionnement[Affectation matrice],$AB$3,Fonctionnement[TVA acquittée])+SUMIF(Invest[Affectation matrice],$AB$3,Invest[TVA acquittée]))*BY30</f>
        <v>0</v>
      </c>
      <c r="DA30" s="200">
        <f>(SUMIF(Fonctionnement[Affectation matrice],$AB$3,Fonctionnement[TVA acquittée])+SUMIF(Invest[Affectation matrice],$AB$3,Invest[TVA acquittée]))*BZ30</f>
        <v>0</v>
      </c>
      <c r="DB30" s="200">
        <f>(SUMIF(Fonctionnement[Affectation matrice],$AB$3,Fonctionnement[TVA acquittée])+SUMIF(Invest[Affectation matrice],$AB$3,Invest[TVA acquittée]))*CA30</f>
        <v>0</v>
      </c>
    </row>
    <row r="31" spans="1:106" s="22" customFormat="1" ht="12.75" hidden="1" customHeight="1" x14ac:dyDescent="0.25">
      <c r="A31" s="42" t="str">
        <f>Matrice[[#This Row],[Ligne de la matrice]]</f>
        <v>Reprises des subventions d'investissement</v>
      </c>
      <c r="B31" s="276">
        <f>(SUMIF(Fonctionnement[Affectation matrice],$AB$3,Fonctionnement[Montant (€HT)])+SUMIF(Invest[Affectation matrice],$AB$3,Invest[Amortissement HT + intérêts]))*BC31</f>
        <v>0</v>
      </c>
      <c r="C31" s="276">
        <f>(SUMIF(Fonctionnement[Affectation matrice],$AB$3,Fonctionnement[Montant (€HT)])+SUMIF(Invest[Affectation matrice],$AB$3,Invest[Amortissement HT + intérêts]))*BD31</f>
        <v>0</v>
      </c>
      <c r="D31" s="276">
        <f>(SUMIF(Fonctionnement[Affectation matrice],$AB$3,Fonctionnement[Montant (€HT)])+SUMIF(Invest[Affectation matrice],$AB$3,Invest[Amortissement HT + intérêts]))*BE31</f>
        <v>0</v>
      </c>
      <c r="E31" s="276">
        <f>(SUMIF(Fonctionnement[Affectation matrice],$AB$3,Fonctionnement[Montant (€HT)])+SUMIF(Invest[Affectation matrice],$AB$3,Invest[Amortissement HT + intérêts]))*BF31</f>
        <v>0</v>
      </c>
      <c r="F31" s="276">
        <f>(SUMIF(Fonctionnement[Affectation matrice],$AB$3,Fonctionnement[Montant (€HT)])+SUMIF(Invest[Affectation matrice],$AB$3,Invest[Amortissement HT + intérêts]))*BG31</f>
        <v>0</v>
      </c>
      <c r="G31" s="276">
        <f>(SUMIF(Fonctionnement[Affectation matrice],$AB$3,Fonctionnement[Montant (€HT)])+SUMIF(Invest[Affectation matrice],$AB$3,Invest[Amortissement HT + intérêts]))*BH31</f>
        <v>0</v>
      </c>
      <c r="H31" s="276">
        <f>(SUMIF(Fonctionnement[Affectation matrice],$AB$3,Fonctionnement[Montant (€HT)])+SUMIF(Invest[Affectation matrice],$AB$3,Invest[Amortissement HT + intérêts]))*BI31</f>
        <v>0</v>
      </c>
      <c r="I31" s="276">
        <f>(SUMIF(Fonctionnement[Affectation matrice],$AB$3,Fonctionnement[Montant (€HT)])+SUMIF(Invest[Affectation matrice],$AB$3,Invest[Amortissement HT + intérêts]))*BJ31</f>
        <v>0</v>
      </c>
      <c r="J31" s="276">
        <f>(SUMIF(Fonctionnement[Affectation matrice],$AB$3,Fonctionnement[Montant (€HT)])+SUMIF(Invest[Affectation matrice],$AB$3,Invest[Amortissement HT + intérêts]))*BK31</f>
        <v>0</v>
      </c>
      <c r="K31" s="276">
        <f>(SUMIF(Fonctionnement[Affectation matrice],$AB$3,Fonctionnement[Montant (€HT)])+SUMIF(Invest[Affectation matrice],$AB$3,Invest[Amortissement HT + intérêts]))*BL31</f>
        <v>0</v>
      </c>
      <c r="L31" s="276">
        <f>(SUMIF(Fonctionnement[Affectation matrice],$AB$3,Fonctionnement[Montant (€HT)])+SUMIF(Invest[Affectation matrice],$AB$3,Invest[Amortissement HT + intérêts]))*BM31</f>
        <v>0</v>
      </c>
      <c r="M31" s="276">
        <f>(SUMIF(Fonctionnement[Affectation matrice],$AB$3,Fonctionnement[Montant (€HT)])+SUMIF(Invest[Affectation matrice],$AB$3,Invest[Amortissement HT + intérêts]))*BN31</f>
        <v>0</v>
      </c>
      <c r="N31" s="276">
        <f>(SUMIF(Fonctionnement[Affectation matrice],$AB$3,Fonctionnement[Montant (€HT)])+SUMIF(Invest[Affectation matrice],$AB$3,Invest[Amortissement HT + intérêts]))*BO31</f>
        <v>0</v>
      </c>
      <c r="O31" s="276">
        <f>(SUMIF(Fonctionnement[Affectation matrice],$AB$3,Fonctionnement[Montant (€HT)])+SUMIF(Invest[Affectation matrice],$AB$3,Invest[Amortissement HT + intérêts]))*BP31</f>
        <v>0</v>
      </c>
      <c r="P31" s="276">
        <f>(SUMIF(Fonctionnement[Affectation matrice],$AB$3,Fonctionnement[Montant (€HT)])+SUMIF(Invest[Affectation matrice],$AB$3,Invest[Amortissement HT + intérêts]))*BQ31</f>
        <v>0</v>
      </c>
      <c r="Q31" s="276">
        <f>(SUMIF(Fonctionnement[Affectation matrice],$AB$3,Fonctionnement[Montant (€HT)])+SUMIF(Invest[Affectation matrice],$AB$3,Invest[Amortissement HT + intérêts]))*BR31</f>
        <v>0</v>
      </c>
      <c r="R31" s="276">
        <f>(SUMIF(Fonctionnement[Affectation matrice],$AB$3,Fonctionnement[Montant (€HT)])+SUMIF(Invest[Affectation matrice],$AB$3,Invest[Amortissement HT + intérêts]))*BS31</f>
        <v>0</v>
      </c>
      <c r="S31" s="276">
        <f>(SUMIF(Fonctionnement[Affectation matrice],$AB$3,Fonctionnement[Montant (€HT)])+SUMIF(Invest[Affectation matrice],$AB$3,Invest[Amortissement HT + intérêts]))*BT31</f>
        <v>0</v>
      </c>
      <c r="T31" s="276">
        <f>(SUMIF(Fonctionnement[Affectation matrice],$AB$3,Fonctionnement[Montant (€HT)])+SUMIF(Invest[Affectation matrice],$AB$3,Invest[Amortissement HT + intérêts]))*BU31</f>
        <v>0</v>
      </c>
      <c r="U31" s="276">
        <f>(SUMIF(Fonctionnement[Affectation matrice],$AB$3,Fonctionnement[Montant (€HT)])+SUMIF(Invest[Affectation matrice],$AB$3,Invest[Amortissement HT + intérêts]))*BV31</f>
        <v>0</v>
      </c>
      <c r="V31" s="276">
        <f>(SUMIF(Fonctionnement[Affectation matrice],$AB$3,Fonctionnement[Montant (€HT)])+SUMIF(Invest[Affectation matrice],$AB$3,Invest[Amortissement HT + intérêts]))*BW31</f>
        <v>0</v>
      </c>
      <c r="W31" s="276">
        <f>(SUMIF(Fonctionnement[Affectation matrice],$AB$3,Fonctionnement[Montant (€HT)])+SUMIF(Invest[Affectation matrice],$AB$3,Invest[Amortissement HT + intérêts]))*BX31</f>
        <v>0</v>
      </c>
      <c r="X31" s="276">
        <f>(SUMIF(Fonctionnement[Affectation matrice],$AB$3,Fonctionnement[Montant (€HT)])+SUMIF(Invest[Affectation matrice],$AB$3,Invest[Amortissement HT + intérêts]))*BY31</f>
        <v>0</v>
      </c>
      <c r="Y31" s="276">
        <f>(SUMIF(Fonctionnement[Affectation matrice],$AB$3,Fonctionnement[Montant (€HT)])+SUMIF(Invest[Affectation matrice],$AB$3,Invest[Amortissement HT + intérêts]))*BZ31</f>
        <v>0</v>
      </c>
      <c r="Z31" s="276">
        <f>(SUMIF(Fonctionnement[Affectation matrice],$AB$3,Fonctionnement[Montant (€HT)])+SUMIF(Invest[Affectation matrice],$AB$3,Invest[Amortissement HT + intérêts]))*CA31</f>
        <v>0</v>
      </c>
      <c r="AA31" s="199"/>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283">
        <f t="shared" si="4"/>
        <v>0</v>
      </c>
      <c r="BB31" s="7"/>
      <c r="BC31" s="61">
        <f t="shared" si="8"/>
        <v>0</v>
      </c>
      <c r="BD31" s="61">
        <f t="shared" si="8"/>
        <v>0</v>
      </c>
      <c r="BE31" s="61">
        <f t="shared" si="8"/>
        <v>0</v>
      </c>
      <c r="BF31" s="61">
        <f t="shared" si="8"/>
        <v>0</v>
      </c>
      <c r="BG31" s="61">
        <f t="shared" si="8"/>
        <v>0</v>
      </c>
      <c r="BH31" s="61">
        <f t="shared" si="8"/>
        <v>0</v>
      </c>
      <c r="BI31" s="61">
        <f t="shared" si="8"/>
        <v>0</v>
      </c>
      <c r="BJ31" s="61">
        <f t="shared" si="8"/>
        <v>0</v>
      </c>
      <c r="BK31" s="61">
        <f t="shared" si="8"/>
        <v>0</v>
      </c>
      <c r="BL31" s="61">
        <f t="shared" si="8"/>
        <v>0</v>
      </c>
      <c r="BM31" s="61">
        <f t="shared" si="8"/>
        <v>0</v>
      </c>
      <c r="BN31" s="61">
        <f t="shared" si="8"/>
        <v>0</v>
      </c>
      <c r="BO31" s="61">
        <f t="shared" si="8"/>
        <v>0</v>
      </c>
      <c r="BP31" s="61">
        <f t="shared" si="8"/>
        <v>0</v>
      </c>
      <c r="BQ31" s="61">
        <f t="shared" si="8"/>
        <v>0</v>
      </c>
      <c r="BR31" s="61">
        <f t="shared" si="8"/>
        <v>0</v>
      </c>
      <c r="BS31" s="61">
        <f t="shared" si="9"/>
        <v>0</v>
      </c>
      <c r="BT31" s="61">
        <f t="shared" si="9"/>
        <v>0</v>
      </c>
      <c r="BU31" s="61">
        <f t="shared" si="9"/>
        <v>0</v>
      </c>
      <c r="BV31" s="61">
        <f t="shared" si="9"/>
        <v>0</v>
      </c>
      <c r="BW31" s="61">
        <f t="shared" si="9"/>
        <v>0</v>
      </c>
      <c r="BX31" s="61">
        <f t="shared" si="9"/>
        <v>0</v>
      </c>
      <c r="BY31" s="61">
        <f t="shared" si="9"/>
        <v>0</v>
      </c>
      <c r="BZ31" s="61">
        <f t="shared" si="9"/>
        <v>0</v>
      </c>
      <c r="CA31" s="61">
        <f t="shared" si="9"/>
        <v>0</v>
      </c>
      <c r="CB31" s="61">
        <f t="shared" si="5"/>
        <v>0</v>
      </c>
      <c r="CD31" s="200">
        <f>(SUMIF(Fonctionnement[Affectation matrice],$AB$3,Fonctionnement[TVA acquittée])+SUMIF(Invest[Affectation matrice],$AB$3,Invest[TVA acquittée]))*BC31</f>
        <v>0</v>
      </c>
      <c r="CE31" s="200">
        <f>(SUMIF(Fonctionnement[Affectation matrice],$AB$3,Fonctionnement[TVA acquittée])+SUMIF(Invest[Affectation matrice],$AB$3,Invest[TVA acquittée]))*BD31</f>
        <v>0</v>
      </c>
      <c r="CF31" s="200">
        <f>(SUMIF(Fonctionnement[Affectation matrice],$AB$3,Fonctionnement[TVA acquittée])+SUMIF(Invest[Affectation matrice],$AB$3,Invest[TVA acquittée]))*BE31</f>
        <v>0</v>
      </c>
      <c r="CG31" s="200">
        <f>(SUMIF(Fonctionnement[Affectation matrice],$AB$3,Fonctionnement[TVA acquittée])+SUMIF(Invest[Affectation matrice],$AB$3,Invest[TVA acquittée]))*BF31</f>
        <v>0</v>
      </c>
      <c r="CH31" s="200">
        <f>(SUMIF(Fonctionnement[Affectation matrice],$AB$3,Fonctionnement[TVA acquittée])+SUMIF(Invest[Affectation matrice],$AB$3,Invest[TVA acquittée]))*BG31</f>
        <v>0</v>
      </c>
      <c r="CI31" s="200">
        <f>(SUMIF(Fonctionnement[Affectation matrice],$AB$3,Fonctionnement[TVA acquittée])+SUMIF(Invest[Affectation matrice],$AB$3,Invest[TVA acquittée]))*BH31</f>
        <v>0</v>
      </c>
      <c r="CJ31" s="200">
        <f>(SUMIF(Fonctionnement[Affectation matrice],$AB$3,Fonctionnement[TVA acquittée])+SUMIF(Invest[Affectation matrice],$AB$3,Invest[TVA acquittée]))*BI31</f>
        <v>0</v>
      </c>
      <c r="CK31" s="200">
        <f>(SUMIF(Fonctionnement[Affectation matrice],$AB$3,Fonctionnement[TVA acquittée])+SUMIF(Invest[Affectation matrice],$AB$3,Invest[TVA acquittée]))*BJ31</f>
        <v>0</v>
      </c>
      <c r="CL31" s="200">
        <f>(SUMIF(Fonctionnement[Affectation matrice],$AB$3,Fonctionnement[TVA acquittée])+SUMIF(Invest[Affectation matrice],$AB$3,Invest[TVA acquittée]))*BK31</f>
        <v>0</v>
      </c>
      <c r="CM31" s="200">
        <f>(SUMIF(Fonctionnement[Affectation matrice],$AB$3,Fonctionnement[TVA acquittée])+SUMIF(Invest[Affectation matrice],$AB$3,Invest[TVA acquittée]))*BL31</f>
        <v>0</v>
      </c>
      <c r="CN31" s="200">
        <f>(SUMIF(Fonctionnement[Affectation matrice],$AB$3,Fonctionnement[TVA acquittée])+SUMIF(Invest[Affectation matrice],$AB$3,Invest[TVA acquittée]))*BM31</f>
        <v>0</v>
      </c>
      <c r="CO31" s="200">
        <f>(SUMIF(Fonctionnement[Affectation matrice],$AB$3,Fonctionnement[TVA acquittée])+SUMIF(Invest[Affectation matrice],$AB$3,Invest[TVA acquittée]))*BN31</f>
        <v>0</v>
      </c>
      <c r="CP31" s="200">
        <f>(SUMIF(Fonctionnement[Affectation matrice],$AB$3,Fonctionnement[TVA acquittée])+SUMIF(Invest[Affectation matrice],$AB$3,Invest[TVA acquittée]))*BO31</f>
        <v>0</v>
      </c>
      <c r="CQ31" s="200">
        <f>(SUMIF(Fonctionnement[Affectation matrice],$AB$3,Fonctionnement[TVA acquittée])+SUMIF(Invest[Affectation matrice],$AB$3,Invest[TVA acquittée]))*BP31</f>
        <v>0</v>
      </c>
      <c r="CR31" s="200">
        <f>(SUMIF(Fonctionnement[Affectation matrice],$AB$3,Fonctionnement[TVA acquittée])+SUMIF(Invest[Affectation matrice],$AB$3,Invest[TVA acquittée]))*BQ31</f>
        <v>0</v>
      </c>
      <c r="CS31" s="200">
        <f>(SUMIF(Fonctionnement[Affectation matrice],$AB$3,Fonctionnement[TVA acquittée])+SUMIF(Invest[Affectation matrice],$AB$3,Invest[TVA acquittée]))*BR31</f>
        <v>0</v>
      </c>
      <c r="CT31" s="200">
        <f>(SUMIF(Fonctionnement[Affectation matrice],$AB$3,Fonctionnement[TVA acquittée])+SUMIF(Invest[Affectation matrice],$AB$3,Invest[TVA acquittée]))*BS31</f>
        <v>0</v>
      </c>
      <c r="CU31" s="200">
        <f>(SUMIF(Fonctionnement[Affectation matrice],$AB$3,Fonctionnement[TVA acquittée])+SUMIF(Invest[Affectation matrice],$AB$3,Invest[TVA acquittée]))*BT31</f>
        <v>0</v>
      </c>
      <c r="CV31" s="200">
        <f>(SUMIF(Fonctionnement[Affectation matrice],$AB$3,Fonctionnement[TVA acquittée])+SUMIF(Invest[Affectation matrice],$AB$3,Invest[TVA acquittée]))*BU31</f>
        <v>0</v>
      </c>
      <c r="CW31" s="200">
        <f>(SUMIF(Fonctionnement[Affectation matrice],$AB$3,Fonctionnement[TVA acquittée])+SUMIF(Invest[Affectation matrice],$AB$3,Invest[TVA acquittée]))*BV31</f>
        <v>0</v>
      </c>
      <c r="CX31" s="200">
        <f>(SUMIF(Fonctionnement[Affectation matrice],$AB$3,Fonctionnement[TVA acquittée])+SUMIF(Invest[Affectation matrice],$AB$3,Invest[TVA acquittée]))*BW31</f>
        <v>0</v>
      </c>
      <c r="CY31" s="200">
        <f>(SUMIF(Fonctionnement[Affectation matrice],$AB$3,Fonctionnement[TVA acquittée])+SUMIF(Invest[Affectation matrice],$AB$3,Invest[TVA acquittée]))*BX31</f>
        <v>0</v>
      </c>
      <c r="CZ31" s="200">
        <f>(SUMIF(Fonctionnement[Affectation matrice],$AB$3,Fonctionnement[TVA acquittée])+SUMIF(Invest[Affectation matrice],$AB$3,Invest[TVA acquittée]))*BY31</f>
        <v>0</v>
      </c>
      <c r="DA31" s="200">
        <f>(SUMIF(Fonctionnement[Affectation matrice],$AB$3,Fonctionnement[TVA acquittée])+SUMIF(Invest[Affectation matrice],$AB$3,Invest[TVA acquittée]))*BZ31</f>
        <v>0</v>
      </c>
      <c r="DB31" s="200">
        <f>(SUMIF(Fonctionnement[Affectation matrice],$AB$3,Fonctionnement[TVA acquittée])+SUMIF(Invest[Affectation matrice],$AB$3,Invest[TVA acquittée]))*CA31</f>
        <v>0</v>
      </c>
    </row>
    <row r="32" spans="1:106" s="22" customFormat="1" ht="12.75" hidden="1" customHeight="1" x14ac:dyDescent="0.25">
      <c r="A32" s="42" t="str">
        <f>Matrice[[#This Row],[Ligne de la matrice]]</f>
        <v>Subventions de fonctionnement</v>
      </c>
      <c r="B32" s="276">
        <f>(SUMIF(Fonctionnement[Affectation matrice],$AB$3,Fonctionnement[Montant (€HT)])+SUMIF(Invest[Affectation matrice],$AB$3,Invest[Amortissement HT + intérêts]))*BC32</f>
        <v>0</v>
      </c>
      <c r="C32" s="276">
        <f>(SUMIF(Fonctionnement[Affectation matrice],$AB$3,Fonctionnement[Montant (€HT)])+SUMIF(Invest[Affectation matrice],$AB$3,Invest[Amortissement HT + intérêts]))*BD32</f>
        <v>0</v>
      </c>
      <c r="D32" s="276">
        <f>(SUMIF(Fonctionnement[Affectation matrice],$AB$3,Fonctionnement[Montant (€HT)])+SUMIF(Invest[Affectation matrice],$AB$3,Invest[Amortissement HT + intérêts]))*BE32</f>
        <v>0</v>
      </c>
      <c r="E32" s="276">
        <f>(SUMIF(Fonctionnement[Affectation matrice],$AB$3,Fonctionnement[Montant (€HT)])+SUMIF(Invest[Affectation matrice],$AB$3,Invest[Amortissement HT + intérêts]))*BF32</f>
        <v>0</v>
      </c>
      <c r="F32" s="276">
        <f>(SUMIF(Fonctionnement[Affectation matrice],$AB$3,Fonctionnement[Montant (€HT)])+SUMIF(Invest[Affectation matrice],$AB$3,Invest[Amortissement HT + intérêts]))*BG32</f>
        <v>0</v>
      </c>
      <c r="G32" s="276">
        <f>(SUMIF(Fonctionnement[Affectation matrice],$AB$3,Fonctionnement[Montant (€HT)])+SUMIF(Invest[Affectation matrice],$AB$3,Invest[Amortissement HT + intérêts]))*BH32</f>
        <v>0</v>
      </c>
      <c r="H32" s="276">
        <f>(SUMIF(Fonctionnement[Affectation matrice],$AB$3,Fonctionnement[Montant (€HT)])+SUMIF(Invest[Affectation matrice],$AB$3,Invest[Amortissement HT + intérêts]))*BI32</f>
        <v>0</v>
      </c>
      <c r="I32" s="276">
        <f>(SUMIF(Fonctionnement[Affectation matrice],$AB$3,Fonctionnement[Montant (€HT)])+SUMIF(Invest[Affectation matrice],$AB$3,Invest[Amortissement HT + intérêts]))*BJ32</f>
        <v>0</v>
      </c>
      <c r="J32" s="276">
        <f>(SUMIF(Fonctionnement[Affectation matrice],$AB$3,Fonctionnement[Montant (€HT)])+SUMIF(Invest[Affectation matrice],$AB$3,Invest[Amortissement HT + intérêts]))*BK32</f>
        <v>0</v>
      </c>
      <c r="K32" s="276">
        <f>(SUMIF(Fonctionnement[Affectation matrice],$AB$3,Fonctionnement[Montant (€HT)])+SUMIF(Invest[Affectation matrice],$AB$3,Invest[Amortissement HT + intérêts]))*BL32</f>
        <v>0</v>
      </c>
      <c r="L32" s="276">
        <f>(SUMIF(Fonctionnement[Affectation matrice],$AB$3,Fonctionnement[Montant (€HT)])+SUMIF(Invest[Affectation matrice],$AB$3,Invest[Amortissement HT + intérêts]))*BM32</f>
        <v>0</v>
      </c>
      <c r="M32" s="276">
        <f>(SUMIF(Fonctionnement[Affectation matrice],$AB$3,Fonctionnement[Montant (€HT)])+SUMIF(Invest[Affectation matrice],$AB$3,Invest[Amortissement HT + intérêts]))*BN32</f>
        <v>0</v>
      </c>
      <c r="N32" s="276">
        <f>(SUMIF(Fonctionnement[Affectation matrice],$AB$3,Fonctionnement[Montant (€HT)])+SUMIF(Invest[Affectation matrice],$AB$3,Invest[Amortissement HT + intérêts]))*BO32</f>
        <v>0</v>
      </c>
      <c r="O32" s="276">
        <f>(SUMIF(Fonctionnement[Affectation matrice],$AB$3,Fonctionnement[Montant (€HT)])+SUMIF(Invest[Affectation matrice],$AB$3,Invest[Amortissement HT + intérêts]))*BP32</f>
        <v>0</v>
      </c>
      <c r="P32" s="276">
        <f>(SUMIF(Fonctionnement[Affectation matrice],$AB$3,Fonctionnement[Montant (€HT)])+SUMIF(Invest[Affectation matrice],$AB$3,Invest[Amortissement HT + intérêts]))*BQ32</f>
        <v>0</v>
      </c>
      <c r="Q32" s="276">
        <f>(SUMIF(Fonctionnement[Affectation matrice],$AB$3,Fonctionnement[Montant (€HT)])+SUMIF(Invest[Affectation matrice],$AB$3,Invest[Amortissement HT + intérêts]))*BR32</f>
        <v>0</v>
      </c>
      <c r="R32" s="276">
        <f>(SUMIF(Fonctionnement[Affectation matrice],$AB$3,Fonctionnement[Montant (€HT)])+SUMIF(Invest[Affectation matrice],$AB$3,Invest[Amortissement HT + intérêts]))*BS32</f>
        <v>0</v>
      </c>
      <c r="S32" s="276">
        <f>(SUMIF(Fonctionnement[Affectation matrice],$AB$3,Fonctionnement[Montant (€HT)])+SUMIF(Invest[Affectation matrice],$AB$3,Invest[Amortissement HT + intérêts]))*BT32</f>
        <v>0</v>
      </c>
      <c r="T32" s="276">
        <f>(SUMIF(Fonctionnement[Affectation matrice],$AB$3,Fonctionnement[Montant (€HT)])+SUMIF(Invest[Affectation matrice],$AB$3,Invest[Amortissement HT + intérêts]))*BU32</f>
        <v>0</v>
      </c>
      <c r="U32" s="276">
        <f>(SUMIF(Fonctionnement[Affectation matrice],$AB$3,Fonctionnement[Montant (€HT)])+SUMIF(Invest[Affectation matrice],$AB$3,Invest[Amortissement HT + intérêts]))*BV32</f>
        <v>0</v>
      </c>
      <c r="V32" s="276">
        <f>(SUMIF(Fonctionnement[Affectation matrice],$AB$3,Fonctionnement[Montant (€HT)])+SUMIF(Invest[Affectation matrice],$AB$3,Invest[Amortissement HT + intérêts]))*BW32</f>
        <v>0</v>
      </c>
      <c r="W32" s="276">
        <f>(SUMIF(Fonctionnement[Affectation matrice],$AB$3,Fonctionnement[Montant (€HT)])+SUMIF(Invest[Affectation matrice],$AB$3,Invest[Amortissement HT + intérêts]))*BX32</f>
        <v>0</v>
      </c>
      <c r="X32" s="276">
        <f>(SUMIF(Fonctionnement[Affectation matrice],$AB$3,Fonctionnement[Montant (€HT)])+SUMIF(Invest[Affectation matrice],$AB$3,Invest[Amortissement HT + intérêts]))*BY32</f>
        <v>0</v>
      </c>
      <c r="Y32" s="276">
        <f>(SUMIF(Fonctionnement[Affectation matrice],$AB$3,Fonctionnement[Montant (€HT)])+SUMIF(Invest[Affectation matrice],$AB$3,Invest[Amortissement HT + intérêts]))*BZ32</f>
        <v>0</v>
      </c>
      <c r="Z32" s="276">
        <f>(SUMIF(Fonctionnement[Affectation matrice],$AB$3,Fonctionnement[Montant (€HT)])+SUMIF(Invest[Affectation matrice],$AB$3,Invest[Amortissement HT + intérêts]))*CA32</f>
        <v>0</v>
      </c>
      <c r="AA32" s="199"/>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283">
        <f t="shared" si="4"/>
        <v>0</v>
      </c>
      <c r="BB32" s="7"/>
      <c r="BC32" s="61">
        <f t="shared" si="8"/>
        <v>0</v>
      </c>
      <c r="BD32" s="61">
        <f t="shared" si="8"/>
        <v>0</v>
      </c>
      <c r="BE32" s="61">
        <f t="shared" si="8"/>
        <v>0</v>
      </c>
      <c r="BF32" s="61">
        <f t="shared" si="8"/>
        <v>0</v>
      </c>
      <c r="BG32" s="61">
        <f t="shared" si="8"/>
        <v>0</v>
      </c>
      <c r="BH32" s="61">
        <f t="shared" si="8"/>
        <v>0</v>
      </c>
      <c r="BI32" s="61">
        <f t="shared" si="8"/>
        <v>0</v>
      </c>
      <c r="BJ32" s="61">
        <f t="shared" si="8"/>
        <v>0</v>
      </c>
      <c r="BK32" s="61">
        <f t="shared" si="8"/>
        <v>0</v>
      </c>
      <c r="BL32" s="61">
        <f t="shared" si="8"/>
        <v>0</v>
      </c>
      <c r="BM32" s="61">
        <f t="shared" si="8"/>
        <v>0</v>
      </c>
      <c r="BN32" s="61">
        <f t="shared" si="8"/>
        <v>0</v>
      </c>
      <c r="BO32" s="61">
        <f t="shared" si="8"/>
        <v>0</v>
      </c>
      <c r="BP32" s="61">
        <f t="shared" si="8"/>
        <v>0</v>
      </c>
      <c r="BQ32" s="61">
        <f t="shared" si="8"/>
        <v>0</v>
      </c>
      <c r="BR32" s="61">
        <f t="shared" si="8"/>
        <v>0</v>
      </c>
      <c r="BS32" s="61">
        <f t="shared" si="9"/>
        <v>0</v>
      </c>
      <c r="BT32" s="61">
        <f t="shared" si="9"/>
        <v>0</v>
      </c>
      <c r="BU32" s="61">
        <f t="shared" si="9"/>
        <v>0</v>
      </c>
      <c r="BV32" s="61">
        <f t="shared" si="9"/>
        <v>0</v>
      </c>
      <c r="BW32" s="61">
        <f t="shared" si="9"/>
        <v>0</v>
      </c>
      <c r="BX32" s="61">
        <f t="shared" si="9"/>
        <v>0</v>
      </c>
      <c r="BY32" s="61">
        <f t="shared" si="9"/>
        <v>0</v>
      </c>
      <c r="BZ32" s="61">
        <f t="shared" si="9"/>
        <v>0</v>
      </c>
      <c r="CA32" s="61">
        <f t="shared" si="9"/>
        <v>0</v>
      </c>
      <c r="CB32" s="61">
        <f t="shared" si="5"/>
        <v>0</v>
      </c>
      <c r="CD32" s="200">
        <f>(SUMIF(Fonctionnement[Affectation matrice],$AB$3,Fonctionnement[TVA acquittée])+SUMIF(Invest[Affectation matrice],$AB$3,Invest[TVA acquittée]))*BC32</f>
        <v>0</v>
      </c>
      <c r="CE32" s="200">
        <f>(SUMIF(Fonctionnement[Affectation matrice],$AB$3,Fonctionnement[TVA acquittée])+SUMIF(Invest[Affectation matrice],$AB$3,Invest[TVA acquittée]))*BD32</f>
        <v>0</v>
      </c>
      <c r="CF32" s="200">
        <f>(SUMIF(Fonctionnement[Affectation matrice],$AB$3,Fonctionnement[TVA acquittée])+SUMIF(Invest[Affectation matrice],$AB$3,Invest[TVA acquittée]))*BE32</f>
        <v>0</v>
      </c>
      <c r="CG32" s="200">
        <f>(SUMIF(Fonctionnement[Affectation matrice],$AB$3,Fonctionnement[TVA acquittée])+SUMIF(Invest[Affectation matrice],$AB$3,Invest[TVA acquittée]))*BF32</f>
        <v>0</v>
      </c>
      <c r="CH32" s="200">
        <f>(SUMIF(Fonctionnement[Affectation matrice],$AB$3,Fonctionnement[TVA acquittée])+SUMIF(Invest[Affectation matrice],$AB$3,Invest[TVA acquittée]))*BG32</f>
        <v>0</v>
      </c>
      <c r="CI32" s="200">
        <f>(SUMIF(Fonctionnement[Affectation matrice],$AB$3,Fonctionnement[TVA acquittée])+SUMIF(Invest[Affectation matrice],$AB$3,Invest[TVA acquittée]))*BH32</f>
        <v>0</v>
      </c>
      <c r="CJ32" s="200">
        <f>(SUMIF(Fonctionnement[Affectation matrice],$AB$3,Fonctionnement[TVA acquittée])+SUMIF(Invest[Affectation matrice],$AB$3,Invest[TVA acquittée]))*BI32</f>
        <v>0</v>
      </c>
      <c r="CK32" s="200">
        <f>(SUMIF(Fonctionnement[Affectation matrice],$AB$3,Fonctionnement[TVA acquittée])+SUMIF(Invest[Affectation matrice],$AB$3,Invest[TVA acquittée]))*BJ32</f>
        <v>0</v>
      </c>
      <c r="CL32" s="200">
        <f>(SUMIF(Fonctionnement[Affectation matrice],$AB$3,Fonctionnement[TVA acquittée])+SUMIF(Invest[Affectation matrice],$AB$3,Invest[TVA acquittée]))*BK32</f>
        <v>0</v>
      </c>
      <c r="CM32" s="200">
        <f>(SUMIF(Fonctionnement[Affectation matrice],$AB$3,Fonctionnement[TVA acquittée])+SUMIF(Invest[Affectation matrice],$AB$3,Invest[TVA acquittée]))*BL32</f>
        <v>0</v>
      </c>
      <c r="CN32" s="200">
        <f>(SUMIF(Fonctionnement[Affectation matrice],$AB$3,Fonctionnement[TVA acquittée])+SUMIF(Invest[Affectation matrice],$AB$3,Invest[TVA acquittée]))*BM32</f>
        <v>0</v>
      </c>
      <c r="CO32" s="200">
        <f>(SUMIF(Fonctionnement[Affectation matrice],$AB$3,Fonctionnement[TVA acquittée])+SUMIF(Invest[Affectation matrice],$AB$3,Invest[TVA acquittée]))*BN32</f>
        <v>0</v>
      </c>
      <c r="CP32" s="200">
        <f>(SUMIF(Fonctionnement[Affectation matrice],$AB$3,Fonctionnement[TVA acquittée])+SUMIF(Invest[Affectation matrice],$AB$3,Invest[TVA acquittée]))*BO32</f>
        <v>0</v>
      </c>
      <c r="CQ32" s="200">
        <f>(SUMIF(Fonctionnement[Affectation matrice],$AB$3,Fonctionnement[TVA acquittée])+SUMIF(Invest[Affectation matrice],$AB$3,Invest[TVA acquittée]))*BP32</f>
        <v>0</v>
      </c>
      <c r="CR32" s="200">
        <f>(SUMIF(Fonctionnement[Affectation matrice],$AB$3,Fonctionnement[TVA acquittée])+SUMIF(Invest[Affectation matrice],$AB$3,Invest[TVA acquittée]))*BQ32</f>
        <v>0</v>
      </c>
      <c r="CS32" s="200">
        <f>(SUMIF(Fonctionnement[Affectation matrice],$AB$3,Fonctionnement[TVA acquittée])+SUMIF(Invest[Affectation matrice],$AB$3,Invest[TVA acquittée]))*BR32</f>
        <v>0</v>
      </c>
      <c r="CT32" s="200">
        <f>(SUMIF(Fonctionnement[Affectation matrice],$AB$3,Fonctionnement[TVA acquittée])+SUMIF(Invest[Affectation matrice],$AB$3,Invest[TVA acquittée]))*BS32</f>
        <v>0</v>
      </c>
      <c r="CU32" s="200">
        <f>(SUMIF(Fonctionnement[Affectation matrice],$AB$3,Fonctionnement[TVA acquittée])+SUMIF(Invest[Affectation matrice],$AB$3,Invest[TVA acquittée]))*BT32</f>
        <v>0</v>
      </c>
      <c r="CV32" s="200">
        <f>(SUMIF(Fonctionnement[Affectation matrice],$AB$3,Fonctionnement[TVA acquittée])+SUMIF(Invest[Affectation matrice],$AB$3,Invest[TVA acquittée]))*BU32</f>
        <v>0</v>
      </c>
      <c r="CW32" s="200">
        <f>(SUMIF(Fonctionnement[Affectation matrice],$AB$3,Fonctionnement[TVA acquittée])+SUMIF(Invest[Affectation matrice],$AB$3,Invest[TVA acquittée]))*BV32</f>
        <v>0</v>
      </c>
      <c r="CX32" s="200">
        <f>(SUMIF(Fonctionnement[Affectation matrice],$AB$3,Fonctionnement[TVA acquittée])+SUMIF(Invest[Affectation matrice],$AB$3,Invest[TVA acquittée]))*BW32</f>
        <v>0</v>
      </c>
      <c r="CY32" s="200">
        <f>(SUMIF(Fonctionnement[Affectation matrice],$AB$3,Fonctionnement[TVA acquittée])+SUMIF(Invest[Affectation matrice],$AB$3,Invest[TVA acquittée]))*BX32</f>
        <v>0</v>
      </c>
      <c r="CZ32" s="200">
        <f>(SUMIF(Fonctionnement[Affectation matrice],$AB$3,Fonctionnement[TVA acquittée])+SUMIF(Invest[Affectation matrice],$AB$3,Invest[TVA acquittée]))*BY32</f>
        <v>0</v>
      </c>
      <c r="DA32" s="200">
        <f>(SUMIF(Fonctionnement[Affectation matrice],$AB$3,Fonctionnement[TVA acquittée])+SUMIF(Invest[Affectation matrice],$AB$3,Invest[TVA acquittée]))*BZ32</f>
        <v>0</v>
      </c>
      <c r="DB32" s="200">
        <f>(SUMIF(Fonctionnement[Affectation matrice],$AB$3,Fonctionnement[TVA acquittée])+SUMIF(Invest[Affectation matrice],$AB$3,Invest[TVA acquittée]))*CA32</f>
        <v>0</v>
      </c>
    </row>
    <row r="33" spans="1:106" s="22" customFormat="1" ht="12.75" hidden="1" customHeight="1" x14ac:dyDescent="0.25">
      <c r="A33" s="42" t="str">
        <f>Matrice[[#This Row],[Ligne de la matrice]]</f>
        <v>Aides à l'emploi</v>
      </c>
      <c r="B33" s="276">
        <f>(SUMIF(Fonctionnement[Affectation matrice],$AB$3,Fonctionnement[Montant (€HT)])+SUMIF(Invest[Affectation matrice],$AB$3,Invest[Amortissement HT + intérêts]))*BC33</f>
        <v>0</v>
      </c>
      <c r="C33" s="276">
        <f>(SUMIF(Fonctionnement[Affectation matrice],$AB$3,Fonctionnement[Montant (€HT)])+SUMIF(Invest[Affectation matrice],$AB$3,Invest[Amortissement HT + intérêts]))*BD33</f>
        <v>0</v>
      </c>
      <c r="D33" s="276">
        <f>(SUMIF(Fonctionnement[Affectation matrice],$AB$3,Fonctionnement[Montant (€HT)])+SUMIF(Invest[Affectation matrice],$AB$3,Invest[Amortissement HT + intérêts]))*BE33</f>
        <v>0</v>
      </c>
      <c r="E33" s="276">
        <f>(SUMIF(Fonctionnement[Affectation matrice],$AB$3,Fonctionnement[Montant (€HT)])+SUMIF(Invest[Affectation matrice],$AB$3,Invest[Amortissement HT + intérêts]))*BF33</f>
        <v>0</v>
      </c>
      <c r="F33" s="276">
        <f>(SUMIF(Fonctionnement[Affectation matrice],$AB$3,Fonctionnement[Montant (€HT)])+SUMIF(Invest[Affectation matrice],$AB$3,Invest[Amortissement HT + intérêts]))*BG33</f>
        <v>0</v>
      </c>
      <c r="G33" s="276">
        <f>(SUMIF(Fonctionnement[Affectation matrice],$AB$3,Fonctionnement[Montant (€HT)])+SUMIF(Invest[Affectation matrice],$AB$3,Invest[Amortissement HT + intérêts]))*BH33</f>
        <v>0</v>
      </c>
      <c r="H33" s="276">
        <f>(SUMIF(Fonctionnement[Affectation matrice],$AB$3,Fonctionnement[Montant (€HT)])+SUMIF(Invest[Affectation matrice],$AB$3,Invest[Amortissement HT + intérêts]))*BI33</f>
        <v>0</v>
      </c>
      <c r="I33" s="276">
        <f>(SUMIF(Fonctionnement[Affectation matrice],$AB$3,Fonctionnement[Montant (€HT)])+SUMIF(Invest[Affectation matrice],$AB$3,Invest[Amortissement HT + intérêts]))*BJ33</f>
        <v>0</v>
      </c>
      <c r="J33" s="276">
        <f>(SUMIF(Fonctionnement[Affectation matrice],$AB$3,Fonctionnement[Montant (€HT)])+SUMIF(Invest[Affectation matrice],$AB$3,Invest[Amortissement HT + intérêts]))*BK33</f>
        <v>0</v>
      </c>
      <c r="K33" s="276">
        <f>(SUMIF(Fonctionnement[Affectation matrice],$AB$3,Fonctionnement[Montant (€HT)])+SUMIF(Invest[Affectation matrice],$AB$3,Invest[Amortissement HT + intérêts]))*BL33</f>
        <v>0</v>
      </c>
      <c r="L33" s="276">
        <f>(SUMIF(Fonctionnement[Affectation matrice],$AB$3,Fonctionnement[Montant (€HT)])+SUMIF(Invest[Affectation matrice],$AB$3,Invest[Amortissement HT + intérêts]))*BM33</f>
        <v>0</v>
      </c>
      <c r="M33" s="276">
        <f>(SUMIF(Fonctionnement[Affectation matrice],$AB$3,Fonctionnement[Montant (€HT)])+SUMIF(Invest[Affectation matrice],$AB$3,Invest[Amortissement HT + intérêts]))*BN33</f>
        <v>0</v>
      </c>
      <c r="N33" s="276">
        <f>(SUMIF(Fonctionnement[Affectation matrice],$AB$3,Fonctionnement[Montant (€HT)])+SUMIF(Invest[Affectation matrice],$AB$3,Invest[Amortissement HT + intérêts]))*BO33</f>
        <v>0</v>
      </c>
      <c r="O33" s="276">
        <f>(SUMIF(Fonctionnement[Affectation matrice],$AB$3,Fonctionnement[Montant (€HT)])+SUMIF(Invest[Affectation matrice],$AB$3,Invest[Amortissement HT + intérêts]))*BP33</f>
        <v>0</v>
      </c>
      <c r="P33" s="276">
        <f>(SUMIF(Fonctionnement[Affectation matrice],$AB$3,Fonctionnement[Montant (€HT)])+SUMIF(Invest[Affectation matrice],$AB$3,Invest[Amortissement HT + intérêts]))*BQ33</f>
        <v>0</v>
      </c>
      <c r="Q33" s="276">
        <f>(SUMIF(Fonctionnement[Affectation matrice],$AB$3,Fonctionnement[Montant (€HT)])+SUMIF(Invest[Affectation matrice],$AB$3,Invest[Amortissement HT + intérêts]))*BR33</f>
        <v>0</v>
      </c>
      <c r="R33" s="276">
        <f>(SUMIF(Fonctionnement[Affectation matrice],$AB$3,Fonctionnement[Montant (€HT)])+SUMIF(Invest[Affectation matrice],$AB$3,Invest[Amortissement HT + intérêts]))*BS33</f>
        <v>0</v>
      </c>
      <c r="S33" s="276">
        <f>(SUMIF(Fonctionnement[Affectation matrice],$AB$3,Fonctionnement[Montant (€HT)])+SUMIF(Invest[Affectation matrice],$AB$3,Invest[Amortissement HT + intérêts]))*BT33</f>
        <v>0</v>
      </c>
      <c r="T33" s="276">
        <f>(SUMIF(Fonctionnement[Affectation matrice],$AB$3,Fonctionnement[Montant (€HT)])+SUMIF(Invest[Affectation matrice],$AB$3,Invest[Amortissement HT + intérêts]))*BU33</f>
        <v>0</v>
      </c>
      <c r="U33" s="276">
        <f>(SUMIF(Fonctionnement[Affectation matrice],$AB$3,Fonctionnement[Montant (€HT)])+SUMIF(Invest[Affectation matrice],$AB$3,Invest[Amortissement HT + intérêts]))*BV33</f>
        <v>0</v>
      </c>
      <c r="V33" s="276">
        <f>(SUMIF(Fonctionnement[Affectation matrice],$AB$3,Fonctionnement[Montant (€HT)])+SUMIF(Invest[Affectation matrice],$AB$3,Invest[Amortissement HT + intérêts]))*BW33</f>
        <v>0</v>
      </c>
      <c r="W33" s="276">
        <f>(SUMIF(Fonctionnement[Affectation matrice],$AB$3,Fonctionnement[Montant (€HT)])+SUMIF(Invest[Affectation matrice],$AB$3,Invest[Amortissement HT + intérêts]))*BX33</f>
        <v>0</v>
      </c>
      <c r="X33" s="276">
        <f>(SUMIF(Fonctionnement[Affectation matrice],$AB$3,Fonctionnement[Montant (€HT)])+SUMIF(Invest[Affectation matrice],$AB$3,Invest[Amortissement HT + intérêts]))*BY33</f>
        <v>0</v>
      </c>
      <c r="Y33" s="276">
        <f>(SUMIF(Fonctionnement[Affectation matrice],$AB$3,Fonctionnement[Montant (€HT)])+SUMIF(Invest[Affectation matrice],$AB$3,Invest[Amortissement HT + intérêts]))*BZ33</f>
        <v>0</v>
      </c>
      <c r="Z33" s="276">
        <f>(SUMIF(Fonctionnement[Affectation matrice],$AB$3,Fonctionnement[Montant (€HT)])+SUMIF(Invest[Affectation matrice],$AB$3,Invest[Amortissement HT + intérêts]))*CA33</f>
        <v>0</v>
      </c>
      <c r="AA33" s="199"/>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283">
        <f t="shared" si="4"/>
        <v>0</v>
      </c>
      <c r="BB33" s="7"/>
      <c r="BC33" s="61">
        <f t="shared" si="8"/>
        <v>0</v>
      </c>
      <c r="BD33" s="61">
        <f t="shared" si="8"/>
        <v>0</v>
      </c>
      <c r="BE33" s="61">
        <f t="shared" si="8"/>
        <v>0</v>
      </c>
      <c r="BF33" s="61">
        <f t="shared" si="8"/>
        <v>0</v>
      </c>
      <c r="BG33" s="61">
        <f t="shared" si="8"/>
        <v>0</v>
      </c>
      <c r="BH33" s="61">
        <f t="shared" si="8"/>
        <v>0</v>
      </c>
      <c r="BI33" s="61">
        <f t="shared" si="8"/>
        <v>0</v>
      </c>
      <c r="BJ33" s="61">
        <f t="shared" si="8"/>
        <v>0</v>
      </c>
      <c r="BK33" s="61">
        <f t="shared" si="8"/>
        <v>0</v>
      </c>
      <c r="BL33" s="61">
        <f t="shared" si="8"/>
        <v>0</v>
      </c>
      <c r="BM33" s="61">
        <f t="shared" si="8"/>
        <v>0</v>
      </c>
      <c r="BN33" s="61">
        <f t="shared" si="8"/>
        <v>0</v>
      </c>
      <c r="BO33" s="61">
        <f t="shared" si="8"/>
        <v>0</v>
      </c>
      <c r="BP33" s="61">
        <f t="shared" si="8"/>
        <v>0</v>
      </c>
      <c r="BQ33" s="61">
        <f t="shared" si="8"/>
        <v>0</v>
      </c>
      <c r="BR33" s="61">
        <f t="shared" si="8"/>
        <v>0</v>
      </c>
      <c r="BS33" s="61">
        <f t="shared" si="9"/>
        <v>0</v>
      </c>
      <c r="BT33" s="61">
        <f t="shared" si="9"/>
        <v>0</v>
      </c>
      <c r="BU33" s="61">
        <f t="shared" si="9"/>
        <v>0</v>
      </c>
      <c r="BV33" s="61">
        <f t="shared" si="9"/>
        <v>0</v>
      </c>
      <c r="BW33" s="61">
        <f t="shared" si="9"/>
        <v>0</v>
      </c>
      <c r="BX33" s="61">
        <f t="shared" si="9"/>
        <v>0</v>
      </c>
      <c r="BY33" s="61">
        <f t="shared" si="9"/>
        <v>0</v>
      </c>
      <c r="BZ33" s="61">
        <f t="shared" si="9"/>
        <v>0</v>
      </c>
      <c r="CA33" s="61">
        <f t="shared" si="9"/>
        <v>0</v>
      </c>
      <c r="CB33" s="61">
        <f t="shared" si="5"/>
        <v>0</v>
      </c>
      <c r="CD33" s="200">
        <f>(SUMIF(Fonctionnement[Affectation matrice],$AB$3,Fonctionnement[TVA acquittée])+SUMIF(Invest[Affectation matrice],$AB$3,Invest[TVA acquittée]))*BC33</f>
        <v>0</v>
      </c>
      <c r="CE33" s="200">
        <f>(SUMIF(Fonctionnement[Affectation matrice],$AB$3,Fonctionnement[TVA acquittée])+SUMIF(Invest[Affectation matrice],$AB$3,Invest[TVA acquittée]))*BD33</f>
        <v>0</v>
      </c>
      <c r="CF33" s="200">
        <f>(SUMIF(Fonctionnement[Affectation matrice],$AB$3,Fonctionnement[TVA acquittée])+SUMIF(Invest[Affectation matrice],$AB$3,Invest[TVA acquittée]))*BE33</f>
        <v>0</v>
      </c>
      <c r="CG33" s="200">
        <f>(SUMIF(Fonctionnement[Affectation matrice],$AB$3,Fonctionnement[TVA acquittée])+SUMIF(Invest[Affectation matrice],$AB$3,Invest[TVA acquittée]))*BF33</f>
        <v>0</v>
      </c>
      <c r="CH33" s="200">
        <f>(SUMIF(Fonctionnement[Affectation matrice],$AB$3,Fonctionnement[TVA acquittée])+SUMIF(Invest[Affectation matrice],$AB$3,Invest[TVA acquittée]))*BG33</f>
        <v>0</v>
      </c>
      <c r="CI33" s="200">
        <f>(SUMIF(Fonctionnement[Affectation matrice],$AB$3,Fonctionnement[TVA acquittée])+SUMIF(Invest[Affectation matrice],$AB$3,Invest[TVA acquittée]))*BH33</f>
        <v>0</v>
      </c>
      <c r="CJ33" s="200">
        <f>(SUMIF(Fonctionnement[Affectation matrice],$AB$3,Fonctionnement[TVA acquittée])+SUMIF(Invest[Affectation matrice],$AB$3,Invest[TVA acquittée]))*BI33</f>
        <v>0</v>
      </c>
      <c r="CK33" s="200">
        <f>(SUMIF(Fonctionnement[Affectation matrice],$AB$3,Fonctionnement[TVA acquittée])+SUMIF(Invest[Affectation matrice],$AB$3,Invest[TVA acquittée]))*BJ33</f>
        <v>0</v>
      </c>
      <c r="CL33" s="200">
        <f>(SUMIF(Fonctionnement[Affectation matrice],$AB$3,Fonctionnement[TVA acquittée])+SUMIF(Invest[Affectation matrice],$AB$3,Invest[TVA acquittée]))*BK33</f>
        <v>0</v>
      </c>
      <c r="CM33" s="200">
        <f>(SUMIF(Fonctionnement[Affectation matrice],$AB$3,Fonctionnement[TVA acquittée])+SUMIF(Invest[Affectation matrice],$AB$3,Invest[TVA acquittée]))*BL33</f>
        <v>0</v>
      </c>
      <c r="CN33" s="200">
        <f>(SUMIF(Fonctionnement[Affectation matrice],$AB$3,Fonctionnement[TVA acquittée])+SUMIF(Invest[Affectation matrice],$AB$3,Invest[TVA acquittée]))*BM33</f>
        <v>0</v>
      </c>
      <c r="CO33" s="200">
        <f>(SUMIF(Fonctionnement[Affectation matrice],$AB$3,Fonctionnement[TVA acquittée])+SUMIF(Invest[Affectation matrice],$AB$3,Invest[TVA acquittée]))*BN33</f>
        <v>0</v>
      </c>
      <c r="CP33" s="200">
        <f>(SUMIF(Fonctionnement[Affectation matrice],$AB$3,Fonctionnement[TVA acquittée])+SUMIF(Invest[Affectation matrice],$AB$3,Invest[TVA acquittée]))*BO33</f>
        <v>0</v>
      </c>
      <c r="CQ33" s="200">
        <f>(SUMIF(Fonctionnement[Affectation matrice],$AB$3,Fonctionnement[TVA acquittée])+SUMIF(Invest[Affectation matrice],$AB$3,Invest[TVA acquittée]))*BP33</f>
        <v>0</v>
      </c>
      <c r="CR33" s="200">
        <f>(SUMIF(Fonctionnement[Affectation matrice],$AB$3,Fonctionnement[TVA acquittée])+SUMIF(Invest[Affectation matrice],$AB$3,Invest[TVA acquittée]))*BQ33</f>
        <v>0</v>
      </c>
      <c r="CS33" s="200">
        <f>(SUMIF(Fonctionnement[Affectation matrice],$AB$3,Fonctionnement[TVA acquittée])+SUMIF(Invest[Affectation matrice],$AB$3,Invest[TVA acquittée]))*BR33</f>
        <v>0</v>
      </c>
      <c r="CT33" s="200">
        <f>(SUMIF(Fonctionnement[Affectation matrice],$AB$3,Fonctionnement[TVA acquittée])+SUMIF(Invest[Affectation matrice],$AB$3,Invest[TVA acquittée]))*BS33</f>
        <v>0</v>
      </c>
      <c r="CU33" s="200">
        <f>(SUMIF(Fonctionnement[Affectation matrice],$AB$3,Fonctionnement[TVA acquittée])+SUMIF(Invest[Affectation matrice],$AB$3,Invest[TVA acquittée]))*BT33</f>
        <v>0</v>
      </c>
      <c r="CV33" s="200">
        <f>(SUMIF(Fonctionnement[Affectation matrice],$AB$3,Fonctionnement[TVA acquittée])+SUMIF(Invest[Affectation matrice],$AB$3,Invest[TVA acquittée]))*BU33</f>
        <v>0</v>
      </c>
      <c r="CW33" s="200">
        <f>(SUMIF(Fonctionnement[Affectation matrice],$AB$3,Fonctionnement[TVA acquittée])+SUMIF(Invest[Affectation matrice],$AB$3,Invest[TVA acquittée]))*BV33</f>
        <v>0</v>
      </c>
      <c r="CX33" s="200">
        <f>(SUMIF(Fonctionnement[Affectation matrice],$AB$3,Fonctionnement[TVA acquittée])+SUMIF(Invest[Affectation matrice],$AB$3,Invest[TVA acquittée]))*BW33</f>
        <v>0</v>
      </c>
      <c r="CY33" s="200">
        <f>(SUMIF(Fonctionnement[Affectation matrice],$AB$3,Fonctionnement[TVA acquittée])+SUMIF(Invest[Affectation matrice],$AB$3,Invest[TVA acquittée]))*BX33</f>
        <v>0</v>
      </c>
      <c r="CZ33" s="200">
        <f>(SUMIF(Fonctionnement[Affectation matrice],$AB$3,Fonctionnement[TVA acquittée])+SUMIF(Invest[Affectation matrice],$AB$3,Invest[TVA acquittée]))*BY33</f>
        <v>0</v>
      </c>
      <c r="DA33" s="200">
        <f>(SUMIF(Fonctionnement[Affectation matrice],$AB$3,Fonctionnement[TVA acquittée])+SUMIF(Invest[Affectation matrice],$AB$3,Invest[TVA acquittée]))*BZ33</f>
        <v>0</v>
      </c>
      <c r="DB33" s="200">
        <f>(SUMIF(Fonctionnement[Affectation matrice],$AB$3,Fonctionnement[TVA acquittée])+SUMIF(Invest[Affectation matrice],$AB$3,Invest[TVA acquittée]))*CA33</f>
        <v>0</v>
      </c>
    </row>
    <row r="34" spans="1:106" s="205" customFormat="1" ht="12.75" hidden="1" customHeight="1" x14ac:dyDescent="0.25">
      <c r="A34" s="186"/>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02"/>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03"/>
      <c r="BB34" s="204"/>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row>
    <row r="35" spans="1:106" s="22" customFormat="1" ht="12.75" hidden="1" customHeight="1" x14ac:dyDescent="0.25">
      <c r="A35" s="42" t="str">
        <f>Matrice[[#This Row],[Ligne de la matrice]]</f>
        <v>TVA acquittée</v>
      </c>
      <c r="B35" s="276">
        <f>(SUMIF(Fonctionnement[Affectation matrice],$AB$3,Fonctionnement[Montant (€HT)])+SUMIF(Invest[Affectation matrice],$AB$3,Invest[Amortissement HT + intérêts]))*BC35</f>
        <v>0</v>
      </c>
      <c r="C35" s="276">
        <f>(SUMIF(Fonctionnement[Affectation matrice],$AB$3,Fonctionnement[Montant (€HT)])+SUMIF(Invest[Affectation matrice],$AB$3,Invest[Amortissement HT + intérêts]))*BD35</f>
        <v>0</v>
      </c>
      <c r="D35" s="276">
        <f>(SUMIF(Fonctionnement[Affectation matrice],$AB$3,Fonctionnement[Montant (€HT)])+SUMIF(Invest[Affectation matrice],$AB$3,Invest[Amortissement HT + intérêts]))*BE35</f>
        <v>0</v>
      </c>
      <c r="E35" s="276">
        <f>(SUMIF(Fonctionnement[Affectation matrice],$AB$3,Fonctionnement[Montant (€HT)])+SUMIF(Invest[Affectation matrice],$AB$3,Invest[Amortissement HT + intérêts]))*BF35</f>
        <v>0</v>
      </c>
      <c r="F35" s="276">
        <f>(SUMIF(Fonctionnement[Affectation matrice],$AB$3,Fonctionnement[Montant (€HT)])+SUMIF(Invest[Affectation matrice],$AB$3,Invest[Amortissement HT + intérêts]))*BG35</f>
        <v>0</v>
      </c>
      <c r="G35" s="276">
        <f>(SUMIF(Fonctionnement[Affectation matrice],$AB$3,Fonctionnement[Montant (€HT)])+SUMIF(Invest[Affectation matrice],$AB$3,Invest[Amortissement HT + intérêts]))*BH35</f>
        <v>0</v>
      </c>
      <c r="H35" s="276">
        <f>(SUMIF(Fonctionnement[Affectation matrice],$AB$3,Fonctionnement[Montant (€HT)])+SUMIF(Invest[Affectation matrice],$AB$3,Invest[Amortissement HT + intérêts]))*BI35</f>
        <v>0</v>
      </c>
      <c r="I35" s="276">
        <f>(SUMIF(Fonctionnement[Affectation matrice],$AB$3,Fonctionnement[Montant (€HT)])+SUMIF(Invest[Affectation matrice],$AB$3,Invest[Amortissement HT + intérêts]))*BJ35</f>
        <v>0</v>
      </c>
      <c r="J35" s="276">
        <f>(SUMIF(Fonctionnement[Affectation matrice],$AB$3,Fonctionnement[Montant (€HT)])+SUMIF(Invest[Affectation matrice],$AB$3,Invest[Amortissement HT + intérêts]))*BK35</f>
        <v>0</v>
      </c>
      <c r="K35" s="276">
        <f>(SUMIF(Fonctionnement[Affectation matrice],$AB$3,Fonctionnement[Montant (€HT)])+SUMIF(Invest[Affectation matrice],$AB$3,Invest[Amortissement HT + intérêts]))*BL35</f>
        <v>0</v>
      </c>
      <c r="L35" s="276">
        <f>(SUMIF(Fonctionnement[Affectation matrice],$AB$3,Fonctionnement[Montant (€HT)])+SUMIF(Invest[Affectation matrice],$AB$3,Invest[Amortissement HT + intérêts]))*BM35</f>
        <v>0</v>
      </c>
      <c r="M35" s="276">
        <f>(SUMIF(Fonctionnement[Affectation matrice],$AB$3,Fonctionnement[Montant (€HT)])+SUMIF(Invest[Affectation matrice],$AB$3,Invest[Amortissement HT + intérêts]))*BN35</f>
        <v>0</v>
      </c>
      <c r="N35" s="276">
        <f>(SUMIF(Fonctionnement[Affectation matrice],$AB$3,Fonctionnement[Montant (€HT)])+SUMIF(Invest[Affectation matrice],$AB$3,Invest[Amortissement HT + intérêts]))*BO35</f>
        <v>0</v>
      </c>
      <c r="O35" s="276">
        <f>(SUMIF(Fonctionnement[Affectation matrice],$AB$3,Fonctionnement[Montant (€HT)])+SUMIF(Invest[Affectation matrice],$AB$3,Invest[Amortissement HT + intérêts]))*BP35</f>
        <v>0</v>
      </c>
      <c r="P35" s="276">
        <f>(SUMIF(Fonctionnement[Affectation matrice],$AB$3,Fonctionnement[Montant (€HT)])+SUMIF(Invest[Affectation matrice],$AB$3,Invest[Amortissement HT + intérêts]))*BQ35</f>
        <v>0</v>
      </c>
      <c r="Q35" s="276">
        <f>(SUMIF(Fonctionnement[Affectation matrice],$AB$3,Fonctionnement[Montant (€HT)])+SUMIF(Invest[Affectation matrice],$AB$3,Invest[Amortissement HT + intérêts]))*BR35</f>
        <v>0</v>
      </c>
      <c r="R35" s="276">
        <f>(SUMIF(Fonctionnement[Affectation matrice],$AB$3,Fonctionnement[Montant (€HT)])+SUMIF(Invest[Affectation matrice],$AB$3,Invest[Amortissement HT + intérêts]))*BS35</f>
        <v>0</v>
      </c>
      <c r="S35" s="276">
        <f>(SUMIF(Fonctionnement[Affectation matrice],$AB$3,Fonctionnement[Montant (€HT)])+SUMIF(Invest[Affectation matrice],$AB$3,Invest[Amortissement HT + intérêts]))*BT35</f>
        <v>0</v>
      </c>
      <c r="T35" s="276">
        <f>(SUMIF(Fonctionnement[Affectation matrice],$AB$3,Fonctionnement[Montant (€HT)])+SUMIF(Invest[Affectation matrice],$AB$3,Invest[Amortissement HT + intérêts]))*BU35</f>
        <v>0</v>
      </c>
      <c r="U35" s="276">
        <f>(SUMIF(Fonctionnement[Affectation matrice],$AB$3,Fonctionnement[Montant (€HT)])+SUMIF(Invest[Affectation matrice],$AB$3,Invest[Amortissement HT + intérêts]))*BV35</f>
        <v>0</v>
      </c>
      <c r="V35" s="276">
        <f>(SUMIF(Fonctionnement[Affectation matrice],$AB$3,Fonctionnement[Montant (€HT)])+SUMIF(Invest[Affectation matrice],$AB$3,Invest[Amortissement HT + intérêts]))*BW35</f>
        <v>0</v>
      </c>
      <c r="W35" s="276">
        <f>(SUMIF(Fonctionnement[Affectation matrice],$AB$3,Fonctionnement[Montant (€HT)])+SUMIF(Invest[Affectation matrice],$AB$3,Invest[Amortissement HT + intérêts]))*BX35</f>
        <v>0</v>
      </c>
      <c r="X35" s="276">
        <f>(SUMIF(Fonctionnement[Affectation matrice],$AB$3,Fonctionnement[Montant (€HT)])+SUMIF(Invest[Affectation matrice],$AB$3,Invest[Amortissement HT + intérêts]))*BY35</f>
        <v>0</v>
      </c>
      <c r="Y35" s="276">
        <f>(SUMIF(Fonctionnement[Affectation matrice],$AB$3,Fonctionnement[Montant (€HT)])+SUMIF(Invest[Affectation matrice],$AB$3,Invest[Amortissement HT + intérêts]))*BZ35</f>
        <v>0</v>
      </c>
      <c r="Z35" s="276">
        <f>(SUMIF(Fonctionnement[Affectation matrice],$AB$3,Fonctionnement[Montant (€HT)])+SUMIF(Invest[Affectation matrice],$AB$3,Invest[Amortissement HT + intérêts]))*CA35</f>
        <v>0</v>
      </c>
      <c r="AA35" s="199"/>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283">
        <f t="shared" si="4"/>
        <v>0</v>
      </c>
      <c r="BB35" s="7"/>
      <c r="BC35" s="61">
        <f t="shared" ref="BC35:BR41" si="10">IF($BA$53=0,0,AB35/$BA$53)</f>
        <v>0</v>
      </c>
      <c r="BD35" s="61">
        <f t="shared" si="10"/>
        <v>0</v>
      </c>
      <c r="BE35" s="61">
        <f t="shared" si="10"/>
        <v>0</v>
      </c>
      <c r="BF35" s="61">
        <f t="shared" si="10"/>
        <v>0</v>
      </c>
      <c r="BG35" s="61">
        <f t="shared" si="10"/>
        <v>0</v>
      </c>
      <c r="BH35" s="61">
        <f t="shared" si="10"/>
        <v>0</v>
      </c>
      <c r="BI35" s="61">
        <f t="shared" si="10"/>
        <v>0</v>
      </c>
      <c r="BJ35" s="61">
        <f t="shared" si="10"/>
        <v>0</v>
      </c>
      <c r="BK35" s="61">
        <f t="shared" si="10"/>
        <v>0</v>
      </c>
      <c r="BL35" s="61">
        <f t="shared" si="10"/>
        <v>0</v>
      </c>
      <c r="BM35" s="61">
        <f t="shared" si="10"/>
        <v>0</v>
      </c>
      <c r="BN35" s="61">
        <f t="shared" si="10"/>
        <v>0</v>
      </c>
      <c r="BO35" s="61">
        <f t="shared" si="10"/>
        <v>0</v>
      </c>
      <c r="BP35" s="61">
        <f t="shared" si="10"/>
        <v>0</v>
      </c>
      <c r="BQ35" s="61">
        <f t="shared" si="10"/>
        <v>0</v>
      </c>
      <c r="BR35" s="61">
        <f t="shared" si="10"/>
        <v>0</v>
      </c>
      <c r="BS35" s="61">
        <f t="shared" ref="BM35:CA41" si="11">IF($BA$53=0,0,AR35/$BA$53)</f>
        <v>0</v>
      </c>
      <c r="BT35" s="61">
        <f t="shared" si="11"/>
        <v>0</v>
      </c>
      <c r="BU35" s="61">
        <f t="shared" si="11"/>
        <v>0</v>
      </c>
      <c r="BV35" s="61">
        <f t="shared" si="11"/>
        <v>0</v>
      </c>
      <c r="BW35" s="61">
        <f t="shared" si="11"/>
        <v>0</v>
      </c>
      <c r="BX35" s="61">
        <f t="shared" si="11"/>
        <v>0</v>
      </c>
      <c r="BY35" s="61">
        <f t="shared" si="11"/>
        <v>0</v>
      </c>
      <c r="BZ35" s="61">
        <f t="shared" si="11"/>
        <v>0</v>
      </c>
      <c r="CA35" s="61">
        <f t="shared" si="11"/>
        <v>0</v>
      </c>
      <c r="CB35" s="61">
        <f t="shared" si="5"/>
        <v>0</v>
      </c>
      <c r="CD35" s="200">
        <f>(SUMIF(Fonctionnement[Affectation matrice],$AB$3,Fonctionnement[TVA acquittée])+SUMIF(Invest[Affectation matrice],$AB$3,Invest[TVA acquittée]))*BC35</f>
        <v>0</v>
      </c>
      <c r="CE35" s="200">
        <f>(SUMIF(Fonctionnement[Affectation matrice],$AB$3,Fonctionnement[TVA acquittée])+SUMIF(Invest[Affectation matrice],$AB$3,Invest[TVA acquittée]))*BD35</f>
        <v>0</v>
      </c>
      <c r="CF35" s="200">
        <f>(SUMIF(Fonctionnement[Affectation matrice],$AB$3,Fonctionnement[TVA acquittée])+SUMIF(Invest[Affectation matrice],$AB$3,Invest[TVA acquittée]))*BE35</f>
        <v>0</v>
      </c>
      <c r="CG35" s="200">
        <f>(SUMIF(Fonctionnement[Affectation matrice],$AB$3,Fonctionnement[TVA acquittée])+SUMIF(Invest[Affectation matrice],$AB$3,Invest[TVA acquittée]))*BF35</f>
        <v>0</v>
      </c>
      <c r="CH35" s="200">
        <f>(SUMIF(Fonctionnement[Affectation matrice],$AB$3,Fonctionnement[TVA acquittée])+SUMIF(Invest[Affectation matrice],$AB$3,Invest[TVA acquittée]))*BG35</f>
        <v>0</v>
      </c>
      <c r="CI35" s="200">
        <f>(SUMIF(Fonctionnement[Affectation matrice],$AB$3,Fonctionnement[TVA acquittée])+SUMIF(Invest[Affectation matrice],$AB$3,Invest[TVA acquittée]))*BH35</f>
        <v>0</v>
      </c>
      <c r="CJ35" s="200">
        <f>(SUMIF(Fonctionnement[Affectation matrice],$AB$3,Fonctionnement[TVA acquittée])+SUMIF(Invest[Affectation matrice],$AB$3,Invest[TVA acquittée]))*BI35</f>
        <v>0</v>
      </c>
      <c r="CK35" s="200">
        <f>(SUMIF(Fonctionnement[Affectation matrice],$AB$3,Fonctionnement[TVA acquittée])+SUMIF(Invest[Affectation matrice],$AB$3,Invest[TVA acquittée]))*BJ35</f>
        <v>0</v>
      </c>
      <c r="CL35" s="200">
        <f>(SUMIF(Fonctionnement[Affectation matrice],$AB$3,Fonctionnement[TVA acquittée])+SUMIF(Invest[Affectation matrice],$AB$3,Invest[TVA acquittée]))*BK35</f>
        <v>0</v>
      </c>
      <c r="CM35" s="200">
        <f>(SUMIF(Fonctionnement[Affectation matrice],$AB$3,Fonctionnement[TVA acquittée])+SUMIF(Invest[Affectation matrice],$AB$3,Invest[TVA acquittée]))*BL35</f>
        <v>0</v>
      </c>
      <c r="CN35" s="200">
        <f>(SUMIF(Fonctionnement[Affectation matrice],$AB$3,Fonctionnement[TVA acquittée])+SUMIF(Invest[Affectation matrice],$AB$3,Invest[TVA acquittée]))*BM35</f>
        <v>0</v>
      </c>
      <c r="CO35" s="200">
        <f>(SUMIF(Fonctionnement[Affectation matrice],$AB$3,Fonctionnement[TVA acquittée])+SUMIF(Invest[Affectation matrice],$AB$3,Invest[TVA acquittée]))*BN35</f>
        <v>0</v>
      </c>
      <c r="CP35" s="200">
        <f>(SUMIF(Fonctionnement[Affectation matrice],$AB$3,Fonctionnement[TVA acquittée])+SUMIF(Invest[Affectation matrice],$AB$3,Invest[TVA acquittée]))*BO35</f>
        <v>0</v>
      </c>
      <c r="CQ35" s="200">
        <f>(SUMIF(Fonctionnement[Affectation matrice],$AB$3,Fonctionnement[TVA acquittée])+SUMIF(Invest[Affectation matrice],$AB$3,Invest[TVA acquittée]))*BP35</f>
        <v>0</v>
      </c>
      <c r="CR35" s="200">
        <f>(SUMIF(Fonctionnement[Affectation matrice],$AB$3,Fonctionnement[TVA acquittée])+SUMIF(Invest[Affectation matrice],$AB$3,Invest[TVA acquittée]))*BQ35</f>
        <v>0</v>
      </c>
      <c r="CS35" s="200">
        <f>(SUMIF(Fonctionnement[Affectation matrice],$AB$3,Fonctionnement[TVA acquittée])+SUMIF(Invest[Affectation matrice],$AB$3,Invest[TVA acquittée]))*BR35</f>
        <v>0</v>
      </c>
      <c r="CT35" s="200">
        <f>(SUMIF(Fonctionnement[Affectation matrice],$AB$3,Fonctionnement[TVA acquittée])+SUMIF(Invest[Affectation matrice],$AB$3,Invest[TVA acquittée]))*BS35</f>
        <v>0</v>
      </c>
      <c r="CU35" s="200">
        <f>(SUMIF(Fonctionnement[Affectation matrice],$AB$3,Fonctionnement[TVA acquittée])+SUMIF(Invest[Affectation matrice],$AB$3,Invest[TVA acquittée]))*BT35</f>
        <v>0</v>
      </c>
      <c r="CV35" s="200">
        <f>(SUMIF(Fonctionnement[Affectation matrice],$AB$3,Fonctionnement[TVA acquittée])+SUMIF(Invest[Affectation matrice],$AB$3,Invest[TVA acquittée]))*BU35</f>
        <v>0</v>
      </c>
      <c r="CW35" s="200">
        <f>(SUMIF(Fonctionnement[Affectation matrice],$AB$3,Fonctionnement[TVA acquittée])+SUMIF(Invest[Affectation matrice],$AB$3,Invest[TVA acquittée]))*BV35</f>
        <v>0</v>
      </c>
      <c r="CX35" s="200">
        <f>(SUMIF(Fonctionnement[Affectation matrice],$AB$3,Fonctionnement[TVA acquittée])+SUMIF(Invest[Affectation matrice],$AB$3,Invest[TVA acquittée]))*BW35</f>
        <v>0</v>
      </c>
      <c r="CY35" s="200">
        <f>(SUMIF(Fonctionnement[Affectation matrice],$AB$3,Fonctionnement[TVA acquittée])+SUMIF(Invest[Affectation matrice],$AB$3,Invest[TVA acquittée]))*BX35</f>
        <v>0</v>
      </c>
      <c r="CZ35" s="200">
        <f>(SUMIF(Fonctionnement[Affectation matrice],$AB$3,Fonctionnement[TVA acquittée])+SUMIF(Invest[Affectation matrice],$AB$3,Invest[TVA acquittée]))*BY35</f>
        <v>0</v>
      </c>
      <c r="DA35" s="200">
        <f>(SUMIF(Fonctionnement[Affectation matrice],$AB$3,Fonctionnement[TVA acquittée])+SUMIF(Invest[Affectation matrice],$AB$3,Invest[TVA acquittée]))*BZ35</f>
        <v>0</v>
      </c>
      <c r="DB35" s="200">
        <f>(SUMIF(Fonctionnement[Affectation matrice],$AB$3,Fonctionnement[TVA acquittée])+SUMIF(Invest[Affectation matrice],$AB$3,Invest[TVA acquittée]))*CA35</f>
        <v>0</v>
      </c>
    </row>
    <row r="36" spans="1:106" s="22" customFormat="1" ht="12.75" hidden="1" customHeight="1" x14ac:dyDescent="0.25">
      <c r="A36" s="42" t="str">
        <f>Matrice[[#This Row],[Ligne de la matrice]]</f>
        <v>TEOM</v>
      </c>
      <c r="B36" s="276">
        <f>(SUMIF(Fonctionnement[Affectation matrice],$AB$3,Fonctionnement[Montant (€HT)])+SUMIF(Invest[Affectation matrice],$AB$3,Invest[Amortissement HT + intérêts]))*BC36</f>
        <v>0</v>
      </c>
      <c r="C36" s="276">
        <f>(SUMIF(Fonctionnement[Affectation matrice],$AB$3,Fonctionnement[Montant (€HT)])+SUMIF(Invest[Affectation matrice],$AB$3,Invest[Amortissement HT + intérêts]))*BD36</f>
        <v>0</v>
      </c>
      <c r="D36" s="276">
        <f>(SUMIF(Fonctionnement[Affectation matrice],$AB$3,Fonctionnement[Montant (€HT)])+SUMIF(Invest[Affectation matrice],$AB$3,Invest[Amortissement HT + intérêts]))*BE36</f>
        <v>0</v>
      </c>
      <c r="E36" s="276">
        <f>(SUMIF(Fonctionnement[Affectation matrice],$AB$3,Fonctionnement[Montant (€HT)])+SUMIF(Invest[Affectation matrice],$AB$3,Invest[Amortissement HT + intérêts]))*BF36</f>
        <v>0</v>
      </c>
      <c r="F36" s="276">
        <f>(SUMIF(Fonctionnement[Affectation matrice],$AB$3,Fonctionnement[Montant (€HT)])+SUMIF(Invest[Affectation matrice],$AB$3,Invest[Amortissement HT + intérêts]))*BG36</f>
        <v>0</v>
      </c>
      <c r="G36" s="276">
        <f>(SUMIF(Fonctionnement[Affectation matrice],$AB$3,Fonctionnement[Montant (€HT)])+SUMIF(Invest[Affectation matrice],$AB$3,Invest[Amortissement HT + intérêts]))*BH36</f>
        <v>0</v>
      </c>
      <c r="H36" s="276">
        <f>(SUMIF(Fonctionnement[Affectation matrice],$AB$3,Fonctionnement[Montant (€HT)])+SUMIF(Invest[Affectation matrice],$AB$3,Invest[Amortissement HT + intérêts]))*BI36</f>
        <v>0</v>
      </c>
      <c r="I36" s="276">
        <f>(SUMIF(Fonctionnement[Affectation matrice],$AB$3,Fonctionnement[Montant (€HT)])+SUMIF(Invest[Affectation matrice],$AB$3,Invest[Amortissement HT + intérêts]))*BJ36</f>
        <v>0</v>
      </c>
      <c r="J36" s="276">
        <f>(SUMIF(Fonctionnement[Affectation matrice],$AB$3,Fonctionnement[Montant (€HT)])+SUMIF(Invest[Affectation matrice],$AB$3,Invest[Amortissement HT + intérêts]))*BK36</f>
        <v>0</v>
      </c>
      <c r="K36" s="276">
        <f>(SUMIF(Fonctionnement[Affectation matrice],$AB$3,Fonctionnement[Montant (€HT)])+SUMIF(Invest[Affectation matrice],$AB$3,Invest[Amortissement HT + intérêts]))*BL36</f>
        <v>0</v>
      </c>
      <c r="L36" s="276">
        <f>(SUMIF(Fonctionnement[Affectation matrice],$AB$3,Fonctionnement[Montant (€HT)])+SUMIF(Invest[Affectation matrice],$AB$3,Invest[Amortissement HT + intérêts]))*BM36</f>
        <v>0</v>
      </c>
      <c r="M36" s="276">
        <f>(SUMIF(Fonctionnement[Affectation matrice],$AB$3,Fonctionnement[Montant (€HT)])+SUMIF(Invest[Affectation matrice],$AB$3,Invest[Amortissement HT + intérêts]))*BN36</f>
        <v>0</v>
      </c>
      <c r="N36" s="276">
        <f>(SUMIF(Fonctionnement[Affectation matrice],$AB$3,Fonctionnement[Montant (€HT)])+SUMIF(Invest[Affectation matrice],$AB$3,Invest[Amortissement HT + intérêts]))*BO36</f>
        <v>0</v>
      </c>
      <c r="O36" s="276">
        <f>(SUMIF(Fonctionnement[Affectation matrice],$AB$3,Fonctionnement[Montant (€HT)])+SUMIF(Invest[Affectation matrice],$AB$3,Invest[Amortissement HT + intérêts]))*BP36</f>
        <v>0</v>
      </c>
      <c r="P36" s="276">
        <f>(SUMIF(Fonctionnement[Affectation matrice],$AB$3,Fonctionnement[Montant (€HT)])+SUMIF(Invest[Affectation matrice],$AB$3,Invest[Amortissement HT + intérêts]))*BQ36</f>
        <v>0</v>
      </c>
      <c r="Q36" s="276">
        <f>(SUMIF(Fonctionnement[Affectation matrice],$AB$3,Fonctionnement[Montant (€HT)])+SUMIF(Invest[Affectation matrice],$AB$3,Invest[Amortissement HT + intérêts]))*BR36</f>
        <v>0</v>
      </c>
      <c r="R36" s="276">
        <f>(SUMIF(Fonctionnement[Affectation matrice],$AB$3,Fonctionnement[Montant (€HT)])+SUMIF(Invest[Affectation matrice],$AB$3,Invest[Amortissement HT + intérêts]))*BS36</f>
        <v>0</v>
      </c>
      <c r="S36" s="276">
        <f>(SUMIF(Fonctionnement[Affectation matrice],$AB$3,Fonctionnement[Montant (€HT)])+SUMIF(Invest[Affectation matrice],$AB$3,Invest[Amortissement HT + intérêts]))*BT36</f>
        <v>0</v>
      </c>
      <c r="T36" s="276">
        <f>(SUMIF(Fonctionnement[Affectation matrice],$AB$3,Fonctionnement[Montant (€HT)])+SUMIF(Invest[Affectation matrice],$AB$3,Invest[Amortissement HT + intérêts]))*BU36</f>
        <v>0</v>
      </c>
      <c r="U36" s="276">
        <f>(SUMIF(Fonctionnement[Affectation matrice],$AB$3,Fonctionnement[Montant (€HT)])+SUMIF(Invest[Affectation matrice],$AB$3,Invest[Amortissement HT + intérêts]))*BV36</f>
        <v>0</v>
      </c>
      <c r="V36" s="276">
        <f>(SUMIF(Fonctionnement[Affectation matrice],$AB$3,Fonctionnement[Montant (€HT)])+SUMIF(Invest[Affectation matrice],$AB$3,Invest[Amortissement HT + intérêts]))*BW36</f>
        <v>0</v>
      </c>
      <c r="W36" s="276">
        <f>(SUMIF(Fonctionnement[Affectation matrice],$AB$3,Fonctionnement[Montant (€HT)])+SUMIF(Invest[Affectation matrice],$AB$3,Invest[Amortissement HT + intérêts]))*BX36</f>
        <v>0</v>
      </c>
      <c r="X36" s="276">
        <f>(SUMIF(Fonctionnement[Affectation matrice],$AB$3,Fonctionnement[Montant (€HT)])+SUMIF(Invest[Affectation matrice],$AB$3,Invest[Amortissement HT + intérêts]))*BY36</f>
        <v>0</v>
      </c>
      <c r="Y36" s="276">
        <f>(SUMIF(Fonctionnement[Affectation matrice],$AB$3,Fonctionnement[Montant (€HT)])+SUMIF(Invest[Affectation matrice],$AB$3,Invest[Amortissement HT + intérêts]))*BZ36</f>
        <v>0</v>
      </c>
      <c r="Z36" s="276">
        <f>(SUMIF(Fonctionnement[Affectation matrice],$AB$3,Fonctionnement[Montant (€HT)])+SUMIF(Invest[Affectation matrice],$AB$3,Invest[Amortissement HT + intérêts]))*CA36</f>
        <v>0</v>
      </c>
      <c r="AA36" s="199"/>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283">
        <f t="shared" si="4"/>
        <v>0</v>
      </c>
      <c r="BB36" s="7"/>
      <c r="BC36" s="61">
        <f t="shared" si="10"/>
        <v>0</v>
      </c>
      <c r="BD36" s="61">
        <f t="shared" si="10"/>
        <v>0</v>
      </c>
      <c r="BE36" s="61">
        <f t="shared" si="10"/>
        <v>0</v>
      </c>
      <c r="BF36" s="61">
        <f t="shared" si="10"/>
        <v>0</v>
      </c>
      <c r="BG36" s="61">
        <f t="shared" si="10"/>
        <v>0</v>
      </c>
      <c r="BH36" s="61">
        <f t="shared" si="10"/>
        <v>0</v>
      </c>
      <c r="BI36" s="61">
        <f t="shared" si="10"/>
        <v>0</v>
      </c>
      <c r="BJ36" s="61">
        <f t="shared" si="10"/>
        <v>0</v>
      </c>
      <c r="BK36" s="61">
        <f t="shared" si="10"/>
        <v>0</v>
      </c>
      <c r="BL36" s="61">
        <f t="shared" si="10"/>
        <v>0</v>
      </c>
      <c r="BM36" s="61">
        <f t="shared" si="11"/>
        <v>0</v>
      </c>
      <c r="BN36" s="61">
        <f t="shared" si="11"/>
        <v>0</v>
      </c>
      <c r="BO36" s="61">
        <f t="shared" si="11"/>
        <v>0</v>
      </c>
      <c r="BP36" s="61">
        <f t="shared" si="11"/>
        <v>0</v>
      </c>
      <c r="BQ36" s="61">
        <f t="shared" si="11"/>
        <v>0</v>
      </c>
      <c r="BR36" s="61">
        <f t="shared" si="11"/>
        <v>0</v>
      </c>
      <c r="BS36" s="61">
        <f t="shared" si="11"/>
        <v>0</v>
      </c>
      <c r="BT36" s="61">
        <f t="shared" si="11"/>
        <v>0</v>
      </c>
      <c r="BU36" s="61">
        <f t="shared" si="11"/>
        <v>0</v>
      </c>
      <c r="BV36" s="61">
        <f t="shared" si="11"/>
        <v>0</v>
      </c>
      <c r="BW36" s="61">
        <f t="shared" si="11"/>
        <v>0</v>
      </c>
      <c r="BX36" s="61">
        <f t="shared" si="11"/>
        <v>0</v>
      </c>
      <c r="BY36" s="61">
        <f t="shared" si="11"/>
        <v>0</v>
      </c>
      <c r="BZ36" s="61">
        <f t="shared" si="11"/>
        <v>0</v>
      </c>
      <c r="CA36" s="61">
        <f t="shared" si="11"/>
        <v>0</v>
      </c>
      <c r="CB36" s="61">
        <f t="shared" si="5"/>
        <v>0</v>
      </c>
      <c r="CD36" s="200">
        <f>(SUMIF(Fonctionnement[Affectation matrice],$AB$3,Fonctionnement[TVA acquittée])+SUMIF(Invest[Affectation matrice],$AB$3,Invest[TVA acquittée]))*BC36</f>
        <v>0</v>
      </c>
      <c r="CE36" s="200">
        <f>(SUMIF(Fonctionnement[Affectation matrice],$AB$3,Fonctionnement[TVA acquittée])+SUMIF(Invest[Affectation matrice],$AB$3,Invest[TVA acquittée]))*BD36</f>
        <v>0</v>
      </c>
      <c r="CF36" s="200">
        <f>(SUMIF(Fonctionnement[Affectation matrice],$AB$3,Fonctionnement[TVA acquittée])+SUMIF(Invest[Affectation matrice],$AB$3,Invest[TVA acquittée]))*BE36</f>
        <v>0</v>
      </c>
      <c r="CG36" s="200">
        <f>(SUMIF(Fonctionnement[Affectation matrice],$AB$3,Fonctionnement[TVA acquittée])+SUMIF(Invest[Affectation matrice],$AB$3,Invest[TVA acquittée]))*BF36</f>
        <v>0</v>
      </c>
      <c r="CH36" s="200">
        <f>(SUMIF(Fonctionnement[Affectation matrice],$AB$3,Fonctionnement[TVA acquittée])+SUMIF(Invest[Affectation matrice],$AB$3,Invest[TVA acquittée]))*BG36</f>
        <v>0</v>
      </c>
      <c r="CI36" s="200">
        <f>(SUMIF(Fonctionnement[Affectation matrice],$AB$3,Fonctionnement[TVA acquittée])+SUMIF(Invest[Affectation matrice],$AB$3,Invest[TVA acquittée]))*BH36</f>
        <v>0</v>
      </c>
      <c r="CJ36" s="200">
        <f>(SUMIF(Fonctionnement[Affectation matrice],$AB$3,Fonctionnement[TVA acquittée])+SUMIF(Invest[Affectation matrice],$AB$3,Invest[TVA acquittée]))*BI36</f>
        <v>0</v>
      </c>
      <c r="CK36" s="200">
        <f>(SUMIF(Fonctionnement[Affectation matrice],$AB$3,Fonctionnement[TVA acquittée])+SUMIF(Invest[Affectation matrice],$AB$3,Invest[TVA acquittée]))*BJ36</f>
        <v>0</v>
      </c>
      <c r="CL36" s="200">
        <f>(SUMIF(Fonctionnement[Affectation matrice],$AB$3,Fonctionnement[TVA acquittée])+SUMIF(Invest[Affectation matrice],$AB$3,Invest[TVA acquittée]))*BK36</f>
        <v>0</v>
      </c>
      <c r="CM36" s="200">
        <f>(SUMIF(Fonctionnement[Affectation matrice],$AB$3,Fonctionnement[TVA acquittée])+SUMIF(Invest[Affectation matrice],$AB$3,Invest[TVA acquittée]))*BL36</f>
        <v>0</v>
      </c>
      <c r="CN36" s="200">
        <f>(SUMIF(Fonctionnement[Affectation matrice],$AB$3,Fonctionnement[TVA acquittée])+SUMIF(Invest[Affectation matrice],$AB$3,Invest[TVA acquittée]))*BM36</f>
        <v>0</v>
      </c>
      <c r="CO36" s="200">
        <f>(SUMIF(Fonctionnement[Affectation matrice],$AB$3,Fonctionnement[TVA acquittée])+SUMIF(Invest[Affectation matrice],$AB$3,Invest[TVA acquittée]))*BN36</f>
        <v>0</v>
      </c>
      <c r="CP36" s="200">
        <f>(SUMIF(Fonctionnement[Affectation matrice],$AB$3,Fonctionnement[TVA acquittée])+SUMIF(Invest[Affectation matrice],$AB$3,Invest[TVA acquittée]))*BO36</f>
        <v>0</v>
      </c>
      <c r="CQ36" s="200">
        <f>(SUMIF(Fonctionnement[Affectation matrice],$AB$3,Fonctionnement[TVA acquittée])+SUMIF(Invest[Affectation matrice],$AB$3,Invest[TVA acquittée]))*BP36</f>
        <v>0</v>
      </c>
      <c r="CR36" s="200">
        <f>(SUMIF(Fonctionnement[Affectation matrice],$AB$3,Fonctionnement[TVA acquittée])+SUMIF(Invest[Affectation matrice],$AB$3,Invest[TVA acquittée]))*BQ36</f>
        <v>0</v>
      </c>
      <c r="CS36" s="200">
        <f>(SUMIF(Fonctionnement[Affectation matrice],$AB$3,Fonctionnement[TVA acquittée])+SUMIF(Invest[Affectation matrice],$AB$3,Invest[TVA acquittée]))*BR36</f>
        <v>0</v>
      </c>
      <c r="CT36" s="200">
        <f>(SUMIF(Fonctionnement[Affectation matrice],$AB$3,Fonctionnement[TVA acquittée])+SUMIF(Invest[Affectation matrice],$AB$3,Invest[TVA acquittée]))*BS36</f>
        <v>0</v>
      </c>
      <c r="CU36" s="200">
        <f>(SUMIF(Fonctionnement[Affectation matrice],$AB$3,Fonctionnement[TVA acquittée])+SUMIF(Invest[Affectation matrice],$AB$3,Invest[TVA acquittée]))*BT36</f>
        <v>0</v>
      </c>
      <c r="CV36" s="200">
        <f>(SUMIF(Fonctionnement[Affectation matrice],$AB$3,Fonctionnement[TVA acquittée])+SUMIF(Invest[Affectation matrice],$AB$3,Invest[TVA acquittée]))*BU36</f>
        <v>0</v>
      </c>
      <c r="CW36" s="200">
        <f>(SUMIF(Fonctionnement[Affectation matrice],$AB$3,Fonctionnement[TVA acquittée])+SUMIF(Invest[Affectation matrice],$AB$3,Invest[TVA acquittée]))*BV36</f>
        <v>0</v>
      </c>
      <c r="CX36" s="200">
        <f>(SUMIF(Fonctionnement[Affectation matrice],$AB$3,Fonctionnement[TVA acquittée])+SUMIF(Invest[Affectation matrice],$AB$3,Invest[TVA acquittée]))*BW36</f>
        <v>0</v>
      </c>
      <c r="CY36" s="200">
        <f>(SUMIF(Fonctionnement[Affectation matrice],$AB$3,Fonctionnement[TVA acquittée])+SUMIF(Invest[Affectation matrice],$AB$3,Invest[TVA acquittée]))*BX36</f>
        <v>0</v>
      </c>
      <c r="CZ36" s="200">
        <f>(SUMIF(Fonctionnement[Affectation matrice],$AB$3,Fonctionnement[TVA acquittée])+SUMIF(Invest[Affectation matrice],$AB$3,Invest[TVA acquittée]))*BY36</f>
        <v>0</v>
      </c>
      <c r="DA36" s="200">
        <f>(SUMIF(Fonctionnement[Affectation matrice],$AB$3,Fonctionnement[TVA acquittée])+SUMIF(Invest[Affectation matrice],$AB$3,Invest[TVA acquittée]))*BZ36</f>
        <v>0</v>
      </c>
      <c r="DB36" s="200">
        <f>(SUMIF(Fonctionnement[Affectation matrice],$AB$3,Fonctionnement[TVA acquittée])+SUMIF(Invest[Affectation matrice],$AB$3,Invest[TVA acquittée]))*CA36</f>
        <v>0</v>
      </c>
    </row>
    <row r="37" spans="1:106" s="22" customFormat="1" ht="12.75" hidden="1" customHeight="1" x14ac:dyDescent="0.25">
      <c r="A37" s="42" t="str">
        <f>Matrice[[#This Row],[Ligne de la matrice]]</f>
        <v>REOM</v>
      </c>
      <c r="B37" s="276">
        <f>(SUMIF(Fonctionnement[Affectation matrice],$AB$3,Fonctionnement[Montant (€HT)])+SUMIF(Invest[Affectation matrice],$AB$3,Invest[Amortissement HT + intérêts]))*BC37</f>
        <v>0</v>
      </c>
      <c r="C37" s="276">
        <f>(SUMIF(Fonctionnement[Affectation matrice],$AB$3,Fonctionnement[Montant (€HT)])+SUMIF(Invest[Affectation matrice],$AB$3,Invest[Amortissement HT + intérêts]))*BD37</f>
        <v>0</v>
      </c>
      <c r="D37" s="276">
        <f>(SUMIF(Fonctionnement[Affectation matrice],$AB$3,Fonctionnement[Montant (€HT)])+SUMIF(Invest[Affectation matrice],$AB$3,Invest[Amortissement HT + intérêts]))*BE37</f>
        <v>0</v>
      </c>
      <c r="E37" s="276">
        <f>(SUMIF(Fonctionnement[Affectation matrice],$AB$3,Fonctionnement[Montant (€HT)])+SUMIF(Invest[Affectation matrice],$AB$3,Invest[Amortissement HT + intérêts]))*BF37</f>
        <v>0</v>
      </c>
      <c r="F37" s="276">
        <f>(SUMIF(Fonctionnement[Affectation matrice],$AB$3,Fonctionnement[Montant (€HT)])+SUMIF(Invest[Affectation matrice],$AB$3,Invest[Amortissement HT + intérêts]))*BG37</f>
        <v>0</v>
      </c>
      <c r="G37" s="276">
        <f>(SUMIF(Fonctionnement[Affectation matrice],$AB$3,Fonctionnement[Montant (€HT)])+SUMIF(Invest[Affectation matrice],$AB$3,Invest[Amortissement HT + intérêts]))*BH37</f>
        <v>0</v>
      </c>
      <c r="H37" s="276">
        <f>(SUMIF(Fonctionnement[Affectation matrice],$AB$3,Fonctionnement[Montant (€HT)])+SUMIF(Invest[Affectation matrice],$AB$3,Invest[Amortissement HT + intérêts]))*BI37</f>
        <v>0</v>
      </c>
      <c r="I37" s="276">
        <f>(SUMIF(Fonctionnement[Affectation matrice],$AB$3,Fonctionnement[Montant (€HT)])+SUMIF(Invest[Affectation matrice],$AB$3,Invest[Amortissement HT + intérêts]))*BJ37</f>
        <v>0</v>
      </c>
      <c r="J37" s="276">
        <f>(SUMIF(Fonctionnement[Affectation matrice],$AB$3,Fonctionnement[Montant (€HT)])+SUMIF(Invest[Affectation matrice],$AB$3,Invest[Amortissement HT + intérêts]))*BK37</f>
        <v>0</v>
      </c>
      <c r="K37" s="276">
        <f>(SUMIF(Fonctionnement[Affectation matrice],$AB$3,Fonctionnement[Montant (€HT)])+SUMIF(Invest[Affectation matrice],$AB$3,Invest[Amortissement HT + intérêts]))*BL37</f>
        <v>0</v>
      </c>
      <c r="L37" s="276">
        <f>(SUMIF(Fonctionnement[Affectation matrice],$AB$3,Fonctionnement[Montant (€HT)])+SUMIF(Invest[Affectation matrice],$AB$3,Invest[Amortissement HT + intérêts]))*BM37</f>
        <v>0</v>
      </c>
      <c r="M37" s="276">
        <f>(SUMIF(Fonctionnement[Affectation matrice],$AB$3,Fonctionnement[Montant (€HT)])+SUMIF(Invest[Affectation matrice],$AB$3,Invest[Amortissement HT + intérêts]))*BN37</f>
        <v>0</v>
      </c>
      <c r="N37" s="276">
        <f>(SUMIF(Fonctionnement[Affectation matrice],$AB$3,Fonctionnement[Montant (€HT)])+SUMIF(Invest[Affectation matrice],$AB$3,Invest[Amortissement HT + intérêts]))*BO37</f>
        <v>0</v>
      </c>
      <c r="O37" s="276">
        <f>(SUMIF(Fonctionnement[Affectation matrice],$AB$3,Fonctionnement[Montant (€HT)])+SUMIF(Invest[Affectation matrice],$AB$3,Invest[Amortissement HT + intérêts]))*BP37</f>
        <v>0</v>
      </c>
      <c r="P37" s="276">
        <f>(SUMIF(Fonctionnement[Affectation matrice],$AB$3,Fonctionnement[Montant (€HT)])+SUMIF(Invest[Affectation matrice],$AB$3,Invest[Amortissement HT + intérêts]))*BQ37</f>
        <v>0</v>
      </c>
      <c r="Q37" s="276">
        <f>(SUMIF(Fonctionnement[Affectation matrice],$AB$3,Fonctionnement[Montant (€HT)])+SUMIF(Invest[Affectation matrice],$AB$3,Invest[Amortissement HT + intérêts]))*BR37</f>
        <v>0</v>
      </c>
      <c r="R37" s="276">
        <f>(SUMIF(Fonctionnement[Affectation matrice],$AB$3,Fonctionnement[Montant (€HT)])+SUMIF(Invest[Affectation matrice],$AB$3,Invest[Amortissement HT + intérêts]))*BS37</f>
        <v>0</v>
      </c>
      <c r="S37" s="276">
        <f>(SUMIF(Fonctionnement[Affectation matrice],$AB$3,Fonctionnement[Montant (€HT)])+SUMIF(Invest[Affectation matrice],$AB$3,Invest[Amortissement HT + intérêts]))*BT37</f>
        <v>0</v>
      </c>
      <c r="T37" s="276">
        <f>(SUMIF(Fonctionnement[Affectation matrice],$AB$3,Fonctionnement[Montant (€HT)])+SUMIF(Invest[Affectation matrice],$AB$3,Invest[Amortissement HT + intérêts]))*BU37</f>
        <v>0</v>
      </c>
      <c r="U37" s="276">
        <f>(SUMIF(Fonctionnement[Affectation matrice],$AB$3,Fonctionnement[Montant (€HT)])+SUMIF(Invest[Affectation matrice],$AB$3,Invest[Amortissement HT + intérêts]))*BV37</f>
        <v>0</v>
      </c>
      <c r="V37" s="276">
        <f>(SUMIF(Fonctionnement[Affectation matrice],$AB$3,Fonctionnement[Montant (€HT)])+SUMIF(Invest[Affectation matrice],$AB$3,Invest[Amortissement HT + intérêts]))*BW37</f>
        <v>0</v>
      </c>
      <c r="W37" s="276">
        <f>(SUMIF(Fonctionnement[Affectation matrice],$AB$3,Fonctionnement[Montant (€HT)])+SUMIF(Invest[Affectation matrice],$AB$3,Invest[Amortissement HT + intérêts]))*BX37</f>
        <v>0</v>
      </c>
      <c r="X37" s="276">
        <f>(SUMIF(Fonctionnement[Affectation matrice],$AB$3,Fonctionnement[Montant (€HT)])+SUMIF(Invest[Affectation matrice],$AB$3,Invest[Amortissement HT + intérêts]))*BY37</f>
        <v>0</v>
      </c>
      <c r="Y37" s="276">
        <f>(SUMIF(Fonctionnement[Affectation matrice],$AB$3,Fonctionnement[Montant (€HT)])+SUMIF(Invest[Affectation matrice],$AB$3,Invest[Amortissement HT + intérêts]))*BZ37</f>
        <v>0</v>
      </c>
      <c r="Z37" s="276">
        <f>(SUMIF(Fonctionnement[Affectation matrice],$AB$3,Fonctionnement[Montant (€HT)])+SUMIF(Invest[Affectation matrice],$AB$3,Invest[Amortissement HT + intérêts]))*CA37</f>
        <v>0</v>
      </c>
      <c r="AA37" s="199"/>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283">
        <f t="shared" si="4"/>
        <v>0</v>
      </c>
      <c r="BB37" s="7"/>
      <c r="BC37" s="61">
        <f t="shared" si="10"/>
        <v>0</v>
      </c>
      <c r="BD37" s="61">
        <f t="shared" si="10"/>
        <v>0</v>
      </c>
      <c r="BE37" s="61">
        <f t="shared" si="10"/>
        <v>0</v>
      </c>
      <c r="BF37" s="61">
        <f t="shared" si="10"/>
        <v>0</v>
      </c>
      <c r="BG37" s="61">
        <f t="shared" si="10"/>
        <v>0</v>
      </c>
      <c r="BH37" s="61">
        <f t="shared" si="10"/>
        <v>0</v>
      </c>
      <c r="BI37" s="61">
        <f t="shared" si="10"/>
        <v>0</v>
      </c>
      <c r="BJ37" s="61">
        <f t="shared" si="10"/>
        <v>0</v>
      </c>
      <c r="BK37" s="61">
        <f t="shared" si="10"/>
        <v>0</v>
      </c>
      <c r="BL37" s="61">
        <f t="shared" si="10"/>
        <v>0</v>
      </c>
      <c r="BM37" s="61">
        <f t="shared" si="11"/>
        <v>0</v>
      </c>
      <c r="BN37" s="61">
        <f t="shared" si="11"/>
        <v>0</v>
      </c>
      <c r="BO37" s="61">
        <f t="shared" si="11"/>
        <v>0</v>
      </c>
      <c r="BP37" s="61">
        <f t="shared" si="11"/>
        <v>0</v>
      </c>
      <c r="BQ37" s="61">
        <f t="shared" si="11"/>
        <v>0</v>
      </c>
      <c r="BR37" s="61">
        <f t="shared" si="11"/>
        <v>0</v>
      </c>
      <c r="BS37" s="61">
        <f t="shared" si="11"/>
        <v>0</v>
      </c>
      <c r="BT37" s="61">
        <f t="shared" si="11"/>
        <v>0</v>
      </c>
      <c r="BU37" s="61">
        <f t="shared" si="11"/>
        <v>0</v>
      </c>
      <c r="BV37" s="61">
        <f t="shared" si="11"/>
        <v>0</v>
      </c>
      <c r="BW37" s="61">
        <f t="shared" si="11"/>
        <v>0</v>
      </c>
      <c r="BX37" s="61">
        <f t="shared" si="11"/>
        <v>0</v>
      </c>
      <c r="BY37" s="61">
        <f t="shared" si="11"/>
        <v>0</v>
      </c>
      <c r="BZ37" s="61">
        <f t="shared" si="11"/>
        <v>0</v>
      </c>
      <c r="CA37" s="61">
        <f t="shared" si="11"/>
        <v>0</v>
      </c>
      <c r="CB37" s="61">
        <f t="shared" si="5"/>
        <v>0</v>
      </c>
      <c r="CD37" s="200">
        <f>(SUMIF(Fonctionnement[Affectation matrice],$AB$3,Fonctionnement[TVA acquittée])+SUMIF(Invest[Affectation matrice],$AB$3,Invest[TVA acquittée]))*BC37</f>
        <v>0</v>
      </c>
      <c r="CE37" s="200">
        <f>(SUMIF(Fonctionnement[Affectation matrice],$AB$3,Fonctionnement[TVA acquittée])+SUMIF(Invest[Affectation matrice],$AB$3,Invest[TVA acquittée]))*BD37</f>
        <v>0</v>
      </c>
      <c r="CF37" s="200">
        <f>(SUMIF(Fonctionnement[Affectation matrice],$AB$3,Fonctionnement[TVA acquittée])+SUMIF(Invest[Affectation matrice],$AB$3,Invest[TVA acquittée]))*BE37</f>
        <v>0</v>
      </c>
      <c r="CG37" s="200">
        <f>(SUMIF(Fonctionnement[Affectation matrice],$AB$3,Fonctionnement[TVA acquittée])+SUMIF(Invest[Affectation matrice],$AB$3,Invest[TVA acquittée]))*BF37</f>
        <v>0</v>
      </c>
      <c r="CH37" s="200">
        <f>(SUMIF(Fonctionnement[Affectation matrice],$AB$3,Fonctionnement[TVA acquittée])+SUMIF(Invest[Affectation matrice],$AB$3,Invest[TVA acquittée]))*BG37</f>
        <v>0</v>
      </c>
      <c r="CI37" s="200">
        <f>(SUMIF(Fonctionnement[Affectation matrice],$AB$3,Fonctionnement[TVA acquittée])+SUMIF(Invest[Affectation matrice],$AB$3,Invest[TVA acquittée]))*BH37</f>
        <v>0</v>
      </c>
      <c r="CJ37" s="200">
        <f>(SUMIF(Fonctionnement[Affectation matrice],$AB$3,Fonctionnement[TVA acquittée])+SUMIF(Invest[Affectation matrice],$AB$3,Invest[TVA acquittée]))*BI37</f>
        <v>0</v>
      </c>
      <c r="CK37" s="200">
        <f>(SUMIF(Fonctionnement[Affectation matrice],$AB$3,Fonctionnement[TVA acquittée])+SUMIF(Invest[Affectation matrice],$AB$3,Invest[TVA acquittée]))*BJ37</f>
        <v>0</v>
      </c>
      <c r="CL37" s="200">
        <f>(SUMIF(Fonctionnement[Affectation matrice],$AB$3,Fonctionnement[TVA acquittée])+SUMIF(Invest[Affectation matrice],$AB$3,Invest[TVA acquittée]))*BK37</f>
        <v>0</v>
      </c>
      <c r="CM37" s="200">
        <f>(SUMIF(Fonctionnement[Affectation matrice],$AB$3,Fonctionnement[TVA acquittée])+SUMIF(Invest[Affectation matrice],$AB$3,Invest[TVA acquittée]))*BL37</f>
        <v>0</v>
      </c>
      <c r="CN37" s="200">
        <f>(SUMIF(Fonctionnement[Affectation matrice],$AB$3,Fonctionnement[TVA acquittée])+SUMIF(Invest[Affectation matrice],$AB$3,Invest[TVA acquittée]))*BM37</f>
        <v>0</v>
      </c>
      <c r="CO37" s="200">
        <f>(SUMIF(Fonctionnement[Affectation matrice],$AB$3,Fonctionnement[TVA acquittée])+SUMIF(Invest[Affectation matrice],$AB$3,Invest[TVA acquittée]))*BN37</f>
        <v>0</v>
      </c>
      <c r="CP37" s="200">
        <f>(SUMIF(Fonctionnement[Affectation matrice],$AB$3,Fonctionnement[TVA acquittée])+SUMIF(Invest[Affectation matrice],$AB$3,Invest[TVA acquittée]))*BO37</f>
        <v>0</v>
      </c>
      <c r="CQ37" s="200">
        <f>(SUMIF(Fonctionnement[Affectation matrice],$AB$3,Fonctionnement[TVA acquittée])+SUMIF(Invest[Affectation matrice],$AB$3,Invest[TVA acquittée]))*BP37</f>
        <v>0</v>
      </c>
      <c r="CR37" s="200">
        <f>(SUMIF(Fonctionnement[Affectation matrice],$AB$3,Fonctionnement[TVA acquittée])+SUMIF(Invest[Affectation matrice],$AB$3,Invest[TVA acquittée]))*BQ37</f>
        <v>0</v>
      </c>
      <c r="CS37" s="200">
        <f>(SUMIF(Fonctionnement[Affectation matrice],$AB$3,Fonctionnement[TVA acquittée])+SUMIF(Invest[Affectation matrice],$AB$3,Invest[TVA acquittée]))*BR37</f>
        <v>0</v>
      </c>
      <c r="CT37" s="200">
        <f>(SUMIF(Fonctionnement[Affectation matrice],$AB$3,Fonctionnement[TVA acquittée])+SUMIF(Invest[Affectation matrice],$AB$3,Invest[TVA acquittée]))*BS37</f>
        <v>0</v>
      </c>
      <c r="CU37" s="200">
        <f>(SUMIF(Fonctionnement[Affectation matrice],$AB$3,Fonctionnement[TVA acquittée])+SUMIF(Invest[Affectation matrice],$AB$3,Invest[TVA acquittée]))*BT37</f>
        <v>0</v>
      </c>
      <c r="CV37" s="200">
        <f>(SUMIF(Fonctionnement[Affectation matrice],$AB$3,Fonctionnement[TVA acquittée])+SUMIF(Invest[Affectation matrice],$AB$3,Invest[TVA acquittée]))*BU37</f>
        <v>0</v>
      </c>
      <c r="CW37" s="200">
        <f>(SUMIF(Fonctionnement[Affectation matrice],$AB$3,Fonctionnement[TVA acquittée])+SUMIF(Invest[Affectation matrice],$AB$3,Invest[TVA acquittée]))*BV37</f>
        <v>0</v>
      </c>
      <c r="CX37" s="200">
        <f>(SUMIF(Fonctionnement[Affectation matrice],$AB$3,Fonctionnement[TVA acquittée])+SUMIF(Invest[Affectation matrice],$AB$3,Invest[TVA acquittée]))*BW37</f>
        <v>0</v>
      </c>
      <c r="CY37" s="200">
        <f>(SUMIF(Fonctionnement[Affectation matrice],$AB$3,Fonctionnement[TVA acquittée])+SUMIF(Invest[Affectation matrice],$AB$3,Invest[TVA acquittée]))*BX37</f>
        <v>0</v>
      </c>
      <c r="CZ37" s="200">
        <f>(SUMIF(Fonctionnement[Affectation matrice],$AB$3,Fonctionnement[TVA acquittée])+SUMIF(Invest[Affectation matrice],$AB$3,Invest[TVA acquittée]))*BY37</f>
        <v>0</v>
      </c>
      <c r="DA37" s="200">
        <f>(SUMIF(Fonctionnement[Affectation matrice],$AB$3,Fonctionnement[TVA acquittée])+SUMIF(Invest[Affectation matrice],$AB$3,Invest[TVA acquittée]))*BZ37</f>
        <v>0</v>
      </c>
      <c r="DB37" s="200">
        <f>(SUMIF(Fonctionnement[Affectation matrice],$AB$3,Fonctionnement[TVA acquittée])+SUMIF(Invest[Affectation matrice],$AB$3,Invest[TVA acquittée]))*CA37</f>
        <v>0</v>
      </c>
    </row>
    <row r="38" spans="1:106" s="22" customFormat="1" ht="12.75" hidden="1" customHeight="1" x14ac:dyDescent="0.25">
      <c r="A38" s="42" t="str">
        <f>Matrice[[#This Row],[Ligne de la matrice]]</f>
        <v>Redevance spéciale et facturation à l'usager</v>
      </c>
      <c r="B38" s="276">
        <f>(SUMIF(Fonctionnement[Affectation matrice],$AB$3,Fonctionnement[Montant (€HT)])+SUMIF(Invest[Affectation matrice],$AB$3,Invest[Amortissement HT + intérêts]))*BC38</f>
        <v>0</v>
      </c>
      <c r="C38" s="276">
        <f>(SUMIF(Fonctionnement[Affectation matrice],$AB$3,Fonctionnement[Montant (€HT)])+SUMIF(Invest[Affectation matrice],$AB$3,Invest[Amortissement HT + intérêts]))*BD38</f>
        <v>0</v>
      </c>
      <c r="D38" s="276">
        <f>(SUMIF(Fonctionnement[Affectation matrice],$AB$3,Fonctionnement[Montant (€HT)])+SUMIF(Invest[Affectation matrice],$AB$3,Invest[Amortissement HT + intérêts]))*BE38</f>
        <v>0</v>
      </c>
      <c r="E38" s="276">
        <f>(SUMIF(Fonctionnement[Affectation matrice],$AB$3,Fonctionnement[Montant (€HT)])+SUMIF(Invest[Affectation matrice],$AB$3,Invest[Amortissement HT + intérêts]))*BF38</f>
        <v>0</v>
      </c>
      <c r="F38" s="276">
        <f>(SUMIF(Fonctionnement[Affectation matrice],$AB$3,Fonctionnement[Montant (€HT)])+SUMIF(Invest[Affectation matrice],$AB$3,Invest[Amortissement HT + intérêts]))*BG38</f>
        <v>0</v>
      </c>
      <c r="G38" s="276">
        <f>(SUMIF(Fonctionnement[Affectation matrice],$AB$3,Fonctionnement[Montant (€HT)])+SUMIF(Invest[Affectation matrice],$AB$3,Invest[Amortissement HT + intérêts]))*BH38</f>
        <v>0</v>
      </c>
      <c r="H38" s="276">
        <f>(SUMIF(Fonctionnement[Affectation matrice],$AB$3,Fonctionnement[Montant (€HT)])+SUMIF(Invest[Affectation matrice],$AB$3,Invest[Amortissement HT + intérêts]))*BI38</f>
        <v>0</v>
      </c>
      <c r="I38" s="276">
        <f>(SUMIF(Fonctionnement[Affectation matrice],$AB$3,Fonctionnement[Montant (€HT)])+SUMIF(Invest[Affectation matrice],$AB$3,Invest[Amortissement HT + intérêts]))*BJ38</f>
        <v>0</v>
      </c>
      <c r="J38" s="276">
        <f>(SUMIF(Fonctionnement[Affectation matrice],$AB$3,Fonctionnement[Montant (€HT)])+SUMIF(Invest[Affectation matrice],$AB$3,Invest[Amortissement HT + intérêts]))*BK38</f>
        <v>0</v>
      </c>
      <c r="K38" s="276">
        <f>(SUMIF(Fonctionnement[Affectation matrice],$AB$3,Fonctionnement[Montant (€HT)])+SUMIF(Invest[Affectation matrice],$AB$3,Invest[Amortissement HT + intérêts]))*BL38</f>
        <v>0</v>
      </c>
      <c r="L38" s="276">
        <f>(SUMIF(Fonctionnement[Affectation matrice],$AB$3,Fonctionnement[Montant (€HT)])+SUMIF(Invest[Affectation matrice],$AB$3,Invest[Amortissement HT + intérêts]))*BM38</f>
        <v>0</v>
      </c>
      <c r="M38" s="276">
        <f>(SUMIF(Fonctionnement[Affectation matrice],$AB$3,Fonctionnement[Montant (€HT)])+SUMIF(Invest[Affectation matrice],$AB$3,Invest[Amortissement HT + intérêts]))*BN38</f>
        <v>0</v>
      </c>
      <c r="N38" s="276">
        <f>(SUMIF(Fonctionnement[Affectation matrice],$AB$3,Fonctionnement[Montant (€HT)])+SUMIF(Invest[Affectation matrice],$AB$3,Invest[Amortissement HT + intérêts]))*BO38</f>
        <v>0</v>
      </c>
      <c r="O38" s="276">
        <f>(SUMIF(Fonctionnement[Affectation matrice],$AB$3,Fonctionnement[Montant (€HT)])+SUMIF(Invest[Affectation matrice],$AB$3,Invest[Amortissement HT + intérêts]))*BP38</f>
        <v>0</v>
      </c>
      <c r="P38" s="276">
        <f>(SUMIF(Fonctionnement[Affectation matrice],$AB$3,Fonctionnement[Montant (€HT)])+SUMIF(Invest[Affectation matrice],$AB$3,Invest[Amortissement HT + intérêts]))*BQ38</f>
        <v>0</v>
      </c>
      <c r="Q38" s="276">
        <f>(SUMIF(Fonctionnement[Affectation matrice],$AB$3,Fonctionnement[Montant (€HT)])+SUMIF(Invest[Affectation matrice],$AB$3,Invest[Amortissement HT + intérêts]))*BR38</f>
        <v>0</v>
      </c>
      <c r="R38" s="276">
        <f>(SUMIF(Fonctionnement[Affectation matrice],$AB$3,Fonctionnement[Montant (€HT)])+SUMIF(Invest[Affectation matrice],$AB$3,Invest[Amortissement HT + intérêts]))*BS38</f>
        <v>0</v>
      </c>
      <c r="S38" s="276">
        <f>(SUMIF(Fonctionnement[Affectation matrice],$AB$3,Fonctionnement[Montant (€HT)])+SUMIF(Invest[Affectation matrice],$AB$3,Invest[Amortissement HT + intérêts]))*BT38</f>
        <v>0</v>
      </c>
      <c r="T38" s="276">
        <f>(SUMIF(Fonctionnement[Affectation matrice],$AB$3,Fonctionnement[Montant (€HT)])+SUMIF(Invest[Affectation matrice],$AB$3,Invest[Amortissement HT + intérêts]))*BU38</f>
        <v>0</v>
      </c>
      <c r="U38" s="276">
        <f>(SUMIF(Fonctionnement[Affectation matrice],$AB$3,Fonctionnement[Montant (€HT)])+SUMIF(Invest[Affectation matrice],$AB$3,Invest[Amortissement HT + intérêts]))*BV38</f>
        <v>0</v>
      </c>
      <c r="V38" s="276">
        <f>(SUMIF(Fonctionnement[Affectation matrice],$AB$3,Fonctionnement[Montant (€HT)])+SUMIF(Invest[Affectation matrice],$AB$3,Invest[Amortissement HT + intérêts]))*BW38</f>
        <v>0</v>
      </c>
      <c r="W38" s="276">
        <f>(SUMIF(Fonctionnement[Affectation matrice],$AB$3,Fonctionnement[Montant (€HT)])+SUMIF(Invest[Affectation matrice],$AB$3,Invest[Amortissement HT + intérêts]))*BX38</f>
        <v>0</v>
      </c>
      <c r="X38" s="276">
        <f>(SUMIF(Fonctionnement[Affectation matrice],$AB$3,Fonctionnement[Montant (€HT)])+SUMIF(Invest[Affectation matrice],$AB$3,Invest[Amortissement HT + intérêts]))*BY38</f>
        <v>0</v>
      </c>
      <c r="Y38" s="276">
        <f>(SUMIF(Fonctionnement[Affectation matrice],$AB$3,Fonctionnement[Montant (€HT)])+SUMIF(Invest[Affectation matrice],$AB$3,Invest[Amortissement HT + intérêts]))*BZ38</f>
        <v>0</v>
      </c>
      <c r="Z38" s="276">
        <f>(SUMIF(Fonctionnement[Affectation matrice],$AB$3,Fonctionnement[Montant (€HT)])+SUMIF(Invest[Affectation matrice],$AB$3,Invest[Amortissement HT + intérêts]))*CA38</f>
        <v>0</v>
      </c>
      <c r="AA38" s="199"/>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283">
        <f t="shared" si="4"/>
        <v>0</v>
      </c>
      <c r="BB38" s="7"/>
      <c r="BC38" s="61">
        <f t="shared" si="10"/>
        <v>0</v>
      </c>
      <c r="BD38" s="61">
        <f t="shared" si="10"/>
        <v>0</v>
      </c>
      <c r="BE38" s="61">
        <f t="shared" si="10"/>
        <v>0</v>
      </c>
      <c r="BF38" s="61">
        <f t="shared" si="10"/>
        <v>0</v>
      </c>
      <c r="BG38" s="61">
        <f t="shared" si="10"/>
        <v>0</v>
      </c>
      <c r="BH38" s="61">
        <f t="shared" si="10"/>
        <v>0</v>
      </c>
      <c r="BI38" s="61">
        <f t="shared" si="10"/>
        <v>0</v>
      </c>
      <c r="BJ38" s="61">
        <f t="shared" si="10"/>
        <v>0</v>
      </c>
      <c r="BK38" s="61">
        <f t="shared" si="10"/>
        <v>0</v>
      </c>
      <c r="BL38" s="61">
        <f t="shared" si="10"/>
        <v>0</v>
      </c>
      <c r="BM38" s="61">
        <f t="shared" si="11"/>
        <v>0</v>
      </c>
      <c r="BN38" s="61">
        <f t="shared" si="11"/>
        <v>0</v>
      </c>
      <c r="BO38" s="61">
        <f t="shared" si="11"/>
        <v>0</v>
      </c>
      <c r="BP38" s="61">
        <f t="shared" si="11"/>
        <v>0</v>
      </c>
      <c r="BQ38" s="61">
        <f t="shared" si="11"/>
        <v>0</v>
      </c>
      <c r="BR38" s="61">
        <f t="shared" si="11"/>
        <v>0</v>
      </c>
      <c r="BS38" s="61">
        <f t="shared" si="11"/>
        <v>0</v>
      </c>
      <c r="BT38" s="61">
        <f t="shared" si="11"/>
        <v>0</v>
      </c>
      <c r="BU38" s="61">
        <f t="shared" si="11"/>
        <v>0</v>
      </c>
      <c r="BV38" s="61">
        <f t="shared" si="11"/>
        <v>0</v>
      </c>
      <c r="BW38" s="61">
        <f t="shared" si="11"/>
        <v>0</v>
      </c>
      <c r="BX38" s="61">
        <f t="shared" si="11"/>
        <v>0</v>
      </c>
      <c r="BY38" s="61">
        <f t="shared" si="11"/>
        <v>0</v>
      </c>
      <c r="BZ38" s="61">
        <f t="shared" si="11"/>
        <v>0</v>
      </c>
      <c r="CA38" s="61">
        <f t="shared" si="11"/>
        <v>0</v>
      </c>
      <c r="CB38" s="61">
        <f t="shared" si="5"/>
        <v>0</v>
      </c>
      <c r="CD38" s="200">
        <f>(SUMIF(Fonctionnement[Affectation matrice],$AB$3,Fonctionnement[TVA acquittée])+SUMIF(Invest[Affectation matrice],$AB$3,Invest[TVA acquittée]))*BC38</f>
        <v>0</v>
      </c>
      <c r="CE38" s="200">
        <f>(SUMIF(Fonctionnement[Affectation matrice],$AB$3,Fonctionnement[TVA acquittée])+SUMIF(Invest[Affectation matrice],$AB$3,Invest[TVA acquittée]))*BD38</f>
        <v>0</v>
      </c>
      <c r="CF38" s="200">
        <f>(SUMIF(Fonctionnement[Affectation matrice],$AB$3,Fonctionnement[TVA acquittée])+SUMIF(Invest[Affectation matrice],$AB$3,Invest[TVA acquittée]))*BE38</f>
        <v>0</v>
      </c>
      <c r="CG38" s="200">
        <f>(SUMIF(Fonctionnement[Affectation matrice],$AB$3,Fonctionnement[TVA acquittée])+SUMIF(Invest[Affectation matrice],$AB$3,Invest[TVA acquittée]))*BF38</f>
        <v>0</v>
      </c>
      <c r="CH38" s="200">
        <f>(SUMIF(Fonctionnement[Affectation matrice],$AB$3,Fonctionnement[TVA acquittée])+SUMIF(Invest[Affectation matrice],$AB$3,Invest[TVA acquittée]))*BG38</f>
        <v>0</v>
      </c>
      <c r="CI38" s="200">
        <f>(SUMIF(Fonctionnement[Affectation matrice],$AB$3,Fonctionnement[TVA acquittée])+SUMIF(Invest[Affectation matrice],$AB$3,Invest[TVA acquittée]))*BH38</f>
        <v>0</v>
      </c>
      <c r="CJ38" s="200">
        <f>(SUMIF(Fonctionnement[Affectation matrice],$AB$3,Fonctionnement[TVA acquittée])+SUMIF(Invest[Affectation matrice],$AB$3,Invest[TVA acquittée]))*BI38</f>
        <v>0</v>
      </c>
      <c r="CK38" s="200">
        <f>(SUMIF(Fonctionnement[Affectation matrice],$AB$3,Fonctionnement[TVA acquittée])+SUMIF(Invest[Affectation matrice],$AB$3,Invest[TVA acquittée]))*BJ38</f>
        <v>0</v>
      </c>
      <c r="CL38" s="200">
        <f>(SUMIF(Fonctionnement[Affectation matrice],$AB$3,Fonctionnement[TVA acquittée])+SUMIF(Invest[Affectation matrice],$AB$3,Invest[TVA acquittée]))*BK38</f>
        <v>0</v>
      </c>
      <c r="CM38" s="200">
        <f>(SUMIF(Fonctionnement[Affectation matrice],$AB$3,Fonctionnement[TVA acquittée])+SUMIF(Invest[Affectation matrice],$AB$3,Invest[TVA acquittée]))*BL38</f>
        <v>0</v>
      </c>
      <c r="CN38" s="200">
        <f>(SUMIF(Fonctionnement[Affectation matrice],$AB$3,Fonctionnement[TVA acquittée])+SUMIF(Invest[Affectation matrice],$AB$3,Invest[TVA acquittée]))*BM38</f>
        <v>0</v>
      </c>
      <c r="CO38" s="200">
        <f>(SUMIF(Fonctionnement[Affectation matrice],$AB$3,Fonctionnement[TVA acquittée])+SUMIF(Invest[Affectation matrice],$AB$3,Invest[TVA acquittée]))*BN38</f>
        <v>0</v>
      </c>
      <c r="CP38" s="200">
        <f>(SUMIF(Fonctionnement[Affectation matrice],$AB$3,Fonctionnement[TVA acquittée])+SUMIF(Invest[Affectation matrice],$AB$3,Invest[TVA acquittée]))*BO38</f>
        <v>0</v>
      </c>
      <c r="CQ38" s="200">
        <f>(SUMIF(Fonctionnement[Affectation matrice],$AB$3,Fonctionnement[TVA acquittée])+SUMIF(Invest[Affectation matrice],$AB$3,Invest[TVA acquittée]))*BP38</f>
        <v>0</v>
      </c>
      <c r="CR38" s="200">
        <f>(SUMIF(Fonctionnement[Affectation matrice],$AB$3,Fonctionnement[TVA acquittée])+SUMIF(Invest[Affectation matrice],$AB$3,Invest[TVA acquittée]))*BQ38</f>
        <v>0</v>
      </c>
      <c r="CS38" s="200">
        <f>(SUMIF(Fonctionnement[Affectation matrice],$AB$3,Fonctionnement[TVA acquittée])+SUMIF(Invest[Affectation matrice],$AB$3,Invest[TVA acquittée]))*BR38</f>
        <v>0</v>
      </c>
      <c r="CT38" s="200">
        <f>(SUMIF(Fonctionnement[Affectation matrice],$AB$3,Fonctionnement[TVA acquittée])+SUMIF(Invest[Affectation matrice],$AB$3,Invest[TVA acquittée]))*BS38</f>
        <v>0</v>
      </c>
      <c r="CU38" s="200">
        <f>(SUMIF(Fonctionnement[Affectation matrice],$AB$3,Fonctionnement[TVA acquittée])+SUMIF(Invest[Affectation matrice],$AB$3,Invest[TVA acquittée]))*BT38</f>
        <v>0</v>
      </c>
      <c r="CV38" s="200">
        <f>(SUMIF(Fonctionnement[Affectation matrice],$AB$3,Fonctionnement[TVA acquittée])+SUMIF(Invest[Affectation matrice],$AB$3,Invest[TVA acquittée]))*BU38</f>
        <v>0</v>
      </c>
      <c r="CW38" s="200">
        <f>(SUMIF(Fonctionnement[Affectation matrice],$AB$3,Fonctionnement[TVA acquittée])+SUMIF(Invest[Affectation matrice],$AB$3,Invest[TVA acquittée]))*BV38</f>
        <v>0</v>
      </c>
      <c r="CX38" s="200">
        <f>(SUMIF(Fonctionnement[Affectation matrice],$AB$3,Fonctionnement[TVA acquittée])+SUMIF(Invest[Affectation matrice],$AB$3,Invest[TVA acquittée]))*BW38</f>
        <v>0</v>
      </c>
      <c r="CY38" s="200">
        <f>(SUMIF(Fonctionnement[Affectation matrice],$AB$3,Fonctionnement[TVA acquittée])+SUMIF(Invest[Affectation matrice],$AB$3,Invest[TVA acquittée]))*BX38</f>
        <v>0</v>
      </c>
      <c r="CZ38" s="200">
        <f>(SUMIF(Fonctionnement[Affectation matrice],$AB$3,Fonctionnement[TVA acquittée])+SUMIF(Invest[Affectation matrice],$AB$3,Invest[TVA acquittée]))*BY38</f>
        <v>0</v>
      </c>
      <c r="DA38" s="200">
        <f>(SUMIF(Fonctionnement[Affectation matrice],$AB$3,Fonctionnement[TVA acquittée])+SUMIF(Invest[Affectation matrice],$AB$3,Invest[TVA acquittée]))*BZ38</f>
        <v>0</v>
      </c>
      <c r="DB38" s="200">
        <f>(SUMIF(Fonctionnement[Affectation matrice],$AB$3,Fonctionnement[TVA acquittée])+SUMIF(Invest[Affectation matrice],$AB$3,Invest[TVA acquittée]))*CA38</f>
        <v>0</v>
      </c>
    </row>
    <row r="39" spans="1:106" s="22" customFormat="1" ht="12.75" hidden="1" customHeight="1" x14ac:dyDescent="0.25">
      <c r="A39" s="42" t="str">
        <f>Matrice[[#This Row],[Ligne de la matrice]]</f>
        <v>Redevance spéciale</v>
      </c>
      <c r="B39" s="276">
        <f>(SUMIF(Fonctionnement[Affectation matrice],$AB$3,Fonctionnement[Montant (€HT)])+SUMIF(Invest[Affectation matrice],$AB$3,Invest[Amortissement HT + intérêts]))*BC39</f>
        <v>0</v>
      </c>
      <c r="C39" s="276">
        <f>(SUMIF(Fonctionnement[Affectation matrice],$AB$3,Fonctionnement[Montant (€HT)])+SUMIF(Invest[Affectation matrice],$AB$3,Invest[Amortissement HT + intérêts]))*BD39</f>
        <v>0</v>
      </c>
      <c r="D39" s="276">
        <f>(SUMIF(Fonctionnement[Affectation matrice],$AB$3,Fonctionnement[Montant (€HT)])+SUMIF(Invest[Affectation matrice],$AB$3,Invest[Amortissement HT + intérêts]))*BE39</f>
        <v>0</v>
      </c>
      <c r="E39" s="276">
        <f>(SUMIF(Fonctionnement[Affectation matrice],$AB$3,Fonctionnement[Montant (€HT)])+SUMIF(Invest[Affectation matrice],$AB$3,Invest[Amortissement HT + intérêts]))*BF39</f>
        <v>0</v>
      </c>
      <c r="F39" s="276">
        <f>(SUMIF(Fonctionnement[Affectation matrice],$AB$3,Fonctionnement[Montant (€HT)])+SUMIF(Invest[Affectation matrice],$AB$3,Invest[Amortissement HT + intérêts]))*BG39</f>
        <v>0</v>
      </c>
      <c r="G39" s="276">
        <f>(SUMIF(Fonctionnement[Affectation matrice],$AB$3,Fonctionnement[Montant (€HT)])+SUMIF(Invest[Affectation matrice],$AB$3,Invest[Amortissement HT + intérêts]))*BH39</f>
        <v>0</v>
      </c>
      <c r="H39" s="276">
        <f>(SUMIF(Fonctionnement[Affectation matrice],$AB$3,Fonctionnement[Montant (€HT)])+SUMIF(Invest[Affectation matrice],$AB$3,Invest[Amortissement HT + intérêts]))*BI39</f>
        <v>0</v>
      </c>
      <c r="I39" s="276">
        <f>(SUMIF(Fonctionnement[Affectation matrice],$AB$3,Fonctionnement[Montant (€HT)])+SUMIF(Invest[Affectation matrice],$AB$3,Invest[Amortissement HT + intérêts]))*BJ39</f>
        <v>0</v>
      </c>
      <c r="J39" s="276">
        <f>(SUMIF(Fonctionnement[Affectation matrice],$AB$3,Fonctionnement[Montant (€HT)])+SUMIF(Invest[Affectation matrice],$AB$3,Invest[Amortissement HT + intérêts]))*BK39</f>
        <v>0</v>
      </c>
      <c r="K39" s="276">
        <f>(SUMIF(Fonctionnement[Affectation matrice],$AB$3,Fonctionnement[Montant (€HT)])+SUMIF(Invest[Affectation matrice],$AB$3,Invest[Amortissement HT + intérêts]))*BL39</f>
        <v>0</v>
      </c>
      <c r="L39" s="276">
        <f>(SUMIF(Fonctionnement[Affectation matrice],$AB$3,Fonctionnement[Montant (€HT)])+SUMIF(Invest[Affectation matrice],$AB$3,Invest[Amortissement HT + intérêts]))*BM39</f>
        <v>0</v>
      </c>
      <c r="M39" s="276">
        <f>(SUMIF(Fonctionnement[Affectation matrice],$AB$3,Fonctionnement[Montant (€HT)])+SUMIF(Invest[Affectation matrice],$AB$3,Invest[Amortissement HT + intérêts]))*BN39</f>
        <v>0</v>
      </c>
      <c r="N39" s="276">
        <f>(SUMIF(Fonctionnement[Affectation matrice],$AB$3,Fonctionnement[Montant (€HT)])+SUMIF(Invest[Affectation matrice],$AB$3,Invest[Amortissement HT + intérêts]))*BO39</f>
        <v>0</v>
      </c>
      <c r="O39" s="276">
        <f>(SUMIF(Fonctionnement[Affectation matrice],$AB$3,Fonctionnement[Montant (€HT)])+SUMIF(Invest[Affectation matrice],$AB$3,Invest[Amortissement HT + intérêts]))*BP39</f>
        <v>0</v>
      </c>
      <c r="P39" s="276">
        <f>(SUMIF(Fonctionnement[Affectation matrice],$AB$3,Fonctionnement[Montant (€HT)])+SUMIF(Invest[Affectation matrice],$AB$3,Invest[Amortissement HT + intérêts]))*BQ39</f>
        <v>0</v>
      </c>
      <c r="Q39" s="276">
        <f>(SUMIF(Fonctionnement[Affectation matrice],$AB$3,Fonctionnement[Montant (€HT)])+SUMIF(Invest[Affectation matrice],$AB$3,Invest[Amortissement HT + intérêts]))*BR39</f>
        <v>0</v>
      </c>
      <c r="R39" s="276">
        <f>(SUMIF(Fonctionnement[Affectation matrice],$AB$3,Fonctionnement[Montant (€HT)])+SUMIF(Invest[Affectation matrice],$AB$3,Invest[Amortissement HT + intérêts]))*BS39</f>
        <v>0</v>
      </c>
      <c r="S39" s="276">
        <f>(SUMIF(Fonctionnement[Affectation matrice],$AB$3,Fonctionnement[Montant (€HT)])+SUMIF(Invest[Affectation matrice],$AB$3,Invest[Amortissement HT + intérêts]))*BT39</f>
        <v>0</v>
      </c>
      <c r="T39" s="276">
        <f>(SUMIF(Fonctionnement[Affectation matrice],$AB$3,Fonctionnement[Montant (€HT)])+SUMIF(Invest[Affectation matrice],$AB$3,Invest[Amortissement HT + intérêts]))*BU39</f>
        <v>0</v>
      </c>
      <c r="U39" s="276">
        <f>(SUMIF(Fonctionnement[Affectation matrice],$AB$3,Fonctionnement[Montant (€HT)])+SUMIF(Invest[Affectation matrice],$AB$3,Invest[Amortissement HT + intérêts]))*BV39</f>
        <v>0</v>
      </c>
      <c r="V39" s="276">
        <f>(SUMIF(Fonctionnement[Affectation matrice],$AB$3,Fonctionnement[Montant (€HT)])+SUMIF(Invest[Affectation matrice],$AB$3,Invest[Amortissement HT + intérêts]))*BW39</f>
        <v>0</v>
      </c>
      <c r="W39" s="276">
        <f>(SUMIF(Fonctionnement[Affectation matrice],$AB$3,Fonctionnement[Montant (€HT)])+SUMIF(Invest[Affectation matrice],$AB$3,Invest[Amortissement HT + intérêts]))*BX39</f>
        <v>0</v>
      </c>
      <c r="X39" s="276">
        <f>(SUMIF(Fonctionnement[Affectation matrice],$AB$3,Fonctionnement[Montant (€HT)])+SUMIF(Invest[Affectation matrice],$AB$3,Invest[Amortissement HT + intérêts]))*BY39</f>
        <v>0</v>
      </c>
      <c r="Y39" s="276">
        <f>(SUMIF(Fonctionnement[Affectation matrice],$AB$3,Fonctionnement[Montant (€HT)])+SUMIF(Invest[Affectation matrice],$AB$3,Invest[Amortissement HT + intérêts]))*BZ39</f>
        <v>0</v>
      </c>
      <c r="Z39" s="276">
        <f>(SUMIF(Fonctionnement[Affectation matrice],$AB$3,Fonctionnement[Montant (€HT)])+SUMIF(Invest[Affectation matrice],$AB$3,Invest[Amortissement HT + intérêts]))*CA39</f>
        <v>0</v>
      </c>
      <c r="AA39" s="199"/>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283">
        <f t="shared" si="4"/>
        <v>0</v>
      </c>
      <c r="BB39" s="7"/>
      <c r="BC39" s="61">
        <f t="shared" si="10"/>
        <v>0</v>
      </c>
      <c r="BD39" s="61">
        <f t="shared" si="10"/>
        <v>0</v>
      </c>
      <c r="BE39" s="61">
        <f t="shared" si="10"/>
        <v>0</v>
      </c>
      <c r="BF39" s="61">
        <f t="shared" si="10"/>
        <v>0</v>
      </c>
      <c r="BG39" s="61">
        <f t="shared" si="10"/>
        <v>0</v>
      </c>
      <c r="BH39" s="61">
        <f t="shared" si="10"/>
        <v>0</v>
      </c>
      <c r="BI39" s="61">
        <f t="shared" si="10"/>
        <v>0</v>
      </c>
      <c r="BJ39" s="61">
        <f t="shared" si="10"/>
        <v>0</v>
      </c>
      <c r="BK39" s="61">
        <f t="shared" si="10"/>
        <v>0</v>
      </c>
      <c r="BL39" s="61">
        <f t="shared" si="10"/>
        <v>0</v>
      </c>
      <c r="BM39" s="61">
        <f t="shared" si="11"/>
        <v>0</v>
      </c>
      <c r="BN39" s="61">
        <f t="shared" si="11"/>
        <v>0</v>
      </c>
      <c r="BO39" s="61">
        <f t="shared" si="11"/>
        <v>0</v>
      </c>
      <c r="BP39" s="61">
        <f t="shared" si="11"/>
        <v>0</v>
      </c>
      <c r="BQ39" s="61">
        <f t="shared" si="11"/>
        <v>0</v>
      </c>
      <c r="BR39" s="61">
        <f t="shared" si="11"/>
        <v>0</v>
      </c>
      <c r="BS39" s="61">
        <f t="shared" si="11"/>
        <v>0</v>
      </c>
      <c r="BT39" s="61">
        <f t="shared" si="11"/>
        <v>0</v>
      </c>
      <c r="BU39" s="61">
        <f t="shared" si="11"/>
        <v>0</v>
      </c>
      <c r="BV39" s="61">
        <f t="shared" si="11"/>
        <v>0</v>
      </c>
      <c r="BW39" s="61">
        <f t="shared" si="11"/>
        <v>0</v>
      </c>
      <c r="BX39" s="61">
        <f t="shared" si="11"/>
        <v>0</v>
      </c>
      <c r="BY39" s="61">
        <f t="shared" si="11"/>
        <v>0</v>
      </c>
      <c r="BZ39" s="61">
        <f t="shared" si="11"/>
        <v>0</v>
      </c>
      <c r="CA39" s="61">
        <f t="shared" si="11"/>
        <v>0</v>
      </c>
      <c r="CB39" s="61">
        <f t="shared" si="5"/>
        <v>0</v>
      </c>
      <c r="CD39" s="200">
        <f>(SUMIF(Fonctionnement[Affectation matrice],$AB$3,Fonctionnement[TVA acquittée])+SUMIF(Invest[Affectation matrice],$AB$3,Invest[TVA acquittée]))*BC39</f>
        <v>0</v>
      </c>
      <c r="CE39" s="200">
        <f>(SUMIF(Fonctionnement[Affectation matrice],$AB$3,Fonctionnement[TVA acquittée])+SUMIF(Invest[Affectation matrice],$AB$3,Invest[TVA acquittée]))*BD39</f>
        <v>0</v>
      </c>
      <c r="CF39" s="200">
        <f>(SUMIF(Fonctionnement[Affectation matrice],$AB$3,Fonctionnement[TVA acquittée])+SUMIF(Invest[Affectation matrice],$AB$3,Invest[TVA acquittée]))*BE39</f>
        <v>0</v>
      </c>
      <c r="CG39" s="200">
        <f>(SUMIF(Fonctionnement[Affectation matrice],$AB$3,Fonctionnement[TVA acquittée])+SUMIF(Invest[Affectation matrice],$AB$3,Invest[TVA acquittée]))*BF39</f>
        <v>0</v>
      </c>
      <c r="CH39" s="200">
        <f>(SUMIF(Fonctionnement[Affectation matrice],$AB$3,Fonctionnement[TVA acquittée])+SUMIF(Invest[Affectation matrice],$AB$3,Invest[TVA acquittée]))*BG39</f>
        <v>0</v>
      </c>
      <c r="CI39" s="200">
        <f>(SUMIF(Fonctionnement[Affectation matrice],$AB$3,Fonctionnement[TVA acquittée])+SUMIF(Invest[Affectation matrice],$AB$3,Invest[TVA acquittée]))*BH39</f>
        <v>0</v>
      </c>
      <c r="CJ39" s="200">
        <f>(SUMIF(Fonctionnement[Affectation matrice],$AB$3,Fonctionnement[TVA acquittée])+SUMIF(Invest[Affectation matrice],$AB$3,Invest[TVA acquittée]))*BI39</f>
        <v>0</v>
      </c>
      <c r="CK39" s="200">
        <f>(SUMIF(Fonctionnement[Affectation matrice],$AB$3,Fonctionnement[TVA acquittée])+SUMIF(Invest[Affectation matrice],$AB$3,Invest[TVA acquittée]))*BJ39</f>
        <v>0</v>
      </c>
      <c r="CL39" s="200">
        <f>(SUMIF(Fonctionnement[Affectation matrice],$AB$3,Fonctionnement[TVA acquittée])+SUMIF(Invest[Affectation matrice],$AB$3,Invest[TVA acquittée]))*BK39</f>
        <v>0</v>
      </c>
      <c r="CM39" s="200">
        <f>(SUMIF(Fonctionnement[Affectation matrice],$AB$3,Fonctionnement[TVA acquittée])+SUMIF(Invest[Affectation matrice],$AB$3,Invest[TVA acquittée]))*BL39</f>
        <v>0</v>
      </c>
      <c r="CN39" s="200">
        <f>(SUMIF(Fonctionnement[Affectation matrice],$AB$3,Fonctionnement[TVA acquittée])+SUMIF(Invest[Affectation matrice],$AB$3,Invest[TVA acquittée]))*BM39</f>
        <v>0</v>
      </c>
      <c r="CO39" s="200">
        <f>(SUMIF(Fonctionnement[Affectation matrice],$AB$3,Fonctionnement[TVA acquittée])+SUMIF(Invest[Affectation matrice],$AB$3,Invest[TVA acquittée]))*BN39</f>
        <v>0</v>
      </c>
      <c r="CP39" s="200">
        <f>(SUMIF(Fonctionnement[Affectation matrice],$AB$3,Fonctionnement[TVA acquittée])+SUMIF(Invest[Affectation matrice],$AB$3,Invest[TVA acquittée]))*BO39</f>
        <v>0</v>
      </c>
      <c r="CQ39" s="200">
        <f>(SUMIF(Fonctionnement[Affectation matrice],$AB$3,Fonctionnement[TVA acquittée])+SUMIF(Invest[Affectation matrice],$AB$3,Invest[TVA acquittée]))*BP39</f>
        <v>0</v>
      </c>
      <c r="CR39" s="200">
        <f>(SUMIF(Fonctionnement[Affectation matrice],$AB$3,Fonctionnement[TVA acquittée])+SUMIF(Invest[Affectation matrice],$AB$3,Invest[TVA acquittée]))*BQ39</f>
        <v>0</v>
      </c>
      <c r="CS39" s="200">
        <f>(SUMIF(Fonctionnement[Affectation matrice],$AB$3,Fonctionnement[TVA acquittée])+SUMIF(Invest[Affectation matrice],$AB$3,Invest[TVA acquittée]))*BR39</f>
        <v>0</v>
      </c>
      <c r="CT39" s="200">
        <f>(SUMIF(Fonctionnement[Affectation matrice],$AB$3,Fonctionnement[TVA acquittée])+SUMIF(Invest[Affectation matrice],$AB$3,Invest[TVA acquittée]))*BS39</f>
        <v>0</v>
      </c>
      <c r="CU39" s="200">
        <f>(SUMIF(Fonctionnement[Affectation matrice],$AB$3,Fonctionnement[TVA acquittée])+SUMIF(Invest[Affectation matrice],$AB$3,Invest[TVA acquittée]))*BT39</f>
        <v>0</v>
      </c>
      <c r="CV39" s="200">
        <f>(SUMIF(Fonctionnement[Affectation matrice],$AB$3,Fonctionnement[TVA acquittée])+SUMIF(Invest[Affectation matrice],$AB$3,Invest[TVA acquittée]))*BU39</f>
        <v>0</v>
      </c>
      <c r="CW39" s="200">
        <f>(SUMIF(Fonctionnement[Affectation matrice],$AB$3,Fonctionnement[TVA acquittée])+SUMIF(Invest[Affectation matrice],$AB$3,Invest[TVA acquittée]))*BV39</f>
        <v>0</v>
      </c>
      <c r="CX39" s="200">
        <f>(SUMIF(Fonctionnement[Affectation matrice],$AB$3,Fonctionnement[TVA acquittée])+SUMIF(Invest[Affectation matrice],$AB$3,Invest[TVA acquittée]))*BW39</f>
        <v>0</v>
      </c>
      <c r="CY39" s="200">
        <f>(SUMIF(Fonctionnement[Affectation matrice],$AB$3,Fonctionnement[TVA acquittée])+SUMIF(Invest[Affectation matrice],$AB$3,Invest[TVA acquittée]))*BX39</f>
        <v>0</v>
      </c>
      <c r="CZ39" s="200">
        <f>(SUMIF(Fonctionnement[Affectation matrice],$AB$3,Fonctionnement[TVA acquittée])+SUMIF(Invest[Affectation matrice],$AB$3,Invest[TVA acquittée]))*BY39</f>
        <v>0</v>
      </c>
      <c r="DA39" s="200">
        <f>(SUMIF(Fonctionnement[Affectation matrice],$AB$3,Fonctionnement[TVA acquittée])+SUMIF(Invest[Affectation matrice],$AB$3,Invest[TVA acquittée]))*BZ39</f>
        <v>0</v>
      </c>
      <c r="DB39" s="200">
        <f>(SUMIF(Fonctionnement[Affectation matrice],$AB$3,Fonctionnement[TVA acquittée])+SUMIF(Invest[Affectation matrice],$AB$3,Invest[TVA acquittée]))*CA39</f>
        <v>0</v>
      </c>
    </row>
    <row r="40" spans="1:106" s="22" customFormat="1" ht="12.75" hidden="1" customHeight="1" x14ac:dyDescent="0.25">
      <c r="A40" s="42" t="str">
        <f>Matrice[[#This Row],[Ligne de la matrice]]</f>
        <v>Facturation à l'usager</v>
      </c>
      <c r="B40" s="276">
        <f>(SUMIF(Fonctionnement[Affectation matrice],$AB$3,Fonctionnement[Montant (€HT)])+SUMIF(Invest[Affectation matrice],$AB$3,Invest[Amortissement HT + intérêts]))*BC40</f>
        <v>0</v>
      </c>
      <c r="C40" s="276">
        <f>(SUMIF(Fonctionnement[Affectation matrice],$AB$3,Fonctionnement[Montant (€HT)])+SUMIF(Invest[Affectation matrice],$AB$3,Invest[Amortissement HT + intérêts]))*BD40</f>
        <v>0</v>
      </c>
      <c r="D40" s="276">
        <f>(SUMIF(Fonctionnement[Affectation matrice],$AB$3,Fonctionnement[Montant (€HT)])+SUMIF(Invest[Affectation matrice],$AB$3,Invest[Amortissement HT + intérêts]))*BE40</f>
        <v>0</v>
      </c>
      <c r="E40" s="276">
        <f>(SUMIF(Fonctionnement[Affectation matrice],$AB$3,Fonctionnement[Montant (€HT)])+SUMIF(Invest[Affectation matrice],$AB$3,Invest[Amortissement HT + intérêts]))*BF40</f>
        <v>0</v>
      </c>
      <c r="F40" s="276">
        <f>(SUMIF(Fonctionnement[Affectation matrice],$AB$3,Fonctionnement[Montant (€HT)])+SUMIF(Invest[Affectation matrice],$AB$3,Invest[Amortissement HT + intérêts]))*BG40</f>
        <v>0</v>
      </c>
      <c r="G40" s="276">
        <f>(SUMIF(Fonctionnement[Affectation matrice],$AB$3,Fonctionnement[Montant (€HT)])+SUMIF(Invest[Affectation matrice],$AB$3,Invest[Amortissement HT + intérêts]))*BH40</f>
        <v>0</v>
      </c>
      <c r="H40" s="276">
        <f>(SUMIF(Fonctionnement[Affectation matrice],$AB$3,Fonctionnement[Montant (€HT)])+SUMIF(Invest[Affectation matrice],$AB$3,Invest[Amortissement HT + intérêts]))*BI40</f>
        <v>0</v>
      </c>
      <c r="I40" s="276">
        <f>(SUMIF(Fonctionnement[Affectation matrice],$AB$3,Fonctionnement[Montant (€HT)])+SUMIF(Invest[Affectation matrice],$AB$3,Invest[Amortissement HT + intérêts]))*BJ40</f>
        <v>0</v>
      </c>
      <c r="J40" s="276">
        <f>(SUMIF(Fonctionnement[Affectation matrice],$AB$3,Fonctionnement[Montant (€HT)])+SUMIF(Invest[Affectation matrice],$AB$3,Invest[Amortissement HT + intérêts]))*BK40</f>
        <v>0</v>
      </c>
      <c r="K40" s="276">
        <f>(SUMIF(Fonctionnement[Affectation matrice],$AB$3,Fonctionnement[Montant (€HT)])+SUMIF(Invest[Affectation matrice],$AB$3,Invest[Amortissement HT + intérêts]))*BL40</f>
        <v>0</v>
      </c>
      <c r="L40" s="276">
        <f>(SUMIF(Fonctionnement[Affectation matrice],$AB$3,Fonctionnement[Montant (€HT)])+SUMIF(Invest[Affectation matrice],$AB$3,Invest[Amortissement HT + intérêts]))*BM40</f>
        <v>0</v>
      </c>
      <c r="M40" s="276">
        <f>(SUMIF(Fonctionnement[Affectation matrice],$AB$3,Fonctionnement[Montant (€HT)])+SUMIF(Invest[Affectation matrice],$AB$3,Invest[Amortissement HT + intérêts]))*BN40</f>
        <v>0</v>
      </c>
      <c r="N40" s="276">
        <f>(SUMIF(Fonctionnement[Affectation matrice],$AB$3,Fonctionnement[Montant (€HT)])+SUMIF(Invest[Affectation matrice],$AB$3,Invest[Amortissement HT + intérêts]))*BO40</f>
        <v>0</v>
      </c>
      <c r="O40" s="276">
        <f>(SUMIF(Fonctionnement[Affectation matrice],$AB$3,Fonctionnement[Montant (€HT)])+SUMIF(Invest[Affectation matrice],$AB$3,Invest[Amortissement HT + intérêts]))*BP40</f>
        <v>0</v>
      </c>
      <c r="P40" s="276">
        <f>(SUMIF(Fonctionnement[Affectation matrice],$AB$3,Fonctionnement[Montant (€HT)])+SUMIF(Invest[Affectation matrice],$AB$3,Invest[Amortissement HT + intérêts]))*BQ40</f>
        <v>0</v>
      </c>
      <c r="Q40" s="276">
        <f>(SUMIF(Fonctionnement[Affectation matrice],$AB$3,Fonctionnement[Montant (€HT)])+SUMIF(Invest[Affectation matrice],$AB$3,Invest[Amortissement HT + intérêts]))*BR40</f>
        <v>0</v>
      </c>
      <c r="R40" s="276">
        <f>(SUMIF(Fonctionnement[Affectation matrice],$AB$3,Fonctionnement[Montant (€HT)])+SUMIF(Invest[Affectation matrice],$AB$3,Invest[Amortissement HT + intérêts]))*BS40</f>
        <v>0</v>
      </c>
      <c r="S40" s="276">
        <f>(SUMIF(Fonctionnement[Affectation matrice],$AB$3,Fonctionnement[Montant (€HT)])+SUMIF(Invest[Affectation matrice],$AB$3,Invest[Amortissement HT + intérêts]))*BT40</f>
        <v>0</v>
      </c>
      <c r="T40" s="276">
        <f>(SUMIF(Fonctionnement[Affectation matrice],$AB$3,Fonctionnement[Montant (€HT)])+SUMIF(Invest[Affectation matrice],$AB$3,Invest[Amortissement HT + intérêts]))*BU40</f>
        <v>0</v>
      </c>
      <c r="U40" s="276">
        <f>(SUMIF(Fonctionnement[Affectation matrice],$AB$3,Fonctionnement[Montant (€HT)])+SUMIF(Invest[Affectation matrice],$AB$3,Invest[Amortissement HT + intérêts]))*BV40</f>
        <v>0</v>
      </c>
      <c r="V40" s="276">
        <f>(SUMIF(Fonctionnement[Affectation matrice],$AB$3,Fonctionnement[Montant (€HT)])+SUMIF(Invest[Affectation matrice],$AB$3,Invest[Amortissement HT + intérêts]))*BW40</f>
        <v>0</v>
      </c>
      <c r="W40" s="276">
        <f>(SUMIF(Fonctionnement[Affectation matrice],$AB$3,Fonctionnement[Montant (€HT)])+SUMIF(Invest[Affectation matrice],$AB$3,Invest[Amortissement HT + intérêts]))*BX40</f>
        <v>0</v>
      </c>
      <c r="X40" s="276">
        <f>(SUMIF(Fonctionnement[Affectation matrice],$AB$3,Fonctionnement[Montant (€HT)])+SUMIF(Invest[Affectation matrice],$AB$3,Invest[Amortissement HT + intérêts]))*BY40</f>
        <v>0</v>
      </c>
      <c r="Y40" s="276">
        <f>(SUMIF(Fonctionnement[Affectation matrice],$AB$3,Fonctionnement[Montant (€HT)])+SUMIF(Invest[Affectation matrice],$AB$3,Invest[Amortissement HT + intérêts]))*BZ40</f>
        <v>0</v>
      </c>
      <c r="Z40" s="276">
        <f>(SUMIF(Fonctionnement[Affectation matrice],$AB$3,Fonctionnement[Montant (€HT)])+SUMIF(Invest[Affectation matrice],$AB$3,Invest[Amortissement HT + intérêts]))*CA40</f>
        <v>0</v>
      </c>
      <c r="AA40" s="199"/>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283">
        <f t="shared" si="4"/>
        <v>0</v>
      </c>
      <c r="BB40" s="7"/>
      <c r="BC40" s="61">
        <f t="shared" si="10"/>
        <v>0</v>
      </c>
      <c r="BD40" s="61">
        <f t="shared" si="10"/>
        <v>0</v>
      </c>
      <c r="BE40" s="61">
        <f t="shared" si="10"/>
        <v>0</v>
      </c>
      <c r="BF40" s="61">
        <f t="shared" si="10"/>
        <v>0</v>
      </c>
      <c r="BG40" s="61">
        <f t="shared" si="10"/>
        <v>0</v>
      </c>
      <c r="BH40" s="61">
        <f t="shared" si="10"/>
        <v>0</v>
      </c>
      <c r="BI40" s="61">
        <f t="shared" si="10"/>
        <v>0</v>
      </c>
      <c r="BJ40" s="61">
        <f t="shared" si="10"/>
        <v>0</v>
      </c>
      <c r="BK40" s="61">
        <f t="shared" si="10"/>
        <v>0</v>
      </c>
      <c r="BL40" s="61">
        <f t="shared" si="10"/>
        <v>0</v>
      </c>
      <c r="BM40" s="61">
        <f t="shared" si="11"/>
        <v>0</v>
      </c>
      <c r="BN40" s="61">
        <f t="shared" si="11"/>
        <v>0</v>
      </c>
      <c r="BO40" s="61">
        <f t="shared" si="11"/>
        <v>0</v>
      </c>
      <c r="BP40" s="61">
        <f t="shared" si="11"/>
        <v>0</v>
      </c>
      <c r="BQ40" s="61">
        <f t="shared" si="11"/>
        <v>0</v>
      </c>
      <c r="BR40" s="61">
        <f t="shared" si="11"/>
        <v>0</v>
      </c>
      <c r="BS40" s="61">
        <f t="shared" si="11"/>
        <v>0</v>
      </c>
      <c r="BT40" s="61">
        <f t="shared" si="11"/>
        <v>0</v>
      </c>
      <c r="BU40" s="61">
        <f t="shared" si="11"/>
        <v>0</v>
      </c>
      <c r="BV40" s="61">
        <f t="shared" si="11"/>
        <v>0</v>
      </c>
      <c r="BW40" s="61">
        <f t="shared" si="11"/>
        <v>0</v>
      </c>
      <c r="BX40" s="61">
        <f t="shared" si="11"/>
        <v>0</v>
      </c>
      <c r="BY40" s="61">
        <f t="shared" si="11"/>
        <v>0</v>
      </c>
      <c r="BZ40" s="61">
        <f t="shared" si="11"/>
        <v>0</v>
      </c>
      <c r="CA40" s="61">
        <f t="shared" si="11"/>
        <v>0</v>
      </c>
      <c r="CB40" s="61">
        <f t="shared" si="5"/>
        <v>0</v>
      </c>
      <c r="CD40" s="200">
        <f>(SUMIF(Fonctionnement[Affectation matrice],$AB$3,Fonctionnement[TVA acquittée])+SUMIF(Invest[Affectation matrice],$AB$3,Invest[TVA acquittée]))*BC40</f>
        <v>0</v>
      </c>
      <c r="CE40" s="200">
        <f>(SUMIF(Fonctionnement[Affectation matrice],$AB$3,Fonctionnement[TVA acquittée])+SUMIF(Invest[Affectation matrice],$AB$3,Invest[TVA acquittée]))*BD40</f>
        <v>0</v>
      </c>
      <c r="CF40" s="200">
        <f>(SUMIF(Fonctionnement[Affectation matrice],$AB$3,Fonctionnement[TVA acquittée])+SUMIF(Invest[Affectation matrice],$AB$3,Invest[TVA acquittée]))*BE40</f>
        <v>0</v>
      </c>
      <c r="CG40" s="200">
        <f>(SUMIF(Fonctionnement[Affectation matrice],$AB$3,Fonctionnement[TVA acquittée])+SUMIF(Invest[Affectation matrice],$AB$3,Invest[TVA acquittée]))*BF40</f>
        <v>0</v>
      </c>
      <c r="CH40" s="200">
        <f>(SUMIF(Fonctionnement[Affectation matrice],$AB$3,Fonctionnement[TVA acquittée])+SUMIF(Invest[Affectation matrice],$AB$3,Invest[TVA acquittée]))*BG40</f>
        <v>0</v>
      </c>
      <c r="CI40" s="200">
        <f>(SUMIF(Fonctionnement[Affectation matrice],$AB$3,Fonctionnement[TVA acquittée])+SUMIF(Invest[Affectation matrice],$AB$3,Invest[TVA acquittée]))*BH40</f>
        <v>0</v>
      </c>
      <c r="CJ40" s="200">
        <f>(SUMIF(Fonctionnement[Affectation matrice],$AB$3,Fonctionnement[TVA acquittée])+SUMIF(Invest[Affectation matrice],$AB$3,Invest[TVA acquittée]))*BI40</f>
        <v>0</v>
      </c>
      <c r="CK40" s="200">
        <f>(SUMIF(Fonctionnement[Affectation matrice],$AB$3,Fonctionnement[TVA acquittée])+SUMIF(Invest[Affectation matrice],$AB$3,Invest[TVA acquittée]))*BJ40</f>
        <v>0</v>
      </c>
      <c r="CL40" s="200">
        <f>(SUMIF(Fonctionnement[Affectation matrice],$AB$3,Fonctionnement[TVA acquittée])+SUMIF(Invest[Affectation matrice],$AB$3,Invest[TVA acquittée]))*BK40</f>
        <v>0</v>
      </c>
      <c r="CM40" s="200">
        <f>(SUMIF(Fonctionnement[Affectation matrice],$AB$3,Fonctionnement[TVA acquittée])+SUMIF(Invest[Affectation matrice],$AB$3,Invest[TVA acquittée]))*BL40</f>
        <v>0</v>
      </c>
      <c r="CN40" s="200">
        <f>(SUMIF(Fonctionnement[Affectation matrice],$AB$3,Fonctionnement[TVA acquittée])+SUMIF(Invest[Affectation matrice],$AB$3,Invest[TVA acquittée]))*BM40</f>
        <v>0</v>
      </c>
      <c r="CO40" s="200">
        <f>(SUMIF(Fonctionnement[Affectation matrice],$AB$3,Fonctionnement[TVA acquittée])+SUMIF(Invest[Affectation matrice],$AB$3,Invest[TVA acquittée]))*BN40</f>
        <v>0</v>
      </c>
      <c r="CP40" s="200">
        <f>(SUMIF(Fonctionnement[Affectation matrice],$AB$3,Fonctionnement[TVA acquittée])+SUMIF(Invest[Affectation matrice],$AB$3,Invest[TVA acquittée]))*BO40</f>
        <v>0</v>
      </c>
      <c r="CQ40" s="200">
        <f>(SUMIF(Fonctionnement[Affectation matrice],$AB$3,Fonctionnement[TVA acquittée])+SUMIF(Invest[Affectation matrice],$AB$3,Invest[TVA acquittée]))*BP40</f>
        <v>0</v>
      </c>
      <c r="CR40" s="200">
        <f>(SUMIF(Fonctionnement[Affectation matrice],$AB$3,Fonctionnement[TVA acquittée])+SUMIF(Invest[Affectation matrice],$AB$3,Invest[TVA acquittée]))*BQ40</f>
        <v>0</v>
      </c>
      <c r="CS40" s="200">
        <f>(SUMIF(Fonctionnement[Affectation matrice],$AB$3,Fonctionnement[TVA acquittée])+SUMIF(Invest[Affectation matrice],$AB$3,Invest[TVA acquittée]))*BR40</f>
        <v>0</v>
      </c>
      <c r="CT40" s="200">
        <f>(SUMIF(Fonctionnement[Affectation matrice],$AB$3,Fonctionnement[TVA acquittée])+SUMIF(Invest[Affectation matrice],$AB$3,Invest[TVA acquittée]))*BS40</f>
        <v>0</v>
      </c>
      <c r="CU40" s="200">
        <f>(SUMIF(Fonctionnement[Affectation matrice],$AB$3,Fonctionnement[TVA acquittée])+SUMIF(Invest[Affectation matrice],$AB$3,Invest[TVA acquittée]))*BT40</f>
        <v>0</v>
      </c>
      <c r="CV40" s="200">
        <f>(SUMIF(Fonctionnement[Affectation matrice],$AB$3,Fonctionnement[TVA acquittée])+SUMIF(Invest[Affectation matrice],$AB$3,Invest[TVA acquittée]))*BU40</f>
        <v>0</v>
      </c>
      <c r="CW40" s="200">
        <f>(SUMIF(Fonctionnement[Affectation matrice],$AB$3,Fonctionnement[TVA acquittée])+SUMIF(Invest[Affectation matrice],$AB$3,Invest[TVA acquittée]))*BV40</f>
        <v>0</v>
      </c>
      <c r="CX40" s="200">
        <f>(SUMIF(Fonctionnement[Affectation matrice],$AB$3,Fonctionnement[TVA acquittée])+SUMIF(Invest[Affectation matrice],$AB$3,Invest[TVA acquittée]))*BW40</f>
        <v>0</v>
      </c>
      <c r="CY40" s="200">
        <f>(SUMIF(Fonctionnement[Affectation matrice],$AB$3,Fonctionnement[TVA acquittée])+SUMIF(Invest[Affectation matrice],$AB$3,Invest[TVA acquittée]))*BX40</f>
        <v>0</v>
      </c>
      <c r="CZ40" s="200">
        <f>(SUMIF(Fonctionnement[Affectation matrice],$AB$3,Fonctionnement[TVA acquittée])+SUMIF(Invest[Affectation matrice],$AB$3,Invest[TVA acquittée]))*BY40</f>
        <v>0</v>
      </c>
      <c r="DA40" s="200">
        <f>(SUMIF(Fonctionnement[Affectation matrice],$AB$3,Fonctionnement[TVA acquittée])+SUMIF(Invest[Affectation matrice],$AB$3,Invest[TVA acquittée]))*BZ40</f>
        <v>0</v>
      </c>
      <c r="DB40" s="200">
        <f>(SUMIF(Fonctionnement[Affectation matrice],$AB$3,Fonctionnement[TVA acquittée])+SUMIF(Invest[Affectation matrice],$AB$3,Invest[TVA acquittée]))*CA40</f>
        <v>0</v>
      </c>
    </row>
    <row r="41" spans="1:106" s="22" customFormat="1" ht="12.75" hidden="1" customHeight="1" x14ac:dyDescent="0.25">
      <c r="A41" s="42" t="str">
        <f>Matrice[[#This Row],[Ligne de la matrice]]</f>
        <v>Contribution des collectivités</v>
      </c>
      <c r="B41" s="276">
        <f>(SUMIF(Fonctionnement[Affectation matrice],$AB$3,Fonctionnement[Montant (€HT)])+SUMIF(Invest[Affectation matrice],$AB$3,Invest[Amortissement HT + intérêts]))*BC41</f>
        <v>0</v>
      </c>
      <c r="C41" s="276">
        <f>(SUMIF(Fonctionnement[Affectation matrice],$AB$3,Fonctionnement[Montant (€HT)])+SUMIF(Invest[Affectation matrice],$AB$3,Invest[Amortissement HT + intérêts]))*BD41</f>
        <v>0</v>
      </c>
      <c r="D41" s="276">
        <f>(SUMIF(Fonctionnement[Affectation matrice],$AB$3,Fonctionnement[Montant (€HT)])+SUMIF(Invest[Affectation matrice],$AB$3,Invest[Amortissement HT + intérêts]))*BE41</f>
        <v>0</v>
      </c>
      <c r="E41" s="276">
        <f>(SUMIF(Fonctionnement[Affectation matrice],$AB$3,Fonctionnement[Montant (€HT)])+SUMIF(Invest[Affectation matrice],$AB$3,Invest[Amortissement HT + intérêts]))*BF41</f>
        <v>0</v>
      </c>
      <c r="F41" s="276">
        <f>(SUMIF(Fonctionnement[Affectation matrice],$AB$3,Fonctionnement[Montant (€HT)])+SUMIF(Invest[Affectation matrice],$AB$3,Invest[Amortissement HT + intérêts]))*BG41</f>
        <v>0</v>
      </c>
      <c r="G41" s="276">
        <f>(SUMIF(Fonctionnement[Affectation matrice],$AB$3,Fonctionnement[Montant (€HT)])+SUMIF(Invest[Affectation matrice],$AB$3,Invest[Amortissement HT + intérêts]))*BH41</f>
        <v>0</v>
      </c>
      <c r="H41" s="276">
        <f>(SUMIF(Fonctionnement[Affectation matrice],$AB$3,Fonctionnement[Montant (€HT)])+SUMIF(Invest[Affectation matrice],$AB$3,Invest[Amortissement HT + intérêts]))*BI41</f>
        <v>0</v>
      </c>
      <c r="I41" s="276">
        <f>(SUMIF(Fonctionnement[Affectation matrice],$AB$3,Fonctionnement[Montant (€HT)])+SUMIF(Invest[Affectation matrice],$AB$3,Invest[Amortissement HT + intérêts]))*BJ41</f>
        <v>0</v>
      </c>
      <c r="J41" s="276">
        <f>(SUMIF(Fonctionnement[Affectation matrice],$AB$3,Fonctionnement[Montant (€HT)])+SUMIF(Invest[Affectation matrice],$AB$3,Invest[Amortissement HT + intérêts]))*BK41</f>
        <v>0</v>
      </c>
      <c r="K41" s="276">
        <f>(SUMIF(Fonctionnement[Affectation matrice],$AB$3,Fonctionnement[Montant (€HT)])+SUMIF(Invest[Affectation matrice],$AB$3,Invest[Amortissement HT + intérêts]))*BL41</f>
        <v>0</v>
      </c>
      <c r="L41" s="276">
        <f>(SUMIF(Fonctionnement[Affectation matrice],$AB$3,Fonctionnement[Montant (€HT)])+SUMIF(Invest[Affectation matrice],$AB$3,Invest[Amortissement HT + intérêts]))*BM41</f>
        <v>0</v>
      </c>
      <c r="M41" s="276">
        <f>(SUMIF(Fonctionnement[Affectation matrice],$AB$3,Fonctionnement[Montant (€HT)])+SUMIF(Invest[Affectation matrice],$AB$3,Invest[Amortissement HT + intérêts]))*BN41</f>
        <v>0</v>
      </c>
      <c r="N41" s="276">
        <f>(SUMIF(Fonctionnement[Affectation matrice],$AB$3,Fonctionnement[Montant (€HT)])+SUMIF(Invest[Affectation matrice],$AB$3,Invest[Amortissement HT + intérêts]))*BO41</f>
        <v>0</v>
      </c>
      <c r="O41" s="276">
        <f>(SUMIF(Fonctionnement[Affectation matrice],$AB$3,Fonctionnement[Montant (€HT)])+SUMIF(Invest[Affectation matrice],$AB$3,Invest[Amortissement HT + intérêts]))*BP41</f>
        <v>0</v>
      </c>
      <c r="P41" s="276">
        <f>(SUMIF(Fonctionnement[Affectation matrice],$AB$3,Fonctionnement[Montant (€HT)])+SUMIF(Invest[Affectation matrice],$AB$3,Invest[Amortissement HT + intérêts]))*BQ41</f>
        <v>0</v>
      </c>
      <c r="Q41" s="276">
        <f>(SUMIF(Fonctionnement[Affectation matrice],$AB$3,Fonctionnement[Montant (€HT)])+SUMIF(Invest[Affectation matrice],$AB$3,Invest[Amortissement HT + intérêts]))*BR41</f>
        <v>0</v>
      </c>
      <c r="R41" s="276">
        <f>(SUMIF(Fonctionnement[Affectation matrice],$AB$3,Fonctionnement[Montant (€HT)])+SUMIF(Invest[Affectation matrice],$AB$3,Invest[Amortissement HT + intérêts]))*BS41</f>
        <v>0</v>
      </c>
      <c r="S41" s="276">
        <f>(SUMIF(Fonctionnement[Affectation matrice],$AB$3,Fonctionnement[Montant (€HT)])+SUMIF(Invest[Affectation matrice],$AB$3,Invest[Amortissement HT + intérêts]))*BT41</f>
        <v>0</v>
      </c>
      <c r="T41" s="276">
        <f>(SUMIF(Fonctionnement[Affectation matrice],$AB$3,Fonctionnement[Montant (€HT)])+SUMIF(Invest[Affectation matrice],$AB$3,Invest[Amortissement HT + intérêts]))*BU41</f>
        <v>0</v>
      </c>
      <c r="U41" s="276">
        <f>(SUMIF(Fonctionnement[Affectation matrice],$AB$3,Fonctionnement[Montant (€HT)])+SUMIF(Invest[Affectation matrice],$AB$3,Invest[Amortissement HT + intérêts]))*BV41</f>
        <v>0</v>
      </c>
      <c r="V41" s="276">
        <f>(SUMIF(Fonctionnement[Affectation matrice],$AB$3,Fonctionnement[Montant (€HT)])+SUMIF(Invest[Affectation matrice],$AB$3,Invest[Amortissement HT + intérêts]))*BW41</f>
        <v>0</v>
      </c>
      <c r="W41" s="276">
        <f>(SUMIF(Fonctionnement[Affectation matrice],$AB$3,Fonctionnement[Montant (€HT)])+SUMIF(Invest[Affectation matrice],$AB$3,Invest[Amortissement HT + intérêts]))*BX41</f>
        <v>0</v>
      </c>
      <c r="X41" s="276">
        <f>(SUMIF(Fonctionnement[Affectation matrice],$AB$3,Fonctionnement[Montant (€HT)])+SUMIF(Invest[Affectation matrice],$AB$3,Invest[Amortissement HT + intérêts]))*BY41</f>
        <v>0</v>
      </c>
      <c r="Y41" s="276">
        <f>(SUMIF(Fonctionnement[Affectation matrice],$AB$3,Fonctionnement[Montant (€HT)])+SUMIF(Invest[Affectation matrice],$AB$3,Invest[Amortissement HT + intérêts]))*BZ41</f>
        <v>0</v>
      </c>
      <c r="Z41" s="276">
        <f>(SUMIF(Fonctionnement[Affectation matrice],$AB$3,Fonctionnement[Montant (€HT)])+SUMIF(Invest[Affectation matrice],$AB$3,Invest[Amortissement HT + intérêts]))*CA41</f>
        <v>0</v>
      </c>
      <c r="AA41" s="199"/>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283">
        <f t="shared" si="4"/>
        <v>0</v>
      </c>
      <c r="BB41" s="7"/>
      <c r="BC41" s="61">
        <f t="shared" si="10"/>
        <v>0</v>
      </c>
      <c r="BD41" s="61">
        <f t="shared" si="10"/>
        <v>0</v>
      </c>
      <c r="BE41" s="61">
        <f t="shared" si="10"/>
        <v>0</v>
      </c>
      <c r="BF41" s="61">
        <f t="shared" si="10"/>
        <v>0</v>
      </c>
      <c r="BG41" s="61">
        <f t="shared" si="10"/>
        <v>0</v>
      </c>
      <c r="BH41" s="61">
        <f t="shared" si="10"/>
        <v>0</v>
      </c>
      <c r="BI41" s="61">
        <f t="shared" si="10"/>
        <v>0</v>
      </c>
      <c r="BJ41" s="61">
        <f t="shared" si="10"/>
        <v>0</v>
      </c>
      <c r="BK41" s="61">
        <f t="shared" si="10"/>
        <v>0</v>
      </c>
      <c r="BL41" s="61">
        <f t="shared" si="10"/>
        <v>0</v>
      </c>
      <c r="BM41" s="61">
        <f t="shared" si="11"/>
        <v>0</v>
      </c>
      <c r="BN41" s="61">
        <f t="shared" si="11"/>
        <v>0</v>
      </c>
      <c r="BO41" s="61">
        <f t="shared" si="11"/>
        <v>0</v>
      </c>
      <c r="BP41" s="61">
        <f t="shared" si="11"/>
        <v>0</v>
      </c>
      <c r="BQ41" s="61">
        <f t="shared" si="11"/>
        <v>0</v>
      </c>
      <c r="BR41" s="61">
        <f t="shared" si="11"/>
        <v>0</v>
      </c>
      <c r="BS41" s="61">
        <f t="shared" si="11"/>
        <v>0</v>
      </c>
      <c r="BT41" s="61">
        <f t="shared" si="11"/>
        <v>0</v>
      </c>
      <c r="BU41" s="61">
        <f t="shared" si="11"/>
        <v>0</v>
      </c>
      <c r="BV41" s="61">
        <f t="shared" si="11"/>
        <v>0</v>
      </c>
      <c r="BW41" s="61">
        <f t="shared" si="11"/>
        <v>0</v>
      </c>
      <c r="BX41" s="61">
        <f t="shared" si="11"/>
        <v>0</v>
      </c>
      <c r="BY41" s="61">
        <f t="shared" si="11"/>
        <v>0</v>
      </c>
      <c r="BZ41" s="61">
        <f t="shared" si="11"/>
        <v>0</v>
      </c>
      <c r="CA41" s="61">
        <f t="shared" si="11"/>
        <v>0</v>
      </c>
      <c r="CB41" s="61">
        <f t="shared" si="5"/>
        <v>0</v>
      </c>
      <c r="CD41" s="200">
        <f>(SUMIF(Fonctionnement[Affectation matrice],$AB$3,Fonctionnement[TVA acquittée])+SUMIF(Invest[Affectation matrice],$AB$3,Invest[TVA acquittée]))*BC41</f>
        <v>0</v>
      </c>
      <c r="CE41" s="200">
        <f>(SUMIF(Fonctionnement[Affectation matrice],$AB$3,Fonctionnement[TVA acquittée])+SUMIF(Invest[Affectation matrice],$AB$3,Invest[TVA acquittée]))*BD41</f>
        <v>0</v>
      </c>
      <c r="CF41" s="200">
        <f>(SUMIF(Fonctionnement[Affectation matrice],$AB$3,Fonctionnement[TVA acquittée])+SUMIF(Invest[Affectation matrice],$AB$3,Invest[TVA acquittée]))*BE41</f>
        <v>0</v>
      </c>
      <c r="CG41" s="200">
        <f>(SUMIF(Fonctionnement[Affectation matrice],$AB$3,Fonctionnement[TVA acquittée])+SUMIF(Invest[Affectation matrice],$AB$3,Invest[TVA acquittée]))*BF41</f>
        <v>0</v>
      </c>
      <c r="CH41" s="200">
        <f>(SUMIF(Fonctionnement[Affectation matrice],$AB$3,Fonctionnement[TVA acquittée])+SUMIF(Invest[Affectation matrice],$AB$3,Invest[TVA acquittée]))*BG41</f>
        <v>0</v>
      </c>
      <c r="CI41" s="200">
        <f>(SUMIF(Fonctionnement[Affectation matrice],$AB$3,Fonctionnement[TVA acquittée])+SUMIF(Invest[Affectation matrice],$AB$3,Invest[TVA acquittée]))*BH41</f>
        <v>0</v>
      </c>
      <c r="CJ41" s="200">
        <f>(SUMIF(Fonctionnement[Affectation matrice],$AB$3,Fonctionnement[TVA acquittée])+SUMIF(Invest[Affectation matrice],$AB$3,Invest[TVA acquittée]))*BI41</f>
        <v>0</v>
      </c>
      <c r="CK41" s="200">
        <f>(SUMIF(Fonctionnement[Affectation matrice],$AB$3,Fonctionnement[TVA acquittée])+SUMIF(Invest[Affectation matrice],$AB$3,Invest[TVA acquittée]))*BJ41</f>
        <v>0</v>
      </c>
      <c r="CL41" s="200">
        <f>(SUMIF(Fonctionnement[Affectation matrice],$AB$3,Fonctionnement[TVA acquittée])+SUMIF(Invest[Affectation matrice],$AB$3,Invest[TVA acquittée]))*BK41</f>
        <v>0</v>
      </c>
      <c r="CM41" s="200">
        <f>(SUMIF(Fonctionnement[Affectation matrice],$AB$3,Fonctionnement[TVA acquittée])+SUMIF(Invest[Affectation matrice],$AB$3,Invest[TVA acquittée]))*BL41</f>
        <v>0</v>
      </c>
      <c r="CN41" s="200">
        <f>(SUMIF(Fonctionnement[Affectation matrice],$AB$3,Fonctionnement[TVA acquittée])+SUMIF(Invest[Affectation matrice],$AB$3,Invest[TVA acquittée]))*BM41</f>
        <v>0</v>
      </c>
      <c r="CO41" s="200">
        <f>(SUMIF(Fonctionnement[Affectation matrice],$AB$3,Fonctionnement[TVA acquittée])+SUMIF(Invest[Affectation matrice],$AB$3,Invest[TVA acquittée]))*BN41</f>
        <v>0</v>
      </c>
      <c r="CP41" s="200">
        <f>(SUMIF(Fonctionnement[Affectation matrice],$AB$3,Fonctionnement[TVA acquittée])+SUMIF(Invest[Affectation matrice],$AB$3,Invest[TVA acquittée]))*BO41</f>
        <v>0</v>
      </c>
      <c r="CQ41" s="200">
        <f>(SUMIF(Fonctionnement[Affectation matrice],$AB$3,Fonctionnement[TVA acquittée])+SUMIF(Invest[Affectation matrice],$AB$3,Invest[TVA acquittée]))*BP41</f>
        <v>0</v>
      </c>
      <c r="CR41" s="200">
        <f>(SUMIF(Fonctionnement[Affectation matrice],$AB$3,Fonctionnement[TVA acquittée])+SUMIF(Invest[Affectation matrice],$AB$3,Invest[TVA acquittée]))*BQ41</f>
        <v>0</v>
      </c>
      <c r="CS41" s="200">
        <f>(SUMIF(Fonctionnement[Affectation matrice],$AB$3,Fonctionnement[TVA acquittée])+SUMIF(Invest[Affectation matrice],$AB$3,Invest[TVA acquittée]))*BR41</f>
        <v>0</v>
      </c>
      <c r="CT41" s="200">
        <f>(SUMIF(Fonctionnement[Affectation matrice],$AB$3,Fonctionnement[TVA acquittée])+SUMIF(Invest[Affectation matrice],$AB$3,Invest[TVA acquittée]))*BS41</f>
        <v>0</v>
      </c>
      <c r="CU41" s="200">
        <f>(SUMIF(Fonctionnement[Affectation matrice],$AB$3,Fonctionnement[TVA acquittée])+SUMIF(Invest[Affectation matrice],$AB$3,Invest[TVA acquittée]))*BT41</f>
        <v>0</v>
      </c>
      <c r="CV41" s="200">
        <f>(SUMIF(Fonctionnement[Affectation matrice],$AB$3,Fonctionnement[TVA acquittée])+SUMIF(Invest[Affectation matrice],$AB$3,Invest[TVA acquittée]))*BU41</f>
        <v>0</v>
      </c>
      <c r="CW41" s="200">
        <f>(SUMIF(Fonctionnement[Affectation matrice],$AB$3,Fonctionnement[TVA acquittée])+SUMIF(Invest[Affectation matrice],$AB$3,Invest[TVA acquittée]))*BV41</f>
        <v>0</v>
      </c>
      <c r="CX41" s="200">
        <f>(SUMIF(Fonctionnement[Affectation matrice],$AB$3,Fonctionnement[TVA acquittée])+SUMIF(Invest[Affectation matrice],$AB$3,Invest[TVA acquittée]))*BW41</f>
        <v>0</v>
      </c>
      <c r="CY41" s="200">
        <f>(SUMIF(Fonctionnement[Affectation matrice],$AB$3,Fonctionnement[TVA acquittée])+SUMIF(Invest[Affectation matrice],$AB$3,Invest[TVA acquittée]))*BX41</f>
        <v>0</v>
      </c>
      <c r="CZ41" s="200">
        <f>(SUMIF(Fonctionnement[Affectation matrice],$AB$3,Fonctionnement[TVA acquittée])+SUMIF(Invest[Affectation matrice],$AB$3,Invest[TVA acquittée]))*BY41</f>
        <v>0</v>
      </c>
      <c r="DA41" s="200">
        <f>(SUMIF(Fonctionnement[Affectation matrice],$AB$3,Fonctionnement[TVA acquittée])+SUMIF(Invest[Affectation matrice],$AB$3,Invest[TVA acquittée]))*BZ41</f>
        <v>0</v>
      </c>
      <c r="DB41" s="200">
        <f>(SUMIF(Fonctionnement[Affectation matrice],$AB$3,Fonctionnement[TVA acquittée])+SUMIF(Invest[Affectation matrice],$AB$3,Invest[TVA acquittée]))*CA41</f>
        <v>0</v>
      </c>
    </row>
    <row r="42" spans="1:106" s="204" customFormat="1" hidden="1" x14ac:dyDescent="0.25">
      <c r="A42" s="186"/>
      <c r="B42" s="277"/>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02"/>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row>
    <row r="43" spans="1:106" s="204" customFormat="1" ht="12.75" hidden="1" customHeight="1" x14ac:dyDescent="0.25">
      <c r="A43" s="186"/>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02"/>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row>
    <row r="44" spans="1:106" hidden="1" x14ac:dyDescent="0.25">
      <c r="A44" s="42" t="str">
        <f>Matrice[[#This Row],[Ligne de la matrice]]</f>
        <v>Exemple : REG incinération / énergie</v>
      </c>
      <c r="B44" s="276">
        <f>(SUMIF(Fonctionnement[Affectation matrice],$AB$3,Fonctionnement[Montant (€HT)])+SUMIF(Invest[Affectation matrice],$AB$3,Invest[Amortissement HT + intérêts]))*BC44</f>
        <v>0</v>
      </c>
      <c r="C44" s="276">
        <f>(SUMIF(Fonctionnement[Affectation matrice],$AB$3,Fonctionnement[Montant (€HT)])+SUMIF(Invest[Affectation matrice],$AB$3,Invest[Amortissement HT + intérêts]))*BD44</f>
        <v>0</v>
      </c>
      <c r="D44" s="276">
        <f>(SUMIF(Fonctionnement[Affectation matrice],$AB$3,Fonctionnement[Montant (€HT)])+SUMIF(Invest[Affectation matrice],$AB$3,Invest[Amortissement HT + intérêts]))*BE44</f>
        <v>0</v>
      </c>
      <c r="E44" s="276">
        <f>(SUMIF(Fonctionnement[Affectation matrice],$AB$3,Fonctionnement[Montant (€HT)])+SUMIF(Invest[Affectation matrice],$AB$3,Invest[Amortissement HT + intérêts]))*BF44</f>
        <v>0</v>
      </c>
      <c r="F44" s="276">
        <f>(SUMIF(Fonctionnement[Affectation matrice],$AB$3,Fonctionnement[Montant (€HT)])+SUMIF(Invest[Affectation matrice],$AB$3,Invest[Amortissement HT + intérêts]))*BG44</f>
        <v>0</v>
      </c>
      <c r="G44" s="276">
        <f>(SUMIF(Fonctionnement[Affectation matrice],$AB$3,Fonctionnement[Montant (€HT)])+SUMIF(Invest[Affectation matrice],$AB$3,Invest[Amortissement HT + intérêts]))*BH44</f>
        <v>0</v>
      </c>
      <c r="H44" s="276">
        <f>(SUMIF(Fonctionnement[Affectation matrice],$AB$3,Fonctionnement[Montant (€HT)])+SUMIF(Invest[Affectation matrice],$AB$3,Invest[Amortissement HT + intérêts]))*BI44</f>
        <v>0</v>
      </c>
      <c r="I44" s="276">
        <f>(SUMIF(Fonctionnement[Affectation matrice],$AB$3,Fonctionnement[Montant (€HT)])+SUMIF(Invest[Affectation matrice],$AB$3,Invest[Amortissement HT + intérêts]))*BJ44</f>
        <v>0</v>
      </c>
      <c r="J44" s="276">
        <f>(SUMIF(Fonctionnement[Affectation matrice],$AB$3,Fonctionnement[Montant (€HT)])+SUMIF(Invest[Affectation matrice],$AB$3,Invest[Amortissement HT + intérêts]))*BK44</f>
        <v>0</v>
      </c>
      <c r="K44" s="276">
        <f>(SUMIF(Fonctionnement[Affectation matrice],$AB$3,Fonctionnement[Montant (€HT)])+SUMIF(Invest[Affectation matrice],$AB$3,Invest[Amortissement HT + intérêts]))*BL44</f>
        <v>0</v>
      </c>
      <c r="L44" s="276">
        <f>(SUMIF(Fonctionnement[Affectation matrice],$AB$3,Fonctionnement[Montant (€HT)])+SUMIF(Invest[Affectation matrice],$AB$3,Invest[Amortissement HT + intérêts]))*BM44</f>
        <v>0</v>
      </c>
      <c r="M44" s="276">
        <f>(SUMIF(Fonctionnement[Affectation matrice],$AB$3,Fonctionnement[Montant (€HT)])+SUMIF(Invest[Affectation matrice],$AB$3,Invest[Amortissement HT + intérêts]))*BN44</f>
        <v>0</v>
      </c>
      <c r="N44" s="276">
        <f>(SUMIF(Fonctionnement[Affectation matrice],$AB$3,Fonctionnement[Montant (€HT)])+SUMIF(Invest[Affectation matrice],$AB$3,Invest[Amortissement HT + intérêts]))*BO44</f>
        <v>0</v>
      </c>
      <c r="O44" s="276">
        <f>(SUMIF(Fonctionnement[Affectation matrice],$AB$3,Fonctionnement[Montant (€HT)])+SUMIF(Invest[Affectation matrice],$AB$3,Invest[Amortissement HT + intérêts]))*BP44</f>
        <v>0</v>
      </c>
      <c r="P44" s="276">
        <f>(SUMIF(Fonctionnement[Affectation matrice],$AB$3,Fonctionnement[Montant (€HT)])+SUMIF(Invest[Affectation matrice],$AB$3,Invest[Amortissement HT + intérêts]))*BQ44</f>
        <v>0</v>
      </c>
      <c r="Q44" s="276">
        <f>(SUMIF(Fonctionnement[Affectation matrice],$AB$3,Fonctionnement[Montant (€HT)])+SUMIF(Invest[Affectation matrice],$AB$3,Invest[Amortissement HT + intérêts]))*BR44</f>
        <v>0</v>
      </c>
      <c r="R44" s="276">
        <f>(SUMIF(Fonctionnement[Affectation matrice],$AB$3,Fonctionnement[Montant (€HT)])+SUMIF(Invest[Affectation matrice],$AB$3,Invest[Amortissement HT + intérêts]))*BS44</f>
        <v>0</v>
      </c>
      <c r="S44" s="276">
        <f>(SUMIF(Fonctionnement[Affectation matrice],$AB$3,Fonctionnement[Montant (€HT)])+SUMIF(Invest[Affectation matrice],$AB$3,Invest[Amortissement HT + intérêts]))*BT44</f>
        <v>0</v>
      </c>
      <c r="T44" s="276">
        <f>(SUMIF(Fonctionnement[Affectation matrice],$AB$3,Fonctionnement[Montant (€HT)])+SUMIF(Invest[Affectation matrice],$AB$3,Invest[Amortissement HT + intérêts]))*BU44</f>
        <v>0</v>
      </c>
      <c r="U44" s="276">
        <f>(SUMIF(Fonctionnement[Affectation matrice],$AB$3,Fonctionnement[Montant (€HT)])+SUMIF(Invest[Affectation matrice],$AB$3,Invest[Amortissement HT + intérêts]))*BV44</f>
        <v>0</v>
      </c>
      <c r="V44" s="276">
        <f>(SUMIF(Fonctionnement[Affectation matrice],$AB$3,Fonctionnement[Montant (€HT)])+SUMIF(Invest[Affectation matrice],$AB$3,Invest[Amortissement HT + intérêts]))*BW44</f>
        <v>0</v>
      </c>
      <c r="W44" s="276">
        <f>(SUMIF(Fonctionnement[Affectation matrice],$AB$3,Fonctionnement[Montant (€HT)])+SUMIF(Invest[Affectation matrice],$AB$3,Invest[Amortissement HT + intérêts]))*BX44</f>
        <v>0</v>
      </c>
      <c r="X44" s="276">
        <f>(SUMIF(Fonctionnement[Affectation matrice],$AB$3,Fonctionnement[Montant (€HT)])+SUMIF(Invest[Affectation matrice],$AB$3,Invest[Amortissement HT + intérêts]))*BY44</f>
        <v>0</v>
      </c>
      <c r="Y44" s="276">
        <f>(SUMIF(Fonctionnement[Affectation matrice],$AB$3,Fonctionnement[Montant (€HT)])+SUMIF(Invest[Affectation matrice],$AB$3,Invest[Amortissement HT + intérêts]))*BZ44</f>
        <v>0</v>
      </c>
      <c r="Z44" s="276">
        <f>(SUMIF(Fonctionnement[Affectation matrice],$AB$3,Fonctionnement[Montant (€HT)])+SUMIF(Invest[Affectation matrice],$AB$3,Invest[Amortissement HT + intérêts]))*CA44</f>
        <v>0</v>
      </c>
      <c r="AA44" s="199"/>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283">
        <f t="shared" si="4"/>
        <v>0</v>
      </c>
      <c r="BC44" s="61">
        <f t="shared" ref="BC44:BR52" si="12">IF($BA$53=0,0,AB44/$BA$53)</f>
        <v>0</v>
      </c>
      <c r="BD44" s="61">
        <f t="shared" si="12"/>
        <v>0</v>
      </c>
      <c r="BE44" s="61">
        <f t="shared" si="12"/>
        <v>0</v>
      </c>
      <c r="BF44" s="61">
        <f t="shared" si="12"/>
        <v>0</v>
      </c>
      <c r="BG44" s="61">
        <f t="shared" si="12"/>
        <v>0</v>
      </c>
      <c r="BH44" s="61">
        <f t="shared" si="12"/>
        <v>0</v>
      </c>
      <c r="BI44" s="61">
        <f t="shared" si="12"/>
        <v>0</v>
      </c>
      <c r="BJ44" s="61">
        <f t="shared" si="12"/>
        <v>0</v>
      </c>
      <c r="BK44" s="61">
        <f t="shared" si="12"/>
        <v>0</v>
      </c>
      <c r="BL44" s="61">
        <f t="shared" si="12"/>
        <v>0</v>
      </c>
      <c r="BM44" s="61">
        <f t="shared" si="12"/>
        <v>0</v>
      </c>
      <c r="BN44" s="61">
        <f t="shared" si="12"/>
        <v>0</v>
      </c>
      <c r="BO44" s="61">
        <f t="shared" si="12"/>
        <v>0</v>
      </c>
      <c r="BP44" s="61">
        <f t="shared" si="12"/>
        <v>0</v>
      </c>
      <c r="BQ44" s="61">
        <f t="shared" si="12"/>
        <v>0</v>
      </c>
      <c r="BR44" s="61">
        <f t="shared" si="12"/>
        <v>0</v>
      </c>
      <c r="BS44" s="61">
        <f t="shared" ref="BS44:CA52" si="13">IF($BA$53=0,0,AR44/$BA$53)</f>
        <v>0</v>
      </c>
      <c r="BT44" s="61">
        <f t="shared" si="13"/>
        <v>0</v>
      </c>
      <c r="BU44" s="61">
        <f t="shared" si="13"/>
        <v>0</v>
      </c>
      <c r="BV44" s="61">
        <f t="shared" si="13"/>
        <v>0</v>
      </c>
      <c r="BW44" s="61">
        <f t="shared" si="13"/>
        <v>0</v>
      </c>
      <c r="BX44" s="61">
        <f t="shared" si="13"/>
        <v>0</v>
      </c>
      <c r="BY44" s="61">
        <f t="shared" si="13"/>
        <v>0</v>
      </c>
      <c r="BZ44" s="61">
        <f t="shared" si="13"/>
        <v>0</v>
      </c>
      <c r="CA44" s="61">
        <f t="shared" si="13"/>
        <v>0</v>
      </c>
      <c r="CB44" s="61">
        <f t="shared" si="5"/>
        <v>0</v>
      </c>
      <c r="CD44" s="200">
        <f>(SUMIF(Fonctionnement[Affectation matrice],$AB$3,Fonctionnement[TVA acquittée])+SUMIF(Invest[Affectation matrice],$AB$3,Invest[TVA acquittée]))*BC44</f>
        <v>0</v>
      </c>
      <c r="CE44" s="200">
        <f>(SUMIF(Fonctionnement[Affectation matrice],$AB$3,Fonctionnement[TVA acquittée])+SUMIF(Invest[Affectation matrice],$AB$3,Invest[TVA acquittée]))*BD44</f>
        <v>0</v>
      </c>
      <c r="CF44" s="200">
        <f>(SUMIF(Fonctionnement[Affectation matrice],$AB$3,Fonctionnement[TVA acquittée])+SUMIF(Invest[Affectation matrice],$AB$3,Invest[TVA acquittée]))*BE44</f>
        <v>0</v>
      </c>
      <c r="CG44" s="200">
        <f>(SUMIF(Fonctionnement[Affectation matrice],$AB$3,Fonctionnement[TVA acquittée])+SUMIF(Invest[Affectation matrice],$AB$3,Invest[TVA acquittée]))*BF44</f>
        <v>0</v>
      </c>
      <c r="CH44" s="200">
        <f>(SUMIF(Fonctionnement[Affectation matrice],$AB$3,Fonctionnement[TVA acquittée])+SUMIF(Invest[Affectation matrice],$AB$3,Invest[TVA acquittée]))*BG44</f>
        <v>0</v>
      </c>
      <c r="CI44" s="200">
        <f>(SUMIF(Fonctionnement[Affectation matrice],$AB$3,Fonctionnement[TVA acquittée])+SUMIF(Invest[Affectation matrice],$AB$3,Invest[TVA acquittée]))*BH44</f>
        <v>0</v>
      </c>
      <c r="CJ44" s="200">
        <f>(SUMIF(Fonctionnement[Affectation matrice],$AB$3,Fonctionnement[TVA acquittée])+SUMIF(Invest[Affectation matrice],$AB$3,Invest[TVA acquittée]))*BI44</f>
        <v>0</v>
      </c>
      <c r="CK44" s="200">
        <f>(SUMIF(Fonctionnement[Affectation matrice],$AB$3,Fonctionnement[TVA acquittée])+SUMIF(Invest[Affectation matrice],$AB$3,Invest[TVA acquittée]))*BJ44</f>
        <v>0</v>
      </c>
      <c r="CL44" s="200">
        <f>(SUMIF(Fonctionnement[Affectation matrice],$AB$3,Fonctionnement[TVA acquittée])+SUMIF(Invest[Affectation matrice],$AB$3,Invest[TVA acquittée]))*BK44</f>
        <v>0</v>
      </c>
      <c r="CM44" s="200">
        <f>(SUMIF(Fonctionnement[Affectation matrice],$AB$3,Fonctionnement[TVA acquittée])+SUMIF(Invest[Affectation matrice],$AB$3,Invest[TVA acquittée]))*BL44</f>
        <v>0</v>
      </c>
      <c r="CN44" s="200">
        <f>(SUMIF(Fonctionnement[Affectation matrice],$AB$3,Fonctionnement[TVA acquittée])+SUMIF(Invest[Affectation matrice],$AB$3,Invest[TVA acquittée]))*BM44</f>
        <v>0</v>
      </c>
      <c r="CO44" s="200">
        <f>(SUMIF(Fonctionnement[Affectation matrice],$AB$3,Fonctionnement[TVA acquittée])+SUMIF(Invest[Affectation matrice],$AB$3,Invest[TVA acquittée]))*BN44</f>
        <v>0</v>
      </c>
      <c r="CP44" s="200">
        <f>(SUMIF(Fonctionnement[Affectation matrice],$AB$3,Fonctionnement[TVA acquittée])+SUMIF(Invest[Affectation matrice],$AB$3,Invest[TVA acquittée]))*BO44</f>
        <v>0</v>
      </c>
      <c r="CQ44" s="200">
        <f>(SUMIF(Fonctionnement[Affectation matrice],$AB$3,Fonctionnement[TVA acquittée])+SUMIF(Invest[Affectation matrice],$AB$3,Invest[TVA acquittée]))*BP44</f>
        <v>0</v>
      </c>
      <c r="CR44" s="200">
        <f>(SUMIF(Fonctionnement[Affectation matrice],$AB$3,Fonctionnement[TVA acquittée])+SUMIF(Invest[Affectation matrice],$AB$3,Invest[TVA acquittée]))*BQ44</f>
        <v>0</v>
      </c>
      <c r="CS44" s="200">
        <f>(SUMIF(Fonctionnement[Affectation matrice],$AB$3,Fonctionnement[TVA acquittée])+SUMIF(Invest[Affectation matrice],$AB$3,Invest[TVA acquittée]))*BR44</f>
        <v>0</v>
      </c>
      <c r="CT44" s="200">
        <f>(SUMIF(Fonctionnement[Affectation matrice],$AB$3,Fonctionnement[TVA acquittée])+SUMIF(Invest[Affectation matrice],$AB$3,Invest[TVA acquittée]))*BS44</f>
        <v>0</v>
      </c>
      <c r="CU44" s="200">
        <f>(SUMIF(Fonctionnement[Affectation matrice],$AB$3,Fonctionnement[TVA acquittée])+SUMIF(Invest[Affectation matrice],$AB$3,Invest[TVA acquittée]))*BT44</f>
        <v>0</v>
      </c>
      <c r="CV44" s="200">
        <f>(SUMIF(Fonctionnement[Affectation matrice],$AB$3,Fonctionnement[TVA acquittée])+SUMIF(Invest[Affectation matrice],$AB$3,Invest[TVA acquittée]))*BU44</f>
        <v>0</v>
      </c>
      <c r="CW44" s="200">
        <f>(SUMIF(Fonctionnement[Affectation matrice],$AB$3,Fonctionnement[TVA acquittée])+SUMIF(Invest[Affectation matrice],$AB$3,Invest[TVA acquittée]))*BV44</f>
        <v>0</v>
      </c>
      <c r="CX44" s="200">
        <f>(SUMIF(Fonctionnement[Affectation matrice],$AB$3,Fonctionnement[TVA acquittée])+SUMIF(Invest[Affectation matrice],$AB$3,Invest[TVA acquittée]))*BW44</f>
        <v>0</v>
      </c>
      <c r="CY44" s="200">
        <f>(SUMIF(Fonctionnement[Affectation matrice],$AB$3,Fonctionnement[TVA acquittée])+SUMIF(Invest[Affectation matrice],$AB$3,Invest[TVA acquittée]))*BX44</f>
        <v>0</v>
      </c>
      <c r="CZ44" s="200">
        <f>(SUMIF(Fonctionnement[Affectation matrice],$AB$3,Fonctionnement[TVA acquittée])+SUMIF(Invest[Affectation matrice],$AB$3,Invest[TVA acquittée]))*BY44</f>
        <v>0</v>
      </c>
      <c r="DA44" s="200">
        <f>(SUMIF(Fonctionnement[Affectation matrice],$AB$3,Fonctionnement[TVA acquittée])+SUMIF(Invest[Affectation matrice],$AB$3,Invest[TVA acquittée]))*BZ44</f>
        <v>0</v>
      </c>
      <c r="DB44" s="200">
        <f>(SUMIF(Fonctionnement[Affectation matrice],$AB$3,Fonctionnement[TVA acquittée])+SUMIF(Invest[Affectation matrice],$AB$3,Invest[TVA acquittée]))*CA44</f>
        <v>0</v>
      </c>
    </row>
    <row r="45" spans="1:106" hidden="1" x14ac:dyDescent="0.25">
      <c r="A45" s="42">
        <f>Matrice[[#This Row],[Ligne de la matrice]]</f>
        <v>0</v>
      </c>
      <c r="B45" s="276">
        <f>(SUMIF(Fonctionnement[Affectation matrice],$AB$3,Fonctionnement[Montant (€HT)])+SUMIF(Invest[Affectation matrice],$AB$3,Invest[Amortissement HT + intérêts]))*BC45</f>
        <v>0</v>
      </c>
      <c r="C45" s="276">
        <f>(SUMIF(Fonctionnement[Affectation matrice],$AB$3,Fonctionnement[Montant (€HT)])+SUMIF(Invest[Affectation matrice],$AB$3,Invest[Amortissement HT + intérêts]))*BD45</f>
        <v>0</v>
      </c>
      <c r="D45" s="276">
        <f>(SUMIF(Fonctionnement[Affectation matrice],$AB$3,Fonctionnement[Montant (€HT)])+SUMIF(Invest[Affectation matrice],$AB$3,Invest[Amortissement HT + intérêts]))*BE45</f>
        <v>0</v>
      </c>
      <c r="E45" s="276">
        <f>(SUMIF(Fonctionnement[Affectation matrice],$AB$3,Fonctionnement[Montant (€HT)])+SUMIF(Invest[Affectation matrice],$AB$3,Invest[Amortissement HT + intérêts]))*BF45</f>
        <v>0</v>
      </c>
      <c r="F45" s="276">
        <f>(SUMIF(Fonctionnement[Affectation matrice],$AB$3,Fonctionnement[Montant (€HT)])+SUMIF(Invest[Affectation matrice],$AB$3,Invest[Amortissement HT + intérêts]))*BG45</f>
        <v>0</v>
      </c>
      <c r="G45" s="276">
        <f>(SUMIF(Fonctionnement[Affectation matrice],$AB$3,Fonctionnement[Montant (€HT)])+SUMIF(Invest[Affectation matrice],$AB$3,Invest[Amortissement HT + intérêts]))*BH45</f>
        <v>0</v>
      </c>
      <c r="H45" s="276">
        <f>(SUMIF(Fonctionnement[Affectation matrice],$AB$3,Fonctionnement[Montant (€HT)])+SUMIF(Invest[Affectation matrice],$AB$3,Invest[Amortissement HT + intérêts]))*BI45</f>
        <v>0</v>
      </c>
      <c r="I45" s="276">
        <f>(SUMIF(Fonctionnement[Affectation matrice],$AB$3,Fonctionnement[Montant (€HT)])+SUMIF(Invest[Affectation matrice],$AB$3,Invest[Amortissement HT + intérêts]))*BJ45</f>
        <v>0</v>
      </c>
      <c r="J45" s="276">
        <f>(SUMIF(Fonctionnement[Affectation matrice],$AB$3,Fonctionnement[Montant (€HT)])+SUMIF(Invest[Affectation matrice],$AB$3,Invest[Amortissement HT + intérêts]))*BK45</f>
        <v>0</v>
      </c>
      <c r="K45" s="276">
        <f>(SUMIF(Fonctionnement[Affectation matrice],$AB$3,Fonctionnement[Montant (€HT)])+SUMIF(Invest[Affectation matrice],$AB$3,Invest[Amortissement HT + intérêts]))*BL45</f>
        <v>0</v>
      </c>
      <c r="L45" s="276">
        <f>(SUMIF(Fonctionnement[Affectation matrice],$AB$3,Fonctionnement[Montant (€HT)])+SUMIF(Invest[Affectation matrice],$AB$3,Invest[Amortissement HT + intérêts]))*BM45</f>
        <v>0</v>
      </c>
      <c r="M45" s="276">
        <f>(SUMIF(Fonctionnement[Affectation matrice],$AB$3,Fonctionnement[Montant (€HT)])+SUMIF(Invest[Affectation matrice],$AB$3,Invest[Amortissement HT + intérêts]))*BN45</f>
        <v>0</v>
      </c>
      <c r="N45" s="276">
        <f>(SUMIF(Fonctionnement[Affectation matrice],$AB$3,Fonctionnement[Montant (€HT)])+SUMIF(Invest[Affectation matrice],$AB$3,Invest[Amortissement HT + intérêts]))*BO45</f>
        <v>0</v>
      </c>
      <c r="O45" s="276">
        <f>(SUMIF(Fonctionnement[Affectation matrice],$AB$3,Fonctionnement[Montant (€HT)])+SUMIF(Invest[Affectation matrice],$AB$3,Invest[Amortissement HT + intérêts]))*BP45</f>
        <v>0</v>
      </c>
      <c r="P45" s="276">
        <f>(SUMIF(Fonctionnement[Affectation matrice],$AB$3,Fonctionnement[Montant (€HT)])+SUMIF(Invest[Affectation matrice],$AB$3,Invest[Amortissement HT + intérêts]))*BQ45</f>
        <v>0</v>
      </c>
      <c r="Q45" s="276">
        <f>(SUMIF(Fonctionnement[Affectation matrice],$AB$3,Fonctionnement[Montant (€HT)])+SUMIF(Invest[Affectation matrice],$AB$3,Invest[Amortissement HT + intérêts]))*BR45</f>
        <v>0</v>
      </c>
      <c r="R45" s="276">
        <f>(SUMIF(Fonctionnement[Affectation matrice],$AB$3,Fonctionnement[Montant (€HT)])+SUMIF(Invest[Affectation matrice],$AB$3,Invest[Amortissement HT + intérêts]))*BS45</f>
        <v>0</v>
      </c>
      <c r="S45" s="276">
        <f>(SUMIF(Fonctionnement[Affectation matrice],$AB$3,Fonctionnement[Montant (€HT)])+SUMIF(Invest[Affectation matrice],$AB$3,Invest[Amortissement HT + intérêts]))*BT45</f>
        <v>0</v>
      </c>
      <c r="T45" s="276">
        <f>(SUMIF(Fonctionnement[Affectation matrice],$AB$3,Fonctionnement[Montant (€HT)])+SUMIF(Invest[Affectation matrice],$AB$3,Invest[Amortissement HT + intérêts]))*BU45</f>
        <v>0</v>
      </c>
      <c r="U45" s="276">
        <f>(SUMIF(Fonctionnement[Affectation matrice],$AB$3,Fonctionnement[Montant (€HT)])+SUMIF(Invest[Affectation matrice],$AB$3,Invest[Amortissement HT + intérêts]))*BV45</f>
        <v>0</v>
      </c>
      <c r="V45" s="276">
        <f>(SUMIF(Fonctionnement[Affectation matrice],$AB$3,Fonctionnement[Montant (€HT)])+SUMIF(Invest[Affectation matrice],$AB$3,Invest[Amortissement HT + intérêts]))*BW45</f>
        <v>0</v>
      </c>
      <c r="W45" s="276">
        <f>(SUMIF(Fonctionnement[Affectation matrice],$AB$3,Fonctionnement[Montant (€HT)])+SUMIF(Invest[Affectation matrice],$AB$3,Invest[Amortissement HT + intérêts]))*BX45</f>
        <v>0</v>
      </c>
      <c r="X45" s="276">
        <f>(SUMIF(Fonctionnement[Affectation matrice],$AB$3,Fonctionnement[Montant (€HT)])+SUMIF(Invest[Affectation matrice],$AB$3,Invest[Amortissement HT + intérêts]))*BY45</f>
        <v>0</v>
      </c>
      <c r="Y45" s="276">
        <f>(SUMIF(Fonctionnement[Affectation matrice],$AB$3,Fonctionnement[Montant (€HT)])+SUMIF(Invest[Affectation matrice],$AB$3,Invest[Amortissement HT + intérêts]))*BZ45</f>
        <v>0</v>
      </c>
      <c r="Z45" s="276">
        <f>(SUMIF(Fonctionnement[Affectation matrice],$AB$3,Fonctionnement[Montant (€HT)])+SUMIF(Invest[Affectation matrice],$AB$3,Invest[Amortissement HT + intérêts]))*CA45</f>
        <v>0</v>
      </c>
      <c r="AA45" s="199"/>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283">
        <f t="shared" si="4"/>
        <v>0</v>
      </c>
      <c r="BC45" s="61">
        <f t="shared" si="12"/>
        <v>0</v>
      </c>
      <c r="BD45" s="61">
        <f t="shared" si="12"/>
        <v>0</v>
      </c>
      <c r="BE45" s="61">
        <f t="shared" si="12"/>
        <v>0</v>
      </c>
      <c r="BF45" s="61">
        <f t="shared" si="12"/>
        <v>0</v>
      </c>
      <c r="BG45" s="61">
        <f t="shared" si="12"/>
        <v>0</v>
      </c>
      <c r="BH45" s="61">
        <f t="shared" si="12"/>
        <v>0</v>
      </c>
      <c r="BI45" s="61">
        <f t="shared" si="12"/>
        <v>0</v>
      </c>
      <c r="BJ45" s="61">
        <f t="shared" si="12"/>
        <v>0</v>
      </c>
      <c r="BK45" s="61">
        <f t="shared" si="12"/>
        <v>0</v>
      </c>
      <c r="BL45" s="61">
        <f t="shared" si="12"/>
        <v>0</v>
      </c>
      <c r="BM45" s="61">
        <f t="shared" si="12"/>
        <v>0</v>
      </c>
      <c r="BN45" s="61">
        <f t="shared" si="12"/>
        <v>0</v>
      </c>
      <c r="BO45" s="61">
        <f t="shared" si="12"/>
        <v>0</v>
      </c>
      <c r="BP45" s="61">
        <f t="shared" si="12"/>
        <v>0</v>
      </c>
      <c r="BQ45" s="61">
        <f t="shared" si="12"/>
        <v>0</v>
      </c>
      <c r="BR45" s="61">
        <f t="shared" si="12"/>
        <v>0</v>
      </c>
      <c r="BS45" s="61">
        <f t="shared" si="13"/>
        <v>0</v>
      </c>
      <c r="BT45" s="61">
        <f t="shared" si="13"/>
        <v>0</v>
      </c>
      <c r="BU45" s="61">
        <f t="shared" si="13"/>
        <v>0</v>
      </c>
      <c r="BV45" s="61">
        <f t="shared" si="13"/>
        <v>0</v>
      </c>
      <c r="BW45" s="61">
        <f t="shared" si="13"/>
        <v>0</v>
      </c>
      <c r="BX45" s="61">
        <f t="shared" si="13"/>
        <v>0</v>
      </c>
      <c r="BY45" s="61">
        <f t="shared" si="13"/>
        <v>0</v>
      </c>
      <c r="BZ45" s="61">
        <f t="shared" si="13"/>
        <v>0</v>
      </c>
      <c r="CA45" s="61">
        <f t="shared" si="13"/>
        <v>0</v>
      </c>
      <c r="CB45" s="61">
        <f t="shared" si="5"/>
        <v>0</v>
      </c>
      <c r="CD45" s="200">
        <f>(SUMIF(Fonctionnement[Affectation matrice],$AB$3,Fonctionnement[TVA acquittée])+SUMIF(Invest[Affectation matrice],$AB$3,Invest[TVA acquittée]))*BC45</f>
        <v>0</v>
      </c>
      <c r="CE45" s="200">
        <f>(SUMIF(Fonctionnement[Affectation matrice],$AB$3,Fonctionnement[TVA acquittée])+SUMIF(Invest[Affectation matrice],$AB$3,Invest[TVA acquittée]))*BD45</f>
        <v>0</v>
      </c>
      <c r="CF45" s="200">
        <f>(SUMIF(Fonctionnement[Affectation matrice],$AB$3,Fonctionnement[TVA acquittée])+SUMIF(Invest[Affectation matrice],$AB$3,Invest[TVA acquittée]))*BE45</f>
        <v>0</v>
      </c>
      <c r="CG45" s="200">
        <f>(SUMIF(Fonctionnement[Affectation matrice],$AB$3,Fonctionnement[TVA acquittée])+SUMIF(Invest[Affectation matrice],$AB$3,Invest[TVA acquittée]))*BF45</f>
        <v>0</v>
      </c>
      <c r="CH45" s="200">
        <f>(SUMIF(Fonctionnement[Affectation matrice],$AB$3,Fonctionnement[TVA acquittée])+SUMIF(Invest[Affectation matrice],$AB$3,Invest[TVA acquittée]))*BG45</f>
        <v>0</v>
      </c>
      <c r="CI45" s="200">
        <f>(SUMIF(Fonctionnement[Affectation matrice],$AB$3,Fonctionnement[TVA acquittée])+SUMIF(Invest[Affectation matrice],$AB$3,Invest[TVA acquittée]))*BH45</f>
        <v>0</v>
      </c>
      <c r="CJ45" s="200">
        <f>(SUMIF(Fonctionnement[Affectation matrice],$AB$3,Fonctionnement[TVA acquittée])+SUMIF(Invest[Affectation matrice],$AB$3,Invest[TVA acquittée]))*BI45</f>
        <v>0</v>
      </c>
      <c r="CK45" s="200">
        <f>(SUMIF(Fonctionnement[Affectation matrice],$AB$3,Fonctionnement[TVA acquittée])+SUMIF(Invest[Affectation matrice],$AB$3,Invest[TVA acquittée]))*BJ45</f>
        <v>0</v>
      </c>
      <c r="CL45" s="200">
        <f>(SUMIF(Fonctionnement[Affectation matrice],$AB$3,Fonctionnement[TVA acquittée])+SUMIF(Invest[Affectation matrice],$AB$3,Invest[TVA acquittée]))*BK45</f>
        <v>0</v>
      </c>
      <c r="CM45" s="200">
        <f>(SUMIF(Fonctionnement[Affectation matrice],$AB$3,Fonctionnement[TVA acquittée])+SUMIF(Invest[Affectation matrice],$AB$3,Invest[TVA acquittée]))*BL45</f>
        <v>0</v>
      </c>
      <c r="CN45" s="200">
        <f>(SUMIF(Fonctionnement[Affectation matrice],$AB$3,Fonctionnement[TVA acquittée])+SUMIF(Invest[Affectation matrice],$AB$3,Invest[TVA acquittée]))*BM45</f>
        <v>0</v>
      </c>
      <c r="CO45" s="200">
        <f>(SUMIF(Fonctionnement[Affectation matrice],$AB$3,Fonctionnement[TVA acquittée])+SUMIF(Invest[Affectation matrice],$AB$3,Invest[TVA acquittée]))*BN45</f>
        <v>0</v>
      </c>
      <c r="CP45" s="200">
        <f>(SUMIF(Fonctionnement[Affectation matrice],$AB$3,Fonctionnement[TVA acquittée])+SUMIF(Invest[Affectation matrice],$AB$3,Invest[TVA acquittée]))*BO45</f>
        <v>0</v>
      </c>
      <c r="CQ45" s="200">
        <f>(SUMIF(Fonctionnement[Affectation matrice],$AB$3,Fonctionnement[TVA acquittée])+SUMIF(Invest[Affectation matrice],$AB$3,Invest[TVA acquittée]))*BP45</f>
        <v>0</v>
      </c>
      <c r="CR45" s="200">
        <f>(SUMIF(Fonctionnement[Affectation matrice],$AB$3,Fonctionnement[TVA acquittée])+SUMIF(Invest[Affectation matrice],$AB$3,Invest[TVA acquittée]))*BQ45</f>
        <v>0</v>
      </c>
      <c r="CS45" s="200">
        <f>(SUMIF(Fonctionnement[Affectation matrice],$AB$3,Fonctionnement[TVA acquittée])+SUMIF(Invest[Affectation matrice],$AB$3,Invest[TVA acquittée]))*BR45</f>
        <v>0</v>
      </c>
      <c r="CT45" s="200">
        <f>(SUMIF(Fonctionnement[Affectation matrice],$AB$3,Fonctionnement[TVA acquittée])+SUMIF(Invest[Affectation matrice],$AB$3,Invest[TVA acquittée]))*BS45</f>
        <v>0</v>
      </c>
      <c r="CU45" s="200">
        <f>(SUMIF(Fonctionnement[Affectation matrice],$AB$3,Fonctionnement[TVA acquittée])+SUMIF(Invest[Affectation matrice],$AB$3,Invest[TVA acquittée]))*BT45</f>
        <v>0</v>
      </c>
      <c r="CV45" s="200">
        <f>(SUMIF(Fonctionnement[Affectation matrice],$AB$3,Fonctionnement[TVA acquittée])+SUMIF(Invest[Affectation matrice],$AB$3,Invest[TVA acquittée]))*BU45</f>
        <v>0</v>
      </c>
      <c r="CW45" s="200">
        <f>(SUMIF(Fonctionnement[Affectation matrice],$AB$3,Fonctionnement[TVA acquittée])+SUMIF(Invest[Affectation matrice],$AB$3,Invest[TVA acquittée]))*BV45</f>
        <v>0</v>
      </c>
      <c r="CX45" s="200">
        <f>(SUMIF(Fonctionnement[Affectation matrice],$AB$3,Fonctionnement[TVA acquittée])+SUMIF(Invest[Affectation matrice],$AB$3,Invest[TVA acquittée]))*BW45</f>
        <v>0</v>
      </c>
      <c r="CY45" s="200">
        <f>(SUMIF(Fonctionnement[Affectation matrice],$AB$3,Fonctionnement[TVA acquittée])+SUMIF(Invest[Affectation matrice],$AB$3,Invest[TVA acquittée]))*BX45</f>
        <v>0</v>
      </c>
      <c r="CZ45" s="200">
        <f>(SUMIF(Fonctionnement[Affectation matrice],$AB$3,Fonctionnement[TVA acquittée])+SUMIF(Invest[Affectation matrice],$AB$3,Invest[TVA acquittée]))*BY45</f>
        <v>0</v>
      </c>
      <c r="DA45" s="200">
        <f>(SUMIF(Fonctionnement[Affectation matrice],$AB$3,Fonctionnement[TVA acquittée])+SUMIF(Invest[Affectation matrice],$AB$3,Invest[TVA acquittée]))*BZ45</f>
        <v>0</v>
      </c>
      <c r="DB45" s="200">
        <f>(SUMIF(Fonctionnement[Affectation matrice],$AB$3,Fonctionnement[TVA acquittée])+SUMIF(Invest[Affectation matrice],$AB$3,Invest[TVA acquittée]))*CA45</f>
        <v>0</v>
      </c>
    </row>
    <row r="46" spans="1:106" ht="12.75" hidden="1" customHeight="1" x14ac:dyDescent="0.25">
      <c r="A46" s="42">
        <f>Matrice[[#This Row],[Ligne de la matrice]]</f>
        <v>0</v>
      </c>
      <c r="B46" s="276">
        <f>(SUMIF(Fonctionnement[Affectation matrice],$AB$3,Fonctionnement[Montant (€HT)])+SUMIF(Invest[Affectation matrice],$AB$3,Invest[Amortissement HT + intérêts]))*BC46</f>
        <v>0</v>
      </c>
      <c r="C46" s="276">
        <f>(SUMIF(Fonctionnement[Affectation matrice],$AB$3,Fonctionnement[Montant (€HT)])+SUMIF(Invest[Affectation matrice],$AB$3,Invest[Amortissement HT + intérêts]))*BD46</f>
        <v>0</v>
      </c>
      <c r="D46" s="276">
        <f>(SUMIF(Fonctionnement[Affectation matrice],$AB$3,Fonctionnement[Montant (€HT)])+SUMIF(Invest[Affectation matrice],$AB$3,Invest[Amortissement HT + intérêts]))*BE46</f>
        <v>0</v>
      </c>
      <c r="E46" s="276">
        <f>(SUMIF(Fonctionnement[Affectation matrice],$AB$3,Fonctionnement[Montant (€HT)])+SUMIF(Invest[Affectation matrice],$AB$3,Invest[Amortissement HT + intérêts]))*BF46</f>
        <v>0</v>
      </c>
      <c r="F46" s="276">
        <f>(SUMIF(Fonctionnement[Affectation matrice],$AB$3,Fonctionnement[Montant (€HT)])+SUMIF(Invest[Affectation matrice],$AB$3,Invest[Amortissement HT + intérêts]))*BG46</f>
        <v>0</v>
      </c>
      <c r="G46" s="276">
        <f>(SUMIF(Fonctionnement[Affectation matrice],$AB$3,Fonctionnement[Montant (€HT)])+SUMIF(Invest[Affectation matrice],$AB$3,Invest[Amortissement HT + intérêts]))*BH46</f>
        <v>0</v>
      </c>
      <c r="H46" s="276">
        <f>(SUMIF(Fonctionnement[Affectation matrice],$AB$3,Fonctionnement[Montant (€HT)])+SUMIF(Invest[Affectation matrice],$AB$3,Invest[Amortissement HT + intérêts]))*BI46</f>
        <v>0</v>
      </c>
      <c r="I46" s="276">
        <f>(SUMIF(Fonctionnement[Affectation matrice],$AB$3,Fonctionnement[Montant (€HT)])+SUMIF(Invest[Affectation matrice],$AB$3,Invest[Amortissement HT + intérêts]))*BJ46</f>
        <v>0</v>
      </c>
      <c r="J46" s="276">
        <f>(SUMIF(Fonctionnement[Affectation matrice],$AB$3,Fonctionnement[Montant (€HT)])+SUMIF(Invest[Affectation matrice],$AB$3,Invest[Amortissement HT + intérêts]))*BK46</f>
        <v>0</v>
      </c>
      <c r="K46" s="276">
        <f>(SUMIF(Fonctionnement[Affectation matrice],$AB$3,Fonctionnement[Montant (€HT)])+SUMIF(Invest[Affectation matrice],$AB$3,Invest[Amortissement HT + intérêts]))*BL46</f>
        <v>0</v>
      </c>
      <c r="L46" s="276">
        <f>(SUMIF(Fonctionnement[Affectation matrice],$AB$3,Fonctionnement[Montant (€HT)])+SUMIF(Invest[Affectation matrice],$AB$3,Invest[Amortissement HT + intérêts]))*BM46</f>
        <v>0</v>
      </c>
      <c r="M46" s="276">
        <f>(SUMIF(Fonctionnement[Affectation matrice],$AB$3,Fonctionnement[Montant (€HT)])+SUMIF(Invest[Affectation matrice],$AB$3,Invest[Amortissement HT + intérêts]))*BN46</f>
        <v>0</v>
      </c>
      <c r="N46" s="276">
        <f>(SUMIF(Fonctionnement[Affectation matrice],$AB$3,Fonctionnement[Montant (€HT)])+SUMIF(Invest[Affectation matrice],$AB$3,Invest[Amortissement HT + intérêts]))*BO46</f>
        <v>0</v>
      </c>
      <c r="O46" s="276">
        <f>(SUMIF(Fonctionnement[Affectation matrice],$AB$3,Fonctionnement[Montant (€HT)])+SUMIF(Invest[Affectation matrice],$AB$3,Invest[Amortissement HT + intérêts]))*BP46</f>
        <v>0</v>
      </c>
      <c r="P46" s="276">
        <f>(SUMIF(Fonctionnement[Affectation matrice],$AB$3,Fonctionnement[Montant (€HT)])+SUMIF(Invest[Affectation matrice],$AB$3,Invest[Amortissement HT + intérêts]))*BQ46</f>
        <v>0</v>
      </c>
      <c r="Q46" s="276">
        <f>(SUMIF(Fonctionnement[Affectation matrice],$AB$3,Fonctionnement[Montant (€HT)])+SUMIF(Invest[Affectation matrice],$AB$3,Invest[Amortissement HT + intérêts]))*BR46</f>
        <v>0</v>
      </c>
      <c r="R46" s="276">
        <f>(SUMIF(Fonctionnement[Affectation matrice],$AB$3,Fonctionnement[Montant (€HT)])+SUMIF(Invest[Affectation matrice],$AB$3,Invest[Amortissement HT + intérêts]))*BS46</f>
        <v>0</v>
      </c>
      <c r="S46" s="276">
        <f>(SUMIF(Fonctionnement[Affectation matrice],$AB$3,Fonctionnement[Montant (€HT)])+SUMIF(Invest[Affectation matrice],$AB$3,Invest[Amortissement HT + intérêts]))*BT46</f>
        <v>0</v>
      </c>
      <c r="T46" s="276">
        <f>(SUMIF(Fonctionnement[Affectation matrice],$AB$3,Fonctionnement[Montant (€HT)])+SUMIF(Invest[Affectation matrice],$AB$3,Invest[Amortissement HT + intérêts]))*BU46</f>
        <v>0</v>
      </c>
      <c r="U46" s="276">
        <f>(SUMIF(Fonctionnement[Affectation matrice],$AB$3,Fonctionnement[Montant (€HT)])+SUMIF(Invest[Affectation matrice],$AB$3,Invest[Amortissement HT + intérêts]))*BV46</f>
        <v>0</v>
      </c>
      <c r="V46" s="276">
        <f>(SUMIF(Fonctionnement[Affectation matrice],$AB$3,Fonctionnement[Montant (€HT)])+SUMIF(Invest[Affectation matrice],$AB$3,Invest[Amortissement HT + intérêts]))*BW46</f>
        <v>0</v>
      </c>
      <c r="W46" s="276">
        <f>(SUMIF(Fonctionnement[Affectation matrice],$AB$3,Fonctionnement[Montant (€HT)])+SUMIF(Invest[Affectation matrice],$AB$3,Invest[Amortissement HT + intérêts]))*BX46</f>
        <v>0</v>
      </c>
      <c r="X46" s="276">
        <f>(SUMIF(Fonctionnement[Affectation matrice],$AB$3,Fonctionnement[Montant (€HT)])+SUMIF(Invest[Affectation matrice],$AB$3,Invest[Amortissement HT + intérêts]))*BY46</f>
        <v>0</v>
      </c>
      <c r="Y46" s="276">
        <f>(SUMIF(Fonctionnement[Affectation matrice],$AB$3,Fonctionnement[Montant (€HT)])+SUMIF(Invest[Affectation matrice],$AB$3,Invest[Amortissement HT + intérêts]))*BZ46</f>
        <v>0</v>
      </c>
      <c r="Z46" s="276">
        <f>(SUMIF(Fonctionnement[Affectation matrice],$AB$3,Fonctionnement[Montant (€HT)])+SUMIF(Invest[Affectation matrice],$AB$3,Invest[Amortissement HT + intérêts]))*CA46</f>
        <v>0</v>
      </c>
      <c r="AA46" s="199"/>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283">
        <f t="shared" si="4"/>
        <v>0</v>
      </c>
      <c r="BC46" s="61">
        <f t="shared" si="12"/>
        <v>0</v>
      </c>
      <c r="BD46" s="61">
        <f t="shared" si="12"/>
        <v>0</v>
      </c>
      <c r="BE46" s="61">
        <f t="shared" si="12"/>
        <v>0</v>
      </c>
      <c r="BF46" s="61">
        <f t="shared" si="12"/>
        <v>0</v>
      </c>
      <c r="BG46" s="61">
        <f t="shared" si="12"/>
        <v>0</v>
      </c>
      <c r="BH46" s="61">
        <f t="shared" si="12"/>
        <v>0</v>
      </c>
      <c r="BI46" s="61">
        <f t="shared" si="12"/>
        <v>0</v>
      </c>
      <c r="BJ46" s="61">
        <f t="shared" si="12"/>
        <v>0</v>
      </c>
      <c r="BK46" s="61">
        <f t="shared" si="12"/>
        <v>0</v>
      </c>
      <c r="BL46" s="61">
        <f t="shared" si="12"/>
        <v>0</v>
      </c>
      <c r="BM46" s="61">
        <f t="shared" si="12"/>
        <v>0</v>
      </c>
      <c r="BN46" s="61">
        <f t="shared" si="12"/>
        <v>0</v>
      </c>
      <c r="BO46" s="61">
        <f t="shared" si="12"/>
        <v>0</v>
      </c>
      <c r="BP46" s="61">
        <f t="shared" si="12"/>
        <v>0</v>
      </c>
      <c r="BQ46" s="61">
        <f t="shared" si="12"/>
        <v>0</v>
      </c>
      <c r="BR46" s="61">
        <f t="shared" si="12"/>
        <v>0</v>
      </c>
      <c r="BS46" s="61">
        <f t="shared" si="13"/>
        <v>0</v>
      </c>
      <c r="BT46" s="61">
        <f t="shared" si="13"/>
        <v>0</v>
      </c>
      <c r="BU46" s="61">
        <f t="shared" si="13"/>
        <v>0</v>
      </c>
      <c r="BV46" s="61">
        <f t="shared" si="13"/>
        <v>0</v>
      </c>
      <c r="BW46" s="61">
        <f t="shared" si="13"/>
        <v>0</v>
      </c>
      <c r="BX46" s="61">
        <f t="shared" si="13"/>
        <v>0</v>
      </c>
      <c r="BY46" s="61">
        <f t="shared" si="13"/>
        <v>0</v>
      </c>
      <c r="BZ46" s="61">
        <f t="shared" si="13"/>
        <v>0</v>
      </c>
      <c r="CA46" s="61">
        <f t="shared" si="13"/>
        <v>0</v>
      </c>
      <c r="CB46" s="61">
        <f t="shared" si="5"/>
        <v>0</v>
      </c>
      <c r="CD46" s="200">
        <f>(SUMIF(Fonctionnement[Affectation matrice],$AB$3,Fonctionnement[TVA acquittée])+SUMIF(Invest[Affectation matrice],$AB$3,Invest[TVA acquittée]))*BC46</f>
        <v>0</v>
      </c>
      <c r="CE46" s="200">
        <f>(SUMIF(Fonctionnement[Affectation matrice],$AB$3,Fonctionnement[TVA acquittée])+SUMIF(Invest[Affectation matrice],$AB$3,Invest[TVA acquittée]))*BD46</f>
        <v>0</v>
      </c>
      <c r="CF46" s="200">
        <f>(SUMIF(Fonctionnement[Affectation matrice],$AB$3,Fonctionnement[TVA acquittée])+SUMIF(Invest[Affectation matrice],$AB$3,Invest[TVA acquittée]))*BE46</f>
        <v>0</v>
      </c>
      <c r="CG46" s="200">
        <f>(SUMIF(Fonctionnement[Affectation matrice],$AB$3,Fonctionnement[TVA acquittée])+SUMIF(Invest[Affectation matrice],$AB$3,Invest[TVA acquittée]))*BF46</f>
        <v>0</v>
      </c>
      <c r="CH46" s="200">
        <f>(SUMIF(Fonctionnement[Affectation matrice],$AB$3,Fonctionnement[TVA acquittée])+SUMIF(Invest[Affectation matrice],$AB$3,Invest[TVA acquittée]))*BG46</f>
        <v>0</v>
      </c>
      <c r="CI46" s="200">
        <f>(SUMIF(Fonctionnement[Affectation matrice],$AB$3,Fonctionnement[TVA acquittée])+SUMIF(Invest[Affectation matrice],$AB$3,Invest[TVA acquittée]))*BH46</f>
        <v>0</v>
      </c>
      <c r="CJ46" s="200">
        <f>(SUMIF(Fonctionnement[Affectation matrice],$AB$3,Fonctionnement[TVA acquittée])+SUMIF(Invest[Affectation matrice],$AB$3,Invest[TVA acquittée]))*BI46</f>
        <v>0</v>
      </c>
      <c r="CK46" s="200">
        <f>(SUMIF(Fonctionnement[Affectation matrice],$AB$3,Fonctionnement[TVA acquittée])+SUMIF(Invest[Affectation matrice],$AB$3,Invest[TVA acquittée]))*BJ46</f>
        <v>0</v>
      </c>
      <c r="CL46" s="200">
        <f>(SUMIF(Fonctionnement[Affectation matrice],$AB$3,Fonctionnement[TVA acquittée])+SUMIF(Invest[Affectation matrice],$AB$3,Invest[TVA acquittée]))*BK46</f>
        <v>0</v>
      </c>
      <c r="CM46" s="200">
        <f>(SUMIF(Fonctionnement[Affectation matrice],$AB$3,Fonctionnement[TVA acquittée])+SUMIF(Invest[Affectation matrice],$AB$3,Invest[TVA acquittée]))*BL46</f>
        <v>0</v>
      </c>
      <c r="CN46" s="200">
        <f>(SUMIF(Fonctionnement[Affectation matrice],$AB$3,Fonctionnement[TVA acquittée])+SUMIF(Invest[Affectation matrice],$AB$3,Invest[TVA acquittée]))*BM46</f>
        <v>0</v>
      </c>
      <c r="CO46" s="200">
        <f>(SUMIF(Fonctionnement[Affectation matrice],$AB$3,Fonctionnement[TVA acquittée])+SUMIF(Invest[Affectation matrice],$AB$3,Invest[TVA acquittée]))*BN46</f>
        <v>0</v>
      </c>
      <c r="CP46" s="200">
        <f>(SUMIF(Fonctionnement[Affectation matrice],$AB$3,Fonctionnement[TVA acquittée])+SUMIF(Invest[Affectation matrice],$AB$3,Invest[TVA acquittée]))*BO46</f>
        <v>0</v>
      </c>
      <c r="CQ46" s="200">
        <f>(SUMIF(Fonctionnement[Affectation matrice],$AB$3,Fonctionnement[TVA acquittée])+SUMIF(Invest[Affectation matrice],$AB$3,Invest[TVA acquittée]))*BP46</f>
        <v>0</v>
      </c>
      <c r="CR46" s="200">
        <f>(SUMIF(Fonctionnement[Affectation matrice],$AB$3,Fonctionnement[TVA acquittée])+SUMIF(Invest[Affectation matrice],$AB$3,Invest[TVA acquittée]))*BQ46</f>
        <v>0</v>
      </c>
      <c r="CS46" s="200">
        <f>(SUMIF(Fonctionnement[Affectation matrice],$AB$3,Fonctionnement[TVA acquittée])+SUMIF(Invest[Affectation matrice],$AB$3,Invest[TVA acquittée]))*BR46</f>
        <v>0</v>
      </c>
      <c r="CT46" s="200">
        <f>(SUMIF(Fonctionnement[Affectation matrice],$AB$3,Fonctionnement[TVA acquittée])+SUMIF(Invest[Affectation matrice],$AB$3,Invest[TVA acquittée]))*BS46</f>
        <v>0</v>
      </c>
      <c r="CU46" s="200">
        <f>(SUMIF(Fonctionnement[Affectation matrice],$AB$3,Fonctionnement[TVA acquittée])+SUMIF(Invest[Affectation matrice],$AB$3,Invest[TVA acquittée]))*BT46</f>
        <v>0</v>
      </c>
      <c r="CV46" s="200">
        <f>(SUMIF(Fonctionnement[Affectation matrice],$AB$3,Fonctionnement[TVA acquittée])+SUMIF(Invest[Affectation matrice],$AB$3,Invest[TVA acquittée]))*BU46</f>
        <v>0</v>
      </c>
      <c r="CW46" s="200">
        <f>(SUMIF(Fonctionnement[Affectation matrice],$AB$3,Fonctionnement[TVA acquittée])+SUMIF(Invest[Affectation matrice],$AB$3,Invest[TVA acquittée]))*BV46</f>
        <v>0</v>
      </c>
      <c r="CX46" s="200">
        <f>(SUMIF(Fonctionnement[Affectation matrice],$AB$3,Fonctionnement[TVA acquittée])+SUMIF(Invest[Affectation matrice],$AB$3,Invest[TVA acquittée]))*BW46</f>
        <v>0</v>
      </c>
      <c r="CY46" s="200">
        <f>(SUMIF(Fonctionnement[Affectation matrice],$AB$3,Fonctionnement[TVA acquittée])+SUMIF(Invest[Affectation matrice],$AB$3,Invest[TVA acquittée]))*BX46</f>
        <v>0</v>
      </c>
      <c r="CZ46" s="200">
        <f>(SUMIF(Fonctionnement[Affectation matrice],$AB$3,Fonctionnement[TVA acquittée])+SUMIF(Invest[Affectation matrice],$AB$3,Invest[TVA acquittée]))*BY46</f>
        <v>0</v>
      </c>
      <c r="DA46" s="200">
        <f>(SUMIF(Fonctionnement[Affectation matrice],$AB$3,Fonctionnement[TVA acquittée])+SUMIF(Invest[Affectation matrice],$AB$3,Invest[TVA acquittée]))*BZ46</f>
        <v>0</v>
      </c>
      <c r="DB46" s="200">
        <f>(SUMIF(Fonctionnement[Affectation matrice],$AB$3,Fonctionnement[TVA acquittée])+SUMIF(Invest[Affectation matrice],$AB$3,Invest[TVA acquittée]))*CA46</f>
        <v>0</v>
      </c>
    </row>
    <row r="47" spans="1:106" ht="12.75" hidden="1" customHeight="1" x14ac:dyDescent="0.25">
      <c r="A47" s="42">
        <f>Matrice[[#This Row],[Ligne de la matrice]]</f>
        <v>0</v>
      </c>
      <c r="B47" s="276">
        <f>(SUMIF(Fonctionnement[Affectation matrice],$AB$3,Fonctionnement[Montant (€HT)])+SUMIF(Invest[Affectation matrice],$AB$3,Invest[Amortissement HT + intérêts]))*BC47</f>
        <v>0</v>
      </c>
      <c r="C47" s="276">
        <f>(SUMIF(Fonctionnement[Affectation matrice],$AB$3,Fonctionnement[Montant (€HT)])+SUMIF(Invest[Affectation matrice],$AB$3,Invest[Amortissement HT + intérêts]))*BD47</f>
        <v>0</v>
      </c>
      <c r="D47" s="276">
        <f>(SUMIF(Fonctionnement[Affectation matrice],$AB$3,Fonctionnement[Montant (€HT)])+SUMIF(Invest[Affectation matrice],$AB$3,Invest[Amortissement HT + intérêts]))*BE47</f>
        <v>0</v>
      </c>
      <c r="E47" s="276">
        <f>(SUMIF(Fonctionnement[Affectation matrice],$AB$3,Fonctionnement[Montant (€HT)])+SUMIF(Invest[Affectation matrice],$AB$3,Invest[Amortissement HT + intérêts]))*BF47</f>
        <v>0</v>
      </c>
      <c r="F47" s="276">
        <f>(SUMIF(Fonctionnement[Affectation matrice],$AB$3,Fonctionnement[Montant (€HT)])+SUMIF(Invest[Affectation matrice],$AB$3,Invest[Amortissement HT + intérêts]))*BG47</f>
        <v>0</v>
      </c>
      <c r="G47" s="276">
        <f>(SUMIF(Fonctionnement[Affectation matrice],$AB$3,Fonctionnement[Montant (€HT)])+SUMIF(Invest[Affectation matrice],$AB$3,Invest[Amortissement HT + intérêts]))*BH47</f>
        <v>0</v>
      </c>
      <c r="H47" s="276">
        <f>(SUMIF(Fonctionnement[Affectation matrice],$AB$3,Fonctionnement[Montant (€HT)])+SUMIF(Invest[Affectation matrice],$AB$3,Invest[Amortissement HT + intérêts]))*BI47</f>
        <v>0</v>
      </c>
      <c r="I47" s="276">
        <f>(SUMIF(Fonctionnement[Affectation matrice],$AB$3,Fonctionnement[Montant (€HT)])+SUMIF(Invest[Affectation matrice],$AB$3,Invest[Amortissement HT + intérêts]))*BJ47</f>
        <v>0</v>
      </c>
      <c r="J47" s="276">
        <f>(SUMIF(Fonctionnement[Affectation matrice],$AB$3,Fonctionnement[Montant (€HT)])+SUMIF(Invest[Affectation matrice],$AB$3,Invest[Amortissement HT + intérêts]))*BK47</f>
        <v>0</v>
      </c>
      <c r="K47" s="276">
        <f>(SUMIF(Fonctionnement[Affectation matrice],$AB$3,Fonctionnement[Montant (€HT)])+SUMIF(Invest[Affectation matrice],$AB$3,Invest[Amortissement HT + intérêts]))*BL47</f>
        <v>0</v>
      </c>
      <c r="L47" s="276">
        <f>(SUMIF(Fonctionnement[Affectation matrice],$AB$3,Fonctionnement[Montant (€HT)])+SUMIF(Invest[Affectation matrice],$AB$3,Invest[Amortissement HT + intérêts]))*BM47</f>
        <v>0</v>
      </c>
      <c r="M47" s="276">
        <f>(SUMIF(Fonctionnement[Affectation matrice],$AB$3,Fonctionnement[Montant (€HT)])+SUMIF(Invest[Affectation matrice],$AB$3,Invest[Amortissement HT + intérêts]))*BN47</f>
        <v>0</v>
      </c>
      <c r="N47" s="276">
        <f>(SUMIF(Fonctionnement[Affectation matrice],$AB$3,Fonctionnement[Montant (€HT)])+SUMIF(Invest[Affectation matrice],$AB$3,Invest[Amortissement HT + intérêts]))*BO47</f>
        <v>0</v>
      </c>
      <c r="O47" s="276">
        <f>(SUMIF(Fonctionnement[Affectation matrice],$AB$3,Fonctionnement[Montant (€HT)])+SUMIF(Invest[Affectation matrice],$AB$3,Invest[Amortissement HT + intérêts]))*BP47</f>
        <v>0</v>
      </c>
      <c r="P47" s="276">
        <f>(SUMIF(Fonctionnement[Affectation matrice],$AB$3,Fonctionnement[Montant (€HT)])+SUMIF(Invest[Affectation matrice],$AB$3,Invest[Amortissement HT + intérêts]))*BQ47</f>
        <v>0</v>
      </c>
      <c r="Q47" s="276">
        <f>(SUMIF(Fonctionnement[Affectation matrice],$AB$3,Fonctionnement[Montant (€HT)])+SUMIF(Invest[Affectation matrice],$AB$3,Invest[Amortissement HT + intérêts]))*BR47</f>
        <v>0</v>
      </c>
      <c r="R47" s="276">
        <f>(SUMIF(Fonctionnement[Affectation matrice],$AB$3,Fonctionnement[Montant (€HT)])+SUMIF(Invest[Affectation matrice],$AB$3,Invest[Amortissement HT + intérêts]))*BS47</f>
        <v>0</v>
      </c>
      <c r="S47" s="276">
        <f>(SUMIF(Fonctionnement[Affectation matrice],$AB$3,Fonctionnement[Montant (€HT)])+SUMIF(Invest[Affectation matrice],$AB$3,Invest[Amortissement HT + intérêts]))*BT47</f>
        <v>0</v>
      </c>
      <c r="T47" s="276">
        <f>(SUMIF(Fonctionnement[Affectation matrice],$AB$3,Fonctionnement[Montant (€HT)])+SUMIF(Invest[Affectation matrice],$AB$3,Invest[Amortissement HT + intérêts]))*BU47</f>
        <v>0</v>
      </c>
      <c r="U47" s="276">
        <f>(SUMIF(Fonctionnement[Affectation matrice],$AB$3,Fonctionnement[Montant (€HT)])+SUMIF(Invest[Affectation matrice],$AB$3,Invest[Amortissement HT + intérêts]))*BV47</f>
        <v>0</v>
      </c>
      <c r="V47" s="276">
        <f>(SUMIF(Fonctionnement[Affectation matrice],$AB$3,Fonctionnement[Montant (€HT)])+SUMIF(Invest[Affectation matrice],$AB$3,Invest[Amortissement HT + intérêts]))*BW47</f>
        <v>0</v>
      </c>
      <c r="W47" s="276">
        <f>(SUMIF(Fonctionnement[Affectation matrice],$AB$3,Fonctionnement[Montant (€HT)])+SUMIF(Invest[Affectation matrice],$AB$3,Invest[Amortissement HT + intérêts]))*BX47</f>
        <v>0</v>
      </c>
      <c r="X47" s="276">
        <f>(SUMIF(Fonctionnement[Affectation matrice],$AB$3,Fonctionnement[Montant (€HT)])+SUMIF(Invest[Affectation matrice],$AB$3,Invest[Amortissement HT + intérêts]))*BY47</f>
        <v>0</v>
      </c>
      <c r="Y47" s="276">
        <f>(SUMIF(Fonctionnement[Affectation matrice],$AB$3,Fonctionnement[Montant (€HT)])+SUMIF(Invest[Affectation matrice],$AB$3,Invest[Amortissement HT + intérêts]))*BZ47</f>
        <v>0</v>
      </c>
      <c r="Z47" s="276">
        <f>(SUMIF(Fonctionnement[Affectation matrice],$AB$3,Fonctionnement[Montant (€HT)])+SUMIF(Invest[Affectation matrice],$AB$3,Invest[Amortissement HT + intérêts]))*CA47</f>
        <v>0</v>
      </c>
      <c r="AA47" s="199"/>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283">
        <f t="shared" si="4"/>
        <v>0</v>
      </c>
      <c r="BC47" s="61">
        <f t="shared" si="12"/>
        <v>0</v>
      </c>
      <c r="BD47" s="61">
        <f t="shared" si="12"/>
        <v>0</v>
      </c>
      <c r="BE47" s="61">
        <f t="shared" si="12"/>
        <v>0</v>
      </c>
      <c r="BF47" s="61">
        <f t="shared" si="12"/>
        <v>0</v>
      </c>
      <c r="BG47" s="61">
        <f t="shared" si="12"/>
        <v>0</v>
      </c>
      <c r="BH47" s="61">
        <f t="shared" si="12"/>
        <v>0</v>
      </c>
      <c r="BI47" s="61">
        <f t="shared" si="12"/>
        <v>0</v>
      </c>
      <c r="BJ47" s="61">
        <f t="shared" si="12"/>
        <v>0</v>
      </c>
      <c r="BK47" s="61">
        <f t="shared" si="12"/>
        <v>0</v>
      </c>
      <c r="BL47" s="61">
        <f t="shared" si="12"/>
        <v>0</v>
      </c>
      <c r="BM47" s="61">
        <f t="shared" si="12"/>
        <v>0</v>
      </c>
      <c r="BN47" s="61">
        <f t="shared" si="12"/>
        <v>0</v>
      </c>
      <c r="BO47" s="61">
        <f t="shared" si="12"/>
        <v>0</v>
      </c>
      <c r="BP47" s="61">
        <f t="shared" si="12"/>
        <v>0</v>
      </c>
      <c r="BQ47" s="61">
        <f t="shared" si="12"/>
        <v>0</v>
      </c>
      <c r="BR47" s="61">
        <f t="shared" si="12"/>
        <v>0</v>
      </c>
      <c r="BS47" s="61">
        <f t="shared" si="13"/>
        <v>0</v>
      </c>
      <c r="BT47" s="61">
        <f t="shared" si="13"/>
        <v>0</v>
      </c>
      <c r="BU47" s="61">
        <f t="shared" si="13"/>
        <v>0</v>
      </c>
      <c r="BV47" s="61">
        <f t="shared" si="13"/>
        <v>0</v>
      </c>
      <c r="BW47" s="61">
        <f t="shared" si="13"/>
        <v>0</v>
      </c>
      <c r="BX47" s="61">
        <f t="shared" si="13"/>
        <v>0</v>
      </c>
      <c r="BY47" s="61">
        <f t="shared" si="13"/>
        <v>0</v>
      </c>
      <c r="BZ47" s="61">
        <f t="shared" si="13"/>
        <v>0</v>
      </c>
      <c r="CA47" s="61">
        <f t="shared" si="13"/>
        <v>0</v>
      </c>
      <c r="CB47" s="61">
        <f t="shared" si="5"/>
        <v>0</v>
      </c>
      <c r="CD47" s="200">
        <f>(SUMIF(Fonctionnement[Affectation matrice],$AB$3,Fonctionnement[TVA acquittée])+SUMIF(Invest[Affectation matrice],$AB$3,Invest[TVA acquittée]))*BC47</f>
        <v>0</v>
      </c>
      <c r="CE47" s="200">
        <f>(SUMIF(Fonctionnement[Affectation matrice],$AB$3,Fonctionnement[TVA acquittée])+SUMIF(Invest[Affectation matrice],$AB$3,Invest[TVA acquittée]))*BD47</f>
        <v>0</v>
      </c>
      <c r="CF47" s="200">
        <f>(SUMIF(Fonctionnement[Affectation matrice],$AB$3,Fonctionnement[TVA acquittée])+SUMIF(Invest[Affectation matrice],$AB$3,Invest[TVA acquittée]))*BE47</f>
        <v>0</v>
      </c>
      <c r="CG47" s="200">
        <f>(SUMIF(Fonctionnement[Affectation matrice],$AB$3,Fonctionnement[TVA acquittée])+SUMIF(Invest[Affectation matrice],$AB$3,Invest[TVA acquittée]))*BF47</f>
        <v>0</v>
      </c>
      <c r="CH47" s="200">
        <f>(SUMIF(Fonctionnement[Affectation matrice],$AB$3,Fonctionnement[TVA acquittée])+SUMIF(Invest[Affectation matrice],$AB$3,Invest[TVA acquittée]))*BG47</f>
        <v>0</v>
      </c>
      <c r="CI47" s="200">
        <f>(SUMIF(Fonctionnement[Affectation matrice],$AB$3,Fonctionnement[TVA acquittée])+SUMIF(Invest[Affectation matrice],$AB$3,Invest[TVA acquittée]))*BH47</f>
        <v>0</v>
      </c>
      <c r="CJ47" s="200">
        <f>(SUMIF(Fonctionnement[Affectation matrice],$AB$3,Fonctionnement[TVA acquittée])+SUMIF(Invest[Affectation matrice],$AB$3,Invest[TVA acquittée]))*BI47</f>
        <v>0</v>
      </c>
      <c r="CK47" s="200">
        <f>(SUMIF(Fonctionnement[Affectation matrice],$AB$3,Fonctionnement[TVA acquittée])+SUMIF(Invest[Affectation matrice],$AB$3,Invest[TVA acquittée]))*BJ47</f>
        <v>0</v>
      </c>
      <c r="CL47" s="200">
        <f>(SUMIF(Fonctionnement[Affectation matrice],$AB$3,Fonctionnement[TVA acquittée])+SUMIF(Invest[Affectation matrice],$AB$3,Invest[TVA acquittée]))*BK47</f>
        <v>0</v>
      </c>
      <c r="CM47" s="200">
        <f>(SUMIF(Fonctionnement[Affectation matrice],$AB$3,Fonctionnement[TVA acquittée])+SUMIF(Invest[Affectation matrice],$AB$3,Invest[TVA acquittée]))*BL47</f>
        <v>0</v>
      </c>
      <c r="CN47" s="200">
        <f>(SUMIF(Fonctionnement[Affectation matrice],$AB$3,Fonctionnement[TVA acquittée])+SUMIF(Invest[Affectation matrice],$AB$3,Invest[TVA acquittée]))*BM47</f>
        <v>0</v>
      </c>
      <c r="CO47" s="200">
        <f>(SUMIF(Fonctionnement[Affectation matrice],$AB$3,Fonctionnement[TVA acquittée])+SUMIF(Invest[Affectation matrice],$AB$3,Invest[TVA acquittée]))*BN47</f>
        <v>0</v>
      </c>
      <c r="CP47" s="200">
        <f>(SUMIF(Fonctionnement[Affectation matrice],$AB$3,Fonctionnement[TVA acquittée])+SUMIF(Invest[Affectation matrice],$AB$3,Invest[TVA acquittée]))*BO47</f>
        <v>0</v>
      </c>
      <c r="CQ47" s="200">
        <f>(SUMIF(Fonctionnement[Affectation matrice],$AB$3,Fonctionnement[TVA acquittée])+SUMIF(Invest[Affectation matrice],$AB$3,Invest[TVA acquittée]))*BP47</f>
        <v>0</v>
      </c>
      <c r="CR47" s="200">
        <f>(SUMIF(Fonctionnement[Affectation matrice],$AB$3,Fonctionnement[TVA acquittée])+SUMIF(Invest[Affectation matrice],$AB$3,Invest[TVA acquittée]))*BQ47</f>
        <v>0</v>
      </c>
      <c r="CS47" s="200">
        <f>(SUMIF(Fonctionnement[Affectation matrice],$AB$3,Fonctionnement[TVA acquittée])+SUMIF(Invest[Affectation matrice],$AB$3,Invest[TVA acquittée]))*BR47</f>
        <v>0</v>
      </c>
      <c r="CT47" s="200">
        <f>(SUMIF(Fonctionnement[Affectation matrice],$AB$3,Fonctionnement[TVA acquittée])+SUMIF(Invest[Affectation matrice],$AB$3,Invest[TVA acquittée]))*BS47</f>
        <v>0</v>
      </c>
      <c r="CU47" s="200">
        <f>(SUMIF(Fonctionnement[Affectation matrice],$AB$3,Fonctionnement[TVA acquittée])+SUMIF(Invest[Affectation matrice],$AB$3,Invest[TVA acquittée]))*BT47</f>
        <v>0</v>
      </c>
      <c r="CV47" s="200">
        <f>(SUMIF(Fonctionnement[Affectation matrice],$AB$3,Fonctionnement[TVA acquittée])+SUMIF(Invest[Affectation matrice],$AB$3,Invest[TVA acquittée]))*BU47</f>
        <v>0</v>
      </c>
      <c r="CW47" s="200">
        <f>(SUMIF(Fonctionnement[Affectation matrice],$AB$3,Fonctionnement[TVA acquittée])+SUMIF(Invest[Affectation matrice],$AB$3,Invest[TVA acquittée]))*BV47</f>
        <v>0</v>
      </c>
      <c r="CX47" s="200">
        <f>(SUMIF(Fonctionnement[Affectation matrice],$AB$3,Fonctionnement[TVA acquittée])+SUMIF(Invest[Affectation matrice],$AB$3,Invest[TVA acquittée]))*BW47</f>
        <v>0</v>
      </c>
      <c r="CY47" s="200">
        <f>(SUMIF(Fonctionnement[Affectation matrice],$AB$3,Fonctionnement[TVA acquittée])+SUMIF(Invest[Affectation matrice],$AB$3,Invest[TVA acquittée]))*BX47</f>
        <v>0</v>
      </c>
      <c r="CZ47" s="200">
        <f>(SUMIF(Fonctionnement[Affectation matrice],$AB$3,Fonctionnement[TVA acquittée])+SUMIF(Invest[Affectation matrice],$AB$3,Invest[TVA acquittée]))*BY47</f>
        <v>0</v>
      </c>
      <c r="DA47" s="200">
        <f>(SUMIF(Fonctionnement[Affectation matrice],$AB$3,Fonctionnement[TVA acquittée])+SUMIF(Invest[Affectation matrice],$AB$3,Invest[TVA acquittée]))*BZ47</f>
        <v>0</v>
      </c>
      <c r="DB47" s="200">
        <f>(SUMIF(Fonctionnement[Affectation matrice],$AB$3,Fonctionnement[TVA acquittée])+SUMIF(Invest[Affectation matrice],$AB$3,Invest[TVA acquittée]))*CA47</f>
        <v>0</v>
      </c>
    </row>
    <row r="48" spans="1:106" ht="12.75" hidden="1" customHeight="1" x14ac:dyDescent="0.25">
      <c r="A48" s="42">
        <f>Matrice[[#This Row],[Ligne de la matrice]]</f>
        <v>0</v>
      </c>
      <c r="B48" s="276">
        <f>(SUMIF(Fonctionnement[Affectation matrice],$AB$3,Fonctionnement[Montant (€HT)])+SUMIF(Invest[Affectation matrice],$AB$3,Invest[Amortissement HT + intérêts]))*BC48</f>
        <v>0</v>
      </c>
      <c r="C48" s="276">
        <f>(SUMIF(Fonctionnement[Affectation matrice],$AB$3,Fonctionnement[Montant (€HT)])+SUMIF(Invest[Affectation matrice],$AB$3,Invest[Amortissement HT + intérêts]))*BD48</f>
        <v>0</v>
      </c>
      <c r="D48" s="276">
        <f>(SUMIF(Fonctionnement[Affectation matrice],$AB$3,Fonctionnement[Montant (€HT)])+SUMIF(Invest[Affectation matrice],$AB$3,Invest[Amortissement HT + intérêts]))*BE48</f>
        <v>0</v>
      </c>
      <c r="E48" s="276">
        <f>(SUMIF(Fonctionnement[Affectation matrice],$AB$3,Fonctionnement[Montant (€HT)])+SUMIF(Invest[Affectation matrice],$AB$3,Invest[Amortissement HT + intérêts]))*BF48</f>
        <v>0</v>
      </c>
      <c r="F48" s="276">
        <f>(SUMIF(Fonctionnement[Affectation matrice],$AB$3,Fonctionnement[Montant (€HT)])+SUMIF(Invest[Affectation matrice],$AB$3,Invest[Amortissement HT + intérêts]))*BG48</f>
        <v>0</v>
      </c>
      <c r="G48" s="276">
        <f>(SUMIF(Fonctionnement[Affectation matrice],$AB$3,Fonctionnement[Montant (€HT)])+SUMIF(Invest[Affectation matrice],$AB$3,Invest[Amortissement HT + intérêts]))*BH48</f>
        <v>0</v>
      </c>
      <c r="H48" s="276">
        <f>(SUMIF(Fonctionnement[Affectation matrice],$AB$3,Fonctionnement[Montant (€HT)])+SUMIF(Invest[Affectation matrice],$AB$3,Invest[Amortissement HT + intérêts]))*BI48</f>
        <v>0</v>
      </c>
      <c r="I48" s="276">
        <f>(SUMIF(Fonctionnement[Affectation matrice],$AB$3,Fonctionnement[Montant (€HT)])+SUMIF(Invest[Affectation matrice],$AB$3,Invest[Amortissement HT + intérêts]))*BJ48</f>
        <v>0</v>
      </c>
      <c r="J48" s="276">
        <f>(SUMIF(Fonctionnement[Affectation matrice],$AB$3,Fonctionnement[Montant (€HT)])+SUMIF(Invest[Affectation matrice],$AB$3,Invest[Amortissement HT + intérêts]))*BK48</f>
        <v>0</v>
      </c>
      <c r="K48" s="276">
        <f>(SUMIF(Fonctionnement[Affectation matrice],$AB$3,Fonctionnement[Montant (€HT)])+SUMIF(Invest[Affectation matrice],$AB$3,Invest[Amortissement HT + intérêts]))*BL48</f>
        <v>0</v>
      </c>
      <c r="L48" s="276">
        <f>(SUMIF(Fonctionnement[Affectation matrice],$AB$3,Fonctionnement[Montant (€HT)])+SUMIF(Invest[Affectation matrice],$AB$3,Invest[Amortissement HT + intérêts]))*BM48</f>
        <v>0</v>
      </c>
      <c r="M48" s="276">
        <f>(SUMIF(Fonctionnement[Affectation matrice],$AB$3,Fonctionnement[Montant (€HT)])+SUMIF(Invest[Affectation matrice],$AB$3,Invest[Amortissement HT + intérêts]))*BN48</f>
        <v>0</v>
      </c>
      <c r="N48" s="276">
        <f>(SUMIF(Fonctionnement[Affectation matrice],$AB$3,Fonctionnement[Montant (€HT)])+SUMIF(Invest[Affectation matrice],$AB$3,Invest[Amortissement HT + intérêts]))*BO48</f>
        <v>0</v>
      </c>
      <c r="O48" s="276">
        <f>(SUMIF(Fonctionnement[Affectation matrice],$AB$3,Fonctionnement[Montant (€HT)])+SUMIF(Invest[Affectation matrice],$AB$3,Invest[Amortissement HT + intérêts]))*BP48</f>
        <v>0</v>
      </c>
      <c r="P48" s="276">
        <f>(SUMIF(Fonctionnement[Affectation matrice],$AB$3,Fonctionnement[Montant (€HT)])+SUMIF(Invest[Affectation matrice],$AB$3,Invest[Amortissement HT + intérêts]))*BQ48</f>
        <v>0</v>
      </c>
      <c r="Q48" s="276">
        <f>(SUMIF(Fonctionnement[Affectation matrice],$AB$3,Fonctionnement[Montant (€HT)])+SUMIF(Invest[Affectation matrice],$AB$3,Invest[Amortissement HT + intérêts]))*BR48</f>
        <v>0</v>
      </c>
      <c r="R48" s="276">
        <f>(SUMIF(Fonctionnement[Affectation matrice],$AB$3,Fonctionnement[Montant (€HT)])+SUMIF(Invest[Affectation matrice],$AB$3,Invest[Amortissement HT + intérêts]))*BS48</f>
        <v>0</v>
      </c>
      <c r="S48" s="276">
        <f>(SUMIF(Fonctionnement[Affectation matrice],$AB$3,Fonctionnement[Montant (€HT)])+SUMIF(Invest[Affectation matrice],$AB$3,Invest[Amortissement HT + intérêts]))*BT48</f>
        <v>0</v>
      </c>
      <c r="T48" s="276">
        <f>(SUMIF(Fonctionnement[Affectation matrice],$AB$3,Fonctionnement[Montant (€HT)])+SUMIF(Invest[Affectation matrice],$AB$3,Invest[Amortissement HT + intérêts]))*BU48</f>
        <v>0</v>
      </c>
      <c r="U48" s="276">
        <f>(SUMIF(Fonctionnement[Affectation matrice],$AB$3,Fonctionnement[Montant (€HT)])+SUMIF(Invest[Affectation matrice],$AB$3,Invest[Amortissement HT + intérêts]))*BV48</f>
        <v>0</v>
      </c>
      <c r="V48" s="276">
        <f>(SUMIF(Fonctionnement[Affectation matrice],$AB$3,Fonctionnement[Montant (€HT)])+SUMIF(Invest[Affectation matrice],$AB$3,Invest[Amortissement HT + intérêts]))*BW48</f>
        <v>0</v>
      </c>
      <c r="W48" s="276">
        <f>(SUMIF(Fonctionnement[Affectation matrice],$AB$3,Fonctionnement[Montant (€HT)])+SUMIF(Invest[Affectation matrice],$AB$3,Invest[Amortissement HT + intérêts]))*BX48</f>
        <v>0</v>
      </c>
      <c r="X48" s="276">
        <f>(SUMIF(Fonctionnement[Affectation matrice],$AB$3,Fonctionnement[Montant (€HT)])+SUMIF(Invest[Affectation matrice],$AB$3,Invest[Amortissement HT + intérêts]))*BY48</f>
        <v>0</v>
      </c>
      <c r="Y48" s="276">
        <f>(SUMIF(Fonctionnement[Affectation matrice],$AB$3,Fonctionnement[Montant (€HT)])+SUMIF(Invest[Affectation matrice],$AB$3,Invest[Amortissement HT + intérêts]))*BZ48</f>
        <v>0</v>
      </c>
      <c r="Z48" s="276">
        <f>(SUMIF(Fonctionnement[Affectation matrice],$AB$3,Fonctionnement[Montant (€HT)])+SUMIF(Invest[Affectation matrice],$AB$3,Invest[Amortissement HT + intérêts]))*CA48</f>
        <v>0</v>
      </c>
      <c r="AA48" s="199"/>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283">
        <f t="shared" si="4"/>
        <v>0</v>
      </c>
      <c r="BC48" s="61">
        <f t="shared" si="12"/>
        <v>0</v>
      </c>
      <c r="BD48" s="61">
        <f t="shared" si="12"/>
        <v>0</v>
      </c>
      <c r="BE48" s="61">
        <f t="shared" si="12"/>
        <v>0</v>
      </c>
      <c r="BF48" s="61">
        <f t="shared" si="12"/>
        <v>0</v>
      </c>
      <c r="BG48" s="61">
        <f t="shared" si="12"/>
        <v>0</v>
      </c>
      <c r="BH48" s="61">
        <f t="shared" si="12"/>
        <v>0</v>
      </c>
      <c r="BI48" s="61">
        <f t="shared" si="12"/>
        <v>0</v>
      </c>
      <c r="BJ48" s="61">
        <f t="shared" si="12"/>
        <v>0</v>
      </c>
      <c r="BK48" s="61">
        <f t="shared" si="12"/>
        <v>0</v>
      </c>
      <c r="BL48" s="61">
        <f t="shared" si="12"/>
        <v>0</v>
      </c>
      <c r="BM48" s="61">
        <f t="shared" si="12"/>
        <v>0</v>
      </c>
      <c r="BN48" s="61">
        <f t="shared" si="12"/>
        <v>0</v>
      </c>
      <c r="BO48" s="61">
        <f t="shared" si="12"/>
        <v>0</v>
      </c>
      <c r="BP48" s="61">
        <f t="shared" si="12"/>
        <v>0</v>
      </c>
      <c r="BQ48" s="61">
        <f t="shared" si="12"/>
        <v>0</v>
      </c>
      <c r="BR48" s="61">
        <f t="shared" si="12"/>
        <v>0</v>
      </c>
      <c r="BS48" s="61">
        <f t="shared" si="13"/>
        <v>0</v>
      </c>
      <c r="BT48" s="61">
        <f t="shared" si="13"/>
        <v>0</v>
      </c>
      <c r="BU48" s="61">
        <f t="shared" si="13"/>
        <v>0</v>
      </c>
      <c r="BV48" s="61">
        <f t="shared" si="13"/>
        <v>0</v>
      </c>
      <c r="BW48" s="61">
        <f t="shared" si="13"/>
        <v>0</v>
      </c>
      <c r="BX48" s="61">
        <f t="shared" si="13"/>
        <v>0</v>
      </c>
      <c r="BY48" s="61">
        <f t="shared" si="13"/>
        <v>0</v>
      </c>
      <c r="BZ48" s="61">
        <f t="shared" si="13"/>
        <v>0</v>
      </c>
      <c r="CA48" s="61">
        <f t="shared" si="13"/>
        <v>0</v>
      </c>
      <c r="CB48" s="61">
        <f t="shared" si="5"/>
        <v>0</v>
      </c>
      <c r="CD48" s="200">
        <f>(SUMIF(Fonctionnement[Affectation matrice],$AB$3,Fonctionnement[TVA acquittée])+SUMIF(Invest[Affectation matrice],$AB$3,Invest[TVA acquittée]))*BC48</f>
        <v>0</v>
      </c>
      <c r="CE48" s="200">
        <f>(SUMIF(Fonctionnement[Affectation matrice],$AB$3,Fonctionnement[TVA acquittée])+SUMIF(Invest[Affectation matrice],$AB$3,Invest[TVA acquittée]))*BD48</f>
        <v>0</v>
      </c>
      <c r="CF48" s="200">
        <f>(SUMIF(Fonctionnement[Affectation matrice],$AB$3,Fonctionnement[TVA acquittée])+SUMIF(Invest[Affectation matrice],$AB$3,Invest[TVA acquittée]))*BE48</f>
        <v>0</v>
      </c>
      <c r="CG48" s="200">
        <f>(SUMIF(Fonctionnement[Affectation matrice],$AB$3,Fonctionnement[TVA acquittée])+SUMIF(Invest[Affectation matrice],$AB$3,Invest[TVA acquittée]))*BF48</f>
        <v>0</v>
      </c>
      <c r="CH48" s="200">
        <f>(SUMIF(Fonctionnement[Affectation matrice],$AB$3,Fonctionnement[TVA acquittée])+SUMIF(Invest[Affectation matrice],$AB$3,Invest[TVA acquittée]))*BG48</f>
        <v>0</v>
      </c>
      <c r="CI48" s="200">
        <f>(SUMIF(Fonctionnement[Affectation matrice],$AB$3,Fonctionnement[TVA acquittée])+SUMIF(Invest[Affectation matrice],$AB$3,Invest[TVA acquittée]))*BH48</f>
        <v>0</v>
      </c>
      <c r="CJ48" s="200">
        <f>(SUMIF(Fonctionnement[Affectation matrice],$AB$3,Fonctionnement[TVA acquittée])+SUMIF(Invest[Affectation matrice],$AB$3,Invest[TVA acquittée]))*BI48</f>
        <v>0</v>
      </c>
      <c r="CK48" s="200">
        <f>(SUMIF(Fonctionnement[Affectation matrice],$AB$3,Fonctionnement[TVA acquittée])+SUMIF(Invest[Affectation matrice],$AB$3,Invest[TVA acquittée]))*BJ48</f>
        <v>0</v>
      </c>
      <c r="CL48" s="200">
        <f>(SUMIF(Fonctionnement[Affectation matrice],$AB$3,Fonctionnement[TVA acquittée])+SUMIF(Invest[Affectation matrice],$AB$3,Invest[TVA acquittée]))*BK48</f>
        <v>0</v>
      </c>
      <c r="CM48" s="200">
        <f>(SUMIF(Fonctionnement[Affectation matrice],$AB$3,Fonctionnement[TVA acquittée])+SUMIF(Invest[Affectation matrice],$AB$3,Invest[TVA acquittée]))*BL48</f>
        <v>0</v>
      </c>
      <c r="CN48" s="200">
        <f>(SUMIF(Fonctionnement[Affectation matrice],$AB$3,Fonctionnement[TVA acquittée])+SUMIF(Invest[Affectation matrice],$AB$3,Invest[TVA acquittée]))*BM48</f>
        <v>0</v>
      </c>
      <c r="CO48" s="200">
        <f>(SUMIF(Fonctionnement[Affectation matrice],$AB$3,Fonctionnement[TVA acquittée])+SUMIF(Invest[Affectation matrice],$AB$3,Invest[TVA acquittée]))*BN48</f>
        <v>0</v>
      </c>
      <c r="CP48" s="200">
        <f>(SUMIF(Fonctionnement[Affectation matrice],$AB$3,Fonctionnement[TVA acquittée])+SUMIF(Invest[Affectation matrice],$AB$3,Invest[TVA acquittée]))*BO48</f>
        <v>0</v>
      </c>
      <c r="CQ48" s="200">
        <f>(SUMIF(Fonctionnement[Affectation matrice],$AB$3,Fonctionnement[TVA acquittée])+SUMIF(Invest[Affectation matrice],$AB$3,Invest[TVA acquittée]))*BP48</f>
        <v>0</v>
      </c>
      <c r="CR48" s="200">
        <f>(SUMIF(Fonctionnement[Affectation matrice],$AB$3,Fonctionnement[TVA acquittée])+SUMIF(Invest[Affectation matrice],$AB$3,Invest[TVA acquittée]))*BQ48</f>
        <v>0</v>
      </c>
      <c r="CS48" s="200">
        <f>(SUMIF(Fonctionnement[Affectation matrice],$AB$3,Fonctionnement[TVA acquittée])+SUMIF(Invest[Affectation matrice],$AB$3,Invest[TVA acquittée]))*BR48</f>
        <v>0</v>
      </c>
      <c r="CT48" s="200">
        <f>(SUMIF(Fonctionnement[Affectation matrice],$AB$3,Fonctionnement[TVA acquittée])+SUMIF(Invest[Affectation matrice],$AB$3,Invest[TVA acquittée]))*BS48</f>
        <v>0</v>
      </c>
      <c r="CU48" s="200">
        <f>(SUMIF(Fonctionnement[Affectation matrice],$AB$3,Fonctionnement[TVA acquittée])+SUMIF(Invest[Affectation matrice],$AB$3,Invest[TVA acquittée]))*BT48</f>
        <v>0</v>
      </c>
      <c r="CV48" s="200">
        <f>(SUMIF(Fonctionnement[Affectation matrice],$AB$3,Fonctionnement[TVA acquittée])+SUMIF(Invest[Affectation matrice],$AB$3,Invest[TVA acquittée]))*BU48</f>
        <v>0</v>
      </c>
      <c r="CW48" s="200">
        <f>(SUMIF(Fonctionnement[Affectation matrice],$AB$3,Fonctionnement[TVA acquittée])+SUMIF(Invest[Affectation matrice],$AB$3,Invest[TVA acquittée]))*BV48</f>
        <v>0</v>
      </c>
      <c r="CX48" s="200">
        <f>(SUMIF(Fonctionnement[Affectation matrice],$AB$3,Fonctionnement[TVA acquittée])+SUMIF(Invest[Affectation matrice],$AB$3,Invest[TVA acquittée]))*BW48</f>
        <v>0</v>
      </c>
      <c r="CY48" s="200">
        <f>(SUMIF(Fonctionnement[Affectation matrice],$AB$3,Fonctionnement[TVA acquittée])+SUMIF(Invest[Affectation matrice],$AB$3,Invest[TVA acquittée]))*BX48</f>
        <v>0</v>
      </c>
      <c r="CZ48" s="200">
        <f>(SUMIF(Fonctionnement[Affectation matrice],$AB$3,Fonctionnement[TVA acquittée])+SUMIF(Invest[Affectation matrice],$AB$3,Invest[TVA acquittée]))*BY48</f>
        <v>0</v>
      </c>
      <c r="DA48" s="200">
        <f>(SUMIF(Fonctionnement[Affectation matrice],$AB$3,Fonctionnement[TVA acquittée])+SUMIF(Invest[Affectation matrice],$AB$3,Invest[TVA acquittée]))*BZ48</f>
        <v>0</v>
      </c>
      <c r="DB48" s="200">
        <f>(SUMIF(Fonctionnement[Affectation matrice],$AB$3,Fonctionnement[TVA acquittée])+SUMIF(Invest[Affectation matrice],$AB$3,Invest[TVA acquittée]))*CA48</f>
        <v>0</v>
      </c>
    </row>
    <row r="49" spans="1:107" ht="12.75" hidden="1" customHeight="1" x14ac:dyDescent="0.25">
      <c r="A49" s="42">
        <f>Matrice[[#This Row],[Ligne de la matrice]]</f>
        <v>0</v>
      </c>
      <c r="B49" s="276">
        <f>(SUMIF(Fonctionnement[Affectation matrice],$AB$3,Fonctionnement[Montant (€HT)])+SUMIF(Invest[Affectation matrice],$AB$3,Invest[Amortissement HT + intérêts]))*BC49</f>
        <v>0</v>
      </c>
      <c r="C49" s="276">
        <f>(SUMIF(Fonctionnement[Affectation matrice],$AB$3,Fonctionnement[Montant (€HT)])+SUMIF(Invest[Affectation matrice],$AB$3,Invest[Amortissement HT + intérêts]))*BD49</f>
        <v>0</v>
      </c>
      <c r="D49" s="276">
        <f>(SUMIF(Fonctionnement[Affectation matrice],$AB$3,Fonctionnement[Montant (€HT)])+SUMIF(Invest[Affectation matrice],$AB$3,Invest[Amortissement HT + intérêts]))*BE49</f>
        <v>0</v>
      </c>
      <c r="E49" s="276">
        <f>(SUMIF(Fonctionnement[Affectation matrice],$AB$3,Fonctionnement[Montant (€HT)])+SUMIF(Invest[Affectation matrice],$AB$3,Invest[Amortissement HT + intérêts]))*BF49</f>
        <v>0</v>
      </c>
      <c r="F49" s="276">
        <f>(SUMIF(Fonctionnement[Affectation matrice],$AB$3,Fonctionnement[Montant (€HT)])+SUMIF(Invest[Affectation matrice],$AB$3,Invest[Amortissement HT + intérêts]))*BG49</f>
        <v>0</v>
      </c>
      <c r="G49" s="276">
        <f>(SUMIF(Fonctionnement[Affectation matrice],$AB$3,Fonctionnement[Montant (€HT)])+SUMIF(Invest[Affectation matrice],$AB$3,Invest[Amortissement HT + intérêts]))*BH49</f>
        <v>0</v>
      </c>
      <c r="H49" s="276">
        <f>(SUMIF(Fonctionnement[Affectation matrice],$AB$3,Fonctionnement[Montant (€HT)])+SUMIF(Invest[Affectation matrice],$AB$3,Invest[Amortissement HT + intérêts]))*BI49</f>
        <v>0</v>
      </c>
      <c r="I49" s="276">
        <f>(SUMIF(Fonctionnement[Affectation matrice],$AB$3,Fonctionnement[Montant (€HT)])+SUMIF(Invest[Affectation matrice],$AB$3,Invest[Amortissement HT + intérêts]))*BJ49</f>
        <v>0</v>
      </c>
      <c r="J49" s="276">
        <f>(SUMIF(Fonctionnement[Affectation matrice],$AB$3,Fonctionnement[Montant (€HT)])+SUMIF(Invest[Affectation matrice],$AB$3,Invest[Amortissement HT + intérêts]))*BK49</f>
        <v>0</v>
      </c>
      <c r="K49" s="276">
        <f>(SUMIF(Fonctionnement[Affectation matrice],$AB$3,Fonctionnement[Montant (€HT)])+SUMIF(Invest[Affectation matrice],$AB$3,Invest[Amortissement HT + intérêts]))*BL49</f>
        <v>0</v>
      </c>
      <c r="L49" s="276">
        <f>(SUMIF(Fonctionnement[Affectation matrice],$AB$3,Fonctionnement[Montant (€HT)])+SUMIF(Invest[Affectation matrice],$AB$3,Invest[Amortissement HT + intérêts]))*BM49</f>
        <v>0</v>
      </c>
      <c r="M49" s="276">
        <f>(SUMIF(Fonctionnement[Affectation matrice],$AB$3,Fonctionnement[Montant (€HT)])+SUMIF(Invest[Affectation matrice],$AB$3,Invest[Amortissement HT + intérêts]))*BN49</f>
        <v>0</v>
      </c>
      <c r="N49" s="276">
        <f>(SUMIF(Fonctionnement[Affectation matrice],$AB$3,Fonctionnement[Montant (€HT)])+SUMIF(Invest[Affectation matrice],$AB$3,Invest[Amortissement HT + intérêts]))*BO49</f>
        <v>0</v>
      </c>
      <c r="O49" s="276">
        <f>(SUMIF(Fonctionnement[Affectation matrice],$AB$3,Fonctionnement[Montant (€HT)])+SUMIF(Invest[Affectation matrice],$AB$3,Invest[Amortissement HT + intérêts]))*BP49</f>
        <v>0</v>
      </c>
      <c r="P49" s="276">
        <f>(SUMIF(Fonctionnement[Affectation matrice],$AB$3,Fonctionnement[Montant (€HT)])+SUMIF(Invest[Affectation matrice],$AB$3,Invest[Amortissement HT + intérêts]))*BQ49</f>
        <v>0</v>
      </c>
      <c r="Q49" s="276">
        <f>(SUMIF(Fonctionnement[Affectation matrice],$AB$3,Fonctionnement[Montant (€HT)])+SUMIF(Invest[Affectation matrice],$AB$3,Invest[Amortissement HT + intérêts]))*BR49</f>
        <v>0</v>
      </c>
      <c r="R49" s="276">
        <f>(SUMIF(Fonctionnement[Affectation matrice],$AB$3,Fonctionnement[Montant (€HT)])+SUMIF(Invest[Affectation matrice],$AB$3,Invest[Amortissement HT + intérêts]))*BS49</f>
        <v>0</v>
      </c>
      <c r="S49" s="276">
        <f>(SUMIF(Fonctionnement[Affectation matrice],$AB$3,Fonctionnement[Montant (€HT)])+SUMIF(Invest[Affectation matrice],$AB$3,Invest[Amortissement HT + intérêts]))*BT49</f>
        <v>0</v>
      </c>
      <c r="T49" s="276">
        <f>(SUMIF(Fonctionnement[Affectation matrice],$AB$3,Fonctionnement[Montant (€HT)])+SUMIF(Invest[Affectation matrice],$AB$3,Invest[Amortissement HT + intérêts]))*BU49</f>
        <v>0</v>
      </c>
      <c r="U49" s="276">
        <f>(SUMIF(Fonctionnement[Affectation matrice],$AB$3,Fonctionnement[Montant (€HT)])+SUMIF(Invest[Affectation matrice],$AB$3,Invest[Amortissement HT + intérêts]))*BV49</f>
        <v>0</v>
      </c>
      <c r="V49" s="276">
        <f>(SUMIF(Fonctionnement[Affectation matrice],$AB$3,Fonctionnement[Montant (€HT)])+SUMIF(Invest[Affectation matrice],$AB$3,Invest[Amortissement HT + intérêts]))*BW49</f>
        <v>0</v>
      </c>
      <c r="W49" s="276">
        <f>(SUMIF(Fonctionnement[Affectation matrice],$AB$3,Fonctionnement[Montant (€HT)])+SUMIF(Invest[Affectation matrice],$AB$3,Invest[Amortissement HT + intérêts]))*BX49</f>
        <v>0</v>
      </c>
      <c r="X49" s="276">
        <f>(SUMIF(Fonctionnement[Affectation matrice],$AB$3,Fonctionnement[Montant (€HT)])+SUMIF(Invest[Affectation matrice],$AB$3,Invest[Amortissement HT + intérêts]))*BY49</f>
        <v>0</v>
      </c>
      <c r="Y49" s="276">
        <f>(SUMIF(Fonctionnement[Affectation matrice],$AB$3,Fonctionnement[Montant (€HT)])+SUMIF(Invest[Affectation matrice],$AB$3,Invest[Amortissement HT + intérêts]))*BZ49</f>
        <v>0</v>
      </c>
      <c r="Z49" s="276">
        <f>(SUMIF(Fonctionnement[Affectation matrice],$AB$3,Fonctionnement[Montant (€HT)])+SUMIF(Invest[Affectation matrice],$AB$3,Invest[Amortissement HT + intérêts]))*CA49</f>
        <v>0</v>
      </c>
      <c r="AA49" s="199"/>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283">
        <f t="shared" si="4"/>
        <v>0</v>
      </c>
      <c r="BC49" s="61">
        <f t="shared" si="12"/>
        <v>0</v>
      </c>
      <c r="BD49" s="61">
        <f t="shared" si="12"/>
        <v>0</v>
      </c>
      <c r="BE49" s="61">
        <f t="shared" si="12"/>
        <v>0</v>
      </c>
      <c r="BF49" s="61">
        <f t="shared" si="12"/>
        <v>0</v>
      </c>
      <c r="BG49" s="61">
        <f t="shared" si="12"/>
        <v>0</v>
      </c>
      <c r="BH49" s="61">
        <f t="shared" si="12"/>
        <v>0</v>
      </c>
      <c r="BI49" s="61">
        <f t="shared" si="12"/>
        <v>0</v>
      </c>
      <c r="BJ49" s="61">
        <f t="shared" si="12"/>
        <v>0</v>
      </c>
      <c r="BK49" s="61">
        <f t="shared" si="12"/>
        <v>0</v>
      </c>
      <c r="BL49" s="61">
        <f t="shared" si="12"/>
        <v>0</v>
      </c>
      <c r="BM49" s="61">
        <f t="shared" si="12"/>
        <v>0</v>
      </c>
      <c r="BN49" s="61">
        <f t="shared" si="12"/>
        <v>0</v>
      </c>
      <c r="BO49" s="61">
        <f t="shared" si="12"/>
        <v>0</v>
      </c>
      <c r="BP49" s="61">
        <f t="shared" si="12"/>
        <v>0</v>
      </c>
      <c r="BQ49" s="61">
        <f t="shared" si="12"/>
        <v>0</v>
      </c>
      <c r="BR49" s="61">
        <f t="shared" si="12"/>
        <v>0</v>
      </c>
      <c r="BS49" s="61">
        <f t="shared" si="13"/>
        <v>0</v>
      </c>
      <c r="BT49" s="61">
        <f t="shared" si="13"/>
        <v>0</v>
      </c>
      <c r="BU49" s="61">
        <f t="shared" si="13"/>
        <v>0</v>
      </c>
      <c r="BV49" s="61">
        <f t="shared" si="13"/>
        <v>0</v>
      </c>
      <c r="BW49" s="61">
        <f t="shared" si="13"/>
        <v>0</v>
      </c>
      <c r="BX49" s="61">
        <f t="shared" si="13"/>
        <v>0</v>
      </c>
      <c r="BY49" s="61">
        <f t="shared" si="13"/>
        <v>0</v>
      </c>
      <c r="BZ49" s="61">
        <f t="shared" si="13"/>
        <v>0</v>
      </c>
      <c r="CA49" s="61">
        <f t="shared" si="13"/>
        <v>0</v>
      </c>
      <c r="CB49" s="61">
        <f t="shared" si="5"/>
        <v>0</v>
      </c>
      <c r="CD49" s="200">
        <f>(SUMIF(Fonctionnement[Affectation matrice],$AB$3,Fonctionnement[TVA acquittée])+SUMIF(Invest[Affectation matrice],$AB$3,Invest[TVA acquittée]))*BC49</f>
        <v>0</v>
      </c>
      <c r="CE49" s="200">
        <f>(SUMIF(Fonctionnement[Affectation matrice],$AB$3,Fonctionnement[TVA acquittée])+SUMIF(Invest[Affectation matrice],$AB$3,Invest[TVA acquittée]))*BD49</f>
        <v>0</v>
      </c>
      <c r="CF49" s="200">
        <f>(SUMIF(Fonctionnement[Affectation matrice],$AB$3,Fonctionnement[TVA acquittée])+SUMIF(Invest[Affectation matrice],$AB$3,Invest[TVA acquittée]))*BE49</f>
        <v>0</v>
      </c>
      <c r="CG49" s="200">
        <f>(SUMIF(Fonctionnement[Affectation matrice],$AB$3,Fonctionnement[TVA acquittée])+SUMIF(Invest[Affectation matrice],$AB$3,Invest[TVA acquittée]))*BF49</f>
        <v>0</v>
      </c>
      <c r="CH49" s="200">
        <f>(SUMIF(Fonctionnement[Affectation matrice],$AB$3,Fonctionnement[TVA acquittée])+SUMIF(Invest[Affectation matrice],$AB$3,Invest[TVA acquittée]))*BG49</f>
        <v>0</v>
      </c>
      <c r="CI49" s="200">
        <f>(SUMIF(Fonctionnement[Affectation matrice],$AB$3,Fonctionnement[TVA acquittée])+SUMIF(Invest[Affectation matrice],$AB$3,Invest[TVA acquittée]))*BH49</f>
        <v>0</v>
      </c>
      <c r="CJ49" s="200">
        <f>(SUMIF(Fonctionnement[Affectation matrice],$AB$3,Fonctionnement[TVA acquittée])+SUMIF(Invest[Affectation matrice],$AB$3,Invest[TVA acquittée]))*BI49</f>
        <v>0</v>
      </c>
      <c r="CK49" s="200">
        <f>(SUMIF(Fonctionnement[Affectation matrice],$AB$3,Fonctionnement[TVA acquittée])+SUMIF(Invest[Affectation matrice],$AB$3,Invest[TVA acquittée]))*BJ49</f>
        <v>0</v>
      </c>
      <c r="CL49" s="200">
        <f>(SUMIF(Fonctionnement[Affectation matrice],$AB$3,Fonctionnement[TVA acquittée])+SUMIF(Invest[Affectation matrice],$AB$3,Invest[TVA acquittée]))*BK49</f>
        <v>0</v>
      </c>
      <c r="CM49" s="200">
        <f>(SUMIF(Fonctionnement[Affectation matrice],$AB$3,Fonctionnement[TVA acquittée])+SUMIF(Invest[Affectation matrice],$AB$3,Invest[TVA acquittée]))*BL49</f>
        <v>0</v>
      </c>
      <c r="CN49" s="200">
        <f>(SUMIF(Fonctionnement[Affectation matrice],$AB$3,Fonctionnement[TVA acquittée])+SUMIF(Invest[Affectation matrice],$AB$3,Invest[TVA acquittée]))*BM49</f>
        <v>0</v>
      </c>
      <c r="CO49" s="200">
        <f>(SUMIF(Fonctionnement[Affectation matrice],$AB$3,Fonctionnement[TVA acquittée])+SUMIF(Invest[Affectation matrice],$AB$3,Invest[TVA acquittée]))*BN49</f>
        <v>0</v>
      </c>
      <c r="CP49" s="200">
        <f>(SUMIF(Fonctionnement[Affectation matrice],$AB$3,Fonctionnement[TVA acquittée])+SUMIF(Invest[Affectation matrice],$AB$3,Invest[TVA acquittée]))*BO49</f>
        <v>0</v>
      </c>
      <c r="CQ49" s="200">
        <f>(SUMIF(Fonctionnement[Affectation matrice],$AB$3,Fonctionnement[TVA acquittée])+SUMIF(Invest[Affectation matrice],$AB$3,Invest[TVA acquittée]))*BP49</f>
        <v>0</v>
      </c>
      <c r="CR49" s="200">
        <f>(SUMIF(Fonctionnement[Affectation matrice],$AB$3,Fonctionnement[TVA acquittée])+SUMIF(Invest[Affectation matrice],$AB$3,Invest[TVA acquittée]))*BQ49</f>
        <v>0</v>
      </c>
      <c r="CS49" s="200">
        <f>(SUMIF(Fonctionnement[Affectation matrice],$AB$3,Fonctionnement[TVA acquittée])+SUMIF(Invest[Affectation matrice],$AB$3,Invest[TVA acquittée]))*BR49</f>
        <v>0</v>
      </c>
      <c r="CT49" s="200">
        <f>(SUMIF(Fonctionnement[Affectation matrice],$AB$3,Fonctionnement[TVA acquittée])+SUMIF(Invest[Affectation matrice],$AB$3,Invest[TVA acquittée]))*BS49</f>
        <v>0</v>
      </c>
      <c r="CU49" s="200">
        <f>(SUMIF(Fonctionnement[Affectation matrice],$AB$3,Fonctionnement[TVA acquittée])+SUMIF(Invest[Affectation matrice],$AB$3,Invest[TVA acquittée]))*BT49</f>
        <v>0</v>
      </c>
      <c r="CV49" s="200">
        <f>(SUMIF(Fonctionnement[Affectation matrice],$AB$3,Fonctionnement[TVA acquittée])+SUMIF(Invest[Affectation matrice],$AB$3,Invest[TVA acquittée]))*BU49</f>
        <v>0</v>
      </c>
      <c r="CW49" s="200">
        <f>(SUMIF(Fonctionnement[Affectation matrice],$AB$3,Fonctionnement[TVA acquittée])+SUMIF(Invest[Affectation matrice],$AB$3,Invest[TVA acquittée]))*BV49</f>
        <v>0</v>
      </c>
      <c r="CX49" s="200">
        <f>(SUMIF(Fonctionnement[Affectation matrice],$AB$3,Fonctionnement[TVA acquittée])+SUMIF(Invest[Affectation matrice],$AB$3,Invest[TVA acquittée]))*BW49</f>
        <v>0</v>
      </c>
      <c r="CY49" s="200">
        <f>(SUMIF(Fonctionnement[Affectation matrice],$AB$3,Fonctionnement[TVA acquittée])+SUMIF(Invest[Affectation matrice],$AB$3,Invest[TVA acquittée]))*BX49</f>
        <v>0</v>
      </c>
      <c r="CZ49" s="200">
        <f>(SUMIF(Fonctionnement[Affectation matrice],$AB$3,Fonctionnement[TVA acquittée])+SUMIF(Invest[Affectation matrice],$AB$3,Invest[TVA acquittée]))*BY49</f>
        <v>0</v>
      </c>
      <c r="DA49" s="200">
        <f>(SUMIF(Fonctionnement[Affectation matrice],$AB$3,Fonctionnement[TVA acquittée])+SUMIF(Invest[Affectation matrice],$AB$3,Invest[TVA acquittée]))*BZ49</f>
        <v>0</v>
      </c>
      <c r="DB49" s="200">
        <f>(SUMIF(Fonctionnement[Affectation matrice],$AB$3,Fonctionnement[TVA acquittée])+SUMIF(Invest[Affectation matrice],$AB$3,Invest[TVA acquittée]))*CA49</f>
        <v>0</v>
      </c>
    </row>
    <row r="50" spans="1:107" ht="12.75" hidden="1" customHeight="1" x14ac:dyDescent="0.25">
      <c r="A50" s="42">
        <f>Matrice[[#This Row],[Ligne de la matrice]]</f>
        <v>0</v>
      </c>
      <c r="B50" s="276">
        <f>(SUMIF(Fonctionnement[Affectation matrice],$AB$3,Fonctionnement[Montant (€HT)])+SUMIF(Invest[Affectation matrice],$AB$3,Invest[Amortissement HT + intérêts]))*BC50</f>
        <v>0</v>
      </c>
      <c r="C50" s="276">
        <f>(SUMIF(Fonctionnement[Affectation matrice],$AB$3,Fonctionnement[Montant (€HT)])+SUMIF(Invest[Affectation matrice],$AB$3,Invest[Amortissement HT + intérêts]))*BD50</f>
        <v>0</v>
      </c>
      <c r="D50" s="276">
        <f>(SUMIF(Fonctionnement[Affectation matrice],$AB$3,Fonctionnement[Montant (€HT)])+SUMIF(Invest[Affectation matrice],$AB$3,Invest[Amortissement HT + intérêts]))*BE50</f>
        <v>0</v>
      </c>
      <c r="E50" s="276">
        <f>(SUMIF(Fonctionnement[Affectation matrice],$AB$3,Fonctionnement[Montant (€HT)])+SUMIF(Invest[Affectation matrice],$AB$3,Invest[Amortissement HT + intérêts]))*BF50</f>
        <v>0</v>
      </c>
      <c r="F50" s="276">
        <f>(SUMIF(Fonctionnement[Affectation matrice],$AB$3,Fonctionnement[Montant (€HT)])+SUMIF(Invest[Affectation matrice],$AB$3,Invest[Amortissement HT + intérêts]))*BG50</f>
        <v>0</v>
      </c>
      <c r="G50" s="276">
        <f>(SUMIF(Fonctionnement[Affectation matrice],$AB$3,Fonctionnement[Montant (€HT)])+SUMIF(Invest[Affectation matrice],$AB$3,Invest[Amortissement HT + intérêts]))*BH50</f>
        <v>0</v>
      </c>
      <c r="H50" s="276">
        <f>(SUMIF(Fonctionnement[Affectation matrice],$AB$3,Fonctionnement[Montant (€HT)])+SUMIF(Invest[Affectation matrice],$AB$3,Invest[Amortissement HT + intérêts]))*BI50</f>
        <v>0</v>
      </c>
      <c r="I50" s="276">
        <f>(SUMIF(Fonctionnement[Affectation matrice],$AB$3,Fonctionnement[Montant (€HT)])+SUMIF(Invest[Affectation matrice],$AB$3,Invest[Amortissement HT + intérêts]))*BJ50</f>
        <v>0</v>
      </c>
      <c r="J50" s="276">
        <f>(SUMIF(Fonctionnement[Affectation matrice],$AB$3,Fonctionnement[Montant (€HT)])+SUMIF(Invest[Affectation matrice],$AB$3,Invest[Amortissement HT + intérêts]))*BK50</f>
        <v>0</v>
      </c>
      <c r="K50" s="276">
        <f>(SUMIF(Fonctionnement[Affectation matrice],$AB$3,Fonctionnement[Montant (€HT)])+SUMIF(Invest[Affectation matrice],$AB$3,Invest[Amortissement HT + intérêts]))*BL50</f>
        <v>0</v>
      </c>
      <c r="L50" s="276">
        <f>(SUMIF(Fonctionnement[Affectation matrice],$AB$3,Fonctionnement[Montant (€HT)])+SUMIF(Invest[Affectation matrice],$AB$3,Invest[Amortissement HT + intérêts]))*BM50</f>
        <v>0</v>
      </c>
      <c r="M50" s="276">
        <f>(SUMIF(Fonctionnement[Affectation matrice],$AB$3,Fonctionnement[Montant (€HT)])+SUMIF(Invest[Affectation matrice],$AB$3,Invest[Amortissement HT + intérêts]))*BN50</f>
        <v>0</v>
      </c>
      <c r="N50" s="276">
        <f>(SUMIF(Fonctionnement[Affectation matrice],$AB$3,Fonctionnement[Montant (€HT)])+SUMIF(Invest[Affectation matrice],$AB$3,Invest[Amortissement HT + intérêts]))*BO50</f>
        <v>0</v>
      </c>
      <c r="O50" s="276">
        <f>(SUMIF(Fonctionnement[Affectation matrice],$AB$3,Fonctionnement[Montant (€HT)])+SUMIF(Invest[Affectation matrice],$AB$3,Invest[Amortissement HT + intérêts]))*BP50</f>
        <v>0</v>
      </c>
      <c r="P50" s="276">
        <f>(SUMIF(Fonctionnement[Affectation matrice],$AB$3,Fonctionnement[Montant (€HT)])+SUMIF(Invest[Affectation matrice],$AB$3,Invest[Amortissement HT + intérêts]))*BQ50</f>
        <v>0</v>
      </c>
      <c r="Q50" s="276">
        <f>(SUMIF(Fonctionnement[Affectation matrice],$AB$3,Fonctionnement[Montant (€HT)])+SUMIF(Invest[Affectation matrice],$AB$3,Invest[Amortissement HT + intérêts]))*BR50</f>
        <v>0</v>
      </c>
      <c r="R50" s="276">
        <f>(SUMIF(Fonctionnement[Affectation matrice],$AB$3,Fonctionnement[Montant (€HT)])+SUMIF(Invest[Affectation matrice],$AB$3,Invest[Amortissement HT + intérêts]))*BS50</f>
        <v>0</v>
      </c>
      <c r="S50" s="276">
        <f>(SUMIF(Fonctionnement[Affectation matrice],$AB$3,Fonctionnement[Montant (€HT)])+SUMIF(Invest[Affectation matrice],$AB$3,Invest[Amortissement HT + intérêts]))*BT50</f>
        <v>0</v>
      </c>
      <c r="T50" s="276">
        <f>(SUMIF(Fonctionnement[Affectation matrice],$AB$3,Fonctionnement[Montant (€HT)])+SUMIF(Invest[Affectation matrice],$AB$3,Invest[Amortissement HT + intérêts]))*BU50</f>
        <v>0</v>
      </c>
      <c r="U50" s="276">
        <f>(SUMIF(Fonctionnement[Affectation matrice],$AB$3,Fonctionnement[Montant (€HT)])+SUMIF(Invest[Affectation matrice],$AB$3,Invest[Amortissement HT + intérêts]))*BV50</f>
        <v>0</v>
      </c>
      <c r="V50" s="276">
        <f>(SUMIF(Fonctionnement[Affectation matrice],$AB$3,Fonctionnement[Montant (€HT)])+SUMIF(Invest[Affectation matrice],$AB$3,Invest[Amortissement HT + intérêts]))*BW50</f>
        <v>0</v>
      </c>
      <c r="W50" s="276">
        <f>(SUMIF(Fonctionnement[Affectation matrice],$AB$3,Fonctionnement[Montant (€HT)])+SUMIF(Invest[Affectation matrice],$AB$3,Invest[Amortissement HT + intérêts]))*BX50</f>
        <v>0</v>
      </c>
      <c r="X50" s="276">
        <f>(SUMIF(Fonctionnement[Affectation matrice],$AB$3,Fonctionnement[Montant (€HT)])+SUMIF(Invest[Affectation matrice],$AB$3,Invest[Amortissement HT + intérêts]))*BY50</f>
        <v>0</v>
      </c>
      <c r="Y50" s="276">
        <f>(SUMIF(Fonctionnement[Affectation matrice],$AB$3,Fonctionnement[Montant (€HT)])+SUMIF(Invest[Affectation matrice],$AB$3,Invest[Amortissement HT + intérêts]))*BZ50</f>
        <v>0</v>
      </c>
      <c r="Z50" s="276">
        <f>(SUMIF(Fonctionnement[Affectation matrice],$AB$3,Fonctionnement[Montant (€HT)])+SUMIF(Invest[Affectation matrice],$AB$3,Invest[Amortissement HT + intérêts]))*CA50</f>
        <v>0</v>
      </c>
      <c r="AA50" s="199"/>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283">
        <f t="shared" si="4"/>
        <v>0</v>
      </c>
      <c r="BC50" s="61">
        <f t="shared" si="12"/>
        <v>0</v>
      </c>
      <c r="BD50" s="61">
        <f t="shared" si="12"/>
        <v>0</v>
      </c>
      <c r="BE50" s="61">
        <f t="shared" si="12"/>
        <v>0</v>
      </c>
      <c r="BF50" s="61">
        <f t="shared" si="12"/>
        <v>0</v>
      </c>
      <c r="BG50" s="61">
        <f t="shared" si="12"/>
        <v>0</v>
      </c>
      <c r="BH50" s="61">
        <f t="shared" si="12"/>
        <v>0</v>
      </c>
      <c r="BI50" s="61">
        <f t="shared" si="12"/>
        <v>0</v>
      </c>
      <c r="BJ50" s="61">
        <f t="shared" si="12"/>
        <v>0</v>
      </c>
      <c r="BK50" s="61">
        <f t="shared" si="12"/>
        <v>0</v>
      </c>
      <c r="BL50" s="61">
        <f t="shared" si="12"/>
        <v>0</v>
      </c>
      <c r="BM50" s="61">
        <f t="shared" si="12"/>
        <v>0</v>
      </c>
      <c r="BN50" s="61">
        <f t="shared" si="12"/>
        <v>0</v>
      </c>
      <c r="BO50" s="61">
        <f t="shared" si="12"/>
        <v>0</v>
      </c>
      <c r="BP50" s="61">
        <f t="shared" si="12"/>
        <v>0</v>
      </c>
      <c r="BQ50" s="61">
        <f t="shared" si="12"/>
        <v>0</v>
      </c>
      <c r="BR50" s="61">
        <f t="shared" si="12"/>
        <v>0</v>
      </c>
      <c r="BS50" s="61">
        <f t="shared" si="13"/>
        <v>0</v>
      </c>
      <c r="BT50" s="61">
        <f t="shared" si="13"/>
        <v>0</v>
      </c>
      <c r="BU50" s="61">
        <f t="shared" si="13"/>
        <v>0</v>
      </c>
      <c r="BV50" s="61">
        <f t="shared" si="13"/>
        <v>0</v>
      </c>
      <c r="BW50" s="61">
        <f t="shared" si="13"/>
        <v>0</v>
      </c>
      <c r="BX50" s="61">
        <f t="shared" si="13"/>
        <v>0</v>
      </c>
      <c r="BY50" s="61">
        <f t="shared" si="13"/>
        <v>0</v>
      </c>
      <c r="BZ50" s="61">
        <f t="shared" si="13"/>
        <v>0</v>
      </c>
      <c r="CA50" s="61">
        <f t="shared" si="13"/>
        <v>0</v>
      </c>
      <c r="CB50" s="61">
        <f t="shared" si="5"/>
        <v>0</v>
      </c>
      <c r="CD50" s="200">
        <f>(SUMIF(Fonctionnement[Affectation matrice],$AB$3,Fonctionnement[TVA acquittée])+SUMIF(Invest[Affectation matrice],$AB$3,Invest[TVA acquittée]))*BC50</f>
        <v>0</v>
      </c>
      <c r="CE50" s="200">
        <f>(SUMIF(Fonctionnement[Affectation matrice],$AB$3,Fonctionnement[TVA acquittée])+SUMIF(Invest[Affectation matrice],$AB$3,Invest[TVA acquittée]))*BD50</f>
        <v>0</v>
      </c>
      <c r="CF50" s="200">
        <f>(SUMIF(Fonctionnement[Affectation matrice],$AB$3,Fonctionnement[TVA acquittée])+SUMIF(Invest[Affectation matrice],$AB$3,Invest[TVA acquittée]))*BE50</f>
        <v>0</v>
      </c>
      <c r="CG50" s="200">
        <f>(SUMIF(Fonctionnement[Affectation matrice],$AB$3,Fonctionnement[TVA acquittée])+SUMIF(Invest[Affectation matrice],$AB$3,Invest[TVA acquittée]))*BF50</f>
        <v>0</v>
      </c>
      <c r="CH50" s="200">
        <f>(SUMIF(Fonctionnement[Affectation matrice],$AB$3,Fonctionnement[TVA acquittée])+SUMIF(Invest[Affectation matrice],$AB$3,Invest[TVA acquittée]))*BG50</f>
        <v>0</v>
      </c>
      <c r="CI50" s="200">
        <f>(SUMIF(Fonctionnement[Affectation matrice],$AB$3,Fonctionnement[TVA acquittée])+SUMIF(Invest[Affectation matrice],$AB$3,Invest[TVA acquittée]))*BH50</f>
        <v>0</v>
      </c>
      <c r="CJ50" s="200">
        <f>(SUMIF(Fonctionnement[Affectation matrice],$AB$3,Fonctionnement[TVA acquittée])+SUMIF(Invest[Affectation matrice],$AB$3,Invest[TVA acquittée]))*BI50</f>
        <v>0</v>
      </c>
      <c r="CK50" s="200">
        <f>(SUMIF(Fonctionnement[Affectation matrice],$AB$3,Fonctionnement[TVA acquittée])+SUMIF(Invest[Affectation matrice],$AB$3,Invest[TVA acquittée]))*BJ50</f>
        <v>0</v>
      </c>
      <c r="CL50" s="200">
        <f>(SUMIF(Fonctionnement[Affectation matrice],$AB$3,Fonctionnement[TVA acquittée])+SUMIF(Invest[Affectation matrice],$AB$3,Invest[TVA acquittée]))*BK50</f>
        <v>0</v>
      </c>
      <c r="CM50" s="200">
        <f>(SUMIF(Fonctionnement[Affectation matrice],$AB$3,Fonctionnement[TVA acquittée])+SUMIF(Invest[Affectation matrice],$AB$3,Invest[TVA acquittée]))*BL50</f>
        <v>0</v>
      </c>
      <c r="CN50" s="200">
        <f>(SUMIF(Fonctionnement[Affectation matrice],$AB$3,Fonctionnement[TVA acquittée])+SUMIF(Invest[Affectation matrice],$AB$3,Invest[TVA acquittée]))*BM50</f>
        <v>0</v>
      </c>
      <c r="CO50" s="200">
        <f>(SUMIF(Fonctionnement[Affectation matrice],$AB$3,Fonctionnement[TVA acquittée])+SUMIF(Invest[Affectation matrice],$AB$3,Invest[TVA acquittée]))*BN50</f>
        <v>0</v>
      </c>
      <c r="CP50" s="200">
        <f>(SUMIF(Fonctionnement[Affectation matrice],$AB$3,Fonctionnement[TVA acquittée])+SUMIF(Invest[Affectation matrice],$AB$3,Invest[TVA acquittée]))*BO50</f>
        <v>0</v>
      </c>
      <c r="CQ50" s="200">
        <f>(SUMIF(Fonctionnement[Affectation matrice],$AB$3,Fonctionnement[TVA acquittée])+SUMIF(Invest[Affectation matrice],$AB$3,Invest[TVA acquittée]))*BP50</f>
        <v>0</v>
      </c>
      <c r="CR50" s="200">
        <f>(SUMIF(Fonctionnement[Affectation matrice],$AB$3,Fonctionnement[TVA acquittée])+SUMIF(Invest[Affectation matrice],$AB$3,Invest[TVA acquittée]))*BQ50</f>
        <v>0</v>
      </c>
      <c r="CS50" s="200">
        <f>(SUMIF(Fonctionnement[Affectation matrice],$AB$3,Fonctionnement[TVA acquittée])+SUMIF(Invest[Affectation matrice],$AB$3,Invest[TVA acquittée]))*BR50</f>
        <v>0</v>
      </c>
      <c r="CT50" s="200">
        <f>(SUMIF(Fonctionnement[Affectation matrice],$AB$3,Fonctionnement[TVA acquittée])+SUMIF(Invest[Affectation matrice],$AB$3,Invest[TVA acquittée]))*BS50</f>
        <v>0</v>
      </c>
      <c r="CU50" s="200">
        <f>(SUMIF(Fonctionnement[Affectation matrice],$AB$3,Fonctionnement[TVA acquittée])+SUMIF(Invest[Affectation matrice],$AB$3,Invest[TVA acquittée]))*BT50</f>
        <v>0</v>
      </c>
      <c r="CV50" s="200">
        <f>(SUMIF(Fonctionnement[Affectation matrice],$AB$3,Fonctionnement[TVA acquittée])+SUMIF(Invest[Affectation matrice],$AB$3,Invest[TVA acquittée]))*BU50</f>
        <v>0</v>
      </c>
      <c r="CW50" s="200">
        <f>(SUMIF(Fonctionnement[Affectation matrice],$AB$3,Fonctionnement[TVA acquittée])+SUMIF(Invest[Affectation matrice],$AB$3,Invest[TVA acquittée]))*BV50</f>
        <v>0</v>
      </c>
      <c r="CX50" s="200">
        <f>(SUMIF(Fonctionnement[Affectation matrice],$AB$3,Fonctionnement[TVA acquittée])+SUMIF(Invest[Affectation matrice],$AB$3,Invest[TVA acquittée]))*BW50</f>
        <v>0</v>
      </c>
      <c r="CY50" s="200">
        <f>(SUMIF(Fonctionnement[Affectation matrice],$AB$3,Fonctionnement[TVA acquittée])+SUMIF(Invest[Affectation matrice],$AB$3,Invest[TVA acquittée]))*BX50</f>
        <v>0</v>
      </c>
      <c r="CZ50" s="200">
        <f>(SUMIF(Fonctionnement[Affectation matrice],$AB$3,Fonctionnement[TVA acquittée])+SUMIF(Invest[Affectation matrice],$AB$3,Invest[TVA acquittée]))*BY50</f>
        <v>0</v>
      </c>
      <c r="DA50" s="200">
        <f>(SUMIF(Fonctionnement[Affectation matrice],$AB$3,Fonctionnement[TVA acquittée])+SUMIF(Invest[Affectation matrice],$AB$3,Invest[TVA acquittée]))*BZ50</f>
        <v>0</v>
      </c>
      <c r="DB50" s="200">
        <f>(SUMIF(Fonctionnement[Affectation matrice],$AB$3,Fonctionnement[TVA acquittée])+SUMIF(Invest[Affectation matrice],$AB$3,Invest[TVA acquittée]))*CA50</f>
        <v>0</v>
      </c>
    </row>
    <row r="51" spans="1:107" ht="12.75" hidden="1" customHeight="1" x14ac:dyDescent="0.25">
      <c r="A51" s="42">
        <f>Matrice[[#This Row],[Ligne de la matrice]]</f>
        <v>0</v>
      </c>
      <c r="B51" s="276">
        <f>(SUMIF(Fonctionnement[Affectation matrice],$AB$3,Fonctionnement[Montant (€HT)])+SUMIF(Invest[Affectation matrice],$AB$3,Invest[Amortissement HT + intérêts]))*BC51</f>
        <v>0</v>
      </c>
      <c r="C51" s="276">
        <f>(SUMIF(Fonctionnement[Affectation matrice],$AB$3,Fonctionnement[Montant (€HT)])+SUMIF(Invest[Affectation matrice],$AB$3,Invest[Amortissement HT + intérêts]))*BD51</f>
        <v>0</v>
      </c>
      <c r="D51" s="276">
        <f>(SUMIF(Fonctionnement[Affectation matrice],$AB$3,Fonctionnement[Montant (€HT)])+SUMIF(Invest[Affectation matrice],$AB$3,Invest[Amortissement HT + intérêts]))*BE51</f>
        <v>0</v>
      </c>
      <c r="E51" s="276">
        <f>(SUMIF(Fonctionnement[Affectation matrice],$AB$3,Fonctionnement[Montant (€HT)])+SUMIF(Invest[Affectation matrice],$AB$3,Invest[Amortissement HT + intérêts]))*BF51</f>
        <v>0</v>
      </c>
      <c r="F51" s="276">
        <f>(SUMIF(Fonctionnement[Affectation matrice],$AB$3,Fonctionnement[Montant (€HT)])+SUMIF(Invest[Affectation matrice],$AB$3,Invest[Amortissement HT + intérêts]))*BG51</f>
        <v>0</v>
      </c>
      <c r="G51" s="276">
        <f>(SUMIF(Fonctionnement[Affectation matrice],$AB$3,Fonctionnement[Montant (€HT)])+SUMIF(Invest[Affectation matrice],$AB$3,Invest[Amortissement HT + intérêts]))*BH51</f>
        <v>0</v>
      </c>
      <c r="H51" s="276">
        <f>(SUMIF(Fonctionnement[Affectation matrice],$AB$3,Fonctionnement[Montant (€HT)])+SUMIF(Invest[Affectation matrice],$AB$3,Invest[Amortissement HT + intérêts]))*BI51</f>
        <v>0</v>
      </c>
      <c r="I51" s="276">
        <f>(SUMIF(Fonctionnement[Affectation matrice],$AB$3,Fonctionnement[Montant (€HT)])+SUMIF(Invest[Affectation matrice],$AB$3,Invest[Amortissement HT + intérêts]))*BJ51</f>
        <v>0</v>
      </c>
      <c r="J51" s="276">
        <f>(SUMIF(Fonctionnement[Affectation matrice],$AB$3,Fonctionnement[Montant (€HT)])+SUMIF(Invest[Affectation matrice],$AB$3,Invest[Amortissement HT + intérêts]))*BK51</f>
        <v>0</v>
      </c>
      <c r="K51" s="276">
        <f>(SUMIF(Fonctionnement[Affectation matrice],$AB$3,Fonctionnement[Montant (€HT)])+SUMIF(Invest[Affectation matrice],$AB$3,Invest[Amortissement HT + intérêts]))*BL51</f>
        <v>0</v>
      </c>
      <c r="L51" s="276">
        <f>(SUMIF(Fonctionnement[Affectation matrice],$AB$3,Fonctionnement[Montant (€HT)])+SUMIF(Invest[Affectation matrice],$AB$3,Invest[Amortissement HT + intérêts]))*BM51</f>
        <v>0</v>
      </c>
      <c r="M51" s="276">
        <f>(SUMIF(Fonctionnement[Affectation matrice],$AB$3,Fonctionnement[Montant (€HT)])+SUMIF(Invest[Affectation matrice],$AB$3,Invest[Amortissement HT + intérêts]))*BN51</f>
        <v>0</v>
      </c>
      <c r="N51" s="276">
        <f>(SUMIF(Fonctionnement[Affectation matrice],$AB$3,Fonctionnement[Montant (€HT)])+SUMIF(Invest[Affectation matrice],$AB$3,Invest[Amortissement HT + intérêts]))*BO51</f>
        <v>0</v>
      </c>
      <c r="O51" s="276">
        <f>(SUMIF(Fonctionnement[Affectation matrice],$AB$3,Fonctionnement[Montant (€HT)])+SUMIF(Invest[Affectation matrice],$AB$3,Invest[Amortissement HT + intérêts]))*BP51</f>
        <v>0</v>
      </c>
      <c r="P51" s="276">
        <f>(SUMIF(Fonctionnement[Affectation matrice],$AB$3,Fonctionnement[Montant (€HT)])+SUMIF(Invest[Affectation matrice],$AB$3,Invest[Amortissement HT + intérêts]))*BQ51</f>
        <v>0</v>
      </c>
      <c r="Q51" s="276">
        <f>(SUMIF(Fonctionnement[Affectation matrice],$AB$3,Fonctionnement[Montant (€HT)])+SUMIF(Invest[Affectation matrice],$AB$3,Invest[Amortissement HT + intérêts]))*BR51</f>
        <v>0</v>
      </c>
      <c r="R51" s="276">
        <f>(SUMIF(Fonctionnement[Affectation matrice],$AB$3,Fonctionnement[Montant (€HT)])+SUMIF(Invest[Affectation matrice],$AB$3,Invest[Amortissement HT + intérêts]))*BS51</f>
        <v>0</v>
      </c>
      <c r="S51" s="276">
        <f>(SUMIF(Fonctionnement[Affectation matrice],$AB$3,Fonctionnement[Montant (€HT)])+SUMIF(Invest[Affectation matrice],$AB$3,Invest[Amortissement HT + intérêts]))*BT51</f>
        <v>0</v>
      </c>
      <c r="T51" s="276">
        <f>(SUMIF(Fonctionnement[Affectation matrice],$AB$3,Fonctionnement[Montant (€HT)])+SUMIF(Invest[Affectation matrice],$AB$3,Invest[Amortissement HT + intérêts]))*BU51</f>
        <v>0</v>
      </c>
      <c r="U51" s="276">
        <f>(SUMIF(Fonctionnement[Affectation matrice],$AB$3,Fonctionnement[Montant (€HT)])+SUMIF(Invest[Affectation matrice],$AB$3,Invest[Amortissement HT + intérêts]))*BV51</f>
        <v>0</v>
      </c>
      <c r="V51" s="276">
        <f>(SUMIF(Fonctionnement[Affectation matrice],$AB$3,Fonctionnement[Montant (€HT)])+SUMIF(Invest[Affectation matrice],$AB$3,Invest[Amortissement HT + intérêts]))*BW51</f>
        <v>0</v>
      </c>
      <c r="W51" s="276">
        <f>(SUMIF(Fonctionnement[Affectation matrice],$AB$3,Fonctionnement[Montant (€HT)])+SUMIF(Invest[Affectation matrice],$AB$3,Invest[Amortissement HT + intérêts]))*BX51</f>
        <v>0</v>
      </c>
      <c r="X51" s="276">
        <f>(SUMIF(Fonctionnement[Affectation matrice],$AB$3,Fonctionnement[Montant (€HT)])+SUMIF(Invest[Affectation matrice],$AB$3,Invest[Amortissement HT + intérêts]))*BY51</f>
        <v>0</v>
      </c>
      <c r="Y51" s="276">
        <f>(SUMIF(Fonctionnement[Affectation matrice],$AB$3,Fonctionnement[Montant (€HT)])+SUMIF(Invest[Affectation matrice],$AB$3,Invest[Amortissement HT + intérêts]))*BZ51</f>
        <v>0</v>
      </c>
      <c r="Z51" s="276">
        <f>(SUMIF(Fonctionnement[Affectation matrice],$AB$3,Fonctionnement[Montant (€HT)])+SUMIF(Invest[Affectation matrice],$AB$3,Invest[Amortissement HT + intérêts]))*CA51</f>
        <v>0</v>
      </c>
      <c r="AA51" s="199"/>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283">
        <f t="shared" si="4"/>
        <v>0</v>
      </c>
      <c r="BC51" s="61">
        <f t="shared" si="12"/>
        <v>0</v>
      </c>
      <c r="BD51" s="61">
        <f t="shared" si="12"/>
        <v>0</v>
      </c>
      <c r="BE51" s="61">
        <f t="shared" si="12"/>
        <v>0</v>
      </c>
      <c r="BF51" s="61">
        <f t="shared" si="12"/>
        <v>0</v>
      </c>
      <c r="BG51" s="61">
        <f t="shared" si="12"/>
        <v>0</v>
      </c>
      <c r="BH51" s="61">
        <f t="shared" si="12"/>
        <v>0</v>
      </c>
      <c r="BI51" s="61">
        <f t="shared" si="12"/>
        <v>0</v>
      </c>
      <c r="BJ51" s="61">
        <f t="shared" si="12"/>
        <v>0</v>
      </c>
      <c r="BK51" s="61">
        <f t="shared" si="12"/>
        <v>0</v>
      </c>
      <c r="BL51" s="61">
        <f t="shared" si="12"/>
        <v>0</v>
      </c>
      <c r="BM51" s="61">
        <f t="shared" si="12"/>
        <v>0</v>
      </c>
      <c r="BN51" s="61">
        <f t="shared" si="12"/>
        <v>0</v>
      </c>
      <c r="BO51" s="61">
        <f t="shared" si="12"/>
        <v>0</v>
      </c>
      <c r="BP51" s="61">
        <f t="shared" si="12"/>
        <v>0</v>
      </c>
      <c r="BQ51" s="61">
        <f t="shared" si="12"/>
        <v>0</v>
      </c>
      <c r="BR51" s="61">
        <f t="shared" si="12"/>
        <v>0</v>
      </c>
      <c r="BS51" s="61">
        <f t="shared" si="13"/>
        <v>0</v>
      </c>
      <c r="BT51" s="61">
        <f t="shared" si="13"/>
        <v>0</v>
      </c>
      <c r="BU51" s="61">
        <f t="shared" si="13"/>
        <v>0</v>
      </c>
      <c r="BV51" s="61">
        <f t="shared" si="13"/>
        <v>0</v>
      </c>
      <c r="BW51" s="61">
        <f t="shared" si="13"/>
        <v>0</v>
      </c>
      <c r="BX51" s="61">
        <f t="shared" si="13"/>
        <v>0</v>
      </c>
      <c r="BY51" s="61">
        <f t="shared" si="13"/>
        <v>0</v>
      </c>
      <c r="BZ51" s="61">
        <f t="shared" si="13"/>
        <v>0</v>
      </c>
      <c r="CA51" s="61">
        <f t="shared" si="13"/>
        <v>0</v>
      </c>
      <c r="CB51" s="61">
        <f t="shared" si="5"/>
        <v>0</v>
      </c>
      <c r="CD51" s="200">
        <f>(SUMIF(Fonctionnement[Affectation matrice],$AB$3,Fonctionnement[TVA acquittée])+SUMIF(Invest[Affectation matrice],$AB$3,Invest[TVA acquittée]))*BC51</f>
        <v>0</v>
      </c>
      <c r="CE51" s="200">
        <f>(SUMIF(Fonctionnement[Affectation matrice],$AB$3,Fonctionnement[TVA acquittée])+SUMIF(Invest[Affectation matrice],$AB$3,Invest[TVA acquittée]))*BD51</f>
        <v>0</v>
      </c>
      <c r="CF51" s="200">
        <f>(SUMIF(Fonctionnement[Affectation matrice],$AB$3,Fonctionnement[TVA acquittée])+SUMIF(Invest[Affectation matrice],$AB$3,Invest[TVA acquittée]))*BE51</f>
        <v>0</v>
      </c>
      <c r="CG51" s="200">
        <f>(SUMIF(Fonctionnement[Affectation matrice],$AB$3,Fonctionnement[TVA acquittée])+SUMIF(Invest[Affectation matrice],$AB$3,Invest[TVA acquittée]))*BF51</f>
        <v>0</v>
      </c>
      <c r="CH51" s="200">
        <f>(SUMIF(Fonctionnement[Affectation matrice],$AB$3,Fonctionnement[TVA acquittée])+SUMIF(Invest[Affectation matrice],$AB$3,Invest[TVA acquittée]))*BG51</f>
        <v>0</v>
      </c>
      <c r="CI51" s="200">
        <f>(SUMIF(Fonctionnement[Affectation matrice],$AB$3,Fonctionnement[TVA acquittée])+SUMIF(Invest[Affectation matrice],$AB$3,Invest[TVA acquittée]))*BH51</f>
        <v>0</v>
      </c>
      <c r="CJ51" s="200">
        <f>(SUMIF(Fonctionnement[Affectation matrice],$AB$3,Fonctionnement[TVA acquittée])+SUMIF(Invest[Affectation matrice],$AB$3,Invest[TVA acquittée]))*BI51</f>
        <v>0</v>
      </c>
      <c r="CK51" s="200">
        <f>(SUMIF(Fonctionnement[Affectation matrice],$AB$3,Fonctionnement[TVA acquittée])+SUMIF(Invest[Affectation matrice],$AB$3,Invest[TVA acquittée]))*BJ51</f>
        <v>0</v>
      </c>
      <c r="CL51" s="200">
        <f>(SUMIF(Fonctionnement[Affectation matrice],$AB$3,Fonctionnement[TVA acquittée])+SUMIF(Invest[Affectation matrice],$AB$3,Invest[TVA acquittée]))*BK51</f>
        <v>0</v>
      </c>
      <c r="CM51" s="200">
        <f>(SUMIF(Fonctionnement[Affectation matrice],$AB$3,Fonctionnement[TVA acquittée])+SUMIF(Invest[Affectation matrice],$AB$3,Invest[TVA acquittée]))*BL51</f>
        <v>0</v>
      </c>
      <c r="CN51" s="200">
        <f>(SUMIF(Fonctionnement[Affectation matrice],$AB$3,Fonctionnement[TVA acquittée])+SUMIF(Invest[Affectation matrice],$AB$3,Invest[TVA acquittée]))*BM51</f>
        <v>0</v>
      </c>
      <c r="CO51" s="200">
        <f>(SUMIF(Fonctionnement[Affectation matrice],$AB$3,Fonctionnement[TVA acquittée])+SUMIF(Invest[Affectation matrice],$AB$3,Invest[TVA acquittée]))*BN51</f>
        <v>0</v>
      </c>
      <c r="CP51" s="200">
        <f>(SUMIF(Fonctionnement[Affectation matrice],$AB$3,Fonctionnement[TVA acquittée])+SUMIF(Invest[Affectation matrice],$AB$3,Invest[TVA acquittée]))*BO51</f>
        <v>0</v>
      </c>
      <c r="CQ51" s="200">
        <f>(SUMIF(Fonctionnement[Affectation matrice],$AB$3,Fonctionnement[TVA acquittée])+SUMIF(Invest[Affectation matrice],$AB$3,Invest[TVA acquittée]))*BP51</f>
        <v>0</v>
      </c>
      <c r="CR51" s="200">
        <f>(SUMIF(Fonctionnement[Affectation matrice],$AB$3,Fonctionnement[TVA acquittée])+SUMIF(Invest[Affectation matrice],$AB$3,Invest[TVA acquittée]))*BQ51</f>
        <v>0</v>
      </c>
      <c r="CS51" s="200">
        <f>(SUMIF(Fonctionnement[Affectation matrice],$AB$3,Fonctionnement[TVA acquittée])+SUMIF(Invest[Affectation matrice],$AB$3,Invest[TVA acquittée]))*BR51</f>
        <v>0</v>
      </c>
      <c r="CT51" s="200">
        <f>(SUMIF(Fonctionnement[Affectation matrice],$AB$3,Fonctionnement[TVA acquittée])+SUMIF(Invest[Affectation matrice],$AB$3,Invest[TVA acquittée]))*BS51</f>
        <v>0</v>
      </c>
      <c r="CU51" s="200">
        <f>(SUMIF(Fonctionnement[Affectation matrice],$AB$3,Fonctionnement[TVA acquittée])+SUMIF(Invest[Affectation matrice],$AB$3,Invest[TVA acquittée]))*BT51</f>
        <v>0</v>
      </c>
      <c r="CV51" s="200">
        <f>(SUMIF(Fonctionnement[Affectation matrice],$AB$3,Fonctionnement[TVA acquittée])+SUMIF(Invest[Affectation matrice],$AB$3,Invest[TVA acquittée]))*BU51</f>
        <v>0</v>
      </c>
      <c r="CW51" s="200">
        <f>(SUMIF(Fonctionnement[Affectation matrice],$AB$3,Fonctionnement[TVA acquittée])+SUMIF(Invest[Affectation matrice],$AB$3,Invest[TVA acquittée]))*BV51</f>
        <v>0</v>
      </c>
      <c r="CX51" s="200">
        <f>(SUMIF(Fonctionnement[Affectation matrice],$AB$3,Fonctionnement[TVA acquittée])+SUMIF(Invest[Affectation matrice],$AB$3,Invest[TVA acquittée]))*BW51</f>
        <v>0</v>
      </c>
      <c r="CY51" s="200">
        <f>(SUMIF(Fonctionnement[Affectation matrice],$AB$3,Fonctionnement[TVA acquittée])+SUMIF(Invest[Affectation matrice],$AB$3,Invest[TVA acquittée]))*BX51</f>
        <v>0</v>
      </c>
      <c r="CZ51" s="200">
        <f>(SUMIF(Fonctionnement[Affectation matrice],$AB$3,Fonctionnement[TVA acquittée])+SUMIF(Invest[Affectation matrice],$AB$3,Invest[TVA acquittée]))*BY51</f>
        <v>0</v>
      </c>
      <c r="DA51" s="200">
        <f>(SUMIF(Fonctionnement[Affectation matrice],$AB$3,Fonctionnement[TVA acquittée])+SUMIF(Invest[Affectation matrice],$AB$3,Invest[TVA acquittée]))*BZ51</f>
        <v>0</v>
      </c>
      <c r="DB51" s="200">
        <f>(SUMIF(Fonctionnement[Affectation matrice],$AB$3,Fonctionnement[TVA acquittée])+SUMIF(Invest[Affectation matrice],$AB$3,Invest[TVA acquittée]))*CA51</f>
        <v>0</v>
      </c>
    </row>
    <row r="52" spans="1:107" hidden="1" x14ac:dyDescent="0.25">
      <c r="A52" s="42">
        <f>Matrice[[#This Row],[Ligne de la matrice]]</f>
        <v>0</v>
      </c>
      <c r="B52" s="276">
        <f>(SUMIF(Fonctionnement[Affectation matrice],$AB$3,Fonctionnement[Montant (€HT)])+SUMIF(Invest[Affectation matrice],$AB$3,Invest[Amortissement HT + intérêts]))*BC52</f>
        <v>0</v>
      </c>
      <c r="C52" s="276">
        <f>(SUMIF(Fonctionnement[Affectation matrice],$AB$3,Fonctionnement[Montant (€HT)])+SUMIF(Invest[Affectation matrice],$AB$3,Invest[Amortissement HT + intérêts]))*BD52</f>
        <v>0</v>
      </c>
      <c r="D52" s="276">
        <f>(SUMIF(Fonctionnement[Affectation matrice],$AB$3,Fonctionnement[Montant (€HT)])+SUMIF(Invest[Affectation matrice],$AB$3,Invest[Amortissement HT + intérêts]))*BE52</f>
        <v>0</v>
      </c>
      <c r="E52" s="276">
        <f>(SUMIF(Fonctionnement[Affectation matrice],$AB$3,Fonctionnement[Montant (€HT)])+SUMIF(Invest[Affectation matrice],$AB$3,Invest[Amortissement HT + intérêts]))*BF52</f>
        <v>0</v>
      </c>
      <c r="F52" s="276">
        <f>(SUMIF(Fonctionnement[Affectation matrice],$AB$3,Fonctionnement[Montant (€HT)])+SUMIF(Invest[Affectation matrice],$AB$3,Invest[Amortissement HT + intérêts]))*BG52</f>
        <v>0</v>
      </c>
      <c r="G52" s="276">
        <f>(SUMIF(Fonctionnement[Affectation matrice],$AB$3,Fonctionnement[Montant (€HT)])+SUMIF(Invest[Affectation matrice],$AB$3,Invest[Amortissement HT + intérêts]))*BH52</f>
        <v>0</v>
      </c>
      <c r="H52" s="276">
        <f>(SUMIF(Fonctionnement[Affectation matrice],$AB$3,Fonctionnement[Montant (€HT)])+SUMIF(Invest[Affectation matrice],$AB$3,Invest[Amortissement HT + intérêts]))*BI52</f>
        <v>0</v>
      </c>
      <c r="I52" s="276">
        <f>(SUMIF(Fonctionnement[Affectation matrice],$AB$3,Fonctionnement[Montant (€HT)])+SUMIF(Invest[Affectation matrice],$AB$3,Invest[Amortissement HT + intérêts]))*BJ52</f>
        <v>0</v>
      </c>
      <c r="J52" s="276">
        <f>(SUMIF(Fonctionnement[Affectation matrice],$AB$3,Fonctionnement[Montant (€HT)])+SUMIF(Invest[Affectation matrice],$AB$3,Invest[Amortissement HT + intérêts]))*BK52</f>
        <v>0</v>
      </c>
      <c r="K52" s="276">
        <f>(SUMIF(Fonctionnement[Affectation matrice],$AB$3,Fonctionnement[Montant (€HT)])+SUMIF(Invest[Affectation matrice],$AB$3,Invest[Amortissement HT + intérêts]))*BL52</f>
        <v>0</v>
      </c>
      <c r="L52" s="276">
        <f>(SUMIF(Fonctionnement[Affectation matrice],$AB$3,Fonctionnement[Montant (€HT)])+SUMIF(Invest[Affectation matrice],$AB$3,Invest[Amortissement HT + intérêts]))*BM52</f>
        <v>0</v>
      </c>
      <c r="M52" s="276">
        <f>(SUMIF(Fonctionnement[Affectation matrice],$AB$3,Fonctionnement[Montant (€HT)])+SUMIF(Invest[Affectation matrice],$AB$3,Invest[Amortissement HT + intérêts]))*BN52</f>
        <v>0</v>
      </c>
      <c r="N52" s="276">
        <f>(SUMIF(Fonctionnement[Affectation matrice],$AB$3,Fonctionnement[Montant (€HT)])+SUMIF(Invest[Affectation matrice],$AB$3,Invest[Amortissement HT + intérêts]))*BO52</f>
        <v>0</v>
      </c>
      <c r="O52" s="276">
        <f>(SUMIF(Fonctionnement[Affectation matrice],$AB$3,Fonctionnement[Montant (€HT)])+SUMIF(Invest[Affectation matrice],$AB$3,Invest[Amortissement HT + intérêts]))*BP52</f>
        <v>0</v>
      </c>
      <c r="P52" s="276">
        <f>(SUMIF(Fonctionnement[Affectation matrice],$AB$3,Fonctionnement[Montant (€HT)])+SUMIF(Invest[Affectation matrice],$AB$3,Invest[Amortissement HT + intérêts]))*BQ52</f>
        <v>0</v>
      </c>
      <c r="Q52" s="276">
        <f>(SUMIF(Fonctionnement[Affectation matrice],$AB$3,Fonctionnement[Montant (€HT)])+SUMIF(Invest[Affectation matrice],$AB$3,Invest[Amortissement HT + intérêts]))*BR52</f>
        <v>0</v>
      </c>
      <c r="R52" s="276">
        <f>(SUMIF(Fonctionnement[Affectation matrice],$AB$3,Fonctionnement[Montant (€HT)])+SUMIF(Invest[Affectation matrice],$AB$3,Invest[Amortissement HT + intérêts]))*BS52</f>
        <v>0</v>
      </c>
      <c r="S52" s="276">
        <f>(SUMIF(Fonctionnement[Affectation matrice],$AB$3,Fonctionnement[Montant (€HT)])+SUMIF(Invest[Affectation matrice],$AB$3,Invest[Amortissement HT + intérêts]))*BT52</f>
        <v>0</v>
      </c>
      <c r="T52" s="276">
        <f>(SUMIF(Fonctionnement[Affectation matrice],$AB$3,Fonctionnement[Montant (€HT)])+SUMIF(Invest[Affectation matrice],$AB$3,Invest[Amortissement HT + intérêts]))*BU52</f>
        <v>0</v>
      </c>
      <c r="U52" s="276">
        <f>(SUMIF(Fonctionnement[Affectation matrice],$AB$3,Fonctionnement[Montant (€HT)])+SUMIF(Invest[Affectation matrice],$AB$3,Invest[Amortissement HT + intérêts]))*BV52</f>
        <v>0</v>
      </c>
      <c r="V52" s="276">
        <f>(SUMIF(Fonctionnement[Affectation matrice],$AB$3,Fonctionnement[Montant (€HT)])+SUMIF(Invest[Affectation matrice],$AB$3,Invest[Amortissement HT + intérêts]))*BW52</f>
        <v>0</v>
      </c>
      <c r="W52" s="276">
        <f>(SUMIF(Fonctionnement[Affectation matrice],$AB$3,Fonctionnement[Montant (€HT)])+SUMIF(Invest[Affectation matrice],$AB$3,Invest[Amortissement HT + intérêts]))*BX52</f>
        <v>0</v>
      </c>
      <c r="X52" s="276">
        <f>(SUMIF(Fonctionnement[Affectation matrice],$AB$3,Fonctionnement[Montant (€HT)])+SUMIF(Invest[Affectation matrice],$AB$3,Invest[Amortissement HT + intérêts]))*BY52</f>
        <v>0</v>
      </c>
      <c r="Y52" s="276">
        <f>(SUMIF(Fonctionnement[Affectation matrice],$AB$3,Fonctionnement[Montant (€HT)])+SUMIF(Invest[Affectation matrice],$AB$3,Invest[Amortissement HT + intérêts]))*BZ52</f>
        <v>0</v>
      </c>
      <c r="Z52" s="276">
        <f>(SUMIF(Fonctionnement[Affectation matrice],$AB$3,Fonctionnement[Montant (€HT)])+SUMIF(Invest[Affectation matrice],$AB$3,Invest[Amortissement HT + intérêts]))*CA52</f>
        <v>0</v>
      </c>
      <c r="AA52" s="199"/>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283">
        <f t="shared" si="4"/>
        <v>0</v>
      </c>
      <c r="BC52" s="61">
        <f t="shared" si="12"/>
        <v>0</v>
      </c>
      <c r="BD52" s="61">
        <f t="shared" si="12"/>
        <v>0</v>
      </c>
      <c r="BE52" s="61">
        <f t="shared" si="12"/>
        <v>0</v>
      </c>
      <c r="BF52" s="61">
        <f t="shared" si="12"/>
        <v>0</v>
      </c>
      <c r="BG52" s="61">
        <f t="shared" si="12"/>
        <v>0</v>
      </c>
      <c r="BH52" s="61">
        <f t="shared" si="12"/>
        <v>0</v>
      </c>
      <c r="BI52" s="61">
        <f t="shared" si="12"/>
        <v>0</v>
      </c>
      <c r="BJ52" s="61">
        <f t="shared" si="12"/>
        <v>0</v>
      </c>
      <c r="BK52" s="61">
        <f t="shared" si="12"/>
        <v>0</v>
      </c>
      <c r="BL52" s="61">
        <f t="shared" si="12"/>
        <v>0</v>
      </c>
      <c r="BM52" s="61">
        <f t="shared" si="12"/>
        <v>0</v>
      </c>
      <c r="BN52" s="61">
        <f t="shared" si="12"/>
        <v>0</v>
      </c>
      <c r="BO52" s="61">
        <f t="shared" si="12"/>
        <v>0</v>
      </c>
      <c r="BP52" s="61">
        <f t="shared" si="12"/>
        <v>0</v>
      </c>
      <c r="BQ52" s="61">
        <f t="shared" si="12"/>
        <v>0</v>
      </c>
      <c r="BR52" s="61">
        <f t="shared" si="12"/>
        <v>0</v>
      </c>
      <c r="BS52" s="61">
        <f t="shared" si="13"/>
        <v>0</v>
      </c>
      <c r="BT52" s="61">
        <f t="shared" si="13"/>
        <v>0</v>
      </c>
      <c r="BU52" s="61">
        <f t="shared" si="13"/>
        <v>0</v>
      </c>
      <c r="BV52" s="61">
        <f t="shared" si="13"/>
        <v>0</v>
      </c>
      <c r="BW52" s="61">
        <f t="shared" si="13"/>
        <v>0</v>
      </c>
      <c r="BX52" s="61">
        <f t="shared" si="13"/>
        <v>0</v>
      </c>
      <c r="BY52" s="61">
        <f t="shared" si="13"/>
        <v>0</v>
      </c>
      <c r="BZ52" s="61">
        <f t="shared" si="13"/>
        <v>0</v>
      </c>
      <c r="CA52" s="61">
        <f t="shared" si="13"/>
        <v>0</v>
      </c>
      <c r="CB52" s="61">
        <f t="shared" si="5"/>
        <v>0</v>
      </c>
      <c r="CD52" s="200">
        <f>(SUMIF(Fonctionnement[Affectation matrice],$AB$3,Fonctionnement[TVA acquittée])+SUMIF(Invest[Affectation matrice],$AB$3,Invest[TVA acquittée]))*BC52</f>
        <v>0</v>
      </c>
      <c r="CE52" s="200">
        <f>(SUMIF(Fonctionnement[Affectation matrice],$AB$3,Fonctionnement[TVA acquittée])+SUMIF(Invest[Affectation matrice],$AB$3,Invest[TVA acquittée]))*BD52</f>
        <v>0</v>
      </c>
      <c r="CF52" s="200">
        <f>(SUMIF(Fonctionnement[Affectation matrice],$AB$3,Fonctionnement[TVA acquittée])+SUMIF(Invest[Affectation matrice],$AB$3,Invest[TVA acquittée]))*BE52</f>
        <v>0</v>
      </c>
      <c r="CG52" s="200">
        <f>(SUMIF(Fonctionnement[Affectation matrice],$AB$3,Fonctionnement[TVA acquittée])+SUMIF(Invest[Affectation matrice],$AB$3,Invest[TVA acquittée]))*BF52</f>
        <v>0</v>
      </c>
      <c r="CH52" s="200">
        <f>(SUMIF(Fonctionnement[Affectation matrice],$AB$3,Fonctionnement[TVA acquittée])+SUMIF(Invest[Affectation matrice],$AB$3,Invest[TVA acquittée]))*BG52</f>
        <v>0</v>
      </c>
      <c r="CI52" s="200">
        <f>(SUMIF(Fonctionnement[Affectation matrice],$AB$3,Fonctionnement[TVA acquittée])+SUMIF(Invest[Affectation matrice],$AB$3,Invest[TVA acquittée]))*BH52</f>
        <v>0</v>
      </c>
      <c r="CJ52" s="200">
        <f>(SUMIF(Fonctionnement[Affectation matrice],$AB$3,Fonctionnement[TVA acquittée])+SUMIF(Invest[Affectation matrice],$AB$3,Invest[TVA acquittée]))*BI52</f>
        <v>0</v>
      </c>
      <c r="CK52" s="200">
        <f>(SUMIF(Fonctionnement[Affectation matrice],$AB$3,Fonctionnement[TVA acquittée])+SUMIF(Invest[Affectation matrice],$AB$3,Invest[TVA acquittée]))*BJ52</f>
        <v>0</v>
      </c>
      <c r="CL52" s="200">
        <f>(SUMIF(Fonctionnement[Affectation matrice],$AB$3,Fonctionnement[TVA acquittée])+SUMIF(Invest[Affectation matrice],$AB$3,Invest[TVA acquittée]))*BK52</f>
        <v>0</v>
      </c>
      <c r="CM52" s="200">
        <f>(SUMIF(Fonctionnement[Affectation matrice],$AB$3,Fonctionnement[TVA acquittée])+SUMIF(Invest[Affectation matrice],$AB$3,Invest[TVA acquittée]))*BL52</f>
        <v>0</v>
      </c>
      <c r="CN52" s="200">
        <f>(SUMIF(Fonctionnement[Affectation matrice],$AB$3,Fonctionnement[TVA acquittée])+SUMIF(Invest[Affectation matrice],$AB$3,Invest[TVA acquittée]))*BM52</f>
        <v>0</v>
      </c>
      <c r="CO52" s="200">
        <f>(SUMIF(Fonctionnement[Affectation matrice],$AB$3,Fonctionnement[TVA acquittée])+SUMIF(Invest[Affectation matrice],$AB$3,Invest[TVA acquittée]))*BN52</f>
        <v>0</v>
      </c>
      <c r="CP52" s="200">
        <f>(SUMIF(Fonctionnement[Affectation matrice],$AB$3,Fonctionnement[TVA acquittée])+SUMIF(Invest[Affectation matrice],$AB$3,Invest[TVA acquittée]))*BO52</f>
        <v>0</v>
      </c>
      <c r="CQ52" s="200">
        <f>(SUMIF(Fonctionnement[Affectation matrice],$AB$3,Fonctionnement[TVA acquittée])+SUMIF(Invest[Affectation matrice],$AB$3,Invest[TVA acquittée]))*BP52</f>
        <v>0</v>
      </c>
      <c r="CR52" s="200">
        <f>(SUMIF(Fonctionnement[Affectation matrice],$AB$3,Fonctionnement[TVA acquittée])+SUMIF(Invest[Affectation matrice],$AB$3,Invest[TVA acquittée]))*BQ52</f>
        <v>0</v>
      </c>
      <c r="CS52" s="200">
        <f>(SUMIF(Fonctionnement[Affectation matrice],$AB$3,Fonctionnement[TVA acquittée])+SUMIF(Invest[Affectation matrice],$AB$3,Invest[TVA acquittée]))*BR52</f>
        <v>0</v>
      </c>
      <c r="CT52" s="200">
        <f>(SUMIF(Fonctionnement[Affectation matrice],$AB$3,Fonctionnement[TVA acquittée])+SUMIF(Invest[Affectation matrice],$AB$3,Invest[TVA acquittée]))*BS52</f>
        <v>0</v>
      </c>
      <c r="CU52" s="200">
        <f>(SUMIF(Fonctionnement[Affectation matrice],$AB$3,Fonctionnement[TVA acquittée])+SUMIF(Invest[Affectation matrice],$AB$3,Invest[TVA acquittée]))*BT52</f>
        <v>0</v>
      </c>
      <c r="CV52" s="200">
        <f>(SUMIF(Fonctionnement[Affectation matrice],$AB$3,Fonctionnement[TVA acquittée])+SUMIF(Invest[Affectation matrice],$AB$3,Invest[TVA acquittée]))*BU52</f>
        <v>0</v>
      </c>
      <c r="CW52" s="200">
        <f>(SUMIF(Fonctionnement[Affectation matrice],$AB$3,Fonctionnement[TVA acquittée])+SUMIF(Invest[Affectation matrice],$AB$3,Invest[TVA acquittée]))*BV52</f>
        <v>0</v>
      </c>
      <c r="CX52" s="200">
        <f>(SUMIF(Fonctionnement[Affectation matrice],$AB$3,Fonctionnement[TVA acquittée])+SUMIF(Invest[Affectation matrice],$AB$3,Invest[TVA acquittée]))*BW52</f>
        <v>0</v>
      </c>
      <c r="CY52" s="200">
        <f>(SUMIF(Fonctionnement[Affectation matrice],$AB$3,Fonctionnement[TVA acquittée])+SUMIF(Invest[Affectation matrice],$AB$3,Invest[TVA acquittée]))*BX52</f>
        <v>0</v>
      </c>
      <c r="CZ52" s="200">
        <f>(SUMIF(Fonctionnement[Affectation matrice],$AB$3,Fonctionnement[TVA acquittée])+SUMIF(Invest[Affectation matrice],$AB$3,Invest[TVA acquittée]))*BY52</f>
        <v>0</v>
      </c>
      <c r="DA52" s="200">
        <f>(SUMIF(Fonctionnement[Affectation matrice],$AB$3,Fonctionnement[TVA acquittée])+SUMIF(Invest[Affectation matrice],$AB$3,Invest[TVA acquittée]))*BZ52</f>
        <v>0</v>
      </c>
      <c r="DB52" s="200">
        <f>(SUMIF(Fonctionnement[Affectation matrice],$AB$3,Fonctionnement[TVA acquittée])+SUMIF(Invest[Affectation matrice],$AB$3,Invest[TVA acquittée]))*CA52</f>
        <v>0</v>
      </c>
    </row>
    <row r="53" spans="1:107" x14ac:dyDescent="0.25">
      <c r="A53" s="206" t="s">
        <v>1101</v>
      </c>
      <c r="B53" s="279">
        <f>SUM(B5:B52)</f>
        <v>0</v>
      </c>
      <c r="C53" s="279">
        <f t="shared" ref="C53:Z53" si="14">SUM(C5:C52)</f>
        <v>0</v>
      </c>
      <c r="D53" s="279">
        <f t="shared" si="14"/>
        <v>0</v>
      </c>
      <c r="E53" s="279">
        <f t="shared" si="14"/>
        <v>0</v>
      </c>
      <c r="F53" s="279">
        <f t="shared" si="14"/>
        <v>0</v>
      </c>
      <c r="G53" s="279">
        <f t="shared" si="14"/>
        <v>0</v>
      </c>
      <c r="H53" s="279">
        <f t="shared" si="14"/>
        <v>0</v>
      </c>
      <c r="I53" s="279">
        <f t="shared" si="14"/>
        <v>0</v>
      </c>
      <c r="J53" s="279">
        <f t="shared" si="14"/>
        <v>0</v>
      </c>
      <c r="K53" s="279">
        <f t="shared" si="14"/>
        <v>0</v>
      </c>
      <c r="L53" s="279">
        <f t="shared" si="14"/>
        <v>0</v>
      </c>
      <c r="M53" s="279">
        <f t="shared" si="14"/>
        <v>0</v>
      </c>
      <c r="N53" s="279">
        <f t="shared" si="14"/>
        <v>0</v>
      </c>
      <c r="O53" s="279">
        <f t="shared" si="14"/>
        <v>0</v>
      </c>
      <c r="P53" s="279">
        <f t="shared" si="14"/>
        <v>0</v>
      </c>
      <c r="Q53" s="279">
        <f t="shared" si="14"/>
        <v>0</v>
      </c>
      <c r="R53" s="279">
        <f t="shared" si="14"/>
        <v>0</v>
      </c>
      <c r="S53" s="279">
        <f t="shared" si="14"/>
        <v>0</v>
      </c>
      <c r="T53" s="279">
        <f t="shared" si="14"/>
        <v>0</v>
      </c>
      <c r="U53" s="279">
        <f t="shared" si="14"/>
        <v>0</v>
      </c>
      <c r="V53" s="279">
        <f t="shared" si="14"/>
        <v>0</v>
      </c>
      <c r="W53" s="279">
        <f t="shared" si="14"/>
        <v>0</v>
      </c>
      <c r="X53" s="279">
        <f t="shared" si="14"/>
        <v>0</v>
      </c>
      <c r="Y53" s="279">
        <f t="shared" si="14"/>
        <v>0</v>
      </c>
      <c r="Z53" s="279">
        <f t="shared" si="14"/>
        <v>0</v>
      </c>
      <c r="AA53" s="199"/>
      <c r="AB53" s="61">
        <f>SUM(AB5:AB52)</f>
        <v>0</v>
      </c>
      <c r="AC53" s="61">
        <f t="shared" ref="AC53:BA53" si="15">SUM(AC5:AC52)</f>
        <v>0</v>
      </c>
      <c r="AD53" s="61">
        <f t="shared" si="15"/>
        <v>0</v>
      </c>
      <c r="AE53" s="61">
        <f t="shared" si="15"/>
        <v>0</v>
      </c>
      <c r="AF53" s="61">
        <f t="shared" si="15"/>
        <v>0</v>
      </c>
      <c r="AG53" s="61">
        <f t="shared" si="15"/>
        <v>0</v>
      </c>
      <c r="AH53" s="61">
        <f t="shared" si="15"/>
        <v>0</v>
      </c>
      <c r="AI53" s="61">
        <f t="shared" si="15"/>
        <v>0</v>
      </c>
      <c r="AJ53" s="61">
        <f t="shared" si="15"/>
        <v>0</v>
      </c>
      <c r="AK53" s="61">
        <f t="shared" si="15"/>
        <v>0</v>
      </c>
      <c r="AL53" s="61">
        <f t="shared" si="15"/>
        <v>0</v>
      </c>
      <c r="AM53" s="61">
        <f t="shared" si="15"/>
        <v>0</v>
      </c>
      <c r="AN53" s="61">
        <f t="shared" si="15"/>
        <v>0</v>
      </c>
      <c r="AO53" s="61">
        <f t="shared" si="15"/>
        <v>0</v>
      </c>
      <c r="AP53" s="61">
        <f t="shared" si="15"/>
        <v>0</v>
      </c>
      <c r="AQ53" s="61">
        <f t="shared" si="15"/>
        <v>0</v>
      </c>
      <c r="AR53" s="61">
        <f t="shared" si="15"/>
        <v>0</v>
      </c>
      <c r="AS53" s="61">
        <f t="shared" si="15"/>
        <v>0</v>
      </c>
      <c r="AT53" s="61">
        <f t="shared" si="15"/>
        <v>0</v>
      </c>
      <c r="AU53" s="61">
        <f t="shared" si="15"/>
        <v>0</v>
      </c>
      <c r="AV53" s="61">
        <f t="shared" si="15"/>
        <v>0</v>
      </c>
      <c r="AW53" s="61">
        <f t="shared" si="15"/>
        <v>0</v>
      </c>
      <c r="AX53" s="61">
        <f t="shared" si="15"/>
        <v>0</v>
      </c>
      <c r="AY53" s="61">
        <f t="shared" si="15"/>
        <v>0</v>
      </c>
      <c r="AZ53" s="61">
        <f t="shared" si="15"/>
        <v>0</v>
      </c>
      <c r="BA53" s="61">
        <f t="shared" si="15"/>
        <v>0</v>
      </c>
      <c r="BC53" s="61">
        <f t="shared" ref="BC53:CB53" si="16">SUM(BC5:BC52)</f>
        <v>0</v>
      </c>
      <c r="BD53" s="61">
        <f t="shared" si="16"/>
        <v>0</v>
      </c>
      <c r="BE53" s="61">
        <f t="shared" si="16"/>
        <v>0</v>
      </c>
      <c r="BF53" s="61">
        <f t="shared" si="16"/>
        <v>0</v>
      </c>
      <c r="BG53" s="61">
        <f t="shared" si="16"/>
        <v>0</v>
      </c>
      <c r="BH53" s="61">
        <f t="shared" si="16"/>
        <v>0</v>
      </c>
      <c r="BI53" s="61">
        <f t="shared" si="16"/>
        <v>0</v>
      </c>
      <c r="BJ53" s="61">
        <f t="shared" si="16"/>
        <v>0</v>
      </c>
      <c r="BK53" s="61">
        <f t="shared" si="16"/>
        <v>0</v>
      </c>
      <c r="BL53" s="61">
        <f t="shared" si="16"/>
        <v>0</v>
      </c>
      <c r="BM53" s="61">
        <f t="shared" si="16"/>
        <v>0</v>
      </c>
      <c r="BN53" s="61">
        <f t="shared" si="16"/>
        <v>0</v>
      </c>
      <c r="BO53" s="61">
        <f t="shared" si="16"/>
        <v>0</v>
      </c>
      <c r="BP53" s="61">
        <f t="shared" si="16"/>
        <v>0</v>
      </c>
      <c r="BQ53" s="61">
        <f t="shared" si="16"/>
        <v>0</v>
      </c>
      <c r="BR53" s="61">
        <f t="shared" si="16"/>
        <v>0</v>
      </c>
      <c r="BS53" s="61">
        <f t="shared" si="16"/>
        <v>0</v>
      </c>
      <c r="BT53" s="61">
        <f t="shared" si="16"/>
        <v>0</v>
      </c>
      <c r="BU53" s="61">
        <f t="shared" si="16"/>
        <v>0</v>
      </c>
      <c r="BV53" s="61">
        <f t="shared" si="16"/>
        <v>0</v>
      </c>
      <c r="BW53" s="61">
        <f t="shared" si="16"/>
        <v>0</v>
      </c>
      <c r="BX53" s="61">
        <f t="shared" si="16"/>
        <v>0</v>
      </c>
      <c r="BY53" s="61">
        <f t="shared" si="16"/>
        <v>0</v>
      </c>
      <c r="BZ53" s="61">
        <f t="shared" si="16"/>
        <v>0</v>
      </c>
      <c r="CA53" s="61">
        <f t="shared" si="16"/>
        <v>0</v>
      </c>
      <c r="CB53" s="207">
        <f t="shared" si="16"/>
        <v>0</v>
      </c>
      <c r="CD53" s="208">
        <f>(SUMIF(Fonctionnement[Affectation matrice],$AB$3,Fonctionnement[TVA acquittée])+SUMIF(Invest[Affectation matrice],$AB$3,Invest[TVA acquittée]))*BC53</f>
        <v>0</v>
      </c>
      <c r="CE53" s="208">
        <f>(SUMIF(Fonctionnement[Affectation matrice],$AB$3,Fonctionnement[TVA acquittée])+SUMIF(Invest[Affectation matrice],$AB$3,Invest[TVA acquittée]))*BD53</f>
        <v>0</v>
      </c>
      <c r="CF53" s="208">
        <f>(SUMIF(Fonctionnement[Affectation matrice],$AB$3,Fonctionnement[TVA acquittée])+SUMIF(Invest[Affectation matrice],$AB$3,Invest[TVA acquittée]))*BE53</f>
        <v>0</v>
      </c>
      <c r="CG53" s="208">
        <f>(SUMIF(Fonctionnement[Affectation matrice],$AB$3,Fonctionnement[TVA acquittée])+SUMIF(Invest[Affectation matrice],$AB$3,Invest[TVA acquittée]))*BF53</f>
        <v>0</v>
      </c>
      <c r="CH53" s="208">
        <f>(SUMIF(Fonctionnement[Affectation matrice],$AB$3,Fonctionnement[TVA acquittée])+SUMIF(Invest[Affectation matrice],$AB$3,Invest[TVA acquittée]))*BG53</f>
        <v>0</v>
      </c>
      <c r="CI53" s="208">
        <f>(SUMIF(Fonctionnement[Affectation matrice],$AB$3,Fonctionnement[TVA acquittée])+SUMIF(Invest[Affectation matrice],$AB$3,Invest[TVA acquittée]))*BH53</f>
        <v>0</v>
      </c>
      <c r="CJ53" s="208">
        <f>(SUMIF(Fonctionnement[Affectation matrice],$AB$3,Fonctionnement[TVA acquittée])+SUMIF(Invest[Affectation matrice],$AB$3,Invest[TVA acquittée]))*BI53</f>
        <v>0</v>
      </c>
      <c r="CK53" s="208">
        <f>(SUMIF(Fonctionnement[Affectation matrice],$AB$3,Fonctionnement[TVA acquittée])+SUMIF(Invest[Affectation matrice],$AB$3,Invest[TVA acquittée]))*BJ53</f>
        <v>0</v>
      </c>
      <c r="CL53" s="208">
        <f>(SUMIF(Fonctionnement[Affectation matrice],$AB$3,Fonctionnement[TVA acquittée])+SUMIF(Invest[Affectation matrice],$AB$3,Invest[TVA acquittée]))*BK53</f>
        <v>0</v>
      </c>
      <c r="CM53" s="208">
        <f>(SUMIF(Fonctionnement[Affectation matrice],$AB$3,Fonctionnement[TVA acquittée])+SUMIF(Invest[Affectation matrice],$AB$3,Invest[TVA acquittée]))*BL53</f>
        <v>0</v>
      </c>
      <c r="CN53" s="208">
        <f>(SUMIF(Fonctionnement[Affectation matrice],$AB$3,Fonctionnement[TVA acquittée])+SUMIF(Invest[Affectation matrice],$AB$3,Invest[TVA acquittée]))*BM53</f>
        <v>0</v>
      </c>
      <c r="CO53" s="208">
        <f>(SUMIF(Fonctionnement[Affectation matrice],$AB$3,Fonctionnement[TVA acquittée])+SUMIF(Invest[Affectation matrice],$AB$3,Invest[TVA acquittée]))*BN53</f>
        <v>0</v>
      </c>
      <c r="CP53" s="208">
        <f>(SUMIF(Fonctionnement[Affectation matrice],$AB$3,Fonctionnement[TVA acquittée])+SUMIF(Invest[Affectation matrice],$AB$3,Invest[TVA acquittée]))*BO53</f>
        <v>0</v>
      </c>
      <c r="CQ53" s="208">
        <f>(SUMIF(Fonctionnement[Affectation matrice],$AB$3,Fonctionnement[TVA acquittée])+SUMIF(Invest[Affectation matrice],$AB$3,Invest[TVA acquittée]))*BP53</f>
        <v>0</v>
      </c>
      <c r="CR53" s="208">
        <f>(SUMIF(Fonctionnement[Affectation matrice],$AB$3,Fonctionnement[TVA acquittée])+SUMIF(Invest[Affectation matrice],$AB$3,Invest[TVA acquittée]))*BQ53</f>
        <v>0</v>
      </c>
      <c r="CS53" s="208">
        <f>(SUMIF(Fonctionnement[Affectation matrice],$AB$3,Fonctionnement[TVA acquittée])+SUMIF(Invest[Affectation matrice],$AB$3,Invest[TVA acquittée]))*BR53</f>
        <v>0</v>
      </c>
      <c r="CT53" s="208">
        <f>(SUMIF(Fonctionnement[Affectation matrice],$AB$3,Fonctionnement[TVA acquittée])+SUMIF(Invest[Affectation matrice],$AB$3,Invest[TVA acquittée]))*BS53</f>
        <v>0</v>
      </c>
      <c r="CU53" s="208">
        <f>(SUMIF(Fonctionnement[Affectation matrice],$AB$3,Fonctionnement[TVA acquittée])+SUMIF(Invest[Affectation matrice],$AB$3,Invest[TVA acquittée]))*BT53</f>
        <v>0</v>
      </c>
      <c r="CV53" s="208">
        <f>(SUMIF(Fonctionnement[Affectation matrice],$AB$3,Fonctionnement[TVA acquittée])+SUMIF(Invest[Affectation matrice],$AB$3,Invest[TVA acquittée]))*BU53</f>
        <v>0</v>
      </c>
      <c r="CW53" s="208">
        <f>(SUMIF(Fonctionnement[Affectation matrice],$AB$3,Fonctionnement[TVA acquittée])+SUMIF(Invest[Affectation matrice],$AB$3,Invest[TVA acquittée]))*BV53</f>
        <v>0</v>
      </c>
      <c r="CX53" s="208">
        <f>(SUMIF(Fonctionnement[Affectation matrice],$AB$3,Fonctionnement[TVA acquittée])+SUMIF(Invest[Affectation matrice],$AB$3,Invest[TVA acquittée]))*BW53</f>
        <v>0</v>
      </c>
      <c r="CY53" s="208">
        <f>(SUMIF(Fonctionnement[Affectation matrice],$AB$3,Fonctionnement[TVA acquittée])+SUMIF(Invest[Affectation matrice],$AB$3,Invest[TVA acquittée]))*BX53</f>
        <v>0</v>
      </c>
      <c r="CZ53" s="208">
        <f>(SUMIF(Fonctionnement[Affectation matrice],$AB$3,Fonctionnement[TVA acquittée])+SUMIF(Invest[Affectation matrice],$AB$3,Invest[TVA acquittée]))*BY53</f>
        <v>0</v>
      </c>
      <c r="DA53" s="208">
        <f>(SUMIF(Fonctionnement[Affectation matrice],$AB$3,Fonctionnement[TVA acquittée])+SUMIF(Invest[Affectation matrice],$AB$3,Invest[TVA acquittée]))*BZ53</f>
        <v>0</v>
      </c>
      <c r="DB53" s="208">
        <f>(SUMIF(Fonctionnement[Affectation matrice],$AB$3,Fonctionnement[TVA acquittée])+SUMIF(Invest[Affectation matrice],$AB$3,Invest[TVA acquittée]))*CA53</f>
        <v>0</v>
      </c>
    </row>
    <row r="55" spans="1:107" x14ac:dyDescent="0.25">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C55" s="209"/>
      <c r="BD55" s="209"/>
      <c r="BE55" s="209"/>
      <c r="BF55" s="209"/>
      <c r="BG55" s="209"/>
      <c r="BH55" s="209"/>
      <c r="BI55" s="209"/>
      <c r="BJ55" s="209"/>
      <c r="BK55" s="209"/>
      <c r="BL55" s="209"/>
      <c r="BM55" s="209"/>
      <c r="BN55" s="209"/>
      <c r="BO55" s="209"/>
      <c r="BP55" s="209"/>
      <c r="BQ55" s="209"/>
      <c r="BR55" s="209"/>
      <c r="BS55" s="209"/>
      <c r="BT55" s="209"/>
      <c r="BU55" s="209"/>
      <c r="BV55" s="209"/>
      <c r="BW55" s="209"/>
      <c r="BX55" s="209"/>
      <c r="BY55" s="209"/>
      <c r="BZ55" s="209"/>
      <c r="CA55" s="209"/>
      <c r="CB55" s="209"/>
    </row>
    <row r="56" spans="1:107" ht="21" x14ac:dyDescent="0.4">
      <c r="A56" s="257" t="s">
        <v>1102</v>
      </c>
    </row>
    <row r="58" spans="1:107" x14ac:dyDescent="0.25">
      <c r="A58" s="301"/>
      <c r="B58"/>
      <c r="C58"/>
      <c r="D58"/>
      <c r="E58"/>
      <c r="F58"/>
      <c r="G58"/>
      <c r="H58"/>
      <c r="I58"/>
      <c r="J58"/>
      <c r="K58"/>
      <c r="L58"/>
      <c r="M58"/>
      <c r="N58"/>
      <c r="O58"/>
      <c r="P58"/>
      <c r="Q58"/>
      <c r="R58"/>
      <c r="S58"/>
      <c r="T58"/>
      <c r="U58"/>
      <c r="V58"/>
      <c r="W58"/>
      <c r="X58"/>
      <c r="Y58"/>
      <c r="Z58"/>
      <c r="AA58"/>
      <c r="AB58" s="61">
        <f>SUMIF(CODE,$A58,'4 - Codes matrice'!CF$4:CF$99)</f>
        <v>0</v>
      </c>
      <c r="AC58" s="61">
        <f>SUMIF(CODE,$A58,'4 - Codes matrice'!CG$4:CG$99)</f>
        <v>0</v>
      </c>
      <c r="AD58" s="61">
        <f>SUMIF(CODE,$A58,'4 - Codes matrice'!CH$4:CH$99)</f>
        <v>0</v>
      </c>
      <c r="AE58" s="61">
        <f>SUMIF(CODE,$A58,'4 - Codes matrice'!CI$4:CI$99)</f>
        <v>0</v>
      </c>
      <c r="AF58" s="61">
        <f>SUMIF(CODE,$A58,'4 - Codes matrice'!CJ$4:CJ$99)</f>
        <v>0</v>
      </c>
      <c r="AG58" s="61">
        <f>SUMIF(CODE,$A58,'4 - Codes matrice'!CK$4:CK$99)</f>
        <v>0</v>
      </c>
      <c r="AH58" s="61">
        <f>SUMIF(CODE,$A58,'4 - Codes matrice'!CL$4:CL$99)</f>
        <v>0</v>
      </c>
      <c r="AI58" s="61">
        <f>SUMIF(CODE,$A58,'4 - Codes matrice'!CM$4:CM$99)</f>
        <v>0</v>
      </c>
      <c r="AJ58" s="61">
        <f>SUMIF(CODE,$A58,'4 - Codes matrice'!CN$4:CN$99)</f>
        <v>0</v>
      </c>
      <c r="AK58" s="61">
        <f>SUMIF(CODE,$A58,'4 - Codes matrice'!CO$4:CO$99)</f>
        <v>0</v>
      </c>
      <c r="AL58" s="61">
        <f>SUMIF(CODE,$A58,'4 - Codes matrice'!CP$4:CP$99)</f>
        <v>0</v>
      </c>
      <c r="AM58" s="61">
        <f>SUMIF(CODE,$A58,'4 - Codes matrice'!CQ$4:CQ$99)</f>
        <v>0</v>
      </c>
      <c r="AN58" s="61">
        <f>SUMIF(CODE,$A58,'4 - Codes matrice'!CR$4:CR$99)</f>
        <v>0</v>
      </c>
      <c r="AO58" s="61">
        <f>SUMIF(CODE,$A58,'4 - Codes matrice'!CS$4:CS$99)</f>
        <v>0</v>
      </c>
      <c r="AP58" s="61">
        <f>SUMIF(CODE,$A58,'4 - Codes matrice'!CT$4:CT$99)</f>
        <v>0</v>
      </c>
      <c r="AQ58" s="61">
        <f>SUMIF(CODE,$A58,'4 - Codes matrice'!CU$4:CU$99)</f>
        <v>0</v>
      </c>
      <c r="AR58" s="61">
        <f>SUMIF(CODE,$A58,'4 - Codes matrice'!CV$4:CV$99)</f>
        <v>0</v>
      </c>
      <c r="AS58" s="61">
        <f>SUMIF(CODE,$A58,'4 - Codes matrice'!CW$4:CW$99)</f>
        <v>0</v>
      </c>
      <c r="AT58" s="61">
        <f>SUMIF(CODE,$A58,'4 - Codes matrice'!CX$4:CX$99)</f>
        <v>0</v>
      </c>
      <c r="AU58" s="61">
        <f>SUMIF(CODE,$A58,'4 - Codes matrice'!CY$4:CY$99)</f>
        <v>0</v>
      </c>
      <c r="AV58" s="61">
        <f>SUMIF(CODE,$A58,'4 - Codes matrice'!CZ$4:CZ$99)</f>
        <v>0</v>
      </c>
      <c r="AW58" s="61">
        <f>SUMIF(CODE,$A58,'4 - Codes matrice'!DA$4:DA$99)</f>
        <v>0</v>
      </c>
      <c r="AX58" s="61">
        <f>SUMIF(CODE,$A58,'4 - Codes matrice'!DB$4:DB$99)</f>
        <v>0</v>
      </c>
      <c r="AY58" s="61">
        <f>SUMIF(CODE,$A58,'4 - Codes matrice'!DC$4:DC$99)</f>
        <v>0</v>
      </c>
      <c r="AZ58" s="61">
        <f>SUMIF(CODE,$A58,'4 - Codes matrice'!DD$4:DD$99)</f>
        <v>0</v>
      </c>
      <c r="BA58" s="284">
        <f>SUM(AB58:AZ58)</f>
        <v>0</v>
      </c>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row>
    <row r="59" spans="1:107" x14ac:dyDescent="0.25">
      <c r="A59" s="301"/>
      <c r="B59"/>
      <c r="C59"/>
      <c r="D59"/>
      <c r="E59"/>
      <c r="F59"/>
      <c r="G59"/>
      <c r="H59"/>
      <c r="I59"/>
      <c r="J59"/>
      <c r="K59"/>
      <c r="L59"/>
      <c r="M59"/>
      <c r="N59"/>
      <c r="O59"/>
      <c r="P59"/>
      <c r="Q59"/>
      <c r="R59"/>
      <c r="S59"/>
      <c r="T59"/>
      <c r="U59"/>
      <c r="V59"/>
      <c r="W59"/>
      <c r="X59"/>
      <c r="Y59"/>
      <c r="Z59"/>
      <c r="AA59"/>
      <c r="AB59" s="61">
        <f>SUMIF(CODE,$A59,'4 - Codes matrice'!CF$4:CF$99)</f>
        <v>0</v>
      </c>
      <c r="AC59" s="61">
        <f>SUMIF(CODE,$A59,'4 - Codes matrice'!CG$4:CG$99)</f>
        <v>0</v>
      </c>
      <c r="AD59" s="61">
        <f>SUMIF(CODE,$A59,'4 - Codes matrice'!CH$4:CH$99)</f>
        <v>0</v>
      </c>
      <c r="AE59" s="61">
        <f>SUMIF(CODE,$A59,'4 - Codes matrice'!CI$4:CI$99)</f>
        <v>0</v>
      </c>
      <c r="AF59" s="61">
        <f>SUMIF(CODE,$A59,'4 - Codes matrice'!CJ$4:CJ$99)</f>
        <v>0</v>
      </c>
      <c r="AG59" s="61">
        <f>SUMIF(CODE,$A59,'4 - Codes matrice'!CK$4:CK$99)</f>
        <v>0</v>
      </c>
      <c r="AH59" s="61">
        <f>SUMIF(CODE,$A59,'4 - Codes matrice'!CL$4:CL$99)</f>
        <v>0</v>
      </c>
      <c r="AI59" s="61">
        <f>SUMIF(CODE,$A59,'4 - Codes matrice'!CM$4:CM$99)</f>
        <v>0</v>
      </c>
      <c r="AJ59" s="61">
        <f>SUMIF(CODE,$A59,'4 - Codes matrice'!CN$4:CN$99)</f>
        <v>0</v>
      </c>
      <c r="AK59" s="61">
        <f>SUMIF(CODE,$A59,'4 - Codes matrice'!CO$4:CO$99)</f>
        <v>0</v>
      </c>
      <c r="AL59" s="61">
        <f>SUMIF(CODE,$A59,'4 - Codes matrice'!CP$4:CP$99)</f>
        <v>0</v>
      </c>
      <c r="AM59" s="61">
        <f>SUMIF(CODE,$A59,'4 - Codes matrice'!CQ$4:CQ$99)</f>
        <v>0</v>
      </c>
      <c r="AN59" s="61">
        <f>SUMIF(CODE,$A59,'4 - Codes matrice'!CR$4:CR$99)</f>
        <v>0</v>
      </c>
      <c r="AO59" s="61">
        <f>SUMIF(CODE,$A59,'4 - Codes matrice'!CS$4:CS$99)</f>
        <v>0</v>
      </c>
      <c r="AP59" s="61">
        <f>SUMIF(CODE,$A59,'4 - Codes matrice'!CT$4:CT$99)</f>
        <v>0</v>
      </c>
      <c r="AQ59" s="61">
        <f>SUMIF(CODE,$A59,'4 - Codes matrice'!CU$4:CU$99)</f>
        <v>0</v>
      </c>
      <c r="AR59" s="61">
        <f>SUMIF(CODE,$A59,'4 - Codes matrice'!CV$4:CV$99)</f>
        <v>0</v>
      </c>
      <c r="AS59" s="61">
        <f>SUMIF(CODE,$A59,'4 - Codes matrice'!CW$4:CW$99)</f>
        <v>0</v>
      </c>
      <c r="AT59" s="61">
        <f>SUMIF(CODE,$A59,'4 - Codes matrice'!CX$4:CX$99)</f>
        <v>0</v>
      </c>
      <c r="AU59" s="61">
        <f>SUMIF(CODE,$A59,'4 - Codes matrice'!CY$4:CY$99)</f>
        <v>0</v>
      </c>
      <c r="AV59" s="61">
        <f>SUMIF(CODE,$A59,'4 - Codes matrice'!CZ$4:CZ$99)</f>
        <v>0</v>
      </c>
      <c r="AW59" s="61">
        <f>SUMIF(CODE,$A59,'4 - Codes matrice'!DA$4:DA$99)</f>
        <v>0</v>
      </c>
      <c r="AX59" s="61">
        <f>SUMIF(CODE,$A59,'4 - Codes matrice'!DB$4:DB$99)</f>
        <v>0</v>
      </c>
      <c r="AY59" s="61">
        <f>SUMIF(CODE,$A59,'4 - Codes matrice'!DC$4:DC$99)</f>
        <v>0</v>
      </c>
      <c r="AZ59" s="61">
        <f>SUMIF(CODE,$A59,'4 - Codes matrice'!DD$4:DD$99)</f>
        <v>0</v>
      </c>
      <c r="BA59" s="284">
        <f t="shared" ref="BA59:BA64" si="17">SUM(AB59:AZ59)</f>
        <v>0</v>
      </c>
    </row>
    <row r="60" spans="1:107" x14ac:dyDescent="0.25">
      <c r="A60" s="301"/>
      <c r="B60"/>
      <c r="C60"/>
      <c r="D60"/>
      <c r="E60"/>
      <c r="F60"/>
      <c r="G60"/>
      <c r="H60"/>
      <c r="I60"/>
      <c r="J60"/>
      <c r="K60"/>
      <c r="L60"/>
      <c r="M60"/>
      <c r="N60"/>
      <c r="O60"/>
      <c r="P60"/>
      <c r="Q60"/>
      <c r="R60"/>
      <c r="S60"/>
      <c r="T60"/>
      <c r="U60"/>
      <c r="V60"/>
      <c r="W60"/>
      <c r="X60"/>
      <c r="Y60"/>
      <c r="Z60"/>
      <c r="AA60"/>
      <c r="AB60" s="61">
        <f>SUMIF(CODE,$A60,'4 - Codes matrice'!CF$4:CF$99)</f>
        <v>0</v>
      </c>
      <c r="AC60" s="61">
        <f>SUMIF(CODE,$A60,'4 - Codes matrice'!CG$4:CG$99)</f>
        <v>0</v>
      </c>
      <c r="AD60" s="61">
        <f>SUMIF(CODE,$A60,'4 - Codes matrice'!CH$4:CH$99)</f>
        <v>0</v>
      </c>
      <c r="AE60" s="61">
        <f>SUMIF(CODE,$A60,'4 - Codes matrice'!CI$4:CI$99)</f>
        <v>0</v>
      </c>
      <c r="AF60" s="61">
        <f>SUMIF(CODE,$A60,'4 - Codes matrice'!CJ$4:CJ$99)</f>
        <v>0</v>
      </c>
      <c r="AG60" s="61">
        <f>SUMIF(CODE,$A60,'4 - Codes matrice'!CK$4:CK$99)</f>
        <v>0</v>
      </c>
      <c r="AH60" s="61">
        <f>SUMIF(CODE,$A60,'4 - Codes matrice'!CL$4:CL$99)</f>
        <v>0</v>
      </c>
      <c r="AI60" s="61">
        <f>SUMIF(CODE,$A60,'4 - Codes matrice'!CM$4:CM$99)</f>
        <v>0</v>
      </c>
      <c r="AJ60" s="61">
        <f>SUMIF(CODE,$A60,'4 - Codes matrice'!CN$4:CN$99)</f>
        <v>0</v>
      </c>
      <c r="AK60" s="61">
        <f>SUMIF(CODE,$A60,'4 - Codes matrice'!CO$4:CO$99)</f>
        <v>0</v>
      </c>
      <c r="AL60" s="61">
        <f>SUMIF(CODE,$A60,'4 - Codes matrice'!CP$4:CP$99)</f>
        <v>0</v>
      </c>
      <c r="AM60" s="61">
        <f>SUMIF(CODE,$A60,'4 - Codes matrice'!CQ$4:CQ$99)</f>
        <v>0</v>
      </c>
      <c r="AN60" s="61">
        <f>SUMIF(CODE,$A60,'4 - Codes matrice'!CR$4:CR$99)</f>
        <v>0</v>
      </c>
      <c r="AO60" s="61">
        <f>SUMIF(CODE,$A60,'4 - Codes matrice'!CS$4:CS$99)</f>
        <v>0</v>
      </c>
      <c r="AP60" s="61">
        <f>SUMIF(CODE,$A60,'4 - Codes matrice'!CT$4:CT$99)</f>
        <v>0</v>
      </c>
      <c r="AQ60" s="61">
        <f>SUMIF(CODE,$A60,'4 - Codes matrice'!CU$4:CU$99)</f>
        <v>0</v>
      </c>
      <c r="AR60" s="61">
        <f>SUMIF(CODE,$A60,'4 - Codes matrice'!CV$4:CV$99)</f>
        <v>0</v>
      </c>
      <c r="AS60" s="61">
        <f>SUMIF(CODE,$A60,'4 - Codes matrice'!CW$4:CW$99)</f>
        <v>0</v>
      </c>
      <c r="AT60" s="61">
        <f>SUMIF(CODE,$A60,'4 - Codes matrice'!CX$4:CX$99)</f>
        <v>0</v>
      </c>
      <c r="AU60" s="61">
        <f>SUMIF(CODE,$A60,'4 - Codes matrice'!CY$4:CY$99)</f>
        <v>0</v>
      </c>
      <c r="AV60" s="61">
        <f>SUMIF(CODE,$A60,'4 - Codes matrice'!CZ$4:CZ$99)</f>
        <v>0</v>
      </c>
      <c r="AW60" s="61">
        <f>SUMIF(CODE,$A60,'4 - Codes matrice'!DA$4:DA$99)</f>
        <v>0</v>
      </c>
      <c r="AX60" s="61">
        <f>SUMIF(CODE,$A60,'4 - Codes matrice'!DB$4:DB$99)</f>
        <v>0</v>
      </c>
      <c r="AY60" s="61">
        <f>SUMIF(CODE,$A60,'4 - Codes matrice'!DC$4:DC$99)</f>
        <v>0</v>
      </c>
      <c r="AZ60" s="61">
        <f>SUMIF(CODE,$A60,'4 - Codes matrice'!DD$4:DD$99)</f>
        <v>0</v>
      </c>
      <c r="BA60" s="284">
        <f t="shared" si="17"/>
        <v>0</v>
      </c>
    </row>
    <row r="61" spans="1:107" x14ac:dyDescent="0.25">
      <c r="A61" s="301"/>
      <c r="B61"/>
      <c r="C61"/>
      <c r="D61"/>
      <c r="E61"/>
      <c r="F61"/>
      <c r="G61"/>
      <c r="H61"/>
      <c r="I61"/>
      <c r="J61"/>
      <c r="K61"/>
      <c r="L61"/>
      <c r="M61"/>
      <c r="N61"/>
      <c r="O61"/>
      <c r="P61"/>
      <c r="Q61"/>
      <c r="R61"/>
      <c r="S61"/>
      <c r="T61"/>
      <c r="U61"/>
      <c r="V61"/>
      <c r="W61"/>
      <c r="X61"/>
      <c r="Y61"/>
      <c r="Z61"/>
      <c r="AA61"/>
      <c r="AB61" s="61">
        <f>SUMIF(CODE,$A61,'4 - Codes matrice'!CF$4:CF$99)</f>
        <v>0</v>
      </c>
      <c r="AC61" s="61">
        <f>SUMIF(CODE,$A61,'4 - Codes matrice'!CG$4:CG$99)</f>
        <v>0</v>
      </c>
      <c r="AD61" s="61">
        <f>SUMIF(CODE,$A61,'4 - Codes matrice'!CH$4:CH$99)</f>
        <v>0</v>
      </c>
      <c r="AE61" s="61">
        <f>SUMIF(CODE,$A61,'4 - Codes matrice'!CI$4:CI$99)</f>
        <v>0</v>
      </c>
      <c r="AF61" s="61">
        <f>SUMIF(CODE,$A61,'4 - Codes matrice'!CJ$4:CJ$99)</f>
        <v>0</v>
      </c>
      <c r="AG61" s="61">
        <f>SUMIF(CODE,$A61,'4 - Codes matrice'!CK$4:CK$99)</f>
        <v>0</v>
      </c>
      <c r="AH61" s="61">
        <f>SUMIF(CODE,$A61,'4 - Codes matrice'!CL$4:CL$99)</f>
        <v>0</v>
      </c>
      <c r="AI61" s="61">
        <f>SUMIF(CODE,$A61,'4 - Codes matrice'!CM$4:CM$99)</f>
        <v>0</v>
      </c>
      <c r="AJ61" s="61">
        <f>SUMIF(CODE,$A61,'4 - Codes matrice'!CN$4:CN$99)</f>
        <v>0</v>
      </c>
      <c r="AK61" s="61">
        <f>SUMIF(CODE,$A61,'4 - Codes matrice'!CO$4:CO$99)</f>
        <v>0</v>
      </c>
      <c r="AL61" s="61">
        <f>SUMIF(CODE,$A61,'4 - Codes matrice'!CP$4:CP$99)</f>
        <v>0</v>
      </c>
      <c r="AM61" s="61">
        <f>SUMIF(CODE,$A61,'4 - Codes matrice'!CQ$4:CQ$99)</f>
        <v>0</v>
      </c>
      <c r="AN61" s="61">
        <f>SUMIF(CODE,$A61,'4 - Codes matrice'!CR$4:CR$99)</f>
        <v>0</v>
      </c>
      <c r="AO61" s="61">
        <f>SUMIF(CODE,$A61,'4 - Codes matrice'!CS$4:CS$99)</f>
        <v>0</v>
      </c>
      <c r="AP61" s="61">
        <f>SUMIF(CODE,$A61,'4 - Codes matrice'!CT$4:CT$99)</f>
        <v>0</v>
      </c>
      <c r="AQ61" s="61">
        <f>SUMIF(CODE,$A61,'4 - Codes matrice'!CU$4:CU$99)</f>
        <v>0</v>
      </c>
      <c r="AR61" s="61">
        <f>SUMIF(CODE,$A61,'4 - Codes matrice'!CV$4:CV$99)</f>
        <v>0</v>
      </c>
      <c r="AS61" s="61">
        <f>SUMIF(CODE,$A61,'4 - Codes matrice'!CW$4:CW$99)</f>
        <v>0</v>
      </c>
      <c r="AT61" s="61">
        <f>SUMIF(CODE,$A61,'4 - Codes matrice'!CX$4:CX$99)</f>
        <v>0</v>
      </c>
      <c r="AU61" s="61">
        <f>SUMIF(CODE,$A61,'4 - Codes matrice'!CY$4:CY$99)</f>
        <v>0</v>
      </c>
      <c r="AV61" s="61">
        <f>SUMIF(CODE,$A61,'4 - Codes matrice'!CZ$4:CZ$99)</f>
        <v>0</v>
      </c>
      <c r="AW61" s="61">
        <f>SUMIF(CODE,$A61,'4 - Codes matrice'!DA$4:DA$99)</f>
        <v>0</v>
      </c>
      <c r="AX61" s="61">
        <f>SUMIF(CODE,$A61,'4 - Codes matrice'!DB$4:DB$99)</f>
        <v>0</v>
      </c>
      <c r="AY61" s="61">
        <f>SUMIF(CODE,$A61,'4 - Codes matrice'!DC$4:DC$99)</f>
        <v>0</v>
      </c>
      <c r="AZ61" s="61">
        <f>SUMIF(CODE,$A61,'4 - Codes matrice'!DD$4:DD$99)</f>
        <v>0</v>
      </c>
      <c r="BA61" s="284">
        <f t="shared" si="17"/>
        <v>0</v>
      </c>
    </row>
    <row r="62" spans="1:107" x14ac:dyDescent="0.25">
      <c r="A62" s="301"/>
      <c r="B62"/>
      <c r="C62"/>
      <c r="D62"/>
      <c r="E62"/>
      <c r="F62"/>
      <c r="G62"/>
      <c r="H62"/>
      <c r="I62"/>
      <c r="J62"/>
      <c r="K62"/>
      <c r="L62"/>
      <c r="M62"/>
      <c r="N62"/>
      <c r="O62"/>
      <c r="P62"/>
      <c r="Q62"/>
      <c r="R62"/>
      <c r="S62"/>
      <c r="T62"/>
      <c r="U62"/>
      <c r="V62"/>
      <c r="W62"/>
      <c r="X62"/>
      <c r="Y62"/>
      <c r="Z62"/>
      <c r="AA62"/>
      <c r="AB62" s="61">
        <f>SUMIF(CODE,$A62,'4 - Codes matrice'!CF$4:CF$99)</f>
        <v>0</v>
      </c>
      <c r="AC62" s="61">
        <f>SUMIF(CODE,$A62,'4 - Codes matrice'!CG$4:CG$99)</f>
        <v>0</v>
      </c>
      <c r="AD62" s="61">
        <f>SUMIF(CODE,$A62,'4 - Codes matrice'!CH$4:CH$99)</f>
        <v>0</v>
      </c>
      <c r="AE62" s="61">
        <f>SUMIF(CODE,$A62,'4 - Codes matrice'!CI$4:CI$99)</f>
        <v>0</v>
      </c>
      <c r="AF62" s="61">
        <f>SUMIF(CODE,$A62,'4 - Codes matrice'!CJ$4:CJ$99)</f>
        <v>0</v>
      </c>
      <c r="AG62" s="61">
        <f>SUMIF(CODE,$A62,'4 - Codes matrice'!CK$4:CK$99)</f>
        <v>0</v>
      </c>
      <c r="AH62" s="61">
        <f>SUMIF(CODE,$A62,'4 - Codes matrice'!CL$4:CL$99)</f>
        <v>0</v>
      </c>
      <c r="AI62" s="61">
        <f>SUMIF(CODE,$A62,'4 - Codes matrice'!CM$4:CM$99)</f>
        <v>0</v>
      </c>
      <c r="AJ62" s="61">
        <f>SUMIF(CODE,$A62,'4 - Codes matrice'!CN$4:CN$99)</f>
        <v>0</v>
      </c>
      <c r="AK62" s="61">
        <f>SUMIF(CODE,$A62,'4 - Codes matrice'!CO$4:CO$99)</f>
        <v>0</v>
      </c>
      <c r="AL62" s="61">
        <f>SUMIF(CODE,$A62,'4 - Codes matrice'!CP$4:CP$99)</f>
        <v>0</v>
      </c>
      <c r="AM62" s="61">
        <f>SUMIF(CODE,$A62,'4 - Codes matrice'!CQ$4:CQ$99)</f>
        <v>0</v>
      </c>
      <c r="AN62" s="61">
        <f>SUMIF(CODE,$A62,'4 - Codes matrice'!CR$4:CR$99)</f>
        <v>0</v>
      </c>
      <c r="AO62" s="61">
        <f>SUMIF(CODE,$A62,'4 - Codes matrice'!CS$4:CS$99)</f>
        <v>0</v>
      </c>
      <c r="AP62" s="61">
        <f>SUMIF(CODE,$A62,'4 - Codes matrice'!CT$4:CT$99)</f>
        <v>0</v>
      </c>
      <c r="AQ62" s="61">
        <f>SUMIF(CODE,$A62,'4 - Codes matrice'!CU$4:CU$99)</f>
        <v>0</v>
      </c>
      <c r="AR62" s="61">
        <f>SUMIF(CODE,$A62,'4 - Codes matrice'!CV$4:CV$99)</f>
        <v>0</v>
      </c>
      <c r="AS62" s="61">
        <f>SUMIF(CODE,$A62,'4 - Codes matrice'!CW$4:CW$99)</f>
        <v>0</v>
      </c>
      <c r="AT62" s="61">
        <f>SUMIF(CODE,$A62,'4 - Codes matrice'!CX$4:CX$99)</f>
        <v>0</v>
      </c>
      <c r="AU62" s="61">
        <f>SUMIF(CODE,$A62,'4 - Codes matrice'!CY$4:CY$99)</f>
        <v>0</v>
      </c>
      <c r="AV62" s="61">
        <f>SUMIF(CODE,$A62,'4 - Codes matrice'!CZ$4:CZ$99)</f>
        <v>0</v>
      </c>
      <c r="AW62" s="61">
        <f>SUMIF(CODE,$A62,'4 - Codes matrice'!DA$4:DA$99)</f>
        <v>0</v>
      </c>
      <c r="AX62" s="61">
        <f>SUMIF(CODE,$A62,'4 - Codes matrice'!DB$4:DB$99)</f>
        <v>0</v>
      </c>
      <c r="AY62" s="61">
        <f>SUMIF(CODE,$A62,'4 - Codes matrice'!DC$4:DC$99)</f>
        <v>0</v>
      </c>
      <c r="AZ62" s="61">
        <f>SUMIF(CODE,$A62,'4 - Codes matrice'!DD$4:DD$99)</f>
        <v>0</v>
      </c>
      <c r="BA62" s="284">
        <f t="shared" si="17"/>
        <v>0</v>
      </c>
    </row>
    <row r="63" spans="1:107" x14ac:dyDescent="0.25">
      <c r="A63" s="301"/>
      <c r="B63"/>
      <c r="C63"/>
      <c r="D63"/>
      <c r="E63"/>
      <c r="F63"/>
      <c r="G63"/>
      <c r="H63"/>
      <c r="I63"/>
      <c r="J63"/>
      <c r="K63"/>
      <c r="L63"/>
      <c r="M63"/>
      <c r="N63"/>
      <c r="O63"/>
      <c r="P63"/>
      <c r="Q63"/>
      <c r="R63"/>
      <c r="S63"/>
      <c r="T63"/>
      <c r="U63"/>
      <c r="V63"/>
      <c r="W63"/>
      <c r="X63"/>
      <c r="Y63"/>
      <c r="Z63"/>
      <c r="AA63"/>
      <c r="AB63" s="61">
        <f>SUMIF(CODE,$A63,'4 - Codes matrice'!CF$4:CF$99)</f>
        <v>0</v>
      </c>
      <c r="AC63" s="61">
        <f>SUMIF(CODE,$A63,'4 - Codes matrice'!CG$4:CG$99)</f>
        <v>0</v>
      </c>
      <c r="AD63" s="61">
        <f>SUMIF(CODE,$A63,'4 - Codes matrice'!CH$4:CH$99)</f>
        <v>0</v>
      </c>
      <c r="AE63" s="61">
        <f>SUMIF(CODE,$A63,'4 - Codes matrice'!CI$4:CI$99)</f>
        <v>0</v>
      </c>
      <c r="AF63" s="61">
        <f>SUMIF(CODE,$A63,'4 - Codes matrice'!CJ$4:CJ$99)</f>
        <v>0</v>
      </c>
      <c r="AG63" s="61">
        <f>SUMIF(CODE,$A63,'4 - Codes matrice'!CK$4:CK$99)</f>
        <v>0</v>
      </c>
      <c r="AH63" s="61">
        <f>SUMIF(CODE,$A63,'4 - Codes matrice'!CL$4:CL$99)</f>
        <v>0</v>
      </c>
      <c r="AI63" s="61">
        <f>SUMIF(CODE,$A63,'4 - Codes matrice'!CM$4:CM$99)</f>
        <v>0</v>
      </c>
      <c r="AJ63" s="61">
        <f>SUMIF(CODE,$A63,'4 - Codes matrice'!CN$4:CN$99)</f>
        <v>0</v>
      </c>
      <c r="AK63" s="61">
        <f>SUMIF(CODE,$A63,'4 - Codes matrice'!CO$4:CO$99)</f>
        <v>0</v>
      </c>
      <c r="AL63" s="61">
        <f>SUMIF(CODE,$A63,'4 - Codes matrice'!CP$4:CP$99)</f>
        <v>0</v>
      </c>
      <c r="AM63" s="61">
        <f>SUMIF(CODE,$A63,'4 - Codes matrice'!CQ$4:CQ$99)</f>
        <v>0</v>
      </c>
      <c r="AN63" s="61">
        <f>SUMIF(CODE,$A63,'4 - Codes matrice'!CR$4:CR$99)</f>
        <v>0</v>
      </c>
      <c r="AO63" s="61">
        <f>SUMIF(CODE,$A63,'4 - Codes matrice'!CS$4:CS$99)</f>
        <v>0</v>
      </c>
      <c r="AP63" s="61">
        <f>SUMIF(CODE,$A63,'4 - Codes matrice'!CT$4:CT$99)</f>
        <v>0</v>
      </c>
      <c r="AQ63" s="61">
        <f>SUMIF(CODE,$A63,'4 - Codes matrice'!CU$4:CU$99)</f>
        <v>0</v>
      </c>
      <c r="AR63" s="61">
        <f>SUMIF(CODE,$A63,'4 - Codes matrice'!CV$4:CV$99)</f>
        <v>0</v>
      </c>
      <c r="AS63" s="61">
        <f>SUMIF(CODE,$A63,'4 - Codes matrice'!CW$4:CW$99)</f>
        <v>0</v>
      </c>
      <c r="AT63" s="61">
        <f>SUMIF(CODE,$A63,'4 - Codes matrice'!CX$4:CX$99)</f>
        <v>0</v>
      </c>
      <c r="AU63" s="61">
        <f>SUMIF(CODE,$A63,'4 - Codes matrice'!CY$4:CY$99)</f>
        <v>0</v>
      </c>
      <c r="AV63" s="61">
        <f>SUMIF(CODE,$A63,'4 - Codes matrice'!CZ$4:CZ$99)</f>
        <v>0</v>
      </c>
      <c r="AW63" s="61">
        <f>SUMIF(CODE,$A63,'4 - Codes matrice'!DA$4:DA$99)</f>
        <v>0</v>
      </c>
      <c r="AX63" s="61">
        <f>SUMIF(CODE,$A63,'4 - Codes matrice'!DB$4:DB$99)</f>
        <v>0</v>
      </c>
      <c r="AY63" s="61">
        <f>SUMIF(CODE,$A63,'4 - Codes matrice'!DC$4:DC$99)</f>
        <v>0</v>
      </c>
      <c r="AZ63" s="61">
        <f>SUMIF(CODE,$A63,'4 - Codes matrice'!DD$4:DD$99)</f>
        <v>0</v>
      </c>
      <c r="BA63" s="284">
        <f t="shared" si="17"/>
        <v>0</v>
      </c>
    </row>
    <row r="64" spans="1:107" x14ac:dyDescent="0.25">
      <c r="A64" s="301"/>
      <c r="B64"/>
      <c r="C64"/>
      <c r="D64"/>
      <c r="E64"/>
      <c r="F64"/>
      <c r="G64"/>
      <c r="H64"/>
      <c r="I64"/>
      <c r="J64"/>
      <c r="K64"/>
      <c r="L64"/>
      <c r="M64"/>
      <c r="N64"/>
      <c r="O64"/>
      <c r="P64"/>
      <c r="Q64"/>
      <c r="R64"/>
      <c r="S64"/>
      <c r="T64"/>
      <c r="U64"/>
      <c r="V64"/>
      <c r="W64"/>
      <c r="X64"/>
      <c r="Y64"/>
      <c r="Z64"/>
      <c r="AA64"/>
      <c r="AB64" s="61">
        <f>SUMIF(CODE,$A64,'4 - Codes matrice'!CF$4:CF$99)</f>
        <v>0</v>
      </c>
      <c r="AC64" s="61">
        <f>SUMIF(CODE,$A64,'4 - Codes matrice'!CG$4:CG$99)</f>
        <v>0</v>
      </c>
      <c r="AD64" s="61">
        <f>SUMIF(CODE,$A64,'4 - Codes matrice'!CH$4:CH$99)</f>
        <v>0</v>
      </c>
      <c r="AE64" s="61">
        <f>SUMIF(CODE,$A64,'4 - Codes matrice'!CI$4:CI$99)</f>
        <v>0</v>
      </c>
      <c r="AF64" s="61">
        <f>SUMIF(CODE,$A64,'4 - Codes matrice'!CJ$4:CJ$99)</f>
        <v>0</v>
      </c>
      <c r="AG64" s="61">
        <f>SUMIF(CODE,$A64,'4 - Codes matrice'!CK$4:CK$99)</f>
        <v>0</v>
      </c>
      <c r="AH64" s="61">
        <f>SUMIF(CODE,$A64,'4 - Codes matrice'!CL$4:CL$99)</f>
        <v>0</v>
      </c>
      <c r="AI64" s="61">
        <f>SUMIF(CODE,$A64,'4 - Codes matrice'!CM$4:CM$99)</f>
        <v>0</v>
      </c>
      <c r="AJ64" s="61">
        <f>SUMIF(CODE,$A64,'4 - Codes matrice'!CN$4:CN$99)</f>
        <v>0</v>
      </c>
      <c r="AK64" s="61">
        <f>SUMIF(CODE,$A64,'4 - Codes matrice'!CO$4:CO$99)</f>
        <v>0</v>
      </c>
      <c r="AL64" s="61">
        <f>SUMIF(CODE,$A64,'4 - Codes matrice'!CP$4:CP$99)</f>
        <v>0</v>
      </c>
      <c r="AM64" s="61">
        <f>SUMIF(CODE,$A64,'4 - Codes matrice'!CQ$4:CQ$99)</f>
        <v>0</v>
      </c>
      <c r="AN64" s="61">
        <f>SUMIF(CODE,$A64,'4 - Codes matrice'!CR$4:CR$99)</f>
        <v>0</v>
      </c>
      <c r="AO64" s="61">
        <f>SUMIF(CODE,$A64,'4 - Codes matrice'!CS$4:CS$99)</f>
        <v>0</v>
      </c>
      <c r="AP64" s="61">
        <f>SUMIF(CODE,$A64,'4 - Codes matrice'!CT$4:CT$99)</f>
        <v>0</v>
      </c>
      <c r="AQ64" s="61">
        <f>SUMIF(CODE,$A64,'4 - Codes matrice'!CU$4:CU$99)</f>
        <v>0</v>
      </c>
      <c r="AR64" s="61">
        <f>SUMIF(CODE,$A64,'4 - Codes matrice'!CV$4:CV$99)</f>
        <v>0</v>
      </c>
      <c r="AS64" s="61">
        <f>SUMIF(CODE,$A64,'4 - Codes matrice'!CW$4:CW$99)</f>
        <v>0</v>
      </c>
      <c r="AT64" s="61">
        <f>SUMIF(CODE,$A64,'4 - Codes matrice'!CX$4:CX$99)</f>
        <v>0</v>
      </c>
      <c r="AU64" s="61">
        <f>SUMIF(CODE,$A64,'4 - Codes matrice'!CY$4:CY$99)</f>
        <v>0</v>
      </c>
      <c r="AV64" s="61">
        <f>SUMIF(CODE,$A64,'4 - Codes matrice'!CZ$4:CZ$99)</f>
        <v>0</v>
      </c>
      <c r="AW64" s="61">
        <f>SUMIF(CODE,$A64,'4 - Codes matrice'!DA$4:DA$99)</f>
        <v>0</v>
      </c>
      <c r="AX64" s="61">
        <f>SUMIF(CODE,$A64,'4 - Codes matrice'!DB$4:DB$99)</f>
        <v>0</v>
      </c>
      <c r="AY64" s="61">
        <f>SUMIF(CODE,$A64,'4 - Codes matrice'!DC$4:DC$99)</f>
        <v>0</v>
      </c>
      <c r="AZ64" s="61">
        <f>SUMIF(CODE,$A64,'4 - Codes matrice'!DD$4:DD$99)</f>
        <v>0</v>
      </c>
      <c r="BA64" s="284">
        <f t="shared" si="17"/>
        <v>0</v>
      </c>
    </row>
    <row r="66" spans="1:107" ht="21" x14ac:dyDescent="0.4">
      <c r="A66" s="257" t="s">
        <v>1103</v>
      </c>
    </row>
    <row r="68" spans="1:107" x14ac:dyDescent="0.25">
      <c r="A68" s="253" t="s">
        <v>219</v>
      </c>
      <c r="B68"/>
      <c r="C68"/>
      <c r="D68"/>
      <c r="E68"/>
      <c r="F68"/>
      <c r="G68"/>
      <c r="H68"/>
      <c r="I68"/>
      <c r="J68"/>
      <c r="K68"/>
      <c r="L68"/>
      <c r="M68"/>
      <c r="N68"/>
      <c r="O68"/>
      <c r="P68"/>
      <c r="Q68"/>
      <c r="R68"/>
      <c r="S68"/>
      <c r="T68"/>
      <c r="U68"/>
      <c r="V68"/>
      <c r="W68"/>
      <c r="X68"/>
      <c r="Y68"/>
      <c r="Z68"/>
      <c r="AA68"/>
      <c r="AB68" s="282">
        <f>'2 - Matrice finale'!B58</f>
        <v>0</v>
      </c>
      <c r="AC68" s="282">
        <f>'2 - Matrice finale'!C58</f>
        <v>0</v>
      </c>
      <c r="AD68" s="282">
        <f>'2 - Matrice finale'!D58</f>
        <v>0</v>
      </c>
      <c r="AE68" s="282">
        <f>'2 - Matrice finale'!E58</f>
        <v>0</v>
      </c>
      <c r="AF68" s="282">
        <f>'2 - Matrice finale'!F58</f>
        <v>0</v>
      </c>
      <c r="AG68" s="282">
        <f>'2 - Matrice finale'!G58</f>
        <v>0</v>
      </c>
      <c r="AH68" s="282">
        <f>'2 - Matrice finale'!H58</f>
        <v>0</v>
      </c>
      <c r="AI68" s="282">
        <f>'2 - Matrice finale'!I58</f>
        <v>0</v>
      </c>
      <c r="AJ68" s="282">
        <f>'2 - Matrice finale'!J58</f>
        <v>0</v>
      </c>
      <c r="AK68" s="282">
        <f>'2 - Matrice finale'!K58</f>
        <v>0</v>
      </c>
      <c r="AL68" s="282">
        <f>'2 - Matrice finale'!L58</f>
        <v>0</v>
      </c>
      <c r="AM68" s="282">
        <f>'2 - Matrice finale'!M58</f>
        <v>0</v>
      </c>
      <c r="AN68" s="282">
        <f>'2 - Matrice finale'!N58</f>
        <v>0</v>
      </c>
      <c r="AO68" s="282">
        <f>'2 - Matrice finale'!O58</f>
        <v>0</v>
      </c>
      <c r="AP68" s="282">
        <f>'2 - Matrice finale'!P58</f>
        <v>0</v>
      </c>
      <c r="AQ68" s="282">
        <f>'2 - Matrice finale'!Q58</f>
        <v>0</v>
      </c>
      <c r="AR68" s="282">
        <f>'2 - Matrice finale'!R58</f>
        <v>0</v>
      </c>
      <c r="AS68" s="282">
        <f>'2 - Matrice finale'!S58</f>
        <v>0</v>
      </c>
      <c r="AT68" s="282">
        <f>'2 - Matrice finale'!T58</f>
        <v>0</v>
      </c>
      <c r="AU68" s="282">
        <f>'2 - Matrice finale'!U58</f>
        <v>0</v>
      </c>
      <c r="AV68" s="282">
        <f>'2 - Matrice finale'!V58</f>
        <v>0</v>
      </c>
      <c r="AW68" s="282">
        <f>'2 - Matrice finale'!W58</f>
        <v>0</v>
      </c>
      <c r="AX68" s="282">
        <f>'2 - Matrice finale'!X58</f>
        <v>0</v>
      </c>
      <c r="AY68" s="282">
        <f>'2 - Matrice finale'!Y58</f>
        <v>0</v>
      </c>
      <c r="AZ68" s="282">
        <f>'2 - Matrice finale'!Z58</f>
        <v>0</v>
      </c>
      <c r="BA68" s="285"/>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row>
  </sheetData>
  <sheetProtection sheet="1" objects="1" scenarios="1" formatCells="0" formatColumns="0" formatRows="0"/>
  <mergeCells count="7">
    <mergeCell ref="CB3:CB4"/>
    <mergeCell ref="CD3:DB3"/>
    <mergeCell ref="AC2:AE2"/>
    <mergeCell ref="B3:Z3"/>
    <mergeCell ref="AC3:AZ3"/>
    <mergeCell ref="BA3:BA4"/>
    <mergeCell ref="BC3:CA3"/>
  </mergeCells>
  <conditionalFormatting sqref="A58:A64">
    <cfRule type="expression" dxfId="65" priority="2">
      <formula>OR(XFD58="Amortissement extra-comptable",XFD58="Reprise extra-comptable",XFD58="Non incorporable")</formula>
    </cfRule>
    <cfRule type="expression" dxfId="64" priority="3">
      <formula>AND(A58=0,OR(XFD58="Incorporable",XFD58="Supplétif",XFD58="Reprise",XFD58="Amortissement",XFD58="Atténuation de produit",XFD58="atténuation de charge"))</formula>
    </cfRule>
  </conditionalFormatting>
  <conditionalFormatting sqref="A68">
    <cfRule type="duplicateValues" dxfId="63" priority="1"/>
  </conditionalFormatting>
  <dataValidations count="1">
    <dataValidation type="list" showInputMessage="1" showErrorMessage="1" sqref="AB3 A58:A64" xr:uid="{00000000-0002-0000-0D00-000000000000}">
      <formula1>OFFSET(CODE_1,0,0,COUNTA(CODE),1)</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tabColor rgb="FFFFFF00"/>
  </sheetPr>
  <dimension ref="A1:DC68"/>
  <sheetViews>
    <sheetView showGridLines="0" zoomScaleNormal="100" workbookViewId="0">
      <pane xSplit="27" ySplit="4" topLeftCell="AB5" activePane="bottomRight" state="frozen"/>
      <selection pane="topRight" activeCell="AB55" sqref="AB55"/>
      <selection pane="bottomLeft" activeCell="AB55" sqref="AB55"/>
      <selection pane="bottomRight" activeCell="AE8" sqref="AE8"/>
    </sheetView>
  </sheetViews>
  <sheetFormatPr baseColWidth="10" defaultColWidth="11.44140625" defaultRowHeight="13.2" x14ac:dyDescent="0.25"/>
  <cols>
    <col min="1" max="1" width="36" style="20" customWidth="1"/>
    <col min="2" max="2" width="10.33203125" style="20" hidden="1" customWidth="1"/>
    <col min="3" max="26" width="8.5546875" style="20" hidden="1" customWidth="1"/>
    <col min="27" max="27" width="3.6640625" style="7" hidden="1" customWidth="1"/>
    <col min="28" max="32" width="13.44140625" style="7" customWidth="1"/>
    <col min="33" max="35" width="13.44140625" style="7" hidden="1" customWidth="1"/>
    <col min="36" max="52" width="2.44140625" style="7" hidden="1" customWidth="1"/>
    <col min="53" max="53" width="12.88671875" style="7" customWidth="1"/>
    <col min="54" max="54" width="2.44140625" style="7" customWidth="1"/>
    <col min="55" max="59" width="13.44140625" style="7" customWidth="1"/>
    <col min="60" max="62" width="13.44140625" style="7" hidden="1" customWidth="1"/>
    <col min="63" max="79" width="2.44140625" style="7" hidden="1" customWidth="1"/>
    <col min="80" max="80" width="12.88671875" style="7" customWidth="1"/>
    <col min="81" max="81" width="2.44140625" style="7" customWidth="1"/>
    <col min="82" max="106" width="11.44140625" style="7" hidden="1" customWidth="1"/>
    <col min="107" max="16384" width="11.44140625" style="7"/>
  </cols>
  <sheetData>
    <row r="1" spans="1:106" ht="21" x14ac:dyDescent="0.4">
      <c r="A1" s="19" t="s">
        <v>1106</v>
      </c>
    </row>
    <row r="2" spans="1:106" ht="16.2" thickBot="1" x14ac:dyDescent="0.35">
      <c r="A2" s="7"/>
      <c r="AA2" s="196"/>
      <c r="AC2" s="740" t="s">
        <v>245</v>
      </c>
      <c r="AD2" s="741"/>
      <c r="AE2" s="741"/>
      <c r="BA2" s="53" t="str">
        <f ca="1">IF(AND(CELL("format",BA53)="%0",BA53&lt;&gt;1,BA53&gt;0),"Le total ne fait pas 100%","")</f>
        <v/>
      </c>
      <c r="BC2" s="196"/>
      <c r="BD2" s="196"/>
      <c r="BE2" s="196"/>
      <c r="BF2" s="196"/>
      <c r="BG2" s="196"/>
      <c r="BH2" s="196"/>
      <c r="BI2" s="196"/>
      <c r="BJ2" s="196"/>
      <c r="BK2" s="196"/>
      <c r="BL2" s="196"/>
      <c r="BM2" s="196"/>
      <c r="BN2" s="196"/>
      <c r="BO2" s="196"/>
      <c r="BP2" s="196"/>
      <c r="BQ2" s="196"/>
      <c r="BR2" s="196"/>
      <c r="BS2" s="196"/>
      <c r="BT2" s="196"/>
      <c r="BU2" s="196"/>
      <c r="BV2" s="196"/>
      <c r="BW2" s="196"/>
      <c r="BX2" s="196"/>
      <c r="BY2" s="196"/>
      <c r="BZ2" s="196"/>
      <c r="CA2" s="196"/>
      <c r="CB2" s="196"/>
    </row>
    <row r="3" spans="1:106" ht="39" customHeight="1" thickBot="1" x14ac:dyDescent="0.3">
      <c r="A3" s="184"/>
      <c r="B3" s="742" t="s">
        <v>1098</v>
      </c>
      <c r="C3" s="743"/>
      <c r="D3" s="743"/>
      <c r="E3" s="743"/>
      <c r="F3" s="743"/>
      <c r="G3" s="743"/>
      <c r="H3" s="743"/>
      <c r="I3" s="743"/>
      <c r="J3" s="743"/>
      <c r="K3" s="743"/>
      <c r="L3" s="743"/>
      <c r="M3" s="743"/>
      <c r="N3" s="743"/>
      <c r="O3" s="743"/>
      <c r="P3" s="743"/>
      <c r="Q3" s="743"/>
      <c r="R3" s="743"/>
      <c r="S3" s="743"/>
      <c r="T3" s="743"/>
      <c r="U3" s="743"/>
      <c r="V3" s="743"/>
      <c r="W3" s="743"/>
      <c r="X3" s="743"/>
      <c r="Y3" s="743"/>
      <c r="Z3" s="744"/>
      <c r="AB3" s="190"/>
      <c r="AC3" s="745"/>
      <c r="AD3" s="746"/>
      <c r="AE3" s="746"/>
      <c r="AF3" s="746"/>
      <c r="AG3" s="746"/>
      <c r="AH3" s="746"/>
      <c r="AI3" s="746"/>
      <c r="AJ3" s="746"/>
      <c r="AK3" s="746"/>
      <c r="AL3" s="746"/>
      <c r="AM3" s="746"/>
      <c r="AN3" s="746"/>
      <c r="AO3" s="746"/>
      <c r="AP3" s="746"/>
      <c r="AQ3" s="746"/>
      <c r="AR3" s="746"/>
      <c r="AS3" s="746"/>
      <c r="AT3" s="746"/>
      <c r="AU3" s="746"/>
      <c r="AV3" s="746"/>
      <c r="AW3" s="746"/>
      <c r="AX3" s="746"/>
      <c r="AY3" s="746"/>
      <c r="AZ3" s="747"/>
      <c r="BA3" s="748" t="s">
        <v>172</v>
      </c>
      <c r="BC3" s="674" t="s">
        <v>1099</v>
      </c>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t="s">
        <v>172</v>
      </c>
      <c r="CD3" s="737" t="s">
        <v>1100</v>
      </c>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9"/>
    </row>
    <row r="4" spans="1:106" ht="42" customHeight="1" x14ac:dyDescent="0.25">
      <c r="A4" s="44" t="s">
        <v>173</v>
      </c>
      <c r="B4" s="640" t="str">
        <f>Matrice[[#Headers],[OMR]]</f>
        <v>OMR</v>
      </c>
      <c r="C4" s="640" t="str">
        <f>Matrice[[#Headers],[Verre]]</f>
        <v>Verre</v>
      </c>
      <c r="D4" s="640" t="str">
        <f>Matrice[[#Headers],[RSOM hors verre]]</f>
        <v>RSOM hors verre</v>
      </c>
      <c r="E4" s="640" t="str">
        <f>Matrice[[#Headers],[Déchets des déchèteries]]</f>
        <v>Déchets des déchèteries</v>
      </c>
      <c r="F4" s="640" t="str">
        <f>Matrice[[#Headers],[Flux 5]]</f>
        <v>Flux 5</v>
      </c>
      <c r="G4" s="640" t="str">
        <f>Matrice[[#Headers],[Flux 6]]</f>
        <v>Flux 6</v>
      </c>
      <c r="H4" s="640" t="str">
        <f>Matrice[[#Headers],[Flux 7]]</f>
        <v>Flux 7</v>
      </c>
      <c r="I4" s="640" t="str">
        <f>Matrice[[#Headers],[Flux 8]]</f>
        <v>Flux 8</v>
      </c>
      <c r="J4" s="640" t="str">
        <f>Matrice[[#Headers],[Flux 9]]</f>
        <v>Flux 9</v>
      </c>
      <c r="K4" s="640" t="str">
        <f>Matrice[[#Headers],[Flux 10]]</f>
        <v>Flux 10</v>
      </c>
      <c r="L4" s="640" t="str">
        <f>Matrice[[#Headers],[Flux 11]]</f>
        <v>Flux 11</v>
      </c>
      <c r="M4" s="640" t="str">
        <f>Matrice[[#Headers],[Flux 12]]</f>
        <v>Flux 12</v>
      </c>
      <c r="N4" s="640" t="str">
        <f>Matrice[[#Headers],[Flux 13]]</f>
        <v>Flux 13</v>
      </c>
      <c r="O4" s="640" t="str">
        <f>Matrice[[#Headers],[Flux 14]]</f>
        <v>Flux 14</v>
      </c>
      <c r="P4" s="640" t="str">
        <f>Matrice[[#Headers],[Flux 15]]</f>
        <v>Flux 15</v>
      </c>
      <c r="Q4" s="640" t="str">
        <f>Matrice[[#Headers],[Flux 16]]</f>
        <v>Flux 16</v>
      </c>
      <c r="R4" s="640" t="str">
        <f>Matrice[[#Headers],[Flux 17]]</f>
        <v>Flux 17</v>
      </c>
      <c r="S4" s="640" t="str">
        <f>Matrice[[#Headers],[Flux 18]]</f>
        <v>Flux 18</v>
      </c>
      <c r="T4" s="640" t="str">
        <f>Matrice[[#Headers],[Flux 19]]</f>
        <v>Flux 19</v>
      </c>
      <c r="U4" s="640" t="str">
        <f>Matrice[[#Headers],[Flux 20]]</f>
        <v>Flux 20</v>
      </c>
      <c r="V4" s="640" t="str">
        <f>Matrice[[#Headers],[Flux 21]]</f>
        <v>Flux 21</v>
      </c>
      <c r="W4" s="640" t="str">
        <f>Matrice[[#Headers],[Flux 22]]</f>
        <v>Flux 22</v>
      </c>
      <c r="X4" s="640" t="str">
        <f>Matrice[[#Headers],[Flux 23]]</f>
        <v>Flux 23</v>
      </c>
      <c r="Y4" s="640" t="str">
        <f>Matrice[[#Headers],[Flux 24]]</f>
        <v>Flux 24</v>
      </c>
      <c r="Z4" s="640" t="str">
        <f>Matrice[[#Headers],[Flux 25]]</f>
        <v>Flux 25</v>
      </c>
      <c r="AA4" s="197"/>
      <c r="AB4" s="640" t="str">
        <f t="shared" ref="AB4:AZ4" si="0">B4</f>
        <v>OMR</v>
      </c>
      <c r="AC4" s="187" t="str">
        <f t="shared" si="0"/>
        <v>Verre</v>
      </c>
      <c r="AD4" s="187" t="str">
        <f t="shared" si="0"/>
        <v>RSOM hors verre</v>
      </c>
      <c r="AE4" s="187" t="str">
        <f t="shared" si="0"/>
        <v>Déchets des déchèteries</v>
      </c>
      <c r="AF4" s="187" t="str">
        <f t="shared" si="0"/>
        <v>Flux 5</v>
      </c>
      <c r="AG4" s="187" t="str">
        <f t="shared" si="0"/>
        <v>Flux 6</v>
      </c>
      <c r="AH4" s="187" t="str">
        <f t="shared" si="0"/>
        <v>Flux 7</v>
      </c>
      <c r="AI4" s="187" t="str">
        <f t="shared" si="0"/>
        <v>Flux 8</v>
      </c>
      <c r="AJ4" s="187" t="str">
        <f t="shared" si="0"/>
        <v>Flux 9</v>
      </c>
      <c r="AK4" s="187" t="str">
        <f t="shared" si="0"/>
        <v>Flux 10</v>
      </c>
      <c r="AL4" s="187" t="str">
        <f t="shared" si="0"/>
        <v>Flux 11</v>
      </c>
      <c r="AM4" s="187" t="str">
        <f t="shared" si="0"/>
        <v>Flux 12</v>
      </c>
      <c r="AN4" s="187" t="str">
        <f t="shared" si="0"/>
        <v>Flux 13</v>
      </c>
      <c r="AO4" s="187" t="str">
        <f t="shared" si="0"/>
        <v>Flux 14</v>
      </c>
      <c r="AP4" s="187" t="str">
        <f t="shared" si="0"/>
        <v>Flux 15</v>
      </c>
      <c r="AQ4" s="187" t="str">
        <f t="shared" si="0"/>
        <v>Flux 16</v>
      </c>
      <c r="AR4" s="187" t="str">
        <f t="shared" si="0"/>
        <v>Flux 17</v>
      </c>
      <c r="AS4" s="187" t="str">
        <f t="shared" si="0"/>
        <v>Flux 18</v>
      </c>
      <c r="AT4" s="187" t="str">
        <f t="shared" si="0"/>
        <v>Flux 19</v>
      </c>
      <c r="AU4" s="187" t="str">
        <f t="shared" si="0"/>
        <v>Flux 20</v>
      </c>
      <c r="AV4" s="187" t="str">
        <f t="shared" si="0"/>
        <v>Flux 21</v>
      </c>
      <c r="AW4" s="187" t="str">
        <f t="shared" si="0"/>
        <v>Flux 22</v>
      </c>
      <c r="AX4" s="187" t="str">
        <f t="shared" si="0"/>
        <v>Flux 23</v>
      </c>
      <c r="AY4" s="187" t="str">
        <f t="shared" si="0"/>
        <v>Flux 24</v>
      </c>
      <c r="AZ4" s="187" t="str">
        <f t="shared" si="0"/>
        <v>Flux 25</v>
      </c>
      <c r="BA4" s="675"/>
      <c r="BC4" s="640" t="str">
        <f>AB4</f>
        <v>OMR</v>
      </c>
      <c r="BD4" s="640" t="str">
        <f t="shared" ref="BD4:CA4" si="1">AC4</f>
        <v>Verre</v>
      </c>
      <c r="BE4" s="640" t="str">
        <f t="shared" si="1"/>
        <v>RSOM hors verre</v>
      </c>
      <c r="BF4" s="640" t="str">
        <f t="shared" si="1"/>
        <v>Déchets des déchèteries</v>
      </c>
      <c r="BG4" s="640" t="str">
        <f t="shared" si="1"/>
        <v>Flux 5</v>
      </c>
      <c r="BH4" s="640" t="str">
        <f t="shared" si="1"/>
        <v>Flux 6</v>
      </c>
      <c r="BI4" s="640" t="str">
        <f t="shared" si="1"/>
        <v>Flux 7</v>
      </c>
      <c r="BJ4" s="640" t="str">
        <f t="shared" si="1"/>
        <v>Flux 8</v>
      </c>
      <c r="BK4" s="640" t="str">
        <f t="shared" si="1"/>
        <v>Flux 9</v>
      </c>
      <c r="BL4" s="640" t="str">
        <f t="shared" si="1"/>
        <v>Flux 10</v>
      </c>
      <c r="BM4" s="640" t="str">
        <f t="shared" si="1"/>
        <v>Flux 11</v>
      </c>
      <c r="BN4" s="640" t="str">
        <f t="shared" si="1"/>
        <v>Flux 12</v>
      </c>
      <c r="BO4" s="640" t="str">
        <f t="shared" si="1"/>
        <v>Flux 13</v>
      </c>
      <c r="BP4" s="640" t="str">
        <f t="shared" si="1"/>
        <v>Flux 14</v>
      </c>
      <c r="BQ4" s="640" t="str">
        <f t="shared" si="1"/>
        <v>Flux 15</v>
      </c>
      <c r="BR4" s="640" t="str">
        <f t="shared" si="1"/>
        <v>Flux 16</v>
      </c>
      <c r="BS4" s="640" t="str">
        <f t="shared" si="1"/>
        <v>Flux 17</v>
      </c>
      <c r="BT4" s="640" t="str">
        <f t="shared" si="1"/>
        <v>Flux 18</v>
      </c>
      <c r="BU4" s="640" t="str">
        <f t="shared" si="1"/>
        <v>Flux 19</v>
      </c>
      <c r="BV4" s="640" t="str">
        <f t="shared" si="1"/>
        <v>Flux 20</v>
      </c>
      <c r="BW4" s="640" t="str">
        <f t="shared" si="1"/>
        <v>Flux 21</v>
      </c>
      <c r="BX4" s="640" t="str">
        <f t="shared" si="1"/>
        <v>Flux 22</v>
      </c>
      <c r="BY4" s="640" t="str">
        <f t="shared" si="1"/>
        <v>Flux 23</v>
      </c>
      <c r="BZ4" s="640" t="str">
        <f t="shared" si="1"/>
        <v>Flux 24</v>
      </c>
      <c r="CA4" s="640" t="str">
        <f t="shared" si="1"/>
        <v>Flux 25</v>
      </c>
      <c r="CB4" s="675"/>
      <c r="CD4" s="185" t="str">
        <f>Matrice[[#Headers],[OMR]]</f>
        <v>OMR</v>
      </c>
      <c r="CE4" s="185" t="str">
        <f>Matrice[[#Headers],[Verre]]</f>
        <v>Verre</v>
      </c>
      <c r="CF4" s="185" t="str">
        <f>Matrice[[#Headers],[RSOM hors verre]]</f>
        <v>RSOM hors verre</v>
      </c>
      <c r="CG4" s="185" t="str">
        <f>Matrice[[#Headers],[Déchets des déchèteries]]</f>
        <v>Déchets des déchèteries</v>
      </c>
      <c r="CH4" s="185" t="str">
        <f>Matrice[[#Headers],[Flux 5]]</f>
        <v>Flux 5</v>
      </c>
      <c r="CI4" s="185" t="str">
        <f>Matrice[[#Headers],[Flux 6]]</f>
        <v>Flux 6</v>
      </c>
      <c r="CJ4" s="185" t="str">
        <f>Matrice[[#Headers],[Flux 7]]</f>
        <v>Flux 7</v>
      </c>
      <c r="CK4" s="185" t="str">
        <f>Matrice[[#Headers],[Flux 8]]</f>
        <v>Flux 8</v>
      </c>
      <c r="CL4" s="185" t="str">
        <f>Matrice[[#Headers],[Flux 9]]</f>
        <v>Flux 9</v>
      </c>
      <c r="CM4" s="185" t="str">
        <f>Matrice[[#Headers],[Flux 10]]</f>
        <v>Flux 10</v>
      </c>
      <c r="CN4" s="185" t="str">
        <f>Matrice[[#Headers],[Flux 11]]</f>
        <v>Flux 11</v>
      </c>
      <c r="CO4" s="185" t="str">
        <f>Matrice[[#Headers],[Flux 12]]</f>
        <v>Flux 12</v>
      </c>
      <c r="CP4" s="185" t="str">
        <f>Matrice[[#Headers],[Flux 13]]</f>
        <v>Flux 13</v>
      </c>
      <c r="CQ4" s="185" t="str">
        <f>Matrice[[#Headers],[Flux 14]]</f>
        <v>Flux 14</v>
      </c>
      <c r="CR4" s="185" t="str">
        <f>Matrice[[#Headers],[Flux 15]]</f>
        <v>Flux 15</v>
      </c>
      <c r="CS4" s="185" t="str">
        <f>Matrice[[#Headers],[Flux 16]]</f>
        <v>Flux 16</v>
      </c>
      <c r="CT4" s="185" t="str">
        <f>Matrice[[#Headers],[Flux 17]]</f>
        <v>Flux 17</v>
      </c>
      <c r="CU4" s="185" t="str">
        <f>Matrice[[#Headers],[Flux 18]]</f>
        <v>Flux 18</v>
      </c>
      <c r="CV4" s="185" t="str">
        <f>Matrice[[#Headers],[Flux 19]]</f>
        <v>Flux 19</v>
      </c>
      <c r="CW4" s="185" t="str">
        <f>Matrice[[#Headers],[Flux 20]]</f>
        <v>Flux 20</v>
      </c>
      <c r="CX4" s="185" t="str">
        <f>Matrice[[#Headers],[Flux 21]]</f>
        <v>Flux 21</v>
      </c>
      <c r="CY4" s="185" t="str">
        <f>Matrice[[#Headers],[Flux 22]]</f>
        <v>Flux 22</v>
      </c>
      <c r="CZ4" s="185" t="str">
        <f>Matrice[[#Headers],[Flux 23]]</f>
        <v>Flux 23</v>
      </c>
      <c r="DA4" s="185" t="str">
        <f>Matrice[[#Headers],[Flux 24]]</f>
        <v>Flux 24</v>
      </c>
      <c r="DB4" s="185" t="str">
        <f>Matrice[[#Headers],[Flux 25]]</f>
        <v>Flux 25</v>
      </c>
    </row>
    <row r="5" spans="1:106" x14ac:dyDescent="0.25">
      <c r="A5" s="42" t="str">
        <f>Matrice[[#This Row],[Ligne de la matrice]]</f>
        <v>Charges de structure</v>
      </c>
      <c r="B5" s="276">
        <f>(SUMIF(Fonctionnement[Affectation matrice],$AB$3,Fonctionnement[Montant (€HT)])+SUMIF(Invest[Affectation matrice],$AB$3,Invest[Amortissement HT + intérêts]))*BC5</f>
        <v>0</v>
      </c>
      <c r="C5" s="276">
        <f>(SUMIF(Fonctionnement[Affectation matrice],$AB$3,Fonctionnement[Montant (€HT)])+SUMIF(Invest[Affectation matrice],$AB$3,Invest[Amortissement HT + intérêts]))*BD5</f>
        <v>0</v>
      </c>
      <c r="D5" s="276">
        <f>(SUMIF(Fonctionnement[Affectation matrice],$AB$3,Fonctionnement[Montant (€HT)])+SUMIF(Invest[Affectation matrice],$AB$3,Invest[Amortissement HT + intérêts]))*BE5</f>
        <v>0</v>
      </c>
      <c r="E5" s="276">
        <f>(SUMIF(Fonctionnement[Affectation matrice],$AB$3,Fonctionnement[Montant (€HT)])+SUMIF(Invest[Affectation matrice],$AB$3,Invest[Amortissement HT + intérêts]))*BF5</f>
        <v>0</v>
      </c>
      <c r="F5" s="276">
        <f>(SUMIF(Fonctionnement[Affectation matrice],$AB$3,Fonctionnement[Montant (€HT)])+SUMIF(Invest[Affectation matrice],$AB$3,Invest[Amortissement HT + intérêts]))*BG5</f>
        <v>0</v>
      </c>
      <c r="G5" s="276">
        <f>(SUMIF(Fonctionnement[Affectation matrice],$AB$3,Fonctionnement[Montant (€HT)])+SUMIF(Invest[Affectation matrice],$AB$3,Invest[Amortissement HT + intérêts]))*BH5</f>
        <v>0</v>
      </c>
      <c r="H5" s="276">
        <f>(SUMIF(Fonctionnement[Affectation matrice],$AB$3,Fonctionnement[Montant (€HT)])+SUMIF(Invest[Affectation matrice],$AB$3,Invest[Amortissement HT + intérêts]))*BI5</f>
        <v>0</v>
      </c>
      <c r="I5" s="276">
        <f>(SUMIF(Fonctionnement[Affectation matrice],$AB$3,Fonctionnement[Montant (€HT)])+SUMIF(Invest[Affectation matrice],$AB$3,Invest[Amortissement HT + intérêts]))*BJ5</f>
        <v>0</v>
      </c>
      <c r="J5" s="276">
        <f>(SUMIF(Fonctionnement[Affectation matrice],$AB$3,Fonctionnement[Montant (€HT)])+SUMIF(Invest[Affectation matrice],$AB$3,Invest[Amortissement HT + intérêts]))*BK5</f>
        <v>0</v>
      </c>
      <c r="K5" s="276">
        <f>(SUMIF(Fonctionnement[Affectation matrice],$AB$3,Fonctionnement[Montant (€HT)])+SUMIF(Invest[Affectation matrice],$AB$3,Invest[Amortissement HT + intérêts]))*BL5</f>
        <v>0</v>
      </c>
      <c r="L5" s="276">
        <f>(SUMIF(Fonctionnement[Affectation matrice],$AB$3,Fonctionnement[Montant (€HT)])+SUMIF(Invest[Affectation matrice],$AB$3,Invest[Amortissement HT + intérêts]))*BM5</f>
        <v>0</v>
      </c>
      <c r="M5" s="276">
        <f>(SUMIF(Fonctionnement[Affectation matrice],$AB$3,Fonctionnement[Montant (€HT)])+SUMIF(Invest[Affectation matrice],$AB$3,Invest[Amortissement HT + intérêts]))*BN5</f>
        <v>0</v>
      </c>
      <c r="N5" s="276">
        <f>(SUMIF(Fonctionnement[Affectation matrice],$AB$3,Fonctionnement[Montant (€HT)])+SUMIF(Invest[Affectation matrice],$AB$3,Invest[Amortissement HT + intérêts]))*BO5</f>
        <v>0</v>
      </c>
      <c r="O5" s="276">
        <f>(SUMIF(Fonctionnement[Affectation matrice],$AB$3,Fonctionnement[Montant (€HT)])+SUMIF(Invest[Affectation matrice],$AB$3,Invest[Amortissement HT + intérêts]))*BP5</f>
        <v>0</v>
      </c>
      <c r="P5" s="276">
        <f>(SUMIF(Fonctionnement[Affectation matrice],$AB$3,Fonctionnement[Montant (€HT)])+SUMIF(Invest[Affectation matrice],$AB$3,Invest[Amortissement HT + intérêts]))*BQ5</f>
        <v>0</v>
      </c>
      <c r="Q5" s="276">
        <f>(SUMIF(Fonctionnement[Affectation matrice],$AB$3,Fonctionnement[Montant (€HT)])+SUMIF(Invest[Affectation matrice],$AB$3,Invest[Amortissement HT + intérêts]))*BR5</f>
        <v>0</v>
      </c>
      <c r="R5" s="276">
        <f>(SUMIF(Fonctionnement[Affectation matrice],$AB$3,Fonctionnement[Montant (€HT)])+SUMIF(Invest[Affectation matrice],$AB$3,Invest[Amortissement HT + intérêts]))*BS5</f>
        <v>0</v>
      </c>
      <c r="S5" s="276">
        <f>(SUMIF(Fonctionnement[Affectation matrice],$AB$3,Fonctionnement[Montant (€HT)])+SUMIF(Invest[Affectation matrice],$AB$3,Invest[Amortissement HT + intérêts]))*BT5</f>
        <v>0</v>
      </c>
      <c r="T5" s="276">
        <f>(SUMIF(Fonctionnement[Affectation matrice],$AB$3,Fonctionnement[Montant (€HT)])+SUMIF(Invest[Affectation matrice],$AB$3,Invest[Amortissement HT + intérêts]))*BU5</f>
        <v>0</v>
      </c>
      <c r="U5" s="276">
        <f>(SUMIF(Fonctionnement[Affectation matrice],$AB$3,Fonctionnement[Montant (€HT)])+SUMIF(Invest[Affectation matrice],$AB$3,Invest[Amortissement HT + intérêts]))*BV5</f>
        <v>0</v>
      </c>
      <c r="V5" s="276">
        <f>(SUMIF(Fonctionnement[Affectation matrice],$AB$3,Fonctionnement[Montant (€HT)])+SUMIF(Invest[Affectation matrice],$AB$3,Invest[Amortissement HT + intérêts]))*BW5</f>
        <v>0</v>
      </c>
      <c r="W5" s="276">
        <f>(SUMIF(Fonctionnement[Affectation matrice],$AB$3,Fonctionnement[Montant (€HT)])+SUMIF(Invest[Affectation matrice],$AB$3,Invest[Amortissement HT + intérêts]))*BX5</f>
        <v>0</v>
      </c>
      <c r="X5" s="276">
        <f>(SUMIF(Fonctionnement[Affectation matrice],$AB$3,Fonctionnement[Montant (€HT)])+SUMIF(Invest[Affectation matrice],$AB$3,Invest[Amortissement HT + intérêts]))*BY5</f>
        <v>0</v>
      </c>
      <c r="Y5" s="276">
        <f>(SUMIF(Fonctionnement[Affectation matrice],$AB$3,Fonctionnement[Montant (€HT)])+SUMIF(Invest[Affectation matrice],$AB$3,Invest[Amortissement HT + intérêts]))*BZ5</f>
        <v>0</v>
      </c>
      <c r="Z5" s="276">
        <f>(SUMIF(Fonctionnement[Affectation matrice],$AB$3,Fonctionnement[Montant (€HT)])+SUMIF(Invest[Affectation matrice],$AB$3,Invest[Amortissement HT + intérêts]))*CA5</f>
        <v>0</v>
      </c>
      <c r="AA5" s="199"/>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83">
        <f>SUM(AB5:AZ5)</f>
        <v>0</v>
      </c>
      <c r="BC5" s="61">
        <f t="shared" ref="BC5:BR20" si="2">IF($BA$53=0,0,AB5/$BA$53)</f>
        <v>0</v>
      </c>
      <c r="BD5" s="61">
        <f t="shared" si="2"/>
        <v>0</v>
      </c>
      <c r="BE5" s="61">
        <f t="shared" si="2"/>
        <v>0</v>
      </c>
      <c r="BF5" s="61">
        <f t="shared" si="2"/>
        <v>0</v>
      </c>
      <c r="BG5" s="61">
        <f t="shared" si="2"/>
        <v>0</v>
      </c>
      <c r="BH5" s="61">
        <f t="shared" si="2"/>
        <v>0</v>
      </c>
      <c r="BI5" s="61">
        <f t="shared" si="2"/>
        <v>0</v>
      </c>
      <c r="BJ5" s="61">
        <f t="shared" si="2"/>
        <v>0</v>
      </c>
      <c r="BK5" s="61">
        <f t="shared" si="2"/>
        <v>0</v>
      </c>
      <c r="BL5" s="61">
        <f t="shared" si="2"/>
        <v>0</v>
      </c>
      <c r="BM5" s="61">
        <f t="shared" si="2"/>
        <v>0</v>
      </c>
      <c r="BN5" s="61">
        <f t="shared" si="2"/>
        <v>0</v>
      </c>
      <c r="BO5" s="61">
        <f t="shared" si="2"/>
        <v>0</v>
      </c>
      <c r="BP5" s="61">
        <f t="shared" si="2"/>
        <v>0</v>
      </c>
      <c r="BQ5" s="61">
        <f t="shared" si="2"/>
        <v>0</v>
      </c>
      <c r="BR5" s="61">
        <f t="shared" si="2"/>
        <v>0</v>
      </c>
      <c r="BS5" s="61">
        <f t="shared" ref="BS5:CA22" si="3">IF($BA$53=0,0,AR5/$BA$53)</f>
        <v>0</v>
      </c>
      <c r="BT5" s="61">
        <f t="shared" si="3"/>
        <v>0</v>
      </c>
      <c r="BU5" s="61">
        <f t="shared" si="3"/>
        <v>0</v>
      </c>
      <c r="BV5" s="61">
        <f t="shared" si="3"/>
        <v>0</v>
      </c>
      <c r="BW5" s="61">
        <f t="shared" si="3"/>
        <v>0</v>
      </c>
      <c r="BX5" s="61">
        <f t="shared" si="3"/>
        <v>0</v>
      </c>
      <c r="BY5" s="61">
        <f t="shared" si="3"/>
        <v>0</v>
      </c>
      <c r="BZ5" s="61">
        <f t="shared" si="3"/>
        <v>0</v>
      </c>
      <c r="CA5" s="61">
        <f t="shared" si="3"/>
        <v>0</v>
      </c>
      <c r="CB5" s="61">
        <f>SUM(BC5:CA5)</f>
        <v>0</v>
      </c>
      <c r="CD5" s="200">
        <f>(SUMIF(Fonctionnement[Affectation matrice],$AB$3,Fonctionnement[TVA acquittée])+SUMIF(Invest[Affectation matrice],$AB$3,Invest[TVA acquittée]))*BC5</f>
        <v>0</v>
      </c>
      <c r="CE5" s="200">
        <f>(SUMIF(Fonctionnement[Affectation matrice],$AB$3,Fonctionnement[TVA acquittée])+SUMIF(Invest[Affectation matrice],$AB$3,Invest[TVA acquittée]))*BD5</f>
        <v>0</v>
      </c>
      <c r="CF5" s="200">
        <f>(SUMIF(Fonctionnement[Affectation matrice],$AB$3,Fonctionnement[TVA acquittée])+SUMIF(Invest[Affectation matrice],$AB$3,Invest[TVA acquittée]))*BE5</f>
        <v>0</v>
      </c>
      <c r="CG5" s="200">
        <f>(SUMIF(Fonctionnement[Affectation matrice],$AB$3,Fonctionnement[TVA acquittée])+SUMIF(Invest[Affectation matrice],$AB$3,Invest[TVA acquittée]))*BF5</f>
        <v>0</v>
      </c>
      <c r="CH5" s="200">
        <f>(SUMIF(Fonctionnement[Affectation matrice],$AB$3,Fonctionnement[TVA acquittée])+SUMIF(Invest[Affectation matrice],$AB$3,Invest[TVA acquittée]))*BG5</f>
        <v>0</v>
      </c>
      <c r="CI5" s="200">
        <f>(SUMIF(Fonctionnement[Affectation matrice],$AB$3,Fonctionnement[TVA acquittée])+SUMIF(Invest[Affectation matrice],$AB$3,Invest[TVA acquittée]))*BH5</f>
        <v>0</v>
      </c>
      <c r="CJ5" s="200">
        <f>(SUMIF(Fonctionnement[Affectation matrice],$AB$3,Fonctionnement[TVA acquittée])+SUMIF(Invest[Affectation matrice],$AB$3,Invest[TVA acquittée]))*BI5</f>
        <v>0</v>
      </c>
      <c r="CK5" s="200">
        <f>(SUMIF(Fonctionnement[Affectation matrice],$AB$3,Fonctionnement[TVA acquittée])+SUMIF(Invest[Affectation matrice],$AB$3,Invest[TVA acquittée]))*BJ5</f>
        <v>0</v>
      </c>
      <c r="CL5" s="200">
        <f>(SUMIF(Fonctionnement[Affectation matrice],$AB$3,Fonctionnement[TVA acquittée])+SUMIF(Invest[Affectation matrice],$AB$3,Invest[TVA acquittée]))*BK5</f>
        <v>0</v>
      </c>
      <c r="CM5" s="200">
        <f>(SUMIF(Fonctionnement[Affectation matrice],$AB$3,Fonctionnement[TVA acquittée])+SUMIF(Invest[Affectation matrice],$AB$3,Invest[TVA acquittée]))*BL5</f>
        <v>0</v>
      </c>
      <c r="CN5" s="200">
        <f>(SUMIF(Fonctionnement[Affectation matrice],$AB$3,Fonctionnement[TVA acquittée])+SUMIF(Invest[Affectation matrice],$AB$3,Invest[TVA acquittée]))*BM5</f>
        <v>0</v>
      </c>
      <c r="CO5" s="200">
        <f>(SUMIF(Fonctionnement[Affectation matrice],$AB$3,Fonctionnement[TVA acquittée])+SUMIF(Invest[Affectation matrice],$AB$3,Invest[TVA acquittée]))*BN5</f>
        <v>0</v>
      </c>
      <c r="CP5" s="200">
        <f>(SUMIF(Fonctionnement[Affectation matrice],$AB$3,Fonctionnement[TVA acquittée])+SUMIF(Invest[Affectation matrice],$AB$3,Invest[TVA acquittée]))*BO5</f>
        <v>0</v>
      </c>
      <c r="CQ5" s="200">
        <f>(SUMIF(Fonctionnement[Affectation matrice],$AB$3,Fonctionnement[TVA acquittée])+SUMIF(Invest[Affectation matrice],$AB$3,Invest[TVA acquittée]))*BP5</f>
        <v>0</v>
      </c>
      <c r="CR5" s="200">
        <f>(SUMIF(Fonctionnement[Affectation matrice],$AB$3,Fonctionnement[TVA acquittée])+SUMIF(Invest[Affectation matrice],$AB$3,Invest[TVA acquittée]))*BQ5</f>
        <v>0</v>
      </c>
      <c r="CS5" s="200">
        <f>(SUMIF(Fonctionnement[Affectation matrice],$AB$3,Fonctionnement[TVA acquittée])+SUMIF(Invest[Affectation matrice],$AB$3,Invest[TVA acquittée]))*BR5</f>
        <v>0</v>
      </c>
      <c r="CT5" s="200">
        <f>(SUMIF(Fonctionnement[Affectation matrice],$AB$3,Fonctionnement[TVA acquittée])+SUMIF(Invest[Affectation matrice],$AB$3,Invest[TVA acquittée]))*BS5</f>
        <v>0</v>
      </c>
      <c r="CU5" s="200">
        <f>(SUMIF(Fonctionnement[Affectation matrice],$AB$3,Fonctionnement[TVA acquittée])+SUMIF(Invest[Affectation matrice],$AB$3,Invest[TVA acquittée]))*BT5</f>
        <v>0</v>
      </c>
      <c r="CV5" s="200">
        <f>(SUMIF(Fonctionnement[Affectation matrice],$AB$3,Fonctionnement[TVA acquittée])+SUMIF(Invest[Affectation matrice],$AB$3,Invest[TVA acquittée]))*BU5</f>
        <v>0</v>
      </c>
      <c r="CW5" s="200">
        <f>(SUMIF(Fonctionnement[Affectation matrice],$AB$3,Fonctionnement[TVA acquittée])+SUMIF(Invest[Affectation matrice],$AB$3,Invest[TVA acquittée]))*BV5</f>
        <v>0</v>
      </c>
      <c r="CX5" s="200">
        <f>(SUMIF(Fonctionnement[Affectation matrice],$AB$3,Fonctionnement[TVA acquittée])+SUMIF(Invest[Affectation matrice],$AB$3,Invest[TVA acquittée]))*BW5</f>
        <v>0</v>
      </c>
      <c r="CY5" s="200">
        <f>(SUMIF(Fonctionnement[Affectation matrice],$AB$3,Fonctionnement[TVA acquittée])+SUMIF(Invest[Affectation matrice],$AB$3,Invest[TVA acquittée]))*BX5</f>
        <v>0</v>
      </c>
      <c r="CZ5" s="200">
        <f>(SUMIF(Fonctionnement[Affectation matrice],$AB$3,Fonctionnement[TVA acquittée])+SUMIF(Invest[Affectation matrice],$AB$3,Invest[TVA acquittée]))*BY5</f>
        <v>0</v>
      </c>
      <c r="DA5" s="200">
        <f>(SUMIF(Fonctionnement[Affectation matrice],$AB$3,Fonctionnement[TVA acquittée])+SUMIF(Invest[Affectation matrice],$AB$3,Invest[TVA acquittée]))*BZ5</f>
        <v>0</v>
      </c>
      <c r="DB5" s="200">
        <f>(SUMIF(Fonctionnement[Affectation matrice],$AB$3,Fonctionnement[TVA acquittée])+SUMIF(Invest[Affectation matrice],$AB$3,Invest[TVA acquittée]))*CA5</f>
        <v>0</v>
      </c>
    </row>
    <row r="6" spans="1:106" ht="15" customHeight="1" x14ac:dyDescent="0.25">
      <c r="A6" s="42" t="str">
        <f>Matrice[[#This Row],[Ligne de la matrice]]</f>
        <v>Communication</v>
      </c>
      <c r="B6" s="276">
        <f>(SUMIF(Fonctionnement[Affectation matrice],$AB$3,Fonctionnement[Montant (€HT)])+SUMIF(Invest[Affectation matrice],$AB$3,Invest[Amortissement HT + intérêts]))*BC6</f>
        <v>0</v>
      </c>
      <c r="C6" s="276">
        <f>(SUMIF(Fonctionnement[Affectation matrice],$AB$3,Fonctionnement[Montant (€HT)])+SUMIF(Invest[Affectation matrice],$AB$3,Invest[Amortissement HT + intérêts]))*BD6</f>
        <v>0</v>
      </c>
      <c r="D6" s="276">
        <f>(SUMIF(Fonctionnement[Affectation matrice],$AB$3,Fonctionnement[Montant (€HT)])+SUMIF(Invest[Affectation matrice],$AB$3,Invest[Amortissement HT + intérêts]))*BE6</f>
        <v>0</v>
      </c>
      <c r="E6" s="276">
        <f>(SUMIF(Fonctionnement[Affectation matrice],$AB$3,Fonctionnement[Montant (€HT)])+SUMIF(Invest[Affectation matrice],$AB$3,Invest[Amortissement HT + intérêts]))*BF6</f>
        <v>0</v>
      </c>
      <c r="F6" s="276">
        <f>(SUMIF(Fonctionnement[Affectation matrice],$AB$3,Fonctionnement[Montant (€HT)])+SUMIF(Invest[Affectation matrice],$AB$3,Invest[Amortissement HT + intérêts]))*BG6</f>
        <v>0</v>
      </c>
      <c r="G6" s="276">
        <f>(SUMIF(Fonctionnement[Affectation matrice],$AB$3,Fonctionnement[Montant (€HT)])+SUMIF(Invest[Affectation matrice],$AB$3,Invest[Amortissement HT + intérêts]))*BH6</f>
        <v>0</v>
      </c>
      <c r="H6" s="276">
        <f>(SUMIF(Fonctionnement[Affectation matrice],$AB$3,Fonctionnement[Montant (€HT)])+SUMIF(Invest[Affectation matrice],$AB$3,Invest[Amortissement HT + intérêts]))*BI6</f>
        <v>0</v>
      </c>
      <c r="I6" s="276">
        <f>(SUMIF(Fonctionnement[Affectation matrice],$AB$3,Fonctionnement[Montant (€HT)])+SUMIF(Invest[Affectation matrice],$AB$3,Invest[Amortissement HT + intérêts]))*BJ6</f>
        <v>0</v>
      </c>
      <c r="J6" s="276">
        <f>(SUMIF(Fonctionnement[Affectation matrice],$AB$3,Fonctionnement[Montant (€HT)])+SUMIF(Invest[Affectation matrice],$AB$3,Invest[Amortissement HT + intérêts]))*BK6</f>
        <v>0</v>
      </c>
      <c r="K6" s="276">
        <f>(SUMIF(Fonctionnement[Affectation matrice],$AB$3,Fonctionnement[Montant (€HT)])+SUMIF(Invest[Affectation matrice],$AB$3,Invest[Amortissement HT + intérêts]))*BL6</f>
        <v>0</v>
      </c>
      <c r="L6" s="276">
        <f>(SUMIF(Fonctionnement[Affectation matrice],$AB$3,Fonctionnement[Montant (€HT)])+SUMIF(Invest[Affectation matrice],$AB$3,Invest[Amortissement HT + intérêts]))*BM6</f>
        <v>0</v>
      </c>
      <c r="M6" s="276">
        <f>(SUMIF(Fonctionnement[Affectation matrice],$AB$3,Fonctionnement[Montant (€HT)])+SUMIF(Invest[Affectation matrice],$AB$3,Invest[Amortissement HT + intérêts]))*BN6</f>
        <v>0</v>
      </c>
      <c r="N6" s="276">
        <f>(SUMIF(Fonctionnement[Affectation matrice],$AB$3,Fonctionnement[Montant (€HT)])+SUMIF(Invest[Affectation matrice],$AB$3,Invest[Amortissement HT + intérêts]))*BO6</f>
        <v>0</v>
      </c>
      <c r="O6" s="276">
        <f>(SUMIF(Fonctionnement[Affectation matrice],$AB$3,Fonctionnement[Montant (€HT)])+SUMIF(Invest[Affectation matrice],$AB$3,Invest[Amortissement HT + intérêts]))*BP6</f>
        <v>0</v>
      </c>
      <c r="P6" s="276">
        <f>(SUMIF(Fonctionnement[Affectation matrice],$AB$3,Fonctionnement[Montant (€HT)])+SUMIF(Invest[Affectation matrice],$AB$3,Invest[Amortissement HT + intérêts]))*BQ6</f>
        <v>0</v>
      </c>
      <c r="Q6" s="276">
        <f>(SUMIF(Fonctionnement[Affectation matrice],$AB$3,Fonctionnement[Montant (€HT)])+SUMIF(Invest[Affectation matrice],$AB$3,Invest[Amortissement HT + intérêts]))*BR6</f>
        <v>0</v>
      </c>
      <c r="R6" s="276">
        <f>(SUMIF(Fonctionnement[Affectation matrice],$AB$3,Fonctionnement[Montant (€HT)])+SUMIF(Invest[Affectation matrice],$AB$3,Invest[Amortissement HT + intérêts]))*BS6</f>
        <v>0</v>
      </c>
      <c r="S6" s="276">
        <f>(SUMIF(Fonctionnement[Affectation matrice],$AB$3,Fonctionnement[Montant (€HT)])+SUMIF(Invest[Affectation matrice],$AB$3,Invest[Amortissement HT + intérêts]))*BT6</f>
        <v>0</v>
      </c>
      <c r="T6" s="276">
        <f>(SUMIF(Fonctionnement[Affectation matrice],$AB$3,Fonctionnement[Montant (€HT)])+SUMIF(Invest[Affectation matrice],$AB$3,Invest[Amortissement HT + intérêts]))*BU6</f>
        <v>0</v>
      </c>
      <c r="U6" s="276">
        <f>(SUMIF(Fonctionnement[Affectation matrice],$AB$3,Fonctionnement[Montant (€HT)])+SUMIF(Invest[Affectation matrice],$AB$3,Invest[Amortissement HT + intérêts]))*BV6</f>
        <v>0</v>
      </c>
      <c r="V6" s="276">
        <f>(SUMIF(Fonctionnement[Affectation matrice],$AB$3,Fonctionnement[Montant (€HT)])+SUMIF(Invest[Affectation matrice],$AB$3,Invest[Amortissement HT + intérêts]))*BW6</f>
        <v>0</v>
      </c>
      <c r="W6" s="276">
        <f>(SUMIF(Fonctionnement[Affectation matrice],$AB$3,Fonctionnement[Montant (€HT)])+SUMIF(Invest[Affectation matrice],$AB$3,Invest[Amortissement HT + intérêts]))*BX6</f>
        <v>0</v>
      </c>
      <c r="X6" s="276">
        <f>(SUMIF(Fonctionnement[Affectation matrice],$AB$3,Fonctionnement[Montant (€HT)])+SUMIF(Invest[Affectation matrice],$AB$3,Invest[Amortissement HT + intérêts]))*BY6</f>
        <v>0</v>
      </c>
      <c r="Y6" s="276">
        <f>(SUMIF(Fonctionnement[Affectation matrice],$AB$3,Fonctionnement[Montant (€HT)])+SUMIF(Invest[Affectation matrice],$AB$3,Invest[Amortissement HT + intérêts]))*BZ6</f>
        <v>0</v>
      </c>
      <c r="Z6" s="276">
        <f>(SUMIF(Fonctionnement[Affectation matrice],$AB$3,Fonctionnement[Montant (€HT)])+SUMIF(Invest[Affectation matrice],$AB$3,Invest[Amortissement HT + intérêts]))*CA6</f>
        <v>0</v>
      </c>
      <c r="AA6" s="199"/>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283">
        <f>SUM(AB6:AZ6)</f>
        <v>0</v>
      </c>
      <c r="BC6" s="61">
        <f t="shared" si="2"/>
        <v>0</v>
      </c>
      <c r="BD6" s="61">
        <f t="shared" si="2"/>
        <v>0</v>
      </c>
      <c r="BE6" s="61">
        <f t="shared" si="2"/>
        <v>0</v>
      </c>
      <c r="BF6" s="61">
        <f t="shared" si="2"/>
        <v>0</v>
      </c>
      <c r="BG6" s="61">
        <f t="shared" si="2"/>
        <v>0</v>
      </c>
      <c r="BH6" s="61">
        <f t="shared" si="2"/>
        <v>0</v>
      </c>
      <c r="BI6" s="61">
        <f t="shared" si="2"/>
        <v>0</v>
      </c>
      <c r="BJ6" s="61">
        <f t="shared" si="2"/>
        <v>0</v>
      </c>
      <c r="BK6" s="61">
        <f t="shared" si="2"/>
        <v>0</v>
      </c>
      <c r="BL6" s="61">
        <f t="shared" si="2"/>
        <v>0</v>
      </c>
      <c r="BM6" s="61">
        <f t="shared" si="2"/>
        <v>0</v>
      </c>
      <c r="BN6" s="61">
        <f t="shared" si="2"/>
        <v>0</v>
      </c>
      <c r="BO6" s="61">
        <f t="shared" si="2"/>
        <v>0</v>
      </c>
      <c r="BP6" s="61">
        <f t="shared" si="2"/>
        <v>0</v>
      </c>
      <c r="BQ6" s="61">
        <f t="shared" si="2"/>
        <v>0</v>
      </c>
      <c r="BR6" s="61">
        <f t="shared" si="2"/>
        <v>0</v>
      </c>
      <c r="BS6" s="61">
        <f t="shared" si="3"/>
        <v>0</v>
      </c>
      <c r="BT6" s="61">
        <f t="shared" si="3"/>
        <v>0</v>
      </c>
      <c r="BU6" s="61">
        <f t="shared" si="3"/>
        <v>0</v>
      </c>
      <c r="BV6" s="61">
        <f t="shared" si="3"/>
        <v>0</v>
      </c>
      <c r="BW6" s="61">
        <f t="shared" si="3"/>
        <v>0</v>
      </c>
      <c r="BX6" s="61">
        <f t="shared" si="3"/>
        <v>0</v>
      </c>
      <c r="BY6" s="61">
        <f t="shared" si="3"/>
        <v>0</v>
      </c>
      <c r="BZ6" s="61">
        <f t="shared" si="3"/>
        <v>0</v>
      </c>
      <c r="CA6" s="61">
        <f t="shared" si="3"/>
        <v>0</v>
      </c>
      <c r="CB6" s="61">
        <f>SUM(BC6:CA6)</f>
        <v>0</v>
      </c>
      <c r="CD6" s="200">
        <f>(SUMIF(Fonctionnement[Affectation matrice],$AB$3,Fonctionnement[TVA acquittée])+SUMIF(Invest[Affectation matrice],$AB$3,Invest[TVA acquittée]))*BC6</f>
        <v>0</v>
      </c>
      <c r="CE6" s="200">
        <f>(SUMIF(Fonctionnement[Affectation matrice],$AB$3,Fonctionnement[TVA acquittée])+SUMIF(Invest[Affectation matrice],$AB$3,Invest[TVA acquittée]))*BD6</f>
        <v>0</v>
      </c>
      <c r="CF6" s="200">
        <f>(SUMIF(Fonctionnement[Affectation matrice],$AB$3,Fonctionnement[TVA acquittée])+SUMIF(Invest[Affectation matrice],$AB$3,Invest[TVA acquittée]))*BE6</f>
        <v>0</v>
      </c>
      <c r="CG6" s="200">
        <f>(SUMIF(Fonctionnement[Affectation matrice],$AB$3,Fonctionnement[TVA acquittée])+SUMIF(Invest[Affectation matrice],$AB$3,Invest[TVA acquittée]))*BF6</f>
        <v>0</v>
      </c>
      <c r="CH6" s="200">
        <f>(SUMIF(Fonctionnement[Affectation matrice],$AB$3,Fonctionnement[TVA acquittée])+SUMIF(Invest[Affectation matrice],$AB$3,Invest[TVA acquittée]))*BG6</f>
        <v>0</v>
      </c>
      <c r="CI6" s="200">
        <f>(SUMIF(Fonctionnement[Affectation matrice],$AB$3,Fonctionnement[TVA acquittée])+SUMIF(Invest[Affectation matrice],$AB$3,Invest[TVA acquittée]))*BH6</f>
        <v>0</v>
      </c>
      <c r="CJ6" s="200">
        <f>(SUMIF(Fonctionnement[Affectation matrice],$AB$3,Fonctionnement[TVA acquittée])+SUMIF(Invest[Affectation matrice],$AB$3,Invest[TVA acquittée]))*BI6</f>
        <v>0</v>
      </c>
      <c r="CK6" s="200">
        <f>(SUMIF(Fonctionnement[Affectation matrice],$AB$3,Fonctionnement[TVA acquittée])+SUMIF(Invest[Affectation matrice],$AB$3,Invest[TVA acquittée]))*BJ6</f>
        <v>0</v>
      </c>
      <c r="CL6" s="200">
        <f>(SUMIF(Fonctionnement[Affectation matrice],$AB$3,Fonctionnement[TVA acquittée])+SUMIF(Invest[Affectation matrice],$AB$3,Invest[TVA acquittée]))*BK6</f>
        <v>0</v>
      </c>
      <c r="CM6" s="200">
        <f>(SUMIF(Fonctionnement[Affectation matrice],$AB$3,Fonctionnement[TVA acquittée])+SUMIF(Invest[Affectation matrice],$AB$3,Invest[TVA acquittée]))*BL6</f>
        <v>0</v>
      </c>
      <c r="CN6" s="200">
        <f>(SUMIF(Fonctionnement[Affectation matrice],$AB$3,Fonctionnement[TVA acquittée])+SUMIF(Invest[Affectation matrice],$AB$3,Invest[TVA acquittée]))*BM6</f>
        <v>0</v>
      </c>
      <c r="CO6" s="200">
        <f>(SUMIF(Fonctionnement[Affectation matrice],$AB$3,Fonctionnement[TVA acquittée])+SUMIF(Invest[Affectation matrice],$AB$3,Invest[TVA acquittée]))*BN6</f>
        <v>0</v>
      </c>
      <c r="CP6" s="200">
        <f>(SUMIF(Fonctionnement[Affectation matrice],$AB$3,Fonctionnement[TVA acquittée])+SUMIF(Invest[Affectation matrice],$AB$3,Invest[TVA acquittée]))*BO6</f>
        <v>0</v>
      </c>
      <c r="CQ6" s="200">
        <f>(SUMIF(Fonctionnement[Affectation matrice],$AB$3,Fonctionnement[TVA acquittée])+SUMIF(Invest[Affectation matrice],$AB$3,Invest[TVA acquittée]))*BP6</f>
        <v>0</v>
      </c>
      <c r="CR6" s="200">
        <f>(SUMIF(Fonctionnement[Affectation matrice],$AB$3,Fonctionnement[TVA acquittée])+SUMIF(Invest[Affectation matrice],$AB$3,Invest[TVA acquittée]))*BQ6</f>
        <v>0</v>
      </c>
      <c r="CS6" s="200">
        <f>(SUMIF(Fonctionnement[Affectation matrice],$AB$3,Fonctionnement[TVA acquittée])+SUMIF(Invest[Affectation matrice],$AB$3,Invest[TVA acquittée]))*BR6</f>
        <v>0</v>
      </c>
      <c r="CT6" s="200">
        <f>(SUMIF(Fonctionnement[Affectation matrice],$AB$3,Fonctionnement[TVA acquittée])+SUMIF(Invest[Affectation matrice],$AB$3,Invest[TVA acquittée]))*BS6</f>
        <v>0</v>
      </c>
      <c r="CU6" s="200">
        <f>(SUMIF(Fonctionnement[Affectation matrice],$AB$3,Fonctionnement[TVA acquittée])+SUMIF(Invest[Affectation matrice],$AB$3,Invest[TVA acquittée]))*BT6</f>
        <v>0</v>
      </c>
      <c r="CV6" s="200">
        <f>(SUMIF(Fonctionnement[Affectation matrice],$AB$3,Fonctionnement[TVA acquittée])+SUMIF(Invest[Affectation matrice],$AB$3,Invest[TVA acquittée]))*BU6</f>
        <v>0</v>
      </c>
      <c r="CW6" s="200">
        <f>(SUMIF(Fonctionnement[Affectation matrice],$AB$3,Fonctionnement[TVA acquittée])+SUMIF(Invest[Affectation matrice],$AB$3,Invest[TVA acquittée]))*BV6</f>
        <v>0</v>
      </c>
      <c r="CX6" s="200">
        <f>(SUMIF(Fonctionnement[Affectation matrice],$AB$3,Fonctionnement[TVA acquittée])+SUMIF(Invest[Affectation matrice],$AB$3,Invest[TVA acquittée]))*BW6</f>
        <v>0</v>
      </c>
      <c r="CY6" s="200">
        <f>(SUMIF(Fonctionnement[Affectation matrice],$AB$3,Fonctionnement[TVA acquittée])+SUMIF(Invest[Affectation matrice],$AB$3,Invest[TVA acquittée]))*BX6</f>
        <v>0</v>
      </c>
      <c r="CZ6" s="200">
        <f>(SUMIF(Fonctionnement[Affectation matrice],$AB$3,Fonctionnement[TVA acquittée])+SUMIF(Invest[Affectation matrice],$AB$3,Invest[TVA acquittée]))*BY6</f>
        <v>0</v>
      </c>
      <c r="DA6" s="200">
        <f>(SUMIF(Fonctionnement[Affectation matrice],$AB$3,Fonctionnement[TVA acquittée])+SUMIF(Invest[Affectation matrice],$AB$3,Invest[TVA acquittée]))*BZ6</f>
        <v>0</v>
      </c>
      <c r="DB6" s="200">
        <f>(SUMIF(Fonctionnement[Affectation matrice],$AB$3,Fonctionnement[TVA acquittée])+SUMIF(Invest[Affectation matrice],$AB$3,Invest[TVA acquittée]))*CA6</f>
        <v>0</v>
      </c>
    </row>
    <row r="7" spans="1:106" ht="15" customHeight="1" x14ac:dyDescent="0.25">
      <c r="A7" s="42" t="str">
        <f>Matrice[[#This Row],[Ligne de la matrice]]</f>
        <v>Prévention</v>
      </c>
      <c r="B7" s="276">
        <f>(SUMIF(Fonctionnement[Affectation matrice],$AB$3,Fonctionnement[Montant (€HT)])+SUMIF(Invest[Affectation matrice],$AB$3,Invest[Amortissement HT + intérêts]))*BC7</f>
        <v>0</v>
      </c>
      <c r="C7" s="276">
        <f>(SUMIF(Fonctionnement[Affectation matrice],$AB$3,Fonctionnement[Montant (€HT)])+SUMIF(Invest[Affectation matrice],$AB$3,Invest[Amortissement HT + intérêts]))*BD7</f>
        <v>0</v>
      </c>
      <c r="D7" s="276">
        <f>(SUMIF(Fonctionnement[Affectation matrice],$AB$3,Fonctionnement[Montant (€HT)])+SUMIF(Invest[Affectation matrice],$AB$3,Invest[Amortissement HT + intérêts]))*BE7</f>
        <v>0</v>
      </c>
      <c r="E7" s="276">
        <f>(SUMIF(Fonctionnement[Affectation matrice],$AB$3,Fonctionnement[Montant (€HT)])+SUMIF(Invest[Affectation matrice],$AB$3,Invest[Amortissement HT + intérêts]))*BF7</f>
        <v>0</v>
      </c>
      <c r="F7" s="276">
        <f>(SUMIF(Fonctionnement[Affectation matrice],$AB$3,Fonctionnement[Montant (€HT)])+SUMIF(Invest[Affectation matrice],$AB$3,Invest[Amortissement HT + intérêts]))*BG7</f>
        <v>0</v>
      </c>
      <c r="G7" s="276">
        <f>(SUMIF(Fonctionnement[Affectation matrice],$AB$3,Fonctionnement[Montant (€HT)])+SUMIF(Invest[Affectation matrice],$AB$3,Invest[Amortissement HT + intérêts]))*BH7</f>
        <v>0</v>
      </c>
      <c r="H7" s="276">
        <f>(SUMIF(Fonctionnement[Affectation matrice],$AB$3,Fonctionnement[Montant (€HT)])+SUMIF(Invest[Affectation matrice],$AB$3,Invest[Amortissement HT + intérêts]))*BI7</f>
        <v>0</v>
      </c>
      <c r="I7" s="276">
        <f>(SUMIF(Fonctionnement[Affectation matrice],$AB$3,Fonctionnement[Montant (€HT)])+SUMIF(Invest[Affectation matrice],$AB$3,Invest[Amortissement HT + intérêts]))*BJ7</f>
        <v>0</v>
      </c>
      <c r="J7" s="276">
        <f>(SUMIF(Fonctionnement[Affectation matrice],$AB$3,Fonctionnement[Montant (€HT)])+SUMIF(Invest[Affectation matrice],$AB$3,Invest[Amortissement HT + intérêts]))*BK7</f>
        <v>0</v>
      </c>
      <c r="K7" s="276">
        <f>(SUMIF(Fonctionnement[Affectation matrice],$AB$3,Fonctionnement[Montant (€HT)])+SUMIF(Invest[Affectation matrice],$AB$3,Invest[Amortissement HT + intérêts]))*BL7</f>
        <v>0</v>
      </c>
      <c r="L7" s="276">
        <f>(SUMIF(Fonctionnement[Affectation matrice],$AB$3,Fonctionnement[Montant (€HT)])+SUMIF(Invest[Affectation matrice],$AB$3,Invest[Amortissement HT + intérêts]))*BM7</f>
        <v>0</v>
      </c>
      <c r="M7" s="276">
        <f>(SUMIF(Fonctionnement[Affectation matrice],$AB$3,Fonctionnement[Montant (€HT)])+SUMIF(Invest[Affectation matrice],$AB$3,Invest[Amortissement HT + intérêts]))*BN7</f>
        <v>0</v>
      </c>
      <c r="N7" s="276">
        <f>(SUMIF(Fonctionnement[Affectation matrice],$AB$3,Fonctionnement[Montant (€HT)])+SUMIF(Invest[Affectation matrice],$AB$3,Invest[Amortissement HT + intérêts]))*BO7</f>
        <v>0</v>
      </c>
      <c r="O7" s="276">
        <f>(SUMIF(Fonctionnement[Affectation matrice],$AB$3,Fonctionnement[Montant (€HT)])+SUMIF(Invest[Affectation matrice],$AB$3,Invest[Amortissement HT + intérêts]))*BP7</f>
        <v>0</v>
      </c>
      <c r="P7" s="276">
        <f>(SUMIF(Fonctionnement[Affectation matrice],$AB$3,Fonctionnement[Montant (€HT)])+SUMIF(Invest[Affectation matrice],$AB$3,Invest[Amortissement HT + intérêts]))*BQ7</f>
        <v>0</v>
      </c>
      <c r="Q7" s="276">
        <f>(SUMIF(Fonctionnement[Affectation matrice],$AB$3,Fonctionnement[Montant (€HT)])+SUMIF(Invest[Affectation matrice],$AB$3,Invest[Amortissement HT + intérêts]))*BR7</f>
        <v>0</v>
      </c>
      <c r="R7" s="276">
        <f>(SUMIF(Fonctionnement[Affectation matrice],$AB$3,Fonctionnement[Montant (€HT)])+SUMIF(Invest[Affectation matrice],$AB$3,Invest[Amortissement HT + intérêts]))*BS7</f>
        <v>0</v>
      </c>
      <c r="S7" s="276">
        <f>(SUMIF(Fonctionnement[Affectation matrice],$AB$3,Fonctionnement[Montant (€HT)])+SUMIF(Invest[Affectation matrice],$AB$3,Invest[Amortissement HT + intérêts]))*BT7</f>
        <v>0</v>
      </c>
      <c r="T7" s="276">
        <f>(SUMIF(Fonctionnement[Affectation matrice],$AB$3,Fonctionnement[Montant (€HT)])+SUMIF(Invest[Affectation matrice],$AB$3,Invest[Amortissement HT + intérêts]))*BU7</f>
        <v>0</v>
      </c>
      <c r="U7" s="276">
        <f>(SUMIF(Fonctionnement[Affectation matrice],$AB$3,Fonctionnement[Montant (€HT)])+SUMIF(Invest[Affectation matrice],$AB$3,Invest[Amortissement HT + intérêts]))*BV7</f>
        <v>0</v>
      </c>
      <c r="V7" s="276">
        <f>(SUMIF(Fonctionnement[Affectation matrice],$AB$3,Fonctionnement[Montant (€HT)])+SUMIF(Invest[Affectation matrice],$AB$3,Invest[Amortissement HT + intérêts]))*BW7</f>
        <v>0</v>
      </c>
      <c r="W7" s="276">
        <f>(SUMIF(Fonctionnement[Affectation matrice],$AB$3,Fonctionnement[Montant (€HT)])+SUMIF(Invest[Affectation matrice],$AB$3,Invest[Amortissement HT + intérêts]))*BX7</f>
        <v>0</v>
      </c>
      <c r="X7" s="276">
        <f>(SUMIF(Fonctionnement[Affectation matrice],$AB$3,Fonctionnement[Montant (€HT)])+SUMIF(Invest[Affectation matrice],$AB$3,Invest[Amortissement HT + intérêts]))*BY7</f>
        <v>0</v>
      </c>
      <c r="Y7" s="276">
        <f>(SUMIF(Fonctionnement[Affectation matrice],$AB$3,Fonctionnement[Montant (€HT)])+SUMIF(Invest[Affectation matrice],$AB$3,Invest[Amortissement HT + intérêts]))*BZ7</f>
        <v>0</v>
      </c>
      <c r="Z7" s="276">
        <f>(SUMIF(Fonctionnement[Affectation matrice],$AB$3,Fonctionnement[Montant (€HT)])+SUMIF(Invest[Affectation matrice],$AB$3,Invest[Amortissement HT + intérêts]))*CA7</f>
        <v>0</v>
      </c>
      <c r="AA7" s="199"/>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283">
        <f t="shared" ref="BA7:BA52" si="4">SUM(AB7:AZ7)</f>
        <v>0</v>
      </c>
      <c r="BC7" s="61">
        <f t="shared" si="2"/>
        <v>0</v>
      </c>
      <c r="BD7" s="61">
        <f t="shared" si="2"/>
        <v>0</v>
      </c>
      <c r="BE7" s="61">
        <f t="shared" si="2"/>
        <v>0</v>
      </c>
      <c r="BF7" s="61">
        <f t="shared" si="2"/>
        <v>0</v>
      </c>
      <c r="BG7" s="61">
        <f t="shared" si="2"/>
        <v>0</v>
      </c>
      <c r="BH7" s="61">
        <f t="shared" si="2"/>
        <v>0</v>
      </c>
      <c r="BI7" s="61">
        <f t="shared" si="2"/>
        <v>0</v>
      </c>
      <c r="BJ7" s="61">
        <f t="shared" si="2"/>
        <v>0</v>
      </c>
      <c r="BK7" s="61">
        <f t="shared" si="2"/>
        <v>0</v>
      </c>
      <c r="BL7" s="61">
        <f t="shared" si="2"/>
        <v>0</v>
      </c>
      <c r="BM7" s="61">
        <f t="shared" si="2"/>
        <v>0</v>
      </c>
      <c r="BN7" s="61">
        <f t="shared" si="2"/>
        <v>0</v>
      </c>
      <c r="BO7" s="61">
        <f t="shared" si="2"/>
        <v>0</v>
      </c>
      <c r="BP7" s="61">
        <f t="shared" si="2"/>
        <v>0</v>
      </c>
      <c r="BQ7" s="61">
        <f t="shared" si="2"/>
        <v>0</v>
      </c>
      <c r="BR7" s="61">
        <f t="shared" si="2"/>
        <v>0</v>
      </c>
      <c r="BS7" s="61">
        <f t="shared" si="3"/>
        <v>0</v>
      </c>
      <c r="BT7" s="61">
        <f t="shared" si="3"/>
        <v>0</v>
      </c>
      <c r="BU7" s="61">
        <f t="shared" si="3"/>
        <v>0</v>
      </c>
      <c r="BV7" s="61">
        <f t="shared" si="3"/>
        <v>0</v>
      </c>
      <c r="BW7" s="61">
        <f t="shared" si="3"/>
        <v>0</v>
      </c>
      <c r="BX7" s="61">
        <f t="shared" si="3"/>
        <v>0</v>
      </c>
      <c r="BY7" s="61">
        <f t="shared" si="3"/>
        <v>0</v>
      </c>
      <c r="BZ7" s="61">
        <f t="shared" si="3"/>
        <v>0</v>
      </c>
      <c r="CA7" s="61">
        <f t="shared" si="3"/>
        <v>0</v>
      </c>
      <c r="CB7" s="61">
        <f t="shared" ref="CB7:CB52" si="5">SUM(BC7:CA7)</f>
        <v>0</v>
      </c>
      <c r="CD7" s="200">
        <f>(SUMIF(Fonctionnement[Affectation matrice],$AB$3,Fonctionnement[TVA acquittée])+SUMIF(Invest[Affectation matrice],$AB$3,Invest[TVA acquittée]))*BC7</f>
        <v>0</v>
      </c>
      <c r="CE7" s="200">
        <f>(SUMIF(Fonctionnement[Affectation matrice],$AB$3,Fonctionnement[TVA acquittée])+SUMIF(Invest[Affectation matrice],$AB$3,Invest[TVA acquittée]))*BD7</f>
        <v>0</v>
      </c>
      <c r="CF7" s="200">
        <f>(SUMIF(Fonctionnement[Affectation matrice],$AB$3,Fonctionnement[TVA acquittée])+SUMIF(Invest[Affectation matrice],$AB$3,Invest[TVA acquittée]))*BE7</f>
        <v>0</v>
      </c>
      <c r="CG7" s="200">
        <f>(SUMIF(Fonctionnement[Affectation matrice],$AB$3,Fonctionnement[TVA acquittée])+SUMIF(Invest[Affectation matrice],$AB$3,Invest[TVA acquittée]))*BF7</f>
        <v>0</v>
      </c>
      <c r="CH7" s="200">
        <f>(SUMIF(Fonctionnement[Affectation matrice],$AB$3,Fonctionnement[TVA acquittée])+SUMIF(Invest[Affectation matrice],$AB$3,Invest[TVA acquittée]))*BG7</f>
        <v>0</v>
      </c>
      <c r="CI7" s="200">
        <f>(SUMIF(Fonctionnement[Affectation matrice],$AB$3,Fonctionnement[TVA acquittée])+SUMIF(Invest[Affectation matrice],$AB$3,Invest[TVA acquittée]))*BH7</f>
        <v>0</v>
      </c>
      <c r="CJ7" s="200">
        <f>(SUMIF(Fonctionnement[Affectation matrice],$AB$3,Fonctionnement[TVA acquittée])+SUMIF(Invest[Affectation matrice],$AB$3,Invest[TVA acquittée]))*BI7</f>
        <v>0</v>
      </c>
      <c r="CK7" s="200">
        <f>(SUMIF(Fonctionnement[Affectation matrice],$AB$3,Fonctionnement[TVA acquittée])+SUMIF(Invest[Affectation matrice],$AB$3,Invest[TVA acquittée]))*BJ7</f>
        <v>0</v>
      </c>
      <c r="CL7" s="200">
        <f>(SUMIF(Fonctionnement[Affectation matrice],$AB$3,Fonctionnement[TVA acquittée])+SUMIF(Invest[Affectation matrice],$AB$3,Invest[TVA acquittée]))*BK7</f>
        <v>0</v>
      </c>
      <c r="CM7" s="200">
        <f>(SUMIF(Fonctionnement[Affectation matrice],$AB$3,Fonctionnement[TVA acquittée])+SUMIF(Invest[Affectation matrice],$AB$3,Invest[TVA acquittée]))*BL7</f>
        <v>0</v>
      </c>
      <c r="CN7" s="200">
        <f>(SUMIF(Fonctionnement[Affectation matrice],$AB$3,Fonctionnement[TVA acquittée])+SUMIF(Invest[Affectation matrice],$AB$3,Invest[TVA acquittée]))*BM7</f>
        <v>0</v>
      </c>
      <c r="CO7" s="200">
        <f>(SUMIF(Fonctionnement[Affectation matrice],$AB$3,Fonctionnement[TVA acquittée])+SUMIF(Invest[Affectation matrice],$AB$3,Invest[TVA acquittée]))*BN7</f>
        <v>0</v>
      </c>
      <c r="CP7" s="200">
        <f>(SUMIF(Fonctionnement[Affectation matrice],$AB$3,Fonctionnement[TVA acquittée])+SUMIF(Invest[Affectation matrice],$AB$3,Invest[TVA acquittée]))*BO7</f>
        <v>0</v>
      </c>
      <c r="CQ7" s="200">
        <f>(SUMIF(Fonctionnement[Affectation matrice],$AB$3,Fonctionnement[TVA acquittée])+SUMIF(Invest[Affectation matrice],$AB$3,Invest[TVA acquittée]))*BP7</f>
        <v>0</v>
      </c>
      <c r="CR7" s="200">
        <f>(SUMIF(Fonctionnement[Affectation matrice],$AB$3,Fonctionnement[TVA acquittée])+SUMIF(Invest[Affectation matrice],$AB$3,Invest[TVA acquittée]))*BQ7</f>
        <v>0</v>
      </c>
      <c r="CS7" s="200">
        <f>(SUMIF(Fonctionnement[Affectation matrice],$AB$3,Fonctionnement[TVA acquittée])+SUMIF(Invest[Affectation matrice],$AB$3,Invest[TVA acquittée]))*BR7</f>
        <v>0</v>
      </c>
      <c r="CT7" s="200">
        <f>(SUMIF(Fonctionnement[Affectation matrice],$AB$3,Fonctionnement[TVA acquittée])+SUMIF(Invest[Affectation matrice],$AB$3,Invest[TVA acquittée]))*BS7</f>
        <v>0</v>
      </c>
      <c r="CU7" s="200">
        <f>(SUMIF(Fonctionnement[Affectation matrice],$AB$3,Fonctionnement[TVA acquittée])+SUMIF(Invest[Affectation matrice],$AB$3,Invest[TVA acquittée]))*BT7</f>
        <v>0</v>
      </c>
      <c r="CV7" s="200">
        <f>(SUMIF(Fonctionnement[Affectation matrice],$AB$3,Fonctionnement[TVA acquittée])+SUMIF(Invest[Affectation matrice],$AB$3,Invest[TVA acquittée]))*BU7</f>
        <v>0</v>
      </c>
      <c r="CW7" s="200">
        <f>(SUMIF(Fonctionnement[Affectation matrice],$AB$3,Fonctionnement[TVA acquittée])+SUMIF(Invest[Affectation matrice],$AB$3,Invest[TVA acquittée]))*BV7</f>
        <v>0</v>
      </c>
      <c r="CX7" s="200">
        <f>(SUMIF(Fonctionnement[Affectation matrice],$AB$3,Fonctionnement[TVA acquittée])+SUMIF(Invest[Affectation matrice],$AB$3,Invest[TVA acquittée]))*BW7</f>
        <v>0</v>
      </c>
      <c r="CY7" s="200">
        <f>(SUMIF(Fonctionnement[Affectation matrice],$AB$3,Fonctionnement[TVA acquittée])+SUMIF(Invest[Affectation matrice],$AB$3,Invest[TVA acquittée]))*BX7</f>
        <v>0</v>
      </c>
      <c r="CZ7" s="200">
        <f>(SUMIF(Fonctionnement[Affectation matrice],$AB$3,Fonctionnement[TVA acquittée])+SUMIF(Invest[Affectation matrice],$AB$3,Invest[TVA acquittée]))*BY7</f>
        <v>0</v>
      </c>
      <c r="DA7" s="200">
        <f>(SUMIF(Fonctionnement[Affectation matrice],$AB$3,Fonctionnement[TVA acquittée])+SUMIF(Invest[Affectation matrice],$AB$3,Invest[TVA acquittée]))*BZ7</f>
        <v>0</v>
      </c>
      <c r="DB7" s="200">
        <f>(SUMIF(Fonctionnement[Affectation matrice],$AB$3,Fonctionnement[TVA acquittée])+SUMIF(Invest[Affectation matrice],$AB$3,Invest[TVA acquittée]))*CA7</f>
        <v>0</v>
      </c>
    </row>
    <row r="8" spans="1:106" ht="12.75" customHeight="1" x14ac:dyDescent="0.25">
      <c r="A8" s="42" t="str">
        <f>Matrice[[#This Row],[Ligne de la matrice]]</f>
        <v>Pré-collecte</v>
      </c>
      <c r="B8" s="276">
        <f>(SUMIF(Fonctionnement[Affectation matrice],$AB$3,Fonctionnement[Montant (€HT)])+SUMIF(Invest[Affectation matrice],$AB$3,Invest[Amortissement HT + intérêts]))*BC8</f>
        <v>0</v>
      </c>
      <c r="C8" s="276">
        <f>(SUMIF(Fonctionnement[Affectation matrice],$AB$3,Fonctionnement[Montant (€HT)])+SUMIF(Invest[Affectation matrice],$AB$3,Invest[Amortissement HT + intérêts]))*BD8</f>
        <v>0</v>
      </c>
      <c r="D8" s="276">
        <f>(SUMIF(Fonctionnement[Affectation matrice],$AB$3,Fonctionnement[Montant (€HT)])+SUMIF(Invest[Affectation matrice],$AB$3,Invest[Amortissement HT + intérêts]))*BE8</f>
        <v>0</v>
      </c>
      <c r="E8" s="276">
        <f>(SUMIF(Fonctionnement[Affectation matrice],$AB$3,Fonctionnement[Montant (€HT)])+SUMIF(Invest[Affectation matrice],$AB$3,Invest[Amortissement HT + intérêts]))*BF8</f>
        <v>0</v>
      </c>
      <c r="F8" s="276">
        <f>(SUMIF(Fonctionnement[Affectation matrice],$AB$3,Fonctionnement[Montant (€HT)])+SUMIF(Invest[Affectation matrice],$AB$3,Invest[Amortissement HT + intérêts]))*BG8</f>
        <v>0</v>
      </c>
      <c r="G8" s="276">
        <f>(SUMIF(Fonctionnement[Affectation matrice],$AB$3,Fonctionnement[Montant (€HT)])+SUMIF(Invest[Affectation matrice],$AB$3,Invest[Amortissement HT + intérêts]))*BH8</f>
        <v>0</v>
      </c>
      <c r="H8" s="276">
        <f>(SUMIF(Fonctionnement[Affectation matrice],$AB$3,Fonctionnement[Montant (€HT)])+SUMIF(Invest[Affectation matrice],$AB$3,Invest[Amortissement HT + intérêts]))*BI8</f>
        <v>0</v>
      </c>
      <c r="I8" s="276">
        <f>(SUMIF(Fonctionnement[Affectation matrice],$AB$3,Fonctionnement[Montant (€HT)])+SUMIF(Invest[Affectation matrice],$AB$3,Invest[Amortissement HT + intérêts]))*BJ8</f>
        <v>0</v>
      </c>
      <c r="J8" s="276">
        <f>(SUMIF(Fonctionnement[Affectation matrice],$AB$3,Fonctionnement[Montant (€HT)])+SUMIF(Invest[Affectation matrice],$AB$3,Invest[Amortissement HT + intérêts]))*BK8</f>
        <v>0</v>
      </c>
      <c r="K8" s="276">
        <f>(SUMIF(Fonctionnement[Affectation matrice],$AB$3,Fonctionnement[Montant (€HT)])+SUMIF(Invest[Affectation matrice],$AB$3,Invest[Amortissement HT + intérêts]))*BL8</f>
        <v>0</v>
      </c>
      <c r="L8" s="276">
        <f>(SUMIF(Fonctionnement[Affectation matrice],$AB$3,Fonctionnement[Montant (€HT)])+SUMIF(Invest[Affectation matrice],$AB$3,Invest[Amortissement HT + intérêts]))*BM8</f>
        <v>0</v>
      </c>
      <c r="M8" s="276">
        <f>(SUMIF(Fonctionnement[Affectation matrice],$AB$3,Fonctionnement[Montant (€HT)])+SUMIF(Invest[Affectation matrice],$AB$3,Invest[Amortissement HT + intérêts]))*BN8</f>
        <v>0</v>
      </c>
      <c r="N8" s="276">
        <f>(SUMIF(Fonctionnement[Affectation matrice],$AB$3,Fonctionnement[Montant (€HT)])+SUMIF(Invest[Affectation matrice],$AB$3,Invest[Amortissement HT + intérêts]))*BO8</f>
        <v>0</v>
      </c>
      <c r="O8" s="276">
        <f>(SUMIF(Fonctionnement[Affectation matrice],$AB$3,Fonctionnement[Montant (€HT)])+SUMIF(Invest[Affectation matrice],$AB$3,Invest[Amortissement HT + intérêts]))*BP8</f>
        <v>0</v>
      </c>
      <c r="P8" s="276">
        <f>(SUMIF(Fonctionnement[Affectation matrice],$AB$3,Fonctionnement[Montant (€HT)])+SUMIF(Invest[Affectation matrice],$AB$3,Invest[Amortissement HT + intérêts]))*BQ8</f>
        <v>0</v>
      </c>
      <c r="Q8" s="276">
        <f>(SUMIF(Fonctionnement[Affectation matrice],$AB$3,Fonctionnement[Montant (€HT)])+SUMIF(Invest[Affectation matrice],$AB$3,Invest[Amortissement HT + intérêts]))*BR8</f>
        <v>0</v>
      </c>
      <c r="R8" s="276">
        <f>(SUMIF(Fonctionnement[Affectation matrice],$AB$3,Fonctionnement[Montant (€HT)])+SUMIF(Invest[Affectation matrice],$AB$3,Invest[Amortissement HT + intérêts]))*BS8</f>
        <v>0</v>
      </c>
      <c r="S8" s="276">
        <f>(SUMIF(Fonctionnement[Affectation matrice],$AB$3,Fonctionnement[Montant (€HT)])+SUMIF(Invest[Affectation matrice],$AB$3,Invest[Amortissement HT + intérêts]))*BT8</f>
        <v>0</v>
      </c>
      <c r="T8" s="276">
        <f>(SUMIF(Fonctionnement[Affectation matrice],$AB$3,Fonctionnement[Montant (€HT)])+SUMIF(Invest[Affectation matrice],$AB$3,Invest[Amortissement HT + intérêts]))*BU8</f>
        <v>0</v>
      </c>
      <c r="U8" s="276">
        <f>(SUMIF(Fonctionnement[Affectation matrice],$AB$3,Fonctionnement[Montant (€HT)])+SUMIF(Invest[Affectation matrice],$AB$3,Invest[Amortissement HT + intérêts]))*BV8</f>
        <v>0</v>
      </c>
      <c r="V8" s="276">
        <f>(SUMIF(Fonctionnement[Affectation matrice],$AB$3,Fonctionnement[Montant (€HT)])+SUMIF(Invest[Affectation matrice],$AB$3,Invest[Amortissement HT + intérêts]))*BW8</f>
        <v>0</v>
      </c>
      <c r="W8" s="276">
        <f>(SUMIF(Fonctionnement[Affectation matrice],$AB$3,Fonctionnement[Montant (€HT)])+SUMIF(Invest[Affectation matrice],$AB$3,Invest[Amortissement HT + intérêts]))*BX8</f>
        <v>0</v>
      </c>
      <c r="X8" s="276">
        <f>(SUMIF(Fonctionnement[Affectation matrice],$AB$3,Fonctionnement[Montant (€HT)])+SUMIF(Invest[Affectation matrice],$AB$3,Invest[Amortissement HT + intérêts]))*BY8</f>
        <v>0</v>
      </c>
      <c r="Y8" s="276">
        <f>(SUMIF(Fonctionnement[Affectation matrice],$AB$3,Fonctionnement[Montant (€HT)])+SUMIF(Invest[Affectation matrice],$AB$3,Invest[Amortissement HT + intérêts]))*BZ8</f>
        <v>0</v>
      </c>
      <c r="Z8" s="276">
        <f>(SUMIF(Fonctionnement[Affectation matrice],$AB$3,Fonctionnement[Montant (€HT)])+SUMIF(Invest[Affectation matrice],$AB$3,Invest[Amortissement HT + intérêts]))*CA8</f>
        <v>0</v>
      </c>
      <c r="AA8" s="199"/>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283">
        <f t="shared" si="4"/>
        <v>0</v>
      </c>
      <c r="BC8" s="61">
        <f t="shared" si="2"/>
        <v>0</v>
      </c>
      <c r="BD8" s="61">
        <f t="shared" si="2"/>
        <v>0</v>
      </c>
      <c r="BE8" s="61">
        <f t="shared" si="2"/>
        <v>0</v>
      </c>
      <c r="BF8" s="61">
        <f t="shared" si="2"/>
        <v>0</v>
      </c>
      <c r="BG8" s="61">
        <f t="shared" si="2"/>
        <v>0</v>
      </c>
      <c r="BH8" s="61">
        <f t="shared" si="2"/>
        <v>0</v>
      </c>
      <c r="BI8" s="61">
        <f t="shared" si="2"/>
        <v>0</v>
      </c>
      <c r="BJ8" s="61">
        <f t="shared" si="2"/>
        <v>0</v>
      </c>
      <c r="BK8" s="61">
        <f t="shared" si="2"/>
        <v>0</v>
      </c>
      <c r="BL8" s="61">
        <f t="shared" si="2"/>
        <v>0</v>
      </c>
      <c r="BM8" s="61">
        <f t="shared" si="2"/>
        <v>0</v>
      </c>
      <c r="BN8" s="61">
        <f t="shared" si="2"/>
        <v>0</v>
      </c>
      <c r="BO8" s="61">
        <f t="shared" si="2"/>
        <v>0</v>
      </c>
      <c r="BP8" s="61">
        <f t="shared" si="2"/>
        <v>0</v>
      </c>
      <c r="BQ8" s="61">
        <f t="shared" si="2"/>
        <v>0</v>
      </c>
      <c r="BR8" s="61">
        <f t="shared" si="2"/>
        <v>0</v>
      </c>
      <c r="BS8" s="61">
        <f t="shared" si="3"/>
        <v>0</v>
      </c>
      <c r="BT8" s="61">
        <f t="shared" si="3"/>
        <v>0</v>
      </c>
      <c r="BU8" s="61">
        <f t="shared" si="3"/>
        <v>0</v>
      </c>
      <c r="BV8" s="61">
        <f t="shared" si="3"/>
        <v>0</v>
      </c>
      <c r="BW8" s="61">
        <f t="shared" si="3"/>
        <v>0</v>
      </c>
      <c r="BX8" s="61">
        <f t="shared" si="3"/>
        <v>0</v>
      </c>
      <c r="BY8" s="61">
        <f t="shared" si="3"/>
        <v>0</v>
      </c>
      <c r="BZ8" s="61">
        <f t="shared" si="3"/>
        <v>0</v>
      </c>
      <c r="CA8" s="61">
        <f t="shared" si="3"/>
        <v>0</v>
      </c>
      <c r="CB8" s="61">
        <f t="shared" si="5"/>
        <v>0</v>
      </c>
      <c r="CD8" s="200">
        <f>(SUMIF(Fonctionnement[Affectation matrice],$AB$3,Fonctionnement[TVA acquittée])+SUMIF(Invest[Affectation matrice],$AB$3,Invest[TVA acquittée]))*BC8</f>
        <v>0</v>
      </c>
      <c r="CE8" s="200">
        <f>(SUMIF(Fonctionnement[Affectation matrice],$AB$3,Fonctionnement[TVA acquittée])+SUMIF(Invest[Affectation matrice],$AB$3,Invest[TVA acquittée]))*BD8</f>
        <v>0</v>
      </c>
      <c r="CF8" s="200">
        <f>(SUMIF(Fonctionnement[Affectation matrice],$AB$3,Fonctionnement[TVA acquittée])+SUMIF(Invest[Affectation matrice],$AB$3,Invest[TVA acquittée]))*BE8</f>
        <v>0</v>
      </c>
      <c r="CG8" s="200">
        <f>(SUMIF(Fonctionnement[Affectation matrice],$AB$3,Fonctionnement[TVA acquittée])+SUMIF(Invest[Affectation matrice],$AB$3,Invest[TVA acquittée]))*BF8</f>
        <v>0</v>
      </c>
      <c r="CH8" s="200">
        <f>(SUMIF(Fonctionnement[Affectation matrice],$AB$3,Fonctionnement[TVA acquittée])+SUMIF(Invest[Affectation matrice],$AB$3,Invest[TVA acquittée]))*BG8</f>
        <v>0</v>
      </c>
      <c r="CI8" s="200">
        <f>(SUMIF(Fonctionnement[Affectation matrice],$AB$3,Fonctionnement[TVA acquittée])+SUMIF(Invest[Affectation matrice],$AB$3,Invest[TVA acquittée]))*BH8</f>
        <v>0</v>
      </c>
      <c r="CJ8" s="200">
        <f>(SUMIF(Fonctionnement[Affectation matrice],$AB$3,Fonctionnement[TVA acquittée])+SUMIF(Invest[Affectation matrice],$AB$3,Invest[TVA acquittée]))*BI8</f>
        <v>0</v>
      </c>
      <c r="CK8" s="200">
        <f>(SUMIF(Fonctionnement[Affectation matrice],$AB$3,Fonctionnement[TVA acquittée])+SUMIF(Invest[Affectation matrice],$AB$3,Invest[TVA acquittée]))*BJ8</f>
        <v>0</v>
      </c>
      <c r="CL8" s="200">
        <f>(SUMIF(Fonctionnement[Affectation matrice],$AB$3,Fonctionnement[TVA acquittée])+SUMIF(Invest[Affectation matrice],$AB$3,Invest[TVA acquittée]))*BK8</f>
        <v>0</v>
      </c>
      <c r="CM8" s="200">
        <f>(SUMIF(Fonctionnement[Affectation matrice],$AB$3,Fonctionnement[TVA acquittée])+SUMIF(Invest[Affectation matrice],$AB$3,Invest[TVA acquittée]))*BL8</f>
        <v>0</v>
      </c>
      <c r="CN8" s="200">
        <f>(SUMIF(Fonctionnement[Affectation matrice],$AB$3,Fonctionnement[TVA acquittée])+SUMIF(Invest[Affectation matrice],$AB$3,Invest[TVA acquittée]))*BM8</f>
        <v>0</v>
      </c>
      <c r="CO8" s="200">
        <f>(SUMIF(Fonctionnement[Affectation matrice],$AB$3,Fonctionnement[TVA acquittée])+SUMIF(Invest[Affectation matrice],$AB$3,Invest[TVA acquittée]))*BN8</f>
        <v>0</v>
      </c>
      <c r="CP8" s="200">
        <f>(SUMIF(Fonctionnement[Affectation matrice],$AB$3,Fonctionnement[TVA acquittée])+SUMIF(Invest[Affectation matrice],$AB$3,Invest[TVA acquittée]))*BO8</f>
        <v>0</v>
      </c>
      <c r="CQ8" s="200">
        <f>(SUMIF(Fonctionnement[Affectation matrice],$AB$3,Fonctionnement[TVA acquittée])+SUMIF(Invest[Affectation matrice],$AB$3,Invest[TVA acquittée]))*BP8</f>
        <v>0</v>
      </c>
      <c r="CR8" s="200">
        <f>(SUMIF(Fonctionnement[Affectation matrice],$AB$3,Fonctionnement[TVA acquittée])+SUMIF(Invest[Affectation matrice],$AB$3,Invest[TVA acquittée]))*BQ8</f>
        <v>0</v>
      </c>
      <c r="CS8" s="200">
        <f>(SUMIF(Fonctionnement[Affectation matrice],$AB$3,Fonctionnement[TVA acquittée])+SUMIF(Invest[Affectation matrice],$AB$3,Invest[TVA acquittée]))*BR8</f>
        <v>0</v>
      </c>
      <c r="CT8" s="200">
        <f>(SUMIF(Fonctionnement[Affectation matrice],$AB$3,Fonctionnement[TVA acquittée])+SUMIF(Invest[Affectation matrice],$AB$3,Invest[TVA acquittée]))*BS8</f>
        <v>0</v>
      </c>
      <c r="CU8" s="200">
        <f>(SUMIF(Fonctionnement[Affectation matrice],$AB$3,Fonctionnement[TVA acquittée])+SUMIF(Invest[Affectation matrice],$AB$3,Invest[TVA acquittée]))*BT8</f>
        <v>0</v>
      </c>
      <c r="CV8" s="200">
        <f>(SUMIF(Fonctionnement[Affectation matrice],$AB$3,Fonctionnement[TVA acquittée])+SUMIF(Invest[Affectation matrice],$AB$3,Invest[TVA acquittée]))*BU8</f>
        <v>0</v>
      </c>
      <c r="CW8" s="200">
        <f>(SUMIF(Fonctionnement[Affectation matrice],$AB$3,Fonctionnement[TVA acquittée])+SUMIF(Invest[Affectation matrice],$AB$3,Invest[TVA acquittée]))*BV8</f>
        <v>0</v>
      </c>
      <c r="CX8" s="200">
        <f>(SUMIF(Fonctionnement[Affectation matrice],$AB$3,Fonctionnement[TVA acquittée])+SUMIF(Invest[Affectation matrice],$AB$3,Invest[TVA acquittée]))*BW8</f>
        <v>0</v>
      </c>
      <c r="CY8" s="200">
        <f>(SUMIF(Fonctionnement[Affectation matrice],$AB$3,Fonctionnement[TVA acquittée])+SUMIF(Invest[Affectation matrice],$AB$3,Invest[TVA acquittée]))*BX8</f>
        <v>0</v>
      </c>
      <c r="CZ8" s="200">
        <f>(SUMIF(Fonctionnement[Affectation matrice],$AB$3,Fonctionnement[TVA acquittée])+SUMIF(Invest[Affectation matrice],$AB$3,Invest[TVA acquittée]))*BY8</f>
        <v>0</v>
      </c>
      <c r="DA8" s="200">
        <f>(SUMIF(Fonctionnement[Affectation matrice],$AB$3,Fonctionnement[TVA acquittée])+SUMIF(Invest[Affectation matrice],$AB$3,Invest[TVA acquittée]))*BZ8</f>
        <v>0</v>
      </c>
      <c r="DB8" s="200">
        <f>(SUMIF(Fonctionnement[Affectation matrice],$AB$3,Fonctionnement[TVA acquittée])+SUMIF(Invest[Affectation matrice],$AB$3,Invest[TVA acquittée]))*CA8</f>
        <v>0</v>
      </c>
    </row>
    <row r="9" spans="1:106" s="22" customFormat="1" ht="12.75" customHeight="1" x14ac:dyDescent="0.25">
      <c r="A9" s="42" t="str">
        <f>Matrice[[#This Row],[Ligne de la matrice]]</f>
        <v>Collecte</v>
      </c>
      <c r="B9" s="276">
        <f>(SUMIF(Fonctionnement[Affectation matrice],$AB$3,Fonctionnement[Montant (€HT)])+SUMIF(Invest[Affectation matrice],$AB$3,Invest[Amortissement HT + intérêts]))*BC9</f>
        <v>0</v>
      </c>
      <c r="C9" s="276">
        <f>(SUMIF(Fonctionnement[Affectation matrice],$AB$3,Fonctionnement[Montant (€HT)])+SUMIF(Invest[Affectation matrice],$AB$3,Invest[Amortissement HT + intérêts]))*BD9</f>
        <v>0</v>
      </c>
      <c r="D9" s="276">
        <f>(SUMIF(Fonctionnement[Affectation matrice],$AB$3,Fonctionnement[Montant (€HT)])+SUMIF(Invest[Affectation matrice],$AB$3,Invest[Amortissement HT + intérêts]))*BE9</f>
        <v>0</v>
      </c>
      <c r="E9" s="276">
        <f>(SUMIF(Fonctionnement[Affectation matrice],$AB$3,Fonctionnement[Montant (€HT)])+SUMIF(Invest[Affectation matrice],$AB$3,Invest[Amortissement HT + intérêts]))*BF9</f>
        <v>0</v>
      </c>
      <c r="F9" s="276">
        <f>(SUMIF(Fonctionnement[Affectation matrice],$AB$3,Fonctionnement[Montant (€HT)])+SUMIF(Invest[Affectation matrice],$AB$3,Invest[Amortissement HT + intérêts]))*BG9</f>
        <v>0</v>
      </c>
      <c r="G9" s="276">
        <f>(SUMIF(Fonctionnement[Affectation matrice],$AB$3,Fonctionnement[Montant (€HT)])+SUMIF(Invest[Affectation matrice],$AB$3,Invest[Amortissement HT + intérêts]))*BH9</f>
        <v>0</v>
      </c>
      <c r="H9" s="276">
        <f>(SUMIF(Fonctionnement[Affectation matrice],$AB$3,Fonctionnement[Montant (€HT)])+SUMIF(Invest[Affectation matrice],$AB$3,Invest[Amortissement HT + intérêts]))*BI9</f>
        <v>0</v>
      </c>
      <c r="I9" s="276">
        <f>(SUMIF(Fonctionnement[Affectation matrice],$AB$3,Fonctionnement[Montant (€HT)])+SUMIF(Invest[Affectation matrice],$AB$3,Invest[Amortissement HT + intérêts]))*BJ9</f>
        <v>0</v>
      </c>
      <c r="J9" s="276">
        <f>(SUMIF(Fonctionnement[Affectation matrice],$AB$3,Fonctionnement[Montant (€HT)])+SUMIF(Invest[Affectation matrice],$AB$3,Invest[Amortissement HT + intérêts]))*BK9</f>
        <v>0</v>
      </c>
      <c r="K9" s="276">
        <f>(SUMIF(Fonctionnement[Affectation matrice],$AB$3,Fonctionnement[Montant (€HT)])+SUMIF(Invest[Affectation matrice],$AB$3,Invest[Amortissement HT + intérêts]))*BL9</f>
        <v>0</v>
      </c>
      <c r="L9" s="276">
        <f>(SUMIF(Fonctionnement[Affectation matrice],$AB$3,Fonctionnement[Montant (€HT)])+SUMIF(Invest[Affectation matrice],$AB$3,Invest[Amortissement HT + intérêts]))*BM9</f>
        <v>0</v>
      </c>
      <c r="M9" s="276">
        <f>(SUMIF(Fonctionnement[Affectation matrice],$AB$3,Fonctionnement[Montant (€HT)])+SUMIF(Invest[Affectation matrice],$AB$3,Invest[Amortissement HT + intérêts]))*BN9</f>
        <v>0</v>
      </c>
      <c r="N9" s="276">
        <f>(SUMIF(Fonctionnement[Affectation matrice],$AB$3,Fonctionnement[Montant (€HT)])+SUMIF(Invest[Affectation matrice],$AB$3,Invest[Amortissement HT + intérêts]))*BO9</f>
        <v>0</v>
      </c>
      <c r="O9" s="276">
        <f>(SUMIF(Fonctionnement[Affectation matrice],$AB$3,Fonctionnement[Montant (€HT)])+SUMIF(Invest[Affectation matrice],$AB$3,Invest[Amortissement HT + intérêts]))*BP9</f>
        <v>0</v>
      </c>
      <c r="P9" s="276">
        <f>(SUMIF(Fonctionnement[Affectation matrice],$AB$3,Fonctionnement[Montant (€HT)])+SUMIF(Invest[Affectation matrice],$AB$3,Invest[Amortissement HT + intérêts]))*BQ9</f>
        <v>0</v>
      </c>
      <c r="Q9" s="276">
        <f>(SUMIF(Fonctionnement[Affectation matrice],$AB$3,Fonctionnement[Montant (€HT)])+SUMIF(Invest[Affectation matrice],$AB$3,Invest[Amortissement HT + intérêts]))*BR9</f>
        <v>0</v>
      </c>
      <c r="R9" s="276">
        <f>(SUMIF(Fonctionnement[Affectation matrice],$AB$3,Fonctionnement[Montant (€HT)])+SUMIF(Invest[Affectation matrice],$AB$3,Invest[Amortissement HT + intérêts]))*BS9</f>
        <v>0</v>
      </c>
      <c r="S9" s="276">
        <f>(SUMIF(Fonctionnement[Affectation matrice],$AB$3,Fonctionnement[Montant (€HT)])+SUMIF(Invest[Affectation matrice],$AB$3,Invest[Amortissement HT + intérêts]))*BT9</f>
        <v>0</v>
      </c>
      <c r="T9" s="276">
        <f>(SUMIF(Fonctionnement[Affectation matrice],$AB$3,Fonctionnement[Montant (€HT)])+SUMIF(Invest[Affectation matrice],$AB$3,Invest[Amortissement HT + intérêts]))*BU9</f>
        <v>0</v>
      </c>
      <c r="U9" s="276">
        <f>(SUMIF(Fonctionnement[Affectation matrice],$AB$3,Fonctionnement[Montant (€HT)])+SUMIF(Invest[Affectation matrice],$AB$3,Invest[Amortissement HT + intérêts]))*BV9</f>
        <v>0</v>
      </c>
      <c r="V9" s="276">
        <f>(SUMIF(Fonctionnement[Affectation matrice],$AB$3,Fonctionnement[Montant (€HT)])+SUMIF(Invest[Affectation matrice],$AB$3,Invest[Amortissement HT + intérêts]))*BW9</f>
        <v>0</v>
      </c>
      <c r="W9" s="276">
        <f>(SUMIF(Fonctionnement[Affectation matrice],$AB$3,Fonctionnement[Montant (€HT)])+SUMIF(Invest[Affectation matrice],$AB$3,Invest[Amortissement HT + intérêts]))*BX9</f>
        <v>0</v>
      </c>
      <c r="X9" s="276">
        <f>(SUMIF(Fonctionnement[Affectation matrice],$AB$3,Fonctionnement[Montant (€HT)])+SUMIF(Invest[Affectation matrice],$AB$3,Invest[Amortissement HT + intérêts]))*BY9</f>
        <v>0</v>
      </c>
      <c r="Y9" s="276">
        <f>(SUMIF(Fonctionnement[Affectation matrice],$AB$3,Fonctionnement[Montant (€HT)])+SUMIF(Invest[Affectation matrice],$AB$3,Invest[Amortissement HT + intérêts]))*BZ9</f>
        <v>0</v>
      </c>
      <c r="Z9" s="276">
        <f>(SUMIF(Fonctionnement[Affectation matrice],$AB$3,Fonctionnement[Montant (€HT)])+SUMIF(Invest[Affectation matrice],$AB$3,Invest[Amortissement HT + intérêts]))*CA9</f>
        <v>0</v>
      </c>
      <c r="AA9" s="199"/>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283">
        <f t="shared" si="4"/>
        <v>0</v>
      </c>
      <c r="BB9" s="7"/>
      <c r="BC9" s="61">
        <f t="shared" si="2"/>
        <v>0</v>
      </c>
      <c r="BD9" s="61">
        <f t="shared" si="2"/>
        <v>0</v>
      </c>
      <c r="BE9" s="61">
        <f t="shared" si="2"/>
        <v>0</v>
      </c>
      <c r="BF9" s="61">
        <f t="shared" si="2"/>
        <v>0</v>
      </c>
      <c r="BG9" s="61">
        <f t="shared" si="2"/>
        <v>0</v>
      </c>
      <c r="BH9" s="61">
        <f t="shared" si="2"/>
        <v>0</v>
      </c>
      <c r="BI9" s="61">
        <f t="shared" si="2"/>
        <v>0</v>
      </c>
      <c r="BJ9" s="61">
        <f t="shared" si="2"/>
        <v>0</v>
      </c>
      <c r="BK9" s="61">
        <f t="shared" si="2"/>
        <v>0</v>
      </c>
      <c r="BL9" s="61">
        <f t="shared" si="2"/>
        <v>0</v>
      </c>
      <c r="BM9" s="61">
        <f t="shared" si="2"/>
        <v>0</v>
      </c>
      <c r="BN9" s="61">
        <f t="shared" si="2"/>
        <v>0</v>
      </c>
      <c r="BO9" s="61">
        <f t="shared" si="2"/>
        <v>0</v>
      </c>
      <c r="BP9" s="61">
        <f t="shared" si="2"/>
        <v>0</v>
      </c>
      <c r="BQ9" s="61">
        <f t="shared" si="2"/>
        <v>0</v>
      </c>
      <c r="BR9" s="61">
        <f t="shared" si="2"/>
        <v>0</v>
      </c>
      <c r="BS9" s="61">
        <f t="shared" si="3"/>
        <v>0</v>
      </c>
      <c r="BT9" s="61">
        <f t="shared" si="3"/>
        <v>0</v>
      </c>
      <c r="BU9" s="61">
        <f t="shared" si="3"/>
        <v>0</v>
      </c>
      <c r="BV9" s="61">
        <f t="shared" si="3"/>
        <v>0</v>
      </c>
      <c r="BW9" s="61">
        <f t="shared" si="3"/>
        <v>0</v>
      </c>
      <c r="BX9" s="61">
        <f t="shared" si="3"/>
        <v>0</v>
      </c>
      <c r="BY9" s="61">
        <f t="shared" si="3"/>
        <v>0</v>
      </c>
      <c r="BZ9" s="61">
        <f t="shared" si="3"/>
        <v>0</v>
      </c>
      <c r="CA9" s="61">
        <f t="shared" si="3"/>
        <v>0</v>
      </c>
      <c r="CB9" s="61">
        <f t="shared" si="5"/>
        <v>0</v>
      </c>
      <c r="CD9" s="200">
        <f>(SUMIF(Fonctionnement[Affectation matrice],$AB$3,Fonctionnement[TVA acquittée])+SUMIF(Invest[Affectation matrice],$AB$3,Invest[TVA acquittée]))*BC9</f>
        <v>0</v>
      </c>
      <c r="CE9" s="200">
        <f>(SUMIF(Fonctionnement[Affectation matrice],$AB$3,Fonctionnement[TVA acquittée])+SUMIF(Invest[Affectation matrice],$AB$3,Invest[TVA acquittée]))*BD9</f>
        <v>0</v>
      </c>
      <c r="CF9" s="200">
        <f>(SUMIF(Fonctionnement[Affectation matrice],$AB$3,Fonctionnement[TVA acquittée])+SUMIF(Invest[Affectation matrice],$AB$3,Invest[TVA acquittée]))*BE9</f>
        <v>0</v>
      </c>
      <c r="CG9" s="200">
        <f>(SUMIF(Fonctionnement[Affectation matrice],$AB$3,Fonctionnement[TVA acquittée])+SUMIF(Invest[Affectation matrice],$AB$3,Invest[TVA acquittée]))*BF9</f>
        <v>0</v>
      </c>
      <c r="CH9" s="200">
        <f>(SUMIF(Fonctionnement[Affectation matrice],$AB$3,Fonctionnement[TVA acquittée])+SUMIF(Invest[Affectation matrice],$AB$3,Invest[TVA acquittée]))*BG9</f>
        <v>0</v>
      </c>
      <c r="CI9" s="200">
        <f>(SUMIF(Fonctionnement[Affectation matrice],$AB$3,Fonctionnement[TVA acquittée])+SUMIF(Invest[Affectation matrice],$AB$3,Invest[TVA acquittée]))*BH9</f>
        <v>0</v>
      </c>
      <c r="CJ9" s="200">
        <f>(SUMIF(Fonctionnement[Affectation matrice],$AB$3,Fonctionnement[TVA acquittée])+SUMIF(Invest[Affectation matrice],$AB$3,Invest[TVA acquittée]))*BI9</f>
        <v>0</v>
      </c>
      <c r="CK9" s="200">
        <f>(SUMIF(Fonctionnement[Affectation matrice],$AB$3,Fonctionnement[TVA acquittée])+SUMIF(Invest[Affectation matrice],$AB$3,Invest[TVA acquittée]))*BJ9</f>
        <v>0</v>
      </c>
      <c r="CL9" s="200">
        <f>(SUMIF(Fonctionnement[Affectation matrice],$AB$3,Fonctionnement[TVA acquittée])+SUMIF(Invest[Affectation matrice],$AB$3,Invest[TVA acquittée]))*BK9</f>
        <v>0</v>
      </c>
      <c r="CM9" s="200">
        <f>(SUMIF(Fonctionnement[Affectation matrice],$AB$3,Fonctionnement[TVA acquittée])+SUMIF(Invest[Affectation matrice],$AB$3,Invest[TVA acquittée]))*BL9</f>
        <v>0</v>
      </c>
      <c r="CN9" s="200">
        <f>(SUMIF(Fonctionnement[Affectation matrice],$AB$3,Fonctionnement[TVA acquittée])+SUMIF(Invest[Affectation matrice],$AB$3,Invest[TVA acquittée]))*BM9</f>
        <v>0</v>
      </c>
      <c r="CO9" s="200">
        <f>(SUMIF(Fonctionnement[Affectation matrice],$AB$3,Fonctionnement[TVA acquittée])+SUMIF(Invest[Affectation matrice],$AB$3,Invest[TVA acquittée]))*BN9</f>
        <v>0</v>
      </c>
      <c r="CP9" s="200">
        <f>(SUMIF(Fonctionnement[Affectation matrice],$AB$3,Fonctionnement[TVA acquittée])+SUMIF(Invest[Affectation matrice],$AB$3,Invest[TVA acquittée]))*BO9</f>
        <v>0</v>
      </c>
      <c r="CQ9" s="200">
        <f>(SUMIF(Fonctionnement[Affectation matrice],$AB$3,Fonctionnement[TVA acquittée])+SUMIF(Invest[Affectation matrice],$AB$3,Invest[TVA acquittée]))*BP9</f>
        <v>0</v>
      </c>
      <c r="CR9" s="200">
        <f>(SUMIF(Fonctionnement[Affectation matrice],$AB$3,Fonctionnement[TVA acquittée])+SUMIF(Invest[Affectation matrice],$AB$3,Invest[TVA acquittée]))*BQ9</f>
        <v>0</v>
      </c>
      <c r="CS9" s="200">
        <f>(SUMIF(Fonctionnement[Affectation matrice],$AB$3,Fonctionnement[TVA acquittée])+SUMIF(Invest[Affectation matrice],$AB$3,Invest[TVA acquittée]))*BR9</f>
        <v>0</v>
      </c>
      <c r="CT9" s="200">
        <f>(SUMIF(Fonctionnement[Affectation matrice],$AB$3,Fonctionnement[TVA acquittée])+SUMIF(Invest[Affectation matrice],$AB$3,Invest[TVA acquittée]))*BS9</f>
        <v>0</v>
      </c>
      <c r="CU9" s="200">
        <f>(SUMIF(Fonctionnement[Affectation matrice],$AB$3,Fonctionnement[TVA acquittée])+SUMIF(Invest[Affectation matrice],$AB$3,Invest[TVA acquittée]))*BT9</f>
        <v>0</v>
      </c>
      <c r="CV9" s="200">
        <f>(SUMIF(Fonctionnement[Affectation matrice],$AB$3,Fonctionnement[TVA acquittée])+SUMIF(Invest[Affectation matrice],$AB$3,Invest[TVA acquittée]))*BU9</f>
        <v>0</v>
      </c>
      <c r="CW9" s="200">
        <f>(SUMIF(Fonctionnement[Affectation matrice],$AB$3,Fonctionnement[TVA acquittée])+SUMIF(Invest[Affectation matrice],$AB$3,Invest[TVA acquittée]))*BV9</f>
        <v>0</v>
      </c>
      <c r="CX9" s="200">
        <f>(SUMIF(Fonctionnement[Affectation matrice],$AB$3,Fonctionnement[TVA acquittée])+SUMIF(Invest[Affectation matrice],$AB$3,Invest[TVA acquittée]))*BW9</f>
        <v>0</v>
      </c>
      <c r="CY9" s="200">
        <f>(SUMIF(Fonctionnement[Affectation matrice],$AB$3,Fonctionnement[TVA acquittée])+SUMIF(Invest[Affectation matrice],$AB$3,Invest[TVA acquittée]))*BX9</f>
        <v>0</v>
      </c>
      <c r="CZ9" s="200">
        <f>(SUMIF(Fonctionnement[Affectation matrice],$AB$3,Fonctionnement[TVA acquittée])+SUMIF(Invest[Affectation matrice],$AB$3,Invest[TVA acquittée]))*BY9</f>
        <v>0</v>
      </c>
      <c r="DA9" s="200">
        <f>(SUMIF(Fonctionnement[Affectation matrice],$AB$3,Fonctionnement[TVA acquittée])+SUMIF(Invest[Affectation matrice],$AB$3,Invest[TVA acquittée]))*BZ9</f>
        <v>0</v>
      </c>
      <c r="DB9" s="200">
        <f>(SUMIF(Fonctionnement[Affectation matrice],$AB$3,Fonctionnement[TVA acquittée])+SUMIF(Invest[Affectation matrice],$AB$3,Invest[TVA acquittée]))*CA9</f>
        <v>0</v>
      </c>
    </row>
    <row r="10" spans="1:106" s="22" customFormat="1" ht="12.75" customHeight="1" x14ac:dyDescent="0.25">
      <c r="A10" s="42" t="str">
        <f>Matrice[[#This Row],[Ligne de la matrice]]</f>
        <v>Transfert/Transport</v>
      </c>
      <c r="B10" s="276">
        <f>(SUMIF(Fonctionnement[Affectation matrice],$AB$3,Fonctionnement[Montant (€HT)])+SUMIF(Invest[Affectation matrice],$AB$3,Invest[Amortissement HT + intérêts]))*BC10</f>
        <v>0</v>
      </c>
      <c r="C10" s="276">
        <f>(SUMIF(Fonctionnement[Affectation matrice],$AB$3,Fonctionnement[Montant (€HT)])+SUMIF(Invest[Affectation matrice],$AB$3,Invest[Amortissement HT + intérêts]))*BD10</f>
        <v>0</v>
      </c>
      <c r="D10" s="276">
        <f>(SUMIF(Fonctionnement[Affectation matrice],$AB$3,Fonctionnement[Montant (€HT)])+SUMIF(Invest[Affectation matrice],$AB$3,Invest[Amortissement HT + intérêts]))*BE10</f>
        <v>0</v>
      </c>
      <c r="E10" s="276">
        <f>(SUMIF(Fonctionnement[Affectation matrice],$AB$3,Fonctionnement[Montant (€HT)])+SUMIF(Invest[Affectation matrice],$AB$3,Invest[Amortissement HT + intérêts]))*BF10</f>
        <v>0</v>
      </c>
      <c r="F10" s="276">
        <f>(SUMIF(Fonctionnement[Affectation matrice],$AB$3,Fonctionnement[Montant (€HT)])+SUMIF(Invest[Affectation matrice],$AB$3,Invest[Amortissement HT + intérêts]))*BG10</f>
        <v>0</v>
      </c>
      <c r="G10" s="276">
        <f>(SUMIF(Fonctionnement[Affectation matrice],$AB$3,Fonctionnement[Montant (€HT)])+SUMIF(Invest[Affectation matrice],$AB$3,Invest[Amortissement HT + intérêts]))*BH10</f>
        <v>0</v>
      </c>
      <c r="H10" s="276">
        <f>(SUMIF(Fonctionnement[Affectation matrice],$AB$3,Fonctionnement[Montant (€HT)])+SUMIF(Invest[Affectation matrice],$AB$3,Invest[Amortissement HT + intérêts]))*BI10</f>
        <v>0</v>
      </c>
      <c r="I10" s="276">
        <f>(SUMIF(Fonctionnement[Affectation matrice],$AB$3,Fonctionnement[Montant (€HT)])+SUMIF(Invest[Affectation matrice],$AB$3,Invest[Amortissement HT + intérêts]))*BJ10</f>
        <v>0</v>
      </c>
      <c r="J10" s="276">
        <f>(SUMIF(Fonctionnement[Affectation matrice],$AB$3,Fonctionnement[Montant (€HT)])+SUMIF(Invest[Affectation matrice],$AB$3,Invest[Amortissement HT + intérêts]))*BK10</f>
        <v>0</v>
      </c>
      <c r="K10" s="276">
        <f>(SUMIF(Fonctionnement[Affectation matrice],$AB$3,Fonctionnement[Montant (€HT)])+SUMIF(Invest[Affectation matrice],$AB$3,Invest[Amortissement HT + intérêts]))*BL10</f>
        <v>0</v>
      </c>
      <c r="L10" s="276">
        <f>(SUMIF(Fonctionnement[Affectation matrice],$AB$3,Fonctionnement[Montant (€HT)])+SUMIF(Invest[Affectation matrice],$AB$3,Invest[Amortissement HT + intérêts]))*BM10</f>
        <v>0</v>
      </c>
      <c r="M10" s="276">
        <f>(SUMIF(Fonctionnement[Affectation matrice],$AB$3,Fonctionnement[Montant (€HT)])+SUMIF(Invest[Affectation matrice],$AB$3,Invest[Amortissement HT + intérêts]))*BN10</f>
        <v>0</v>
      </c>
      <c r="N10" s="276">
        <f>(SUMIF(Fonctionnement[Affectation matrice],$AB$3,Fonctionnement[Montant (€HT)])+SUMIF(Invest[Affectation matrice],$AB$3,Invest[Amortissement HT + intérêts]))*BO10</f>
        <v>0</v>
      </c>
      <c r="O10" s="276">
        <f>(SUMIF(Fonctionnement[Affectation matrice],$AB$3,Fonctionnement[Montant (€HT)])+SUMIF(Invest[Affectation matrice],$AB$3,Invest[Amortissement HT + intérêts]))*BP10</f>
        <v>0</v>
      </c>
      <c r="P10" s="276">
        <f>(SUMIF(Fonctionnement[Affectation matrice],$AB$3,Fonctionnement[Montant (€HT)])+SUMIF(Invest[Affectation matrice],$AB$3,Invest[Amortissement HT + intérêts]))*BQ10</f>
        <v>0</v>
      </c>
      <c r="Q10" s="276">
        <f>(SUMIF(Fonctionnement[Affectation matrice],$AB$3,Fonctionnement[Montant (€HT)])+SUMIF(Invest[Affectation matrice],$AB$3,Invest[Amortissement HT + intérêts]))*BR10</f>
        <v>0</v>
      </c>
      <c r="R10" s="276">
        <f>(SUMIF(Fonctionnement[Affectation matrice],$AB$3,Fonctionnement[Montant (€HT)])+SUMIF(Invest[Affectation matrice],$AB$3,Invest[Amortissement HT + intérêts]))*BS10</f>
        <v>0</v>
      </c>
      <c r="S10" s="276">
        <f>(SUMIF(Fonctionnement[Affectation matrice],$AB$3,Fonctionnement[Montant (€HT)])+SUMIF(Invest[Affectation matrice],$AB$3,Invest[Amortissement HT + intérêts]))*BT10</f>
        <v>0</v>
      </c>
      <c r="T10" s="276">
        <f>(SUMIF(Fonctionnement[Affectation matrice],$AB$3,Fonctionnement[Montant (€HT)])+SUMIF(Invest[Affectation matrice],$AB$3,Invest[Amortissement HT + intérêts]))*BU10</f>
        <v>0</v>
      </c>
      <c r="U10" s="276">
        <f>(SUMIF(Fonctionnement[Affectation matrice],$AB$3,Fonctionnement[Montant (€HT)])+SUMIF(Invest[Affectation matrice],$AB$3,Invest[Amortissement HT + intérêts]))*BV10</f>
        <v>0</v>
      </c>
      <c r="V10" s="276">
        <f>(SUMIF(Fonctionnement[Affectation matrice],$AB$3,Fonctionnement[Montant (€HT)])+SUMIF(Invest[Affectation matrice],$AB$3,Invest[Amortissement HT + intérêts]))*BW10</f>
        <v>0</v>
      </c>
      <c r="W10" s="276">
        <f>(SUMIF(Fonctionnement[Affectation matrice],$AB$3,Fonctionnement[Montant (€HT)])+SUMIF(Invest[Affectation matrice],$AB$3,Invest[Amortissement HT + intérêts]))*BX10</f>
        <v>0</v>
      </c>
      <c r="X10" s="276">
        <f>(SUMIF(Fonctionnement[Affectation matrice],$AB$3,Fonctionnement[Montant (€HT)])+SUMIF(Invest[Affectation matrice],$AB$3,Invest[Amortissement HT + intérêts]))*BY10</f>
        <v>0</v>
      </c>
      <c r="Y10" s="276">
        <f>(SUMIF(Fonctionnement[Affectation matrice],$AB$3,Fonctionnement[Montant (€HT)])+SUMIF(Invest[Affectation matrice],$AB$3,Invest[Amortissement HT + intérêts]))*BZ10</f>
        <v>0</v>
      </c>
      <c r="Z10" s="276">
        <f>(SUMIF(Fonctionnement[Affectation matrice],$AB$3,Fonctionnement[Montant (€HT)])+SUMIF(Invest[Affectation matrice],$AB$3,Invest[Amortissement HT + intérêts]))*CA10</f>
        <v>0</v>
      </c>
      <c r="AA10" s="199"/>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283">
        <f t="shared" si="4"/>
        <v>0</v>
      </c>
      <c r="BB10" s="7"/>
      <c r="BC10" s="61">
        <f t="shared" si="2"/>
        <v>0</v>
      </c>
      <c r="BD10" s="61">
        <f t="shared" si="2"/>
        <v>0</v>
      </c>
      <c r="BE10" s="61">
        <f t="shared" si="2"/>
        <v>0</v>
      </c>
      <c r="BF10" s="61">
        <f t="shared" si="2"/>
        <v>0</v>
      </c>
      <c r="BG10" s="61">
        <f t="shared" si="2"/>
        <v>0</v>
      </c>
      <c r="BH10" s="61">
        <f t="shared" si="2"/>
        <v>0</v>
      </c>
      <c r="BI10" s="61">
        <f t="shared" si="2"/>
        <v>0</v>
      </c>
      <c r="BJ10" s="61">
        <f t="shared" si="2"/>
        <v>0</v>
      </c>
      <c r="BK10" s="61">
        <f t="shared" si="2"/>
        <v>0</v>
      </c>
      <c r="BL10" s="61">
        <f t="shared" si="2"/>
        <v>0</v>
      </c>
      <c r="BM10" s="61">
        <f t="shared" si="2"/>
        <v>0</v>
      </c>
      <c r="BN10" s="61">
        <f t="shared" si="2"/>
        <v>0</v>
      </c>
      <c r="BO10" s="61">
        <f t="shared" si="2"/>
        <v>0</v>
      </c>
      <c r="BP10" s="61">
        <f t="shared" si="2"/>
        <v>0</v>
      </c>
      <c r="BQ10" s="61">
        <f t="shared" si="2"/>
        <v>0</v>
      </c>
      <c r="BR10" s="61">
        <f t="shared" si="2"/>
        <v>0</v>
      </c>
      <c r="BS10" s="61">
        <f t="shared" si="3"/>
        <v>0</v>
      </c>
      <c r="BT10" s="61">
        <f t="shared" si="3"/>
        <v>0</v>
      </c>
      <c r="BU10" s="61">
        <f t="shared" si="3"/>
        <v>0</v>
      </c>
      <c r="BV10" s="61">
        <f t="shared" si="3"/>
        <v>0</v>
      </c>
      <c r="BW10" s="61">
        <f t="shared" si="3"/>
        <v>0</v>
      </c>
      <c r="BX10" s="61">
        <f t="shared" si="3"/>
        <v>0</v>
      </c>
      <c r="BY10" s="61">
        <f t="shared" si="3"/>
        <v>0</v>
      </c>
      <c r="BZ10" s="61">
        <f t="shared" si="3"/>
        <v>0</v>
      </c>
      <c r="CA10" s="61">
        <f t="shared" si="3"/>
        <v>0</v>
      </c>
      <c r="CB10" s="61">
        <f t="shared" si="5"/>
        <v>0</v>
      </c>
      <c r="CD10" s="200">
        <f>(SUMIF(Fonctionnement[Affectation matrice],$AB$3,Fonctionnement[TVA acquittée])+SUMIF(Invest[Affectation matrice],$AB$3,Invest[TVA acquittée]))*BC10</f>
        <v>0</v>
      </c>
      <c r="CE10" s="200">
        <f>(SUMIF(Fonctionnement[Affectation matrice],$AB$3,Fonctionnement[TVA acquittée])+SUMIF(Invest[Affectation matrice],$AB$3,Invest[TVA acquittée]))*BD10</f>
        <v>0</v>
      </c>
      <c r="CF10" s="200">
        <f>(SUMIF(Fonctionnement[Affectation matrice],$AB$3,Fonctionnement[TVA acquittée])+SUMIF(Invest[Affectation matrice],$AB$3,Invest[TVA acquittée]))*BE10</f>
        <v>0</v>
      </c>
      <c r="CG10" s="200">
        <f>(SUMIF(Fonctionnement[Affectation matrice],$AB$3,Fonctionnement[TVA acquittée])+SUMIF(Invest[Affectation matrice],$AB$3,Invest[TVA acquittée]))*BF10</f>
        <v>0</v>
      </c>
      <c r="CH10" s="200">
        <f>(SUMIF(Fonctionnement[Affectation matrice],$AB$3,Fonctionnement[TVA acquittée])+SUMIF(Invest[Affectation matrice],$AB$3,Invest[TVA acquittée]))*BG10</f>
        <v>0</v>
      </c>
      <c r="CI10" s="200">
        <f>(SUMIF(Fonctionnement[Affectation matrice],$AB$3,Fonctionnement[TVA acquittée])+SUMIF(Invest[Affectation matrice],$AB$3,Invest[TVA acquittée]))*BH10</f>
        <v>0</v>
      </c>
      <c r="CJ10" s="200">
        <f>(SUMIF(Fonctionnement[Affectation matrice],$AB$3,Fonctionnement[TVA acquittée])+SUMIF(Invest[Affectation matrice],$AB$3,Invest[TVA acquittée]))*BI10</f>
        <v>0</v>
      </c>
      <c r="CK10" s="200">
        <f>(SUMIF(Fonctionnement[Affectation matrice],$AB$3,Fonctionnement[TVA acquittée])+SUMIF(Invest[Affectation matrice],$AB$3,Invest[TVA acquittée]))*BJ10</f>
        <v>0</v>
      </c>
      <c r="CL10" s="200">
        <f>(SUMIF(Fonctionnement[Affectation matrice],$AB$3,Fonctionnement[TVA acquittée])+SUMIF(Invest[Affectation matrice],$AB$3,Invest[TVA acquittée]))*BK10</f>
        <v>0</v>
      </c>
      <c r="CM10" s="200">
        <f>(SUMIF(Fonctionnement[Affectation matrice],$AB$3,Fonctionnement[TVA acquittée])+SUMIF(Invest[Affectation matrice],$AB$3,Invest[TVA acquittée]))*BL10</f>
        <v>0</v>
      </c>
      <c r="CN10" s="200">
        <f>(SUMIF(Fonctionnement[Affectation matrice],$AB$3,Fonctionnement[TVA acquittée])+SUMIF(Invest[Affectation matrice],$AB$3,Invest[TVA acquittée]))*BM10</f>
        <v>0</v>
      </c>
      <c r="CO10" s="200">
        <f>(SUMIF(Fonctionnement[Affectation matrice],$AB$3,Fonctionnement[TVA acquittée])+SUMIF(Invest[Affectation matrice],$AB$3,Invest[TVA acquittée]))*BN10</f>
        <v>0</v>
      </c>
      <c r="CP10" s="200">
        <f>(SUMIF(Fonctionnement[Affectation matrice],$AB$3,Fonctionnement[TVA acquittée])+SUMIF(Invest[Affectation matrice],$AB$3,Invest[TVA acquittée]))*BO10</f>
        <v>0</v>
      </c>
      <c r="CQ10" s="200">
        <f>(SUMIF(Fonctionnement[Affectation matrice],$AB$3,Fonctionnement[TVA acquittée])+SUMIF(Invest[Affectation matrice],$AB$3,Invest[TVA acquittée]))*BP10</f>
        <v>0</v>
      </c>
      <c r="CR10" s="200">
        <f>(SUMIF(Fonctionnement[Affectation matrice],$AB$3,Fonctionnement[TVA acquittée])+SUMIF(Invest[Affectation matrice],$AB$3,Invest[TVA acquittée]))*BQ10</f>
        <v>0</v>
      </c>
      <c r="CS10" s="200">
        <f>(SUMIF(Fonctionnement[Affectation matrice],$AB$3,Fonctionnement[TVA acquittée])+SUMIF(Invest[Affectation matrice],$AB$3,Invest[TVA acquittée]))*BR10</f>
        <v>0</v>
      </c>
      <c r="CT10" s="200">
        <f>(SUMIF(Fonctionnement[Affectation matrice],$AB$3,Fonctionnement[TVA acquittée])+SUMIF(Invest[Affectation matrice],$AB$3,Invest[TVA acquittée]))*BS10</f>
        <v>0</v>
      </c>
      <c r="CU10" s="200">
        <f>(SUMIF(Fonctionnement[Affectation matrice],$AB$3,Fonctionnement[TVA acquittée])+SUMIF(Invest[Affectation matrice],$AB$3,Invest[TVA acquittée]))*BT10</f>
        <v>0</v>
      </c>
      <c r="CV10" s="200">
        <f>(SUMIF(Fonctionnement[Affectation matrice],$AB$3,Fonctionnement[TVA acquittée])+SUMIF(Invest[Affectation matrice],$AB$3,Invest[TVA acquittée]))*BU10</f>
        <v>0</v>
      </c>
      <c r="CW10" s="200">
        <f>(SUMIF(Fonctionnement[Affectation matrice],$AB$3,Fonctionnement[TVA acquittée])+SUMIF(Invest[Affectation matrice],$AB$3,Invest[TVA acquittée]))*BV10</f>
        <v>0</v>
      </c>
      <c r="CX10" s="200">
        <f>(SUMIF(Fonctionnement[Affectation matrice],$AB$3,Fonctionnement[TVA acquittée])+SUMIF(Invest[Affectation matrice],$AB$3,Invest[TVA acquittée]))*BW10</f>
        <v>0</v>
      </c>
      <c r="CY10" s="200">
        <f>(SUMIF(Fonctionnement[Affectation matrice],$AB$3,Fonctionnement[TVA acquittée])+SUMIF(Invest[Affectation matrice],$AB$3,Invest[TVA acquittée]))*BX10</f>
        <v>0</v>
      </c>
      <c r="CZ10" s="200">
        <f>(SUMIF(Fonctionnement[Affectation matrice],$AB$3,Fonctionnement[TVA acquittée])+SUMIF(Invest[Affectation matrice],$AB$3,Invest[TVA acquittée]))*BY10</f>
        <v>0</v>
      </c>
      <c r="DA10" s="200">
        <f>(SUMIF(Fonctionnement[Affectation matrice],$AB$3,Fonctionnement[TVA acquittée])+SUMIF(Invest[Affectation matrice],$AB$3,Invest[TVA acquittée]))*BZ10</f>
        <v>0</v>
      </c>
      <c r="DB10" s="200">
        <f>(SUMIF(Fonctionnement[Affectation matrice],$AB$3,Fonctionnement[TVA acquittée])+SUMIF(Invest[Affectation matrice],$AB$3,Invest[TVA acquittée]))*CA10</f>
        <v>0</v>
      </c>
    </row>
    <row r="11" spans="1:106" s="22" customFormat="1" ht="12.75" customHeight="1" x14ac:dyDescent="0.25">
      <c r="A11" s="42" t="str">
        <f>Matrice[[#This Row],[Ligne de la matrice]]</f>
        <v>Traitement des déchets non dangereux</v>
      </c>
      <c r="B11" s="276">
        <f>(SUMIF(Fonctionnement[Affectation matrice],$AB$3,Fonctionnement[Montant (€HT)])+SUMIF(Invest[Affectation matrice],$AB$3,Invest[Amortissement HT + intérêts]))*BC11</f>
        <v>0</v>
      </c>
      <c r="C11" s="276">
        <f>(SUMIF(Fonctionnement[Affectation matrice],$AB$3,Fonctionnement[Montant (€HT)])+SUMIF(Invest[Affectation matrice],$AB$3,Invest[Amortissement HT + intérêts]))*BD11</f>
        <v>0</v>
      </c>
      <c r="D11" s="276">
        <f>(SUMIF(Fonctionnement[Affectation matrice],$AB$3,Fonctionnement[Montant (€HT)])+SUMIF(Invest[Affectation matrice],$AB$3,Invest[Amortissement HT + intérêts]))*BE11</f>
        <v>0</v>
      </c>
      <c r="E11" s="276">
        <f>(SUMIF(Fonctionnement[Affectation matrice],$AB$3,Fonctionnement[Montant (€HT)])+SUMIF(Invest[Affectation matrice],$AB$3,Invest[Amortissement HT + intérêts]))*BF11</f>
        <v>0</v>
      </c>
      <c r="F11" s="276">
        <f>(SUMIF(Fonctionnement[Affectation matrice],$AB$3,Fonctionnement[Montant (€HT)])+SUMIF(Invest[Affectation matrice],$AB$3,Invest[Amortissement HT + intérêts]))*BG11</f>
        <v>0</v>
      </c>
      <c r="G11" s="276">
        <f>(SUMIF(Fonctionnement[Affectation matrice],$AB$3,Fonctionnement[Montant (€HT)])+SUMIF(Invest[Affectation matrice],$AB$3,Invest[Amortissement HT + intérêts]))*BH11</f>
        <v>0</v>
      </c>
      <c r="H11" s="276">
        <f>(SUMIF(Fonctionnement[Affectation matrice],$AB$3,Fonctionnement[Montant (€HT)])+SUMIF(Invest[Affectation matrice],$AB$3,Invest[Amortissement HT + intérêts]))*BI11</f>
        <v>0</v>
      </c>
      <c r="I11" s="276">
        <f>(SUMIF(Fonctionnement[Affectation matrice],$AB$3,Fonctionnement[Montant (€HT)])+SUMIF(Invest[Affectation matrice],$AB$3,Invest[Amortissement HT + intérêts]))*BJ11</f>
        <v>0</v>
      </c>
      <c r="J11" s="276">
        <f>(SUMIF(Fonctionnement[Affectation matrice],$AB$3,Fonctionnement[Montant (€HT)])+SUMIF(Invest[Affectation matrice],$AB$3,Invest[Amortissement HT + intérêts]))*BK11</f>
        <v>0</v>
      </c>
      <c r="K11" s="276">
        <f>(SUMIF(Fonctionnement[Affectation matrice],$AB$3,Fonctionnement[Montant (€HT)])+SUMIF(Invest[Affectation matrice],$AB$3,Invest[Amortissement HT + intérêts]))*BL11</f>
        <v>0</v>
      </c>
      <c r="L11" s="276">
        <f>(SUMIF(Fonctionnement[Affectation matrice],$AB$3,Fonctionnement[Montant (€HT)])+SUMIF(Invest[Affectation matrice],$AB$3,Invest[Amortissement HT + intérêts]))*BM11</f>
        <v>0</v>
      </c>
      <c r="M11" s="276">
        <f>(SUMIF(Fonctionnement[Affectation matrice],$AB$3,Fonctionnement[Montant (€HT)])+SUMIF(Invest[Affectation matrice],$AB$3,Invest[Amortissement HT + intérêts]))*BN11</f>
        <v>0</v>
      </c>
      <c r="N11" s="276">
        <f>(SUMIF(Fonctionnement[Affectation matrice],$AB$3,Fonctionnement[Montant (€HT)])+SUMIF(Invest[Affectation matrice],$AB$3,Invest[Amortissement HT + intérêts]))*BO11</f>
        <v>0</v>
      </c>
      <c r="O11" s="276">
        <f>(SUMIF(Fonctionnement[Affectation matrice],$AB$3,Fonctionnement[Montant (€HT)])+SUMIF(Invest[Affectation matrice],$AB$3,Invest[Amortissement HT + intérêts]))*BP11</f>
        <v>0</v>
      </c>
      <c r="P11" s="276">
        <f>(SUMIF(Fonctionnement[Affectation matrice],$AB$3,Fonctionnement[Montant (€HT)])+SUMIF(Invest[Affectation matrice],$AB$3,Invest[Amortissement HT + intérêts]))*BQ11</f>
        <v>0</v>
      </c>
      <c r="Q11" s="276">
        <f>(SUMIF(Fonctionnement[Affectation matrice],$AB$3,Fonctionnement[Montant (€HT)])+SUMIF(Invest[Affectation matrice],$AB$3,Invest[Amortissement HT + intérêts]))*BR11</f>
        <v>0</v>
      </c>
      <c r="R11" s="276">
        <f>(SUMIF(Fonctionnement[Affectation matrice],$AB$3,Fonctionnement[Montant (€HT)])+SUMIF(Invest[Affectation matrice],$AB$3,Invest[Amortissement HT + intérêts]))*BS11</f>
        <v>0</v>
      </c>
      <c r="S11" s="276">
        <f>(SUMIF(Fonctionnement[Affectation matrice],$AB$3,Fonctionnement[Montant (€HT)])+SUMIF(Invest[Affectation matrice],$AB$3,Invest[Amortissement HT + intérêts]))*BT11</f>
        <v>0</v>
      </c>
      <c r="T11" s="276">
        <f>(SUMIF(Fonctionnement[Affectation matrice],$AB$3,Fonctionnement[Montant (€HT)])+SUMIF(Invest[Affectation matrice],$AB$3,Invest[Amortissement HT + intérêts]))*BU11</f>
        <v>0</v>
      </c>
      <c r="U11" s="276">
        <f>(SUMIF(Fonctionnement[Affectation matrice],$AB$3,Fonctionnement[Montant (€HT)])+SUMIF(Invest[Affectation matrice],$AB$3,Invest[Amortissement HT + intérêts]))*BV11</f>
        <v>0</v>
      </c>
      <c r="V11" s="276">
        <f>(SUMIF(Fonctionnement[Affectation matrice],$AB$3,Fonctionnement[Montant (€HT)])+SUMIF(Invest[Affectation matrice],$AB$3,Invest[Amortissement HT + intérêts]))*BW11</f>
        <v>0</v>
      </c>
      <c r="W11" s="276">
        <f>(SUMIF(Fonctionnement[Affectation matrice],$AB$3,Fonctionnement[Montant (€HT)])+SUMIF(Invest[Affectation matrice],$AB$3,Invest[Amortissement HT + intérêts]))*BX11</f>
        <v>0</v>
      </c>
      <c r="X11" s="276">
        <f>(SUMIF(Fonctionnement[Affectation matrice],$AB$3,Fonctionnement[Montant (€HT)])+SUMIF(Invest[Affectation matrice],$AB$3,Invest[Amortissement HT + intérêts]))*BY11</f>
        <v>0</v>
      </c>
      <c r="Y11" s="276">
        <f>(SUMIF(Fonctionnement[Affectation matrice],$AB$3,Fonctionnement[Montant (€HT)])+SUMIF(Invest[Affectation matrice],$AB$3,Invest[Amortissement HT + intérêts]))*BZ11</f>
        <v>0</v>
      </c>
      <c r="Z11" s="276">
        <f>(SUMIF(Fonctionnement[Affectation matrice],$AB$3,Fonctionnement[Montant (€HT)])+SUMIF(Invest[Affectation matrice],$AB$3,Invest[Amortissement HT + intérêts]))*CA11</f>
        <v>0</v>
      </c>
      <c r="AA11" s="199"/>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283">
        <f t="shared" si="4"/>
        <v>0</v>
      </c>
      <c r="BB11" s="7"/>
      <c r="BC11" s="61">
        <f t="shared" si="2"/>
        <v>0</v>
      </c>
      <c r="BD11" s="61">
        <f t="shared" si="2"/>
        <v>0</v>
      </c>
      <c r="BE11" s="61">
        <f t="shared" si="2"/>
        <v>0</v>
      </c>
      <c r="BF11" s="61">
        <f t="shared" si="2"/>
        <v>0</v>
      </c>
      <c r="BG11" s="61">
        <f t="shared" si="2"/>
        <v>0</v>
      </c>
      <c r="BH11" s="61">
        <f t="shared" si="2"/>
        <v>0</v>
      </c>
      <c r="BI11" s="61">
        <f t="shared" si="2"/>
        <v>0</v>
      </c>
      <c r="BJ11" s="61">
        <f t="shared" si="2"/>
        <v>0</v>
      </c>
      <c r="BK11" s="61">
        <f t="shared" si="2"/>
        <v>0</v>
      </c>
      <c r="BL11" s="61">
        <f t="shared" si="2"/>
        <v>0</v>
      </c>
      <c r="BM11" s="61">
        <f t="shared" si="2"/>
        <v>0</v>
      </c>
      <c r="BN11" s="61">
        <f t="shared" si="2"/>
        <v>0</v>
      </c>
      <c r="BO11" s="61">
        <f t="shared" si="2"/>
        <v>0</v>
      </c>
      <c r="BP11" s="61">
        <f t="shared" si="2"/>
        <v>0</v>
      </c>
      <c r="BQ11" s="61">
        <f t="shared" si="2"/>
        <v>0</v>
      </c>
      <c r="BR11" s="61">
        <f t="shared" si="2"/>
        <v>0</v>
      </c>
      <c r="BS11" s="61">
        <f t="shared" si="3"/>
        <v>0</v>
      </c>
      <c r="BT11" s="61">
        <f t="shared" si="3"/>
        <v>0</v>
      </c>
      <c r="BU11" s="61">
        <f t="shared" si="3"/>
        <v>0</v>
      </c>
      <c r="BV11" s="61">
        <f t="shared" si="3"/>
        <v>0</v>
      </c>
      <c r="BW11" s="61">
        <f t="shared" si="3"/>
        <v>0</v>
      </c>
      <c r="BX11" s="61">
        <f t="shared" si="3"/>
        <v>0</v>
      </c>
      <c r="BY11" s="61">
        <f t="shared" si="3"/>
        <v>0</v>
      </c>
      <c r="BZ11" s="61">
        <f t="shared" si="3"/>
        <v>0</v>
      </c>
      <c r="CA11" s="61">
        <f t="shared" si="3"/>
        <v>0</v>
      </c>
      <c r="CB11" s="61">
        <f t="shared" si="5"/>
        <v>0</v>
      </c>
      <c r="CD11" s="200">
        <f>(SUMIF(Fonctionnement[Affectation matrice],$AB$3,Fonctionnement[TVA acquittée])+SUMIF(Invest[Affectation matrice],$AB$3,Invest[TVA acquittée]))*BC11</f>
        <v>0</v>
      </c>
      <c r="CE11" s="200">
        <f>(SUMIF(Fonctionnement[Affectation matrice],$AB$3,Fonctionnement[TVA acquittée])+SUMIF(Invest[Affectation matrice],$AB$3,Invest[TVA acquittée]))*BD11</f>
        <v>0</v>
      </c>
      <c r="CF11" s="200">
        <f>(SUMIF(Fonctionnement[Affectation matrice],$AB$3,Fonctionnement[TVA acquittée])+SUMIF(Invest[Affectation matrice],$AB$3,Invest[TVA acquittée]))*BE11</f>
        <v>0</v>
      </c>
      <c r="CG11" s="200">
        <f>(SUMIF(Fonctionnement[Affectation matrice],$AB$3,Fonctionnement[TVA acquittée])+SUMIF(Invest[Affectation matrice],$AB$3,Invest[TVA acquittée]))*BF11</f>
        <v>0</v>
      </c>
      <c r="CH11" s="200">
        <f>(SUMIF(Fonctionnement[Affectation matrice],$AB$3,Fonctionnement[TVA acquittée])+SUMIF(Invest[Affectation matrice],$AB$3,Invest[TVA acquittée]))*BG11</f>
        <v>0</v>
      </c>
      <c r="CI11" s="200">
        <f>(SUMIF(Fonctionnement[Affectation matrice],$AB$3,Fonctionnement[TVA acquittée])+SUMIF(Invest[Affectation matrice],$AB$3,Invest[TVA acquittée]))*BH11</f>
        <v>0</v>
      </c>
      <c r="CJ11" s="200">
        <f>(SUMIF(Fonctionnement[Affectation matrice],$AB$3,Fonctionnement[TVA acquittée])+SUMIF(Invest[Affectation matrice],$AB$3,Invest[TVA acquittée]))*BI11</f>
        <v>0</v>
      </c>
      <c r="CK11" s="200">
        <f>(SUMIF(Fonctionnement[Affectation matrice],$AB$3,Fonctionnement[TVA acquittée])+SUMIF(Invest[Affectation matrice],$AB$3,Invest[TVA acquittée]))*BJ11</f>
        <v>0</v>
      </c>
      <c r="CL11" s="200">
        <f>(SUMIF(Fonctionnement[Affectation matrice],$AB$3,Fonctionnement[TVA acquittée])+SUMIF(Invest[Affectation matrice],$AB$3,Invest[TVA acquittée]))*BK11</f>
        <v>0</v>
      </c>
      <c r="CM11" s="200">
        <f>(SUMIF(Fonctionnement[Affectation matrice],$AB$3,Fonctionnement[TVA acquittée])+SUMIF(Invest[Affectation matrice],$AB$3,Invest[TVA acquittée]))*BL11</f>
        <v>0</v>
      </c>
      <c r="CN11" s="200">
        <f>(SUMIF(Fonctionnement[Affectation matrice],$AB$3,Fonctionnement[TVA acquittée])+SUMIF(Invest[Affectation matrice],$AB$3,Invest[TVA acquittée]))*BM11</f>
        <v>0</v>
      </c>
      <c r="CO11" s="200">
        <f>(SUMIF(Fonctionnement[Affectation matrice],$AB$3,Fonctionnement[TVA acquittée])+SUMIF(Invest[Affectation matrice],$AB$3,Invest[TVA acquittée]))*BN11</f>
        <v>0</v>
      </c>
      <c r="CP11" s="200">
        <f>(SUMIF(Fonctionnement[Affectation matrice],$AB$3,Fonctionnement[TVA acquittée])+SUMIF(Invest[Affectation matrice],$AB$3,Invest[TVA acquittée]))*BO11</f>
        <v>0</v>
      </c>
      <c r="CQ11" s="200">
        <f>(SUMIF(Fonctionnement[Affectation matrice],$AB$3,Fonctionnement[TVA acquittée])+SUMIF(Invest[Affectation matrice],$AB$3,Invest[TVA acquittée]))*BP11</f>
        <v>0</v>
      </c>
      <c r="CR11" s="200">
        <f>(SUMIF(Fonctionnement[Affectation matrice],$AB$3,Fonctionnement[TVA acquittée])+SUMIF(Invest[Affectation matrice],$AB$3,Invest[TVA acquittée]))*BQ11</f>
        <v>0</v>
      </c>
      <c r="CS11" s="200">
        <f>(SUMIF(Fonctionnement[Affectation matrice],$AB$3,Fonctionnement[TVA acquittée])+SUMIF(Invest[Affectation matrice],$AB$3,Invest[TVA acquittée]))*BR11</f>
        <v>0</v>
      </c>
      <c r="CT11" s="200">
        <f>(SUMIF(Fonctionnement[Affectation matrice],$AB$3,Fonctionnement[TVA acquittée])+SUMIF(Invest[Affectation matrice],$AB$3,Invest[TVA acquittée]))*BS11</f>
        <v>0</v>
      </c>
      <c r="CU11" s="200">
        <f>(SUMIF(Fonctionnement[Affectation matrice],$AB$3,Fonctionnement[TVA acquittée])+SUMIF(Invest[Affectation matrice],$AB$3,Invest[TVA acquittée]))*BT11</f>
        <v>0</v>
      </c>
      <c r="CV11" s="200">
        <f>(SUMIF(Fonctionnement[Affectation matrice],$AB$3,Fonctionnement[TVA acquittée])+SUMIF(Invest[Affectation matrice],$AB$3,Invest[TVA acquittée]))*BU11</f>
        <v>0</v>
      </c>
      <c r="CW11" s="200">
        <f>(SUMIF(Fonctionnement[Affectation matrice],$AB$3,Fonctionnement[TVA acquittée])+SUMIF(Invest[Affectation matrice],$AB$3,Invest[TVA acquittée]))*BV11</f>
        <v>0</v>
      </c>
      <c r="CX11" s="200">
        <f>(SUMIF(Fonctionnement[Affectation matrice],$AB$3,Fonctionnement[TVA acquittée])+SUMIF(Invest[Affectation matrice],$AB$3,Invest[TVA acquittée]))*BW11</f>
        <v>0</v>
      </c>
      <c r="CY11" s="200">
        <f>(SUMIF(Fonctionnement[Affectation matrice],$AB$3,Fonctionnement[TVA acquittée])+SUMIF(Invest[Affectation matrice],$AB$3,Invest[TVA acquittée]))*BX11</f>
        <v>0</v>
      </c>
      <c r="CZ11" s="200">
        <f>(SUMIF(Fonctionnement[Affectation matrice],$AB$3,Fonctionnement[TVA acquittée])+SUMIF(Invest[Affectation matrice],$AB$3,Invest[TVA acquittée]))*BY11</f>
        <v>0</v>
      </c>
      <c r="DA11" s="200">
        <f>(SUMIF(Fonctionnement[Affectation matrice],$AB$3,Fonctionnement[TVA acquittée])+SUMIF(Invest[Affectation matrice],$AB$3,Invest[TVA acquittée]))*BZ11</f>
        <v>0</v>
      </c>
      <c r="DB11" s="200">
        <f>(SUMIF(Fonctionnement[Affectation matrice],$AB$3,Fonctionnement[TVA acquittée])+SUMIF(Invest[Affectation matrice],$AB$3,Invest[TVA acquittée]))*CA11</f>
        <v>0</v>
      </c>
    </row>
    <row r="12" spans="1:106" s="22" customFormat="1" ht="12.75" customHeight="1" x14ac:dyDescent="0.25">
      <c r="A12" s="42" t="str">
        <f>Matrice[[#This Row],[Ligne de la matrice]]</f>
        <v>Enlèvement et traitement des déchets dangereux</v>
      </c>
      <c r="B12" s="276">
        <f>(SUMIF(Fonctionnement[Affectation matrice],$AB$3,Fonctionnement[Montant (€HT)])+SUMIF(Invest[Affectation matrice],$AB$3,Invest[Amortissement HT + intérêts]))*BC12</f>
        <v>0</v>
      </c>
      <c r="C12" s="276">
        <f>(SUMIF(Fonctionnement[Affectation matrice],$AB$3,Fonctionnement[Montant (€HT)])+SUMIF(Invest[Affectation matrice],$AB$3,Invest[Amortissement HT + intérêts]))*BD12</f>
        <v>0</v>
      </c>
      <c r="D12" s="276">
        <f>(SUMIF(Fonctionnement[Affectation matrice],$AB$3,Fonctionnement[Montant (€HT)])+SUMIF(Invest[Affectation matrice],$AB$3,Invest[Amortissement HT + intérêts]))*BE12</f>
        <v>0</v>
      </c>
      <c r="E12" s="276">
        <f>(SUMIF(Fonctionnement[Affectation matrice],$AB$3,Fonctionnement[Montant (€HT)])+SUMIF(Invest[Affectation matrice],$AB$3,Invest[Amortissement HT + intérêts]))*BF12</f>
        <v>0</v>
      </c>
      <c r="F12" s="276">
        <f>(SUMIF(Fonctionnement[Affectation matrice],$AB$3,Fonctionnement[Montant (€HT)])+SUMIF(Invest[Affectation matrice],$AB$3,Invest[Amortissement HT + intérêts]))*BG12</f>
        <v>0</v>
      </c>
      <c r="G12" s="276">
        <f>(SUMIF(Fonctionnement[Affectation matrice],$AB$3,Fonctionnement[Montant (€HT)])+SUMIF(Invest[Affectation matrice],$AB$3,Invest[Amortissement HT + intérêts]))*BH12</f>
        <v>0</v>
      </c>
      <c r="H12" s="276">
        <f>(SUMIF(Fonctionnement[Affectation matrice],$AB$3,Fonctionnement[Montant (€HT)])+SUMIF(Invest[Affectation matrice],$AB$3,Invest[Amortissement HT + intérêts]))*BI12</f>
        <v>0</v>
      </c>
      <c r="I12" s="276">
        <f>(SUMIF(Fonctionnement[Affectation matrice],$AB$3,Fonctionnement[Montant (€HT)])+SUMIF(Invest[Affectation matrice],$AB$3,Invest[Amortissement HT + intérêts]))*BJ12</f>
        <v>0</v>
      </c>
      <c r="J12" s="276">
        <f>(SUMIF(Fonctionnement[Affectation matrice],$AB$3,Fonctionnement[Montant (€HT)])+SUMIF(Invest[Affectation matrice],$AB$3,Invest[Amortissement HT + intérêts]))*BK12</f>
        <v>0</v>
      </c>
      <c r="K12" s="276">
        <f>(SUMIF(Fonctionnement[Affectation matrice],$AB$3,Fonctionnement[Montant (€HT)])+SUMIF(Invest[Affectation matrice],$AB$3,Invest[Amortissement HT + intérêts]))*BL12</f>
        <v>0</v>
      </c>
      <c r="L12" s="276">
        <f>(SUMIF(Fonctionnement[Affectation matrice],$AB$3,Fonctionnement[Montant (€HT)])+SUMIF(Invest[Affectation matrice],$AB$3,Invest[Amortissement HT + intérêts]))*BM12</f>
        <v>0</v>
      </c>
      <c r="M12" s="276">
        <f>(SUMIF(Fonctionnement[Affectation matrice],$AB$3,Fonctionnement[Montant (€HT)])+SUMIF(Invest[Affectation matrice],$AB$3,Invest[Amortissement HT + intérêts]))*BN12</f>
        <v>0</v>
      </c>
      <c r="N12" s="276">
        <f>(SUMIF(Fonctionnement[Affectation matrice],$AB$3,Fonctionnement[Montant (€HT)])+SUMIF(Invest[Affectation matrice],$AB$3,Invest[Amortissement HT + intérêts]))*BO12</f>
        <v>0</v>
      </c>
      <c r="O12" s="276">
        <f>(SUMIF(Fonctionnement[Affectation matrice],$AB$3,Fonctionnement[Montant (€HT)])+SUMIF(Invest[Affectation matrice],$AB$3,Invest[Amortissement HT + intérêts]))*BP12</f>
        <v>0</v>
      </c>
      <c r="P12" s="276">
        <f>(SUMIF(Fonctionnement[Affectation matrice],$AB$3,Fonctionnement[Montant (€HT)])+SUMIF(Invest[Affectation matrice],$AB$3,Invest[Amortissement HT + intérêts]))*BQ12</f>
        <v>0</v>
      </c>
      <c r="Q12" s="276">
        <f>(SUMIF(Fonctionnement[Affectation matrice],$AB$3,Fonctionnement[Montant (€HT)])+SUMIF(Invest[Affectation matrice],$AB$3,Invest[Amortissement HT + intérêts]))*BR12</f>
        <v>0</v>
      </c>
      <c r="R12" s="276">
        <f>(SUMIF(Fonctionnement[Affectation matrice],$AB$3,Fonctionnement[Montant (€HT)])+SUMIF(Invest[Affectation matrice],$AB$3,Invest[Amortissement HT + intérêts]))*BS12</f>
        <v>0</v>
      </c>
      <c r="S12" s="276">
        <f>(SUMIF(Fonctionnement[Affectation matrice],$AB$3,Fonctionnement[Montant (€HT)])+SUMIF(Invest[Affectation matrice],$AB$3,Invest[Amortissement HT + intérêts]))*BT12</f>
        <v>0</v>
      </c>
      <c r="T12" s="276">
        <f>(SUMIF(Fonctionnement[Affectation matrice],$AB$3,Fonctionnement[Montant (€HT)])+SUMIF(Invest[Affectation matrice],$AB$3,Invest[Amortissement HT + intérêts]))*BU12</f>
        <v>0</v>
      </c>
      <c r="U12" s="276">
        <f>(SUMIF(Fonctionnement[Affectation matrice],$AB$3,Fonctionnement[Montant (€HT)])+SUMIF(Invest[Affectation matrice],$AB$3,Invest[Amortissement HT + intérêts]))*BV12</f>
        <v>0</v>
      </c>
      <c r="V12" s="276">
        <f>(SUMIF(Fonctionnement[Affectation matrice],$AB$3,Fonctionnement[Montant (€HT)])+SUMIF(Invest[Affectation matrice],$AB$3,Invest[Amortissement HT + intérêts]))*BW12</f>
        <v>0</v>
      </c>
      <c r="W12" s="276">
        <f>(SUMIF(Fonctionnement[Affectation matrice],$AB$3,Fonctionnement[Montant (€HT)])+SUMIF(Invest[Affectation matrice],$AB$3,Invest[Amortissement HT + intérêts]))*BX12</f>
        <v>0</v>
      </c>
      <c r="X12" s="276">
        <f>(SUMIF(Fonctionnement[Affectation matrice],$AB$3,Fonctionnement[Montant (€HT)])+SUMIF(Invest[Affectation matrice],$AB$3,Invest[Amortissement HT + intérêts]))*BY12</f>
        <v>0</v>
      </c>
      <c r="Y12" s="276">
        <f>(SUMIF(Fonctionnement[Affectation matrice],$AB$3,Fonctionnement[Montant (€HT)])+SUMIF(Invest[Affectation matrice],$AB$3,Invest[Amortissement HT + intérêts]))*BZ12</f>
        <v>0</v>
      </c>
      <c r="Z12" s="276">
        <f>(SUMIF(Fonctionnement[Affectation matrice],$AB$3,Fonctionnement[Montant (€HT)])+SUMIF(Invest[Affectation matrice],$AB$3,Invest[Amortissement HT + intérêts]))*CA12</f>
        <v>0</v>
      </c>
      <c r="AA12" s="199"/>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283">
        <f t="shared" si="4"/>
        <v>0</v>
      </c>
      <c r="BB12" s="7"/>
      <c r="BC12" s="61">
        <f t="shared" si="2"/>
        <v>0</v>
      </c>
      <c r="BD12" s="61">
        <f t="shared" si="2"/>
        <v>0</v>
      </c>
      <c r="BE12" s="61">
        <f t="shared" si="2"/>
        <v>0</v>
      </c>
      <c r="BF12" s="61">
        <f t="shared" si="2"/>
        <v>0</v>
      </c>
      <c r="BG12" s="61">
        <f t="shared" si="2"/>
        <v>0</v>
      </c>
      <c r="BH12" s="61">
        <f t="shared" si="2"/>
        <v>0</v>
      </c>
      <c r="BI12" s="61">
        <f t="shared" si="2"/>
        <v>0</v>
      </c>
      <c r="BJ12" s="61">
        <f t="shared" si="2"/>
        <v>0</v>
      </c>
      <c r="BK12" s="61">
        <f t="shared" si="2"/>
        <v>0</v>
      </c>
      <c r="BL12" s="61">
        <f t="shared" si="2"/>
        <v>0</v>
      </c>
      <c r="BM12" s="61">
        <f t="shared" si="2"/>
        <v>0</v>
      </c>
      <c r="BN12" s="61">
        <f t="shared" si="2"/>
        <v>0</v>
      </c>
      <c r="BO12" s="61">
        <f t="shared" si="2"/>
        <v>0</v>
      </c>
      <c r="BP12" s="61">
        <f t="shared" si="2"/>
        <v>0</v>
      </c>
      <c r="BQ12" s="61">
        <f t="shared" si="2"/>
        <v>0</v>
      </c>
      <c r="BR12" s="61">
        <f t="shared" si="2"/>
        <v>0</v>
      </c>
      <c r="BS12" s="61">
        <f t="shared" si="3"/>
        <v>0</v>
      </c>
      <c r="BT12" s="61">
        <f t="shared" si="3"/>
        <v>0</v>
      </c>
      <c r="BU12" s="61">
        <f t="shared" si="3"/>
        <v>0</v>
      </c>
      <c r="BV12" s="61">
        <f t="shared" si="3"/>
        <v>0</v>
      </c>
      <c r="BW12" s="61">
        <f t="shared" si="3"/>
        <v>0</v>
      </c>
      <c r="BX12" s="61">
        <f t="shared" si="3"/>
        <v>0</v>
      </c>
      <c r="BY12" s="61">
        <f t="shared" si="3"/>
        <v>0</v>
      </c>
      <c r="BZ12" s="61">
        <f t="shared" si="3"/>
        <v>0</v>
      </c>
      <c r="CA12" s="61">
        <f t="shared" si="3"/>
        <v>0</v>
      </c>
      <c r="CB12" s="61">
        <f t="shared" si="5"/>
        <v>0</v>
      </c>
      <c r="CD12" s="200">
        <f>(SUMIF(Fonctionnement[Affectation matrice],$AB$3,Fonctionnement[TVA acquittée])+SUMIF(Invest[Affectation matrice],$AB$3,Invest[TVA acquittée]))*BC12</f>
        <v>0</v>
      </c>
      <c r="CE12" s="200">
        <f>(SUMIF(Fonctionnement[Affectation matrice],$AB$3,Fonctionnement[TVA acquittée])+SUMIF(Invest[Affectation matrice],$AB$3,Invest[TVA acquittée]))*BD12</f>
        <v>0</v>
      </c>
      <c r="CF12" s="200">
        <f>(SUMIF(Fonctionnement[Affectation matrice],$AB$3,Fonctionnement[TVA acquittée])+SUMIF(Invest[Affectation matrice],$AB$3,Invest[TVA acquittée]))*BE12</f>
        <v>0</v>
      </c>
      <c r="CG12" s="200">
        <f>(SUMIF(Fonctionnement[Affectation matrice],$AB$3,Fonctionnement[TVA acquittée])+SUMIF(Invest[Affectation matrice],$AB$3,Invest[TVA acquittée]))*BF12</f>
        <v>0</v>
      </c>
      <c r="CH12" s="200">
        <f>(SUMIF(Fonctionnement[Affectation matrice],$AB$3,Fonctionnement[TVA acquittée])+SUMIF(Invest[Affectation matrice],$AB$3,Invest[TVA acquittée]))*BG12</f>
        <v>0</v>
      </c>
      <c r="CI12" s="200">
        <f>(SUMIF(Fonctionnement[Affectation matrice],$AB$3,Fonctionnement[TVA acquittée])+SUMIF(Invest[Affectation matrice],$AB$3,Invest[TVA acquittée]))*BH12</f>
        <v>0</v>
      </c>
      <c r="CJ12" s="200">
        <f>(SUMIF(Fonctionnement[Affectation matrice],$AB$3,Fonctionnement[TVA acquittée])+SUMIF(Invest[Affectation matrice],$AB$3,Invest[TVA acquittée]))*BI12</f>
        <v>0</v>
      </c>
      <c r="CK12" s="200">
        <f>(SUMIF(Fonctionnement[Affectation matrice],$AB$3,Fonctionnement[TVA acquittée])+SUMIF(Invest[Affectation matrice],$AB$3,Invest[TVA acquittée]))*BJ12</f>
        <v>0</v>
      </c>
      <c r="CL12" s="200">
        <f>(SUMIF(Fonctionnement[Affectation matrice],$AB$3,Fonctionnement[TVA acquittée])+SUMIF(Invest[Affectation matrice],$AB$3,Invest[TVA acquittée]))*BK12</f>
        <v>0</v>
      </c>
      <c r="CM12" s="200">
        <f>(SUMIF(Fonctionnement[Affectation matrice],$AB$3,Fonctionnement[TVA acquittée])+SUMIF(Invest[Affectation matrice],$AB$3,Invest[TVA acquittée]))*BL12</f>
        <v>0</v>
      </c>
      <c r="CN12" s="200">
        <f>(SUMIF(Fonctionnement[Affectation matrice],$AB$3,Fonctionnement[TVA acquittée])+SUMIF(Invest[Affectation matrice],$AB$3,Invest[TVA acquittée]))*BM12</f>
        <v>0</v>
      </c>
      <c r="CO12" s="200">
        <f>(SUMIF(Fonctionnement[Affectation matrice],$AB$3,Fonctionnement[TVA acquittée])+SUMIF(Invest[Affectation matrice],$AB$3,Invest[TVA acquittée]))*BN12</f>
        <v>0</v>
      </c>
      <c r="CP12" s="200">
        <f>(SUMIF(Fonctionnement[Affectation matrice],$AB$3,Fonctionnement[TVA acquittée])+SUMIF(Invest[Affectation matrice],$AB$3,Invest[TVA acquittée]))*BO12</f>
        <v>0</v>
      </c>
      <c r="CQ12" s="200">
        <f>(SUMIF(Fonctionnement[Affectation matrice],$AB$3,Fonctionnement[TVA acquittée])+SUMIF(Invest[Affectation matrice],$AB$3,Invest[TVA acquittée]))*BP12</f>
        <v>0</v>
      </c>
      <c r="CR12" s="200">
        <f>(SUMIF(Fonctionnement[Affectation matrice],$AB$3,Fonctionnement[TVA acquittée])+SUMIF(Invest[Affectation matrice],$AB$3,Invest[TVA acquittée]))*BQ12</f>
        <v>0</v>
      </c>
      <c r="CS12" s="200">
        <f>(SUMIF(Fonctionnement[Affectation matrice],$AB$3,Fonctionnement[TVA acquittée])+SUMIF(Invest[Affectation matrice],$AB$3,Invest[TVA acquittée]))*BR12</f>
        <v>0</v>
      </c>
      <c r="CT12" s="200">
        <f>(SUMIF(Fonctionnement[Affectation matrice],$AB$3,Fonctionnement[TVA acquittée])+SUMIF(Invest[Affectation matrice],$AB$3,Invest[TVA acquittée]))*BS12</f>
        <v>0</v>
      </c>
      <c r="CU12" s="200">
        <f>(SUMIF(Fonctionnement[Affectation matrice],$AB$3,Fonctionnement[TVA acquittée])+SUMIF(Invest[Affectation matrice],$AB$3,Invest[TVA acquittée]))*BT12</f>
        <v>0</v>
      </c>
      <c r="CV12" s="200">
        <f>(SUMIF(Fonctionnement[Affectation matrice],$AB$3,Fonctionnement[TVA acquittée])+SUMIF(Invest[Affectation matrice],$AB$3,Invest[TVA acquittée]))*BU12</f>
        <v>0</v>
      </c>
      <c r="CW12" s="200">
        <f>(SUMIF(Fonctionnement[Affectation matrice],$AB$3,Fonctionnement[TVA acquittée])+SUMIF(Invest[Affectation matrice],$AB$3,Invest[TVA acquittée]))*BV12</f>
        <v>0</v>
      </c>
      <c r="CX12" s="200">
        <f>(SUMIF(Fonctionnement[Affectation matrice],$AB$3,Fonctionnement[TVA acquittée])+SUMIF(Invest[Affectation matrice],$AB$3,Invest[TVA acquittée]))*BW12</f>
        <v>0</v>
      </c>
      <c r="CY12" s="200">
        <f>(SUMIF(Fonctionnement[Affectation matrice],$AB$3,Fonctionnement[TVA acquittée])+SUMIF(Invest[Affectation matrice],$AB$3,Invest[TVA acquittée]))*BX12</f>
        <v>0</v>
      </c>
      <c r="CZ12" s="200">
        <f>(SUMIF(Fonctionnement[Affectation matrice],$AB$3,Fonctionnement[TVA acquittée])+SUMIF(Invest[Affectation matrice],$AB$3,Invest[TVA acquittée]))*BY12</f>
        <v>0</v>
      </c>
      <c r="DA12" s="200">
        <f>(SUMIF(Fonctionnement[Affectation matrice],$AB$3,Fonctionnement[TVA acquittée])+SUMIF(Invest[Affectation matrice],$AB$3,Invest[TVA acquittée]))*BZ12</f>
        <v>0</v>
      </c>
      <c r="DB12" s="200">
        <f>(SUMIF(Fonctionnement[Affectation matrice],$AB$3,Fonctionnement[TVA acquittée])+SUMIF(Invest[Affectation matrice],$AB$3,Invest[TVA acquittée]))*CA12</f>
        <v>0</v>
      </c>
    </row>
    <row r="13" spans="1:106" s="22" customFormat="1" ht="12.75" hidden="1" customHeight="1" x14ac:dyDescent="0.25">
      <c r="A13" s="42">
        <f>Matrice[[#This Row],[Ligne de la matrice]]</f>
        <v>0</v>
      </c>
      <c r="B13" s="276">
        <f>(SUMIF(Fonctionnement[Affectation matrice],$AB$3,Fonctionnement[Montant (€HT)])+SUMIF(Invest[Affectation matrice],$AB$3,Invest[Amortissement HT + intérêts]))*BC13</f>
        <v>0</v>
      </c>
      <c r="C13" s="276">
        <f>(SUMIF(Fonctionnement[Affectation matrice],$AB$3,Fonctionnement[Montant (€HT)])+SUMIF(Invest[Affectation matrice],$AB$3,Invest[Amortissement HT + intérêts]))*BD13</f>
        <v>0</v>
      </c>
      <c r="D13" s="276">
        <f>(SUMIF(Fonctionnement[Affectation matrice],$AB$3,Fonctionnement[Montant (€HT)])+SUMIF(Invest[Affectation matrice],$AB$3,Invest[Amortissement HT + intérêts]))*BE13</f>
        <v>0</v>
      </c>
      <c r="E13" s="276">
        <f>(SUMIF(Fonctionnement[Affectation matrice],$AB$3,Fonctionnement[Montant (€HT)])+SUMIF(Invest[Affectation matrice],$AB$3,Invest[Amortissement HT + intérêts]))*BF13</f>
        <v>0</v>
      </c>
      <c r="F13" s="276">
        <f>(SUMIF(Fonctionnement[Affectation matrice],$AB$3,Fonctionnement[Montant (€HT)])+SUMIF(Invest[Affectation matrice],$AB$3,Invest[Amortissement HT + intérêts]))*BG13</f>
        <v>0</v>
      </c>
      <c r="G13" s="276">
        <f>(SUMIF(Fonctionnement[Affectation matrice],$AB$3,Fonctionnement[Montant (€HT)])+SUMIF(Invest[Affectation matrice],$AB$3,Invest[Amortissement HT + intérêts]))*BH13</f>
        <v>0</v>
      </c>
      <c r="H13" s="276">
        <f>(SUMIF(Fonctionnement[Affectation matrice],$AB$3,Fonctionnement[Montant (€HT)])+SUMIF(Invest[Affectation matrice],$AB$3,Invest[Amortissement HT + intérêts]))*BI13</f>
        <v>0</v>
      </c>
      <c r="I13" s="276">
        <f>(SUMIF(Fonctionnement[Affectation matrice],$AB$3,Fonctionnement[Montant (€HT)])+SUMIF(Invest[Affectation matrice],$AB$3,Invest[Amortissement HT + intérêts]))*BJ13</f>
        <v>0</v>
      </c>
      <c r="J13" s="276">
        <f>(SUMIF(Fonctionnement[Affectation matrice],$AB$3,Fonctionnement[Montant (€HT)])+SUMIF(Invest[Affectation matrice],$AB$3,Invest[Amortissement HT + intérêts]))*BK13</f>
        <v>0</v>
      </c>
      <c r="K13" s="276">
        <f>(SUMIF(Fonctionnement[Affectation matrice],$AB$3,Fonctionnement[Montant (€HT)])+SUMIF(Invest[Affectation matrice],$AB$3,Invest[Amortissement HT + intérêts]))*BL13</f>
        <v>0</v>
      </c>
      <c r="L13" s="276">
        <f>(SUMIF(Fonctionnement[Affectation matrice],$AB$3,Fonctionnement[Montant (€HT)])+SUMIF(Invest[Affectation matrice],$AB$3,Invest[Amortissement HT + intérêts]))*BM13</f>
        <v>0</v>
      </c>
      <c r="M13" s="276">
        <f>(SUMIF(Fonctionnement[Affectation matrice],$AB$3,Fonctionnement[Montant (€HT)])+SUMIF(Invest[Affectation matrice],$AB$3,Invest[Amortissement HT + intérêts]))*BN13</f>
        <v>0</v>
      </c>
      <c r="N13" s="276">
        <f>(SUMIF(Fonctionnement[Affectation matrice],$AB$3,Fonctionnement[Montant (€HT)])+SUMIF(Invest[Affectation matrice],$AB$3,Invest[Amortissement HT + intérêts]))*BO13</f>
        <v>0</v>
      </c>
      <c r="O13" s="276">
        <f>(SUMIF(Fonctionnement[Affectation matrice],$AB$3,Fonctionnement[Montant (€HT)])+SUMIF(Invest[Affectation matrice],$AB$3,Invest[Amortissement HT + intérêts]))*BP13</f>
        <v>0</v>
      </c>
      <c r="P13" s="276">
        <f>(SUMIF(Fonctionnement[Affectation matrice],$AB$3,Fonctionnement[Montant (€HT)])+SUMIF(Invest[Affectation matrice],$AB$3,Invest[Amortissement HT + intérêts]))*BQ13</f>
        <v>0</v>
      </c>
      <c r="Q13" s="276">
        <f>(SUMIF(Fonctionnement[Affectation matrice],$AB$3,Fonctionnement[Montant (€HT)])+SUMIF(Invest[Affectation matrice],$AB$3,Invest[Amortissement HT + intérêts]))*BR13</f>
        <v>0</v>
      </c>
      <c r="R13" s="276">
        <f>(SUMIF(Fonctionnement[Affectation matrice],$AB$3,Fonctionnement[Montant (€HT)])+SUMIF(Invest[Affectation matrice],$AB$3,Invest[Amortissement HT + intérêts]))*BS13</f>
        <v>0</v>
      </c>
      <c r="S13" s="276">
        <f>(SUMIF(Fonctionnement[Affectation matrice],$AB$3,Fonctionnement[Montant (€HT)])+SUMIF(Invest[Affectation matrice],$AB$3,Invest[Amortissement HT + intérêts]))*BT13</f>
        <v>0</v>
      </c>
      <c r="T13" s="276">
        <f>(SUMIF(Fonctionnement[Affectation matrice],$AB$3,Fonctionnement[Montant (€HT)])+SUMIF(Invest[Affectation matrice],$AB$3,Invest[Amortissement HT + intérêts]))*BU13</f>
        <v>0</v>
      </c>
      <c r="U13" s="276">
        <f>(SUMIF(Fonctionnement[Affectation matrice],$AB$3,Fonctionnement[Montant (€HT)])+SUMIF(Invest[Affectation matrice],$AB$3,Invest[Amortissement HT + intérêts]))*BV13</f>
        <v>0</v>
      </c>
      <c r="V13" s="276">
        <f>(SUMIF(Fonctionnement[Affectation matrice],$AB$3,Fonctionnement[Montant (€HT)])+SUMIF(Invest[Affectation matrice],$AB$3,Invest[Amortissement HT + intérêts]))*BW13</f>
        <v>0</v>
      </c>
      <c r="W13" s="276">
        <f>(SUMIF(Fonctionnement[Affectation matrice],$AB$3,Fonctionnement[Montant (€HT)])+SUMIF(Invest[Affectation matrice],$AB$3,Invest[Amortissement HT + intérêts]))*BX13</f>
        <v>0</v>
      </c>
      <c r="X13" s="276">
        <f>(SUMIF(Fonctionnement[Affectation matrice],$AB$3,Fonctionnement[Montant (€HT)])+SUMIF(Invest[Affectation matrice],$AB$3,Invest[Amortissement HT + intérêts]))*BY13</f>
        <v>0</v>
      </c>
      <c r="Y13" s="276">
        <f>(SUMIF(Fonctionnement[Affectation matrice],$AB$3,Fonctionnement[Montant (€HT)])+SUMIF(Invest[Affectation matrice],$AB$3,Invest[Amortissement HT + intérêts]))*BZ13</f>
        <v>0</v>
      </c>
      <c r="Z13" s="276">
        <f>(SUMIF(Fonctionnement[Affectation matrice],$AB$3,Fonctionnement[Montant (€HT)])+SUMIF(Invest[Affectation matrice],$AB$3,Invest[Amortissement HT + intérêts]))*CA13</f>
        <v>0</v>
      </c>
      <c r="AA13" s="199"/>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283">
        <f t="shared" si="4"/>
        <v>0</v>
      </c>
      <c r="BB13" s="7"/>
      <c r="BC13" s="61">
        <f t="shared" si="2"/>
        <v>0</v>
      </c>
      <c r="BD13" s="61">
        <f t="shared" si="2"/>
        <v>0</v>
      </c>
      <c r="BE13" s="61">
        <f t="shared" si="2"/>
        <v>0</v>
      </c>
      <c r="BF13" s="61">
        <f t="shared" si="2"/>
        <v>0</v>
      </c>
      <c r="BG13" s="61">
        <f t="shared" si="2"/>
        <v>0</v>
      </c>
      <c r="BH13" s="61">
        <f t="shared" si="2"/>
        <v>0</v>
      </c>
      <c r="BI13" s="61">
        <f t="shared" si="2"/>
        <v>0</v>
      </c>
      <c r="BJ13" s="61">
        <f t="shared" si="2"/>
        <v>0</v>
      </c>
      <c r="BK13" s="61">
        <f t="shared" si="2"/>
        <v>0</v>
      </c>
      <c r="BL13" s="61">
        <f t="shared" si="2"/>
        <v>0</v>
      </c>
      <c r="BM13" s="61">
        <f t="shared" si="2"/>
        <v>0</v>
      </c>
      <c r="BN13" s="61">
        <f t="shared" si="2"/>
        <v>0</v>
      </c>
      <c r="BO13" s="61">
        <f t="shared" si="2"/>
        <v>0</v>
      </c>
      <c r="BP13" s="61">
        <f t="shared" si="2"/>
        <v>0</v>
      </c>
      <c r="BQ13" s="61">
        <f t="shared" si="2"/>
        <v>0</v>
      </c>
      <c r="BR13" s="61">
        <f t="shared" si="2"/>
        <v>0</v>
      </c>
      <c r="BS13" s="61">
        <f t="shared" si="3"/>
        <v>0</v>
      </c>
      <c r="BT13" s="61">
        <f t="shared" si="3"/>
        <v>0</v>
      </c>
      <c r="BU13" s="61">
        <f t="shared" si="3"/>
        <v>0</v>
      </c>
      <c r="BV13" s="61">
        <f t="shared" si="3"/>
        <v>0</v>
      </c>
      <c r="BW13" s="61">
        <f t="shared" si="3"/>
        <v>0</v>
      </c>
      <c r="BX13" s="61">
        <f t="shared" si="3"/>
        <v>0</v>
      </c>
      <c r="BY13" s="61">
        <f t="shared" si="3"/>
        <v>0</v>
      </c>
      <c r="BZ13" s="61">
        <f t="shared" si="3"/>
        <v>0</v>
      </c>
      <c r="CA13" s="61">
        <f t="shared" si="3"/>
        <v>0</v>
      </c>
      <c r="CB13" s="61">
        <f t="shared" si="5"/>
        <v>0</v>
      </c>
      <c r="CD13" s="200">
        <f>(SUMIF(Fonctionnement[Affectation matrice],$AB$3,Fonctionnement[TVA acquittée])+SUMIF(Invest[Affectation matrice],$AB$3,Invest[TVA acquittée]))*BC13</f>
        <v>0</v>
      </c>
      <c r="CE13" s="200">
        <f>(SUMIF(Fonctionnement[Affectation matrice],$AB$3,Fonctionnement[TVA acquittée])+SUMIF(Invest[Affectation matrice],$AB$3,Invest[TVA acquittée]))*BD13</f>
        <v>0</v>
      </c>
      <c r="CF13" s="200">
        <f>(SUMIF(Fonctionnement[Affectation matrice],$AB$3,Fonctionnement[TVA acquittée])+SUMIF(Invest[Affectation matrice],$AB$3,Invest[TVA acquittée]))*BE13</f>
        <v>0</v>
      </c>
      <c r="CG13" s="200">
        <f>(SUMIF(Fonctionnement[Affectation matrice],$AB$3,Fonctionnement[TVA acquittée])+SUMIF(Invest[Affectation matrice],$AB$3,Invest[TVA acquittée]))*BF13</f>
        <v>0</v>
      </c>
      <c r="CH13" s="200">
        <f>(SUMIF(Fonctionnement[Affectation matrice],$AB$3,Fonctionnement[TVA acquittée])+SUMIF(Invest[Affectation matrice],$AB$3,Invest[TVA acquittée]))*BG13</f>
        <v>0</v>
      </c>
      <c r="CI13" s="200">
        <f>(SUMIF(Fonctionnement[Affectation matrice],$AB$3,Fonctionnement[TVA acquittée])+SUMIF(Invest[Affectation matrice],$AB$3,Invest[TVA acquittée]))*BH13</f>
        <v>0</v>
      </c>
      <c r="CJ13" s="200">
        <f>(SUMIF(Fonctionnement[Affectation matrice],$AB$3,Fonctionnement[TVA acquittée])+SUMIF(Invest[Affectation matrice],$AB$3,Invest[TVA acquittée]))*BI13</f>
        <v>0</v>
      </c>
      <c r="CK13" s="200">
        <f>(SUMIF(Fonctionnement[Affectation matrice],$AB$3,Fonctionnement[TVA acquittée])+SUMIF(Invest[Affectation matrice],$AB$3,Invest[TVA acquittée]))*BJ13</f>
        <v>0</v>
      </c>
      <c r="CL13" s="200">
        <f>(SUMIF(Fonctionnement[Affectation matrice],$AB$3,Fonctionnement[TVA acquittée])+SUMIF(Invest[Affectation matrice],$AB$3,Invest[TVA acquittée]))*BK13</f>
        <v>0</v>
      </c>
      <c r="CM13" s="200">
        <f>(SUMIF(Fonctionnement[Affectation matrice],$AB$3,Fonctionnement[TVA acquittée])+SUMIF(Invest[Affectation matrice],$AB$3,Invest[TVA acquittée]))*BL13</f>
        <v>0</v>
      </c>
      <c r="CN13" s="200">
        <f>(SUMIF(Fonctionnement[Affectation matrice],$AB$3,Fonctionnement[TVA acquittée])+SUMIF(Invest[Affectation matrice],$AB$3,Invest[TVA acquittée]))*BM13</f>
        <v>0</v>
      </c>
      <c r="CO13" s="200">
        <f>(SUMIF(Fonctionnement[Affectation matrice],$AB$3,Fonctionnement[TVA acquittée])+SUMIF(Invest[Affectation matrice],$AB$3,Invest[TVA acquittée]))*BN13</f>
        <v>0</v>
      </c>
      <c r="CP13" s="200">
        <f>(SUMIF(Fonctionnement[Affectation matrice],$AB$3,Fonctionnement[TVA acquittée])+SUMIF(Invest[Affectation matrice],$AB$3,Invest[TVA acquittée]))*BO13</f>
        <v>0</v>
      </c>
      <c r="CQ13" s="200">
        <f>(SUMIF(Fonctionnement[Affectation matrice],$AB$3,Fonctionnement[TVA acquittée])+SUMIF(Invest[Affectation matrice],$AB$3,Invest[TVA acquittée]))*BP13</f>
        <v>0</v>
      </c>
      <c r="CR13" s="200">
        <f>(SUMIF(Fonctionnement[Affectation matrice],$AB$3,Fonctionnement[TVA acquittée])+SUMIF(Invest[Affectation matrice],$AB$3,Invest[TVA acquittée]))*BQ13</f>
        <v>0</v>
      </c>
      <c r="CS13" s="200">
        <f>(SUMIF(Fonctionnement[Affectation matrice],$AB$3,Fonctionnement[TVA acquittée])+SUMIF(Invest[Affectation matrice],$AB$3,Invest[TVA acquittée]))*BR13</f>
        <v>0</v>
      </c>
      <c r="CT13" s="200">
        <f>(SUMIF(Fonctionnement[Affectation matrice],$AB$3,Fonctionnement[TVA acquittée])+SUMIF(Invest[Affectation matrice],$AB$3,Invest[TVA acquittée]))*BS13</f>
        <v>0</v>
      </c>
      <c r="CU13" s="200">
        <f>(SUMIF(Fonctionnement[Affectation matrice],$AB$3,Fonctionnement[TVA acquittée])+SUMIF(Invest[Affectation matrice],$AB$3,Invest[TVA acquittée]))*BT13</f>
        <v>0</v>
      </c>
      <c r="CV13" s="200">
        <f>(SUMIF(Fonctionnement[Affectation matrice],$AB$3,Fonctionnement[TVA acquittée])+SUMIF(Invest[Affectation matrice],$AB$3,Invest[TVA acquittée]))*BU13</f>
        <v>0</v>
      </c>
      <c r="CW13" s="200">
        <f>(SUMIF(Fonctionnement[Affectation matrice],$AB$3,Fonctionnement[TVA acquittée])+SUMIF(Invest[Affectation matrice],$AB$3,Invest[TVA acquittée]))*BV13</f>
        <v>0</v>
      </c>
      <c r="CX13" s="200">
        <f>(SUMIF(Fonctionnement[Affectation matrice],$AB$3,Fonctionnement[TVA acquittée])+SUMIF(Invest[Affectation matrice],$AB$3,Invest[TVA acquittée]))*BW13</f>
        <v>0</v>
      </c>
      <c r="CY13" s="200">
        <f>(SUMIF(Fonctionnement[Affectation matrice],$AB$3,Fonctionnement[TVA acquittée])+SUMIF(Invest[Affectation matrice],$AB$3,Invest[TVA acquittée]))*BX13</f>
        <v>0</v>
      </c>
      <c r="CZ13" s="200">
        <f>(SUMIF(Fonctionnement[Affectation matrice],$AB$3,Fonctionnement[TVA acquittée])+SUMIF(Invest[Affectation matrice],$AB$3,Invest[TVA acquittée]))*BY13</f>
        <v>0</v>
      </c>
      <c r="DA13" s="200">
        <f>(SUMIF(Fonctionnement[Affectation matrice],$AB$3,Fonctionnement[TVA acquittée])+SUMIF(Invest[Affectation matrice],$AB$3,Invest[TVA acquittée]))*BZ13</f>
        <v>0</v>
      </c>
      <c r="DB13" s="200">
        <f>(SUMIF(Fonctionnement[Affectation matrice],$AB$3,Fonctionnement[TVA acquittée])+SUMIF(Invest[Affectation matrice],$AB$3,Invest[TVA acquittée]))*CA13</f>
        <v>0</v>
      </c>
    </row>
    <row r="14" spans="1:106" s="22" customFormat="1" ht="12.75" hidden="1" customHeight="1" x14ac:dyDescent="0.25">
      <c r="A14" s="42">
        <f>Matrice[[#This Row],[Ligne de la matrice]]</f>
        <v>0</v>
      </c>
      <c r="B14" s="276">
        <f>(SUMIF(Fonctionnement[Affectation matrice],$AB$3,Fonctionnement[Montant (€HT)])+SUMIF(Invest[Affectation matrice],$AB$3,Invest[Amortissement HT + intérêts]))*BC14</f>
        <v>0</v>
      </c>
      <c r="C14" s="276">
        <f>(SUMIF(Fonctionnement[Affectation matrice],$AB$3,Fonctionnement[Montant (€HT)])+SUMIF(Invest[Affectation matrice],$AB$3,Invest[Amortissement HT + intérêts]))*BD14</f>
        <v>0</v>
      </c>
      <c r="D14" s="276">
        <f>(SUMIF(Fonctionnement[Affectation matrice],$AB$3,Fonctionnement[Montant (€HT)])+SUMIF(Invest[Affectation matrice],$AB$3,Invest[Amortissement HT + intérêts]))*BE14</f>
        <v>0</v>
      </c>
      <c r="E14" s="276">
        <f>(SUMIF(Fonctionnement[Affectation matrice],$AB$3,Fonctionnement[Montant (€HT)])+SUMIF(Invest[Affectation matrice],$AB$3,Invest[Amortissement HT + intérêts]))*BF14</f>
        <v>0</v>
      </c>
      <c r="F14" s="276">
        <f>(SUMIF(Fonctionnement[Affectation matrice],$AB$3,Fonctionnement[Montant (€HT)])+SUMIF(Invest[Affectation matrice],$AB$3,Invest[Amortissement HT + intérêts]))*BG14</f>
        <v>0</v>
      </c>
      <c r="G14" s="276">
        <f>(SUMIF(Fonctionnement[Affectation matrice],$AB$3,Fonctionnement[Montant (€HT)])+SUMIF(Invest[Affectation matrice],$AB$3,Invest[Amortissement HT + intérêts]))*BH14</f>
        <v>0</v>
      </c>
      <c r="H14" s="276">
        <f>(SUMIF(Fonctionnement[Affectation matrice],$AB$3,Fonctionnement[Montant (€HT)])+SUMIF(Invest[Affectation matrice],$AB$3,Invest[Amortissement HT + intérêts]))*BI14</f>
        <v>0</v>
      </c>
      <c r="I14" s="276">
        <f>(SUMIF(Fonctionnement[Affectation matrice],$AB$3,Fonctionnement[Montant (€HT)])+SUMIF(Invest[Affectation matrice],$AB$3,Invest[Amortissement HT + intérêts]))*BJ14</f>
        <v>0</v>
      </c>
      <c r="J14" s="276">
        <f>(SUMIF(Fonctionnement[Affectation matrice],$AB$3,Fonctionnement[Montant (€HT)])+SUMIF(Invest[Affectation matrice],$AB$3,Invest[Amortissement HT + intérêts]))*BK14</f>
        <v>0</v>
      </c>
      <c r="K14" s="276">
        <f>(SUMIF(Fonctionnement[Affectation matrice],$AB$3,Fonctionnement[Montant (€HT)])+SUMIF(Invest[Affectation matrice],$AB$3,Invest[Amortissement HT + intérêts]))*BL14</f>
        <v>0</v>
      </c>
      <c r="L14" s="276">
        <f>(SUMIF(Fonctionnement[Affectation matrice],$AB$3,Fonctionnement[Montant (€HT)])+SUMIF(Invest[Affectation matrice],$AB$3,Invest[Amortissement HT + intérêts]))*BM14</f>
        <v>0</v>
      </c>
      <c r="M14" s="276">
        <f>(SUMIF(Fonctionnement[Affectation matrice],$AB$3,Fonctionnement[Montant (€HT)])+SUMIF(Invest[Affectation matrice],$AB$3,Invest[Amortissement HT + intérêts]))*BN14</f>
        <v>0</v>
      </c>
      <c r="N14" s="276">
        <f>(SUMIF(Fonctionnement[Affectation matrice],$AB$3,Fonctionnement[Montant (€HT)])+SUMIF(Invest[Affectation matrice],$AB$3,Invest[Amortissement HT + intérêts]))*BO14</f>
        <v>0</v>
      </c>
      <c r="O14" s="276">
        <f>(SUMIF(Fonctionnement[Affectation matrice],$AB$3,Fonctionnement[Montant (€HT)])+SUMIF(Invest[Affectation matrice],$AB$3,Invest[Amortissement HT + intérêts]))*BP14</f>
        <v>0</v>
      </c>
      <c r="P14" s="276">
        <f>(SUMIF(Fonctionnement[Affectation matrice],$AB$3,Fonctionnement[Montant (€HT)])+SUMIF(Invest[Affectation matrice],$AB$3,Invest[Amortissement HT + intérêts]))*BQ14</f>
        <v>0</v>
      </c>
      <c r="Q14" s="276">
        <f>(SUMIF(Fonctionnement[Affectation matrice],$AB$3,Fonctionnement[Montant (€HT)])+SUMIF(Invest[Affectation matrice],$AB$3,Invest[Amortissement HT + intérêts]))*BR14</f>
        <v>0</v>
      </c>
      <c r="R14" s="276">
        <f>(SUMIF(Fonctionnement[Affectation matrice],$AB$3,Fonctionnement[Montant (€HT)])+SUMIF(Invest[Affectation matrice],$AB$3,Invest[Amortissement HT + intérêts]))*BS14</f>
        <v>0</v>
      </c>
      <c r="S14" s="276">
        <f>(SUMIF(Fonctionnement[Affectation matrice],$AB$3,Fonctionnement[Montant (€HT)])+SUMIF(Invest[Affectation matrice],$AB$3,Invest[Amortissement HT + intérêts]))*BT14</f>
        <v>0</v>
      </c>
      <c r="T14" s="276">
        <f>(SUMIF(Fonctionnement[Affectation matrice],$AB$3,Fonctionnement[Montant (€HT)])+SUMIF(Invest[Affectation matrice],$AB$3,Invest[Amortissement HT + intérêts]))*BU14</f>
        <v>0</v>
      </c>
      <c r="U14" s="276">
        <f>(SUMIF(Fonctionnement[Affectation matrice],$AB$3,Fonctionnement[Montant (€HT)])+SUMIF(Invest[Affectation matrice],$AB$3,Invest[Amortissement HT + intérêts]))*BV14</f>
        <v>0</v>
      </c>
      <c r="V14" s="276">
        <f>(SUMIF(Fonctionnement[Affectation matrice],$AB$3,Fonctionnement[Montant (€HT)])+SUMIF(Invest[Affectation matrice],$AB$3,Invest[Amortissement HT + intérêts]))*BW14</f>
        <v>0</v>
      </c>
      <c r="W14" s="276">
        <f>(SUMIF(Fonctionnement[Affectation matrice],$AB$3,Fonctionnement[Montant (€HT)])+SUMIF(Invest[Affectation matrice],$AB$3,Invest[Amortissement HT + intérêts]))*BX14</f>
        <v>0</v>
      </c>
      <c r="X14" s="276">
        <f>(SUMIF(Fonctionnement[Affectation matrice],$AB$3,Fonctionnement[Montant (€HT)])+SUMIF(Invest[Affectation matrice],$AB$3,Invest[Amortissement HT + intérêts]))*BY14</f>
        <v>0</v>
      </c>
      <c r="Y14" s="276">
        <f>(SUMIF(Fonctionnement[Affectation matrice],$AB$3,Fonctionnement[Montant (€HT)])+SUMIF(Invest[Affectation matrice],$AB$3,Invest[Amortissement HT + intérêts]))*BZ14</f>
        <v>0</v>
      </c>
      <c r="Z14" s="276">
        <f>(SUMIF(Fonctionnement[Affectation matrice],$AB$3,Fonctionnement[Montant (€HT)])+SUMIF(Invest[Affectation matrice],$AB$3,Invest[Amortissement HT + intérêts]))*CA14</f>
        <v>0</v>
      </c>
      <c r="AA14" s="199"/>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283">
        <f t="shared" si="4"/>
        <v>0</v>
      </c>
      <c r="BB14" s="7"/>
      <c r="BC14" s="61">
        <f t="shared" si="2"/>
        <v>0</v>
      </c>
      <c r="BD14" s="61">
        <f t="shared" si="2"/>
        <v>0</v>
      </c>
      <c r="BE14" s="61">
        <f t="shared" si="2"/>
        <v>0</v>
      </c>
      <c r="BF14" s="61">
        <f t="shared" si="2"/>
        <v>0</v>
      </c>
      <c r="BG14" s="61">
        <f t="shared" si="2"/>
        <v>0</v>
      </c>
      <c r="BH14" s="61">
        <f t="shared" si="2"/>
        <v>0</v>
      </c>
      <c r="BI14" s="61">
        <f t="shared" si="2"/>
        <v>0</v>
      </c>
      <c r="BJ14" s="61">
        <f t="shared" si="2"/>
        <v>0</v>
      </c>
      <c r="BK14" s="61">
        <f t="shared" si="2"/>
        <v>0</v>
      </c>
      <c r="BL14" s="61">
        <f t="shared" si="2"/>
        <v>0</v>
      </c>
      <c r="BM14" s="61">
        <f t="shared" si="2"/>
        <v>0</v>
      </c>
      <c r="BN14" s="61">
        <f t="shared" si="2"/>
        <v>0</v>
      </c>
      <c r="BO14" s="61">
        <f t="shared" si="2"/>
        <v>0</v>
      </c>
      <c r="BP14" s="61">
        <f t="shared" si="2"/>
        <v>0</v>
      </c>
      <c r="BQ14" s="61">
        <f t="shared" si="2"/>
        <v>0</v>
      </c>
      <c r="BR14" s="61">
        <f t="shared" si="2"/>
        <v>0</v>
      </c>
      <c r="BS14" s="61">
        <f t="shared" si="3"/>
        <v>0</v>
      </c>
      <c r="BT14" s="61">
        <f t="shared" si="3"/>
        <v>0</v>
      </c>
      <c r="BU14" s="61">
        <f t="shared" si="3"/>
        <v>0</v>
      </c>
      <c r="BV14" s="61">
        <f t="shared" si="3"/>
        <v>0</v>
      </c>
      <c r="BW14" s="61">
        <f t="shared" si="3"/>
        <v>0</v>
      </c>
      <c r="BX14" s="61">
        <f t="shared" si="3"/>
        <v>0</v>
      </c>
      <c r="BY14" s="61">
        <f t="shared" si="3"/>
        <v>0</v>
      </c>
      <c r="BZ14" s="61">
        <f t="shared" si="3"/>
        <v>0</v>
      </c>
      <c r="CA14" s="61">
        <f t="shared" si="3"/>
        <v>0</v>
      </c>
      <c r="CB14" s="61">
        <f t="shared" si="5"/>
        <v>0</v>
      </c>
      <c r="CD14" s="200">
        <f>(SUMIF(Fonctionnement[Affectation matrice],$AB$3,Fonctionnement[TVA acquittée])+SUMIF(Invest[Affectation matrice],$AB$3,Invest[TVA acquittée]))*BC14</f>
        <v>0</v>
      </c>
      <c r="CE14" s="200">
        <f>(SUMIF(Fonctionnement[Affectation matrice],$AB$3,Fonctionnement[TVA acquittée])+SUMIF(Invest[Affectation matrice],$AB$3,Invest[TVA acquittée]))*BD14</f>
        <v>0</v>
      </c>
      <c r="CF14" s="200">
        <f>(SUMIF(Fonctionnement[Affectation matrice],$AB$3,Fonctionnement[TVA acquittée])+SUMIF(Invest[Affectation matrice],$AB$3,Invest[TVA acquittée]))*BE14</f>
        <v>0</v>
      </c>
      <c r="CG14" s="200">
        <f>(SUMIF(Fonctionnement[Affectation matrice],$AB$3,Fonctionnement[TVA acquittée])+SUMIF(Invest[Affectation matrice],$AB$3,Invest[TVA acquittée]))*BF14</f>
        <v>0</v>
      </c>
      <c r="CH14" s="200">
        <f>(SUMIF(Fonctionnement[Affectation matrice],$AB$3,Fonctionnement[TVA acquittée])+SUMIF(Invest[Affectation matrice],$AB$3,Invest[TVA acquittée]))*BG14</f>
        <v>0</v>
      </c>
      <c r="CI14" s="200">
        <f>(SUMIF(Fonctionnement[Affectation matrice],$AB$3,Fonctionnement[TVA acquittée])+SUMIF(Invest[Affectation matrice],$AB$3,Invest[TVA acquittée]))*BH14</f>
        <v>0</v>
      </c>
      <c r="CJ14" s="200">
        <f>(SUMIF(Fonctionnement[Affectation matrice],$AB$3,Fonctionnement[TVA acquittée])+SUMIF(Invest[Affectation matrice],$AB$3,Invest[TVA acquittée]))*BI14</f>
        <v>0</v>
      </c>
      <c r="CK14" s="200">
        <f>(SUMIF(Fonctionnement[Affectation matrice],$AB$3,Fonctionnement[TVA acquittée])+SUMIF(Invest[Affectation matrice],$AB$3,Invest[TVA acquittée]))*BJ14</f>
        <v>0</v>
      </c>
      <c r="CL14" s="200">
        <f>(SUMIF(Fonctionnement[Affectation matrice],$AB$3,Fonctionnement[TVA acquittée])+SUMIF(Invest[Affectation matrice],$AB$3,Invest[TVA acquittée]))*BK14</f>
        <v>0</v>
      </c>
      <c r="CM14" s="200">
        <f>(SUMIF(Fonctionnement[Affectation matrice],$AB$3,Fonctionnement[TVA acquittée])+SUMIF(Invest[Affectation matrice],$AB$3,Invest[TVA acquittée]))*BL14</f>
        <v>0</v>
      </c>
      <c r="CN14" s="200">
        <f>(SUMIF(Fonctionnement[Affectation matrice],$AB$3,Fonctionnement[TVA acquittée])+SUMIF(Invest[Affectation matrice],$AB$3,Invest[TVA acquittée]))*BM14</f>
        <v>0</v>
      </c>
      <c r="CO14" s="200">
        <f>(SUMIF(Fonctionnement[Affectation matrice],$AB$3,Fonctionnement[TVA acquittée])+SUMIF(Invest[Affectation matrice],$AB$3,Invest[TVA acquittée]))*BN14</f>
        <v>0</v>
      </c>
      <c r="CP14" s="200">
        <f>(SUMIF(Fonctionnement[Affectation matrice],$AB$3,Fonctionnement[TVA acquittée])+SUMIF(Invest[Affectation matrice],$AB$3,Invest[TVA acquittée]))*BO14</f>
        <v>0</v>
      </c>
      <c r="CQ14" s="200">
        <f>(SUMIF(Fonctionnement[Affectation matrice],$AB$3,Fonctionnement[TVA acquittée])+SUMIF(Invest[Affectation matrice],$AB$3,Invest[TVA acquittée]))*BP14</f>
        <v>0</v>
      </c>
      <c r="CR14" s="200">
        <f>(SUMIF(Fonctionnement[Affectation matrice],$AB$3,Fonctionnement[TVA acquittée])+SUMIF(Invest[Affectation matrice],$AB$3,Invest[TVA acquittée]))*BQ14</f>
        <v>0</v>
      </c>
      <c r="CS14" s="200">
        <f>(SUMIF(Fonctionnement[Affectation matrice],$AB$3,Fonctionnement[TVA acquittée])+SUMIF(Invest[Affectation matrice],$AB$3,Invest[TVA acquittée]))*BR14</f>
        <v>0</v>
      </c>
      <c r="CT14" s="200">
        <f>(SUMIF(Fonctionnement[Affectation matrice],$AB$3,Fonctionnement[TVA acquittée])+SUMIF(Invest[Affectation matrice],$AB$3,Invest[TVA acquittée]))*BS14</f>
        <v>0</v>
      </c>
      <c r="CU14" s="200">
        <f>(SUMIF(Fonctionnement[Affectation matrice],$AB$3,Fonctionnement[TVA acquittée])+SUMIF(Invest[Affectation matrice],$AB$3,Invest[TVA acquittée]))*BT14</f>
        <v>0</v>
      </c>
      <c r="CV14" s="200">
        <f>(SUMIF(Fonctionnement[Affectation matrice],$AB$3,Fonctionnement[TVA acquittée])+SUMIF(Invest[Affectation matrice],$AB$3,Invest[TVA acquittée]))*BU14</f>
        <v>0</v>
      </c>
      <c r="CW14" s="200">
        <f>(SUMIF(Fonctionnement[Affectation matrice],$AB$3,Fonctionnement[TVA acquittée])+SUMIF(Invest[Affectation matrice],$AB$3,Invest[TVA acquittée]))*BV14</f>
        <v>0</v>
      </c>
      <c r="CX14" s="200">
        <f>(SUMIF(Fonctionnement[Affectation matrice],$AB$3,Fonctionnement[TVA acquittée])+SUMIF(Invest[Affectation matrice],$AB$3,Invest[TVA acquittée]))*BW14</f>
        <v>0</v>
      </c>
      <c r="CY14" s="200">
        <f>(SUMIF(Fonctionnement[Affectation matrice],$AB$3,Fonctionnement[TVA acquittée])+SUMIF(Invest[Affectation matrice],$AB$3,Invest[TVA acquittée]))*BX14</f>
        <v>0</v>
      </c>
      <c r="CZ14" s="200">
        <f>(SUMIF(Fonctionnement[Affectation matrice],$AB$3,Fonctionnement[TVA acquittée])+SUMIF(Invest[Affectation matrice],$AB$3,Invest[TVA acquittée]))*BY14</f>
        <v>0</v>
      </c>
      <c r="DA14" s="200">
        <f>(SUMIF(Fonctionnement[Affectation matrice],$AB$3,Fonctionnement[TVA acquittée])+SUMIF(Invest[Affectation matrice],$AB$3,Invest[TVA acquittée]))*BZ14</f>
        <v>0</v>
      </c>
      <c r="DB14" s="200">
        <f>(SUMIF(Fonctionnement[Affectation matrice],$AB$3,Fonctionnement[TVA acquittée])+SUMIF(Invest[Affectation matrice],$AB$3,Invest[TVA acquittée]))*CA14</f>
        <v>0</v>
      </c>
    </row>
    <row r="15" spans="1:106" s="22" customFormat="1" ht="12.75" hidden="1" customHeight="1" x14ac:dyDescent="0.25">
      <c r="A15" s="42">
        <f>Matrice[[#This Row],[Ligne de la matrice]]</f>
        <v>0</v>
      </c>
      <c r="B15" s="276">
        <f>(SUMIF(Fonctionnement[Affectation matrice],$AB$3,Fonctionnement[Montant (€HT)])+SUMIF(Invest[Affectation matrice],$AB$3,Invest[Amortissement HT + intérêts]))*BC15</f>
        <v>0</v>
      </c>
      <c r="C15" s="276">
        <f>(SUMIF(Fonctionnement[Affectation matrice],$AB$3,Fonctionnement[Montant (€HT)])+SUMIF(Invest[Affectation matrice],$AB$3,Invest[Amortissement HT + intérêts]))*BD15</f>
        <v>0</v>
      </c>
      <c r="D15" s="276">
        <f>(SUMIF(Fonctionnement[Affectation matrice],$AB$3,Fonctionnement[Montant (€HT)])+SUMIF(Invest[Affectation matrice],$AB$3,Invest[Amortissement HT + intérêts]))*BE15</f>
        <v>0</v>
      </c>
      <c r="E15" s="276">
        <f>(SUMIF(Fonctionnement[Affectation matrice],$AB$3,Fonctionnement[Montant (€HT)])+SUMIF(Invest[Affectation matrice],$AB$3,Invest[Amortissement HT + intérêts]))*BF15</f>
        <v>0</v>
      </c>
      <c r="F15" s="276">
        <f>(SUMIF(Fonctionnement[Affectation matrice],$AB$3,Fonctionnement[Montant (€HT)])+SUMIF(Invest[Affectation matrice],$AB$3,Invest[Amortissement HT + intérêts]))*BG15</f>
        <v>0</v>
      </c>
      <c r="G15" s="276">
        <f>(SUMIF(Fonctionnement[Affectation matrice],$AB$3,Fonctionnement[Montant (€HT)])+SUMIF(Invest[Affectation matrice],$AB$3,Invest[Amortissement HT + intérêts]))*BH15</f>
        <v>0</v>
      </c>
      <c r="H15" s="276">
        <f>(SUMIF(Fonctionnement[Affectation matrice],$AB$3,Fonctionnement[Montant (€HT)])+SUMIF(Invest[Affectation matrice],$AB$3,Invest[Amortissement HT + intérêts]))*BI15</f>
        <v>0</v>
      </c>
      <c r="I15" s="276">
        <f>(SUMIF(Fonctionnement[Affectation matrice],$AB$3,Fonctionnement[Montant (€HT)])+SUMIF(Invest[Affectation matrice],$AB$3,Invest[Amortissement HT + intérêts]))*BJ15</f>
        <v>0</v>
      </c>
      <c r="J15" s="276">
        <f>(SUMIF(Fonctionnement[Affectation matrice],$AB$3,Fonctionnement[Montant (€HT)])+SUMIF(Invest[Affectation matrice],$AB$3,Invest[Amortissement HT + intérêts]))*BK15</f>
        <v>0</v>
      </c>
      <c r="K15" s="276">
        <f>(SUMIF(Fonctionnement[Affectation matrice],$AB$3,Fonctionnement[Montant (€HT)])+SUMIF(Invest[Affectation matrice],$AB$3,Invest[Amortissement HT + intérêts]))*BL15</f>
        <v>0</v>
      </c>
      <c r="L15" s="276">
        <f>(SUMIF(Fonctionnement[Affectation matrice],$AB$3,Fonctionnement[Montant (€HT)])+SUMIF(Invest[Affectation matrice],$AB$3,Invest[Amortissement HT + intérêts]))*BM15</f>
        <v>0</v>
      </c>
      <c r="M15" s="276">
        <f>(SUMIF(Fonctionnement[Affectation matrice],$AB$3,Fonctionnement[Montant (€HT)])+SUMIF(Invest[Affectation matrice],$AB$3,Invest[Amortissement HT + intérêts]))*BN15</f>
        <v>0</v>
      </c>
      <c r="N15" s="276">
        <f>(SUMIF(Fonctionnement[Affectation matrice],$AB$3,Fonctionnement[Montant (€HT)])+SUMIF(Invest[Affectation matrice],$AB$3,Invest[Amortissement HT + intérêts]))*BO15</f>
        <v>0</v>
      </c>
      <c r="O15" s="276">
        <f>(SUMIF(Fonctionnement[Affectation matrice],$AB$3,Fonctionnement[Montant (€HT)])+SUMIF(Invest[Affectation matrice],$AB$3,Invest[Amortissement HT + intérêts]))*BP15</f>
        <v>0</v>
      </c>
      <c r="P15" s="276">
        <f>(SUMIF(Fonctionnement[Affectation matrice],$AB$3,Fonctionnement[Montant (€HT)])+SUMIF(Invest[Affectation matrice],$AB$3,Invest[Amortissement HT + intérêts]))*BQ15</f>
        <v>0</v>
      </c>
      <c r="Q15" s="276">
        <f>(SUMIF(Fonctionnement[Affectation matrice],$AB$3,Fonctionnement[Montant (€HT)])+SUMIF(Invest[Affectation matrice],$AB$3,Invest[Amortissement HT + intérêts]))*BR15</f>
        <v>0</v>
      </c>
      <c r="R15" s="276">
        <f>(SUMIF(Fonctionnement[Affectation matrice],$AB$3,Fonctionnement[Montant (€HT)])+SUMIF(Invest[Affectation matrice],$AB$3,Invest[Amortissement HT + intérêts]))*BS15</f>
        <v>0</v>
      </c>
      <c r="S15" s="276">
        <f>(SUMIF(Fonctionnement[Affectation matrice],$AB$3,Fonctionnement[Montant (€HT)])+SUMIF(Invest[Affectation matrice],$AB$3,Invest[Amortissement HT + intérêts]))*BT15</f>
        <v>0</v>
      </c>
      <c r="T15" s="276">
        <f>(SUMIF(Fonctionnement[Affectation matrice],$AB$3,Fonctionnement[Montant (€HT)])+SUMIF(Invest[Affectation matrice],$AB$3,Invest[Amortissement HT + intérêts]))*BU15</f>
        <v>0</v>
      </c>
      <c r="U15" s="276">
        <f>(SUMIF(Fonctionnement[Affectation matrice],$AB$3,Fonctionnement[Montant (€HT)])+SUMIF(Invest[Affectation matrice],$AB$3,Invest[Amortissement HT + intérêts]))*BV15</f>
        <v>0</v>
      </c>
      <c r="V15" s="276">
        <f>(SUMIF(Fonctionnement[Affectation matrice],$AB$3,Fonctionnement[Montant (€HT)])+SUMIF(Invest[Affectation matrice],$AB$3,Invest[Amortissement HT + intérêts]))*BW15</f>
        <v>0</v>
      </c>
      <c r="W15" s="276">
        <f>(SUMIF(Fonctionnement[Affectation matrice],$AB$3,Fonctionnement[Montant (€HT)])+SUMIF(Invest[Affectation matrice],$AB$3,Invest[Amortissement HT + intérêts]))*BX15</f>
        <v>0</v>
      </c>
      <c r="X15" s="276">
        <f>(SUMIF(Fonctionnement[Affectation matrice],$AB$3,Fonctionnement[Montant (€HT)])+SUMIF(Invest[Affectation matrice],$AB$3,Invest[Amortissement HT + intérêts]))*BY15</f>
        <v>0</v>
      </c>
      <c r="Y15" s="276">
        <f>(SUMIF(Fonctionnement[Affectation matrice],$AB$3,Fonctionnement[Montant (€HT)])+SUMIF(Invest[Affectation matrice],$AB$3,Invest[Amortissement HT + intérêts]))*BZ15</f>
        <v>0</v>
      </c>
      <c r="Z15" s="276">
        <f>(SUMIF(Fonctionnement[Affectation matrice],$AB$3,Fonctionnement[Montant (€HT)])+SUMIF(Invest[Affectation matrice],$AB$3,Invest[Amortissement HT + intérêts]))*CA15</f>
        <v>0</v>
      </c>
      <c r="AA15" s="199"/>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283">
        <f t="shared" si="4"/>
        <v>0</v>
      </c>
      <c r="BB15" s="7"/>
      <c r="BC15" s="61">
        <f t="shared" si="2"/>
        <v>0</v>
      </c>
      <c r="BD15" s="61">
        <f t="shared" si="2"/>
        <v>0</v>
      </c>
      <c r="BE15" s="61">
        <f t="shared" si="2"/>
        <v>0</v>
      </c>
      <c r="BF15" s="61">
        <f t="shared" si="2"/>
        <v>0</v>
      </c>
      <c r="BG15" s="61">
        <f t="shared" si="2"/>
        <v>0</v>
      </c>
      <c r="BH15" s="61">
        <f t="shared" si="2"/>
        <v>0</v>
      </c>
      <c r="BI15" s="61">
        <f t="shared" si="2"/>
        <v>0</v>
      </c>
      <c r="BJ15" s="61">
        <f t="shared" si="2"/>
        <v>0</v>
      </c>
      <c r="BK15" s="61">
        <f t="shared" si="2"/>
        <v>0</v>
      </c>
      <c r="BL15" s="61">
        <f t="shared" si="2"/>
        <v>0</v>
      </c>
      <c r="BM15" s="61">
        <f t="shared" si="2"/>
        <v>0</v>
      </c>
      <c r="BN15" s="61">
        <f t="shared" si="2"/>
        <v>0</v>
      </c>
      <c r="BO15" s="61">
        <f t="shared" si="2"/>
        <v>0</v>
      </c>
      <c r="BP15" s="61">
        <f t="shared" si="2"/>
        <v>0</v>
      </c>
      <c r="BQ15" s="61">
        <f t="shared" si="2"/>
        <v>0</v>
      </c>
      <c r="BR15" s="61">
        <f t="shared" si="2"/>
        <v>0</v>
      </c>
      <c r="BS15" s="61">
        <f t="shared" si="3"/>
        <v>0</v>
      </c>
      <c r="BT15" s="61">
        <f t="shared" si="3"/>
        <v>0</v>
      </c>
      <c r="BU15" s="61">
        <f t="shared" si="3"/>
        <v>0</v>
      </c>
      <c r="BV15" s="61">
        <f t="shared" si="3"/>
        <v>0</v>
      </c>
      <c r="BW15" s="61">
        <f t="shared" si="3"/>
        <v>0</v>
      </c>
      <c r="BX15" s="61">
        <f t="shared" si="3"/>
        <v>0</v>
      </c>
      <c r="BY15" s="61">
        <f t="shared" si="3"/>
        <v>0</v>
      </c>
      <c r="BZ15" s="61">
        <f t="shared" si="3"/>
        <v>0</v>
      </c>
      <c r="CA15" s="61">
        <f t="shared" si="3"/>
        <v>0</v>
      </c>
      <c r="CB15" s="61">
        <f t="shared" si="5"/>
        <v>0</v>
      </c>
      <c r="CD15" s="200">
        <f>(SUMIF(Fonctionnement[Affectation matrice],$AB$3,Fonctionnement[TVA acquittée])+SUMIF(Invest[Affectation matrice],$AB$3,Invest[TVA acquittée]))*BC15</f>
        <v>0</v>
      </c>
      <c r="CE15" s="200">
        <f>(SUMIF(Fonctionnement[Affectation matrice],$AB$3,Fonctionnement[TVA acquittée])+SUMIF(Invest[Affectation matrice],$AB$3,Invest[TVA acquittée]))*BD15</f>
        <v>0</v>
      </c>
      <c r="CF15" s="200">
        <f>(SUMIF(Fonctionnement[Affectation matrice],$AB$3,Fonctionnement[TVA acquittée])+SUMIF(Invest[Affectation matrice],$AB$3,Invest[TVA acquittée]))*BE15</f>
        <v>0</v>
      </c>
      <c r="CG15" s="200">
        <f>(SUMIF(Fonctionnement[Affectation matrice],$AB$3,Fonctionnement[TVA acquittée])+SUMIF(Invest[Affectation matrice],$AB$3,Invest[TVA acquittée]))*BF15</f>
        <v>0</v>
      </c>
      <c r="CH15" s="200">
        <f>(SUMIF(Fonctionnement[Affectation matrice],$AB$3,Fonctionnement[TVA acquittée])+SUMIF(Invest[Affectation matrice],$AB$3,Invest[TVA acquittée]))*BG15</f>
        <v>0</v>
      </c>
      <c r="CI15" s="200">
        <f>(SUMIF(Fonctionnement[Affectation matrice],$AB$3,Fonctionnement[TVA acquittée])+SUMIF(Invest[Affectation matrice],$AB$3,Invest[TVA acquittée]))*BH15</f>
        <v>0</v>
      </c>
      <c r="CJ15" s="200">
        <f>(SUMIF(Fonctionnement[Affectation matrice],$AB$3,Fonctionnement[TVA acquittée])+SUMIF(Invest[Affectation matrice],$AB$3,Invest[TVA acquittée]))*BI15</f>
        <v>0</v>
      </c>
      <c r="CK15" s="200">
        <f>(SUMIF(Fonctionnement[Affectation matrice],$AB$3,Fonctionnement[TVA acquittée])+SUMIF(Invest[Affectation matrice],$AB$3,Invest[TVA acquittée]))*BJ15</f>
        <v>0</v>
      </c>
      <c r="CL15" s="200">
        <f>(SUMIF(Fonctionnement[Affectation matrice],$AB$3,Fonctionnement[TVA acquittée])+SUMIF(Invest[Affectation matrice],$AB$3,Invest[TVA acquittée]))*BK15</f>
        <v>0</v>
      </c>
      <c r="CM15" s="200">
        <f>(SUMIF(Fonctionnement[Affectation matrice],$AB$3,Fonctionnement[TVA acquittée])+SUMIF(Invest[Affectation matrice],$AB$3,Invest[TVA acquittée]))*BL15</f>
        <v>0</v>
      </c>
      <c r="CN15" s="200">
        <f>(SUMIF(Fonctionnement[Affectation matrice],$AB$3,Fonctionnement[TVA acquittée])+SUMIF(Invest[Affectation matrice],$AB$3,Invest[TVA acquittée]))*BM15</f>
        <v>0</v>
      </c>
      <c r="CO15" s="200">
        <f>(SUMIF(Fonctionnement[Affectation matrice],$AB$3,Fonctionnement[TVA acquittée])+SUMIF(Invest[Affectation matrice],$AB$3,Invest[TVA acquittée]))*BN15</f>
        <v>0</v>
      </c>
      <c r="CP15" s="200">
        <f>(SUMIF(Fonctionnement[Affectation matrice],$AB$3,Fonctionnement[TVA acquittée])+SUMIF(Invest[Affectation matrice],$AB$3,Invest[TVA acquittée]))*BO15</f>
        <v>0</v>
      </c>
      <c r="CQ15" s="200">
        <f>(SUMIF(Fonctionnement[Affectation matrice],$AB$3,Fonctionnement[TVA acquittée])+SUMIF(Invest[Affectation matrice],$AB$3,Invest[TVA acquittée]))*BP15</f>
        <v>0</v>
      </c>
      <c r="CR15" s="200">
        <f>(SUMIF(Fonctionnement[Affectation matrice],$AB$3,Fonctionnement[TVA acquittée])+SUMIF(Invest[Affectation matrice],$AB$3,Invest[TVA acquittée]))*BQ15</f>
        <v>0</v>
      </c>
      <c r="CS15" s="200">
        <f>(SUMIF(Fonctionnement[Affectation matrice],$AB$3,Fonctionnement[TVA acquittée])+SUMIF(Invest[Affectation matrice],$AB$3,Invest[TVA acquittée]))*BR15</f>
        <v>0</v>
      </c>
      <c r="CT15" s="200">
        <f>(SUMIF(Fonctionnement[Affectation matrice],$AB$3,Fonctionnement[TVA acquittée])+SUMIF(Invest[Affectation matrice],$AB$3,Invest[TVA acquittée]))*BS15</f>
        <v>0</v>
      </c>
      <c r="CU15" s="200">
        <f>(SUMIF(Fonctionnement[Affectation matrice],$AB$3,Fonctionnement[TVA acquittée])+SUMIF(Invest[Affectation matrice],$AB$3,Invest[TVA acquittée]))*BT15</f>
        <v>0</v>
      </c>
      <c r="CV15" s="200">
        <f>(SUMIF(Fonctionnement[Affectation matrice],$AB$3,Fonctionnement[TVA acquittée])+SUMIF(Invest[Affectation matrice],$AB$3,Invest[TVA acquittée]))*BU15</f>
        <v>0</v>
      </c>
      <c r="CW15" s="200">
        <f>(SUMIF(Fonctionnement[Affectation matrice],$AB$3,Fonctionnement[TVA acquittée])+SUMIF(Invest[Affectation matrice],$AB$3,Invest[TVA acquittée]))*BV15</f>
        <v>0</v>
      </c>
      <c r="CX15" s="200">
        <f>(SUMIF(Fonctionnement[Affectation matrice],$AB$3,Fonctionnement[TVA acquittée])+SUMIF(Invest[Affectation matrice],$AB$3,Invest[TVA acquittée]))*BW15</f>
        <v>0</v>
      </c>
      <c r="CY15" s="200">
        <f>(SUMIF(Fonctionnement[Affectation matrice],$AB$3,Fonctionnement[TVA acquittée])+SUMIF(Invest[Affectation matrice],$AB$3,Invest[TVA acquittée]))*BX15</f>
        <v>0</v>
      </c>
      <c r="CZ15" s="200">
        <f>(SUMIF(Fonctionnement[Affectation matrice],$AB$3,Fonctionnement[TVA acquittée])+SUMIF(Invest[Affectation matrice],$AB$3,Invest[TVA acquittée]))*BY15</f>
        <v>0</v>
      </c>
      <c r="DA15" s="200">
        <f>(SUMIF(Fonctionnement[Affectation matrice],$AB$3,Fonctionnement[TVA acquittée])+SUMIF(Invest[Affectation matrice],$AB$3,Invest[TVA acquittée]))*BZ15</f>
        <v>0</v>
      </c>
      <c r="DB15" s="200">
        <f>(SUMIF(Fonctionnement[Affectation matrice],$AB$3,Fonctionnement[TVA acquittée])+SUMIF(Invest[Affectation matrice],$AB$3,Invest[TVA acquittée]))*CA15</f>
        <v>0</v>
      </c>
    </row>
    <row r="16" spans="1:106" s="22" customFormat="1" ht="12.75" hidden="1" customHeight="1" x14ac:dyDescent="0.25">
      <c r="A16" s="42">
        <f>Matrice[[#This Row],[Ligne de la matrice]]</f>
        <v>0</v>
      </c>
      <c r="B16" s="276">
        <f>(SUMIF(Fonctionnement[Affectation matrice],$AB$3,Fonctionnement[Montant (€HT)])+SUMIF(Invest[Affectation matrice],$AB$3,Invest[Amortissement HT + intérêts]))*BC16</f>
        <v>0</v>
      </c>
      <c r="C16" s="276">
        <f>(SUMIF(Fonctionnement[Affectation matrice],$AB$3,Fonctionnement[Montant (€HT)])+SUMIF(Invest[Affectation matrice],$AB$3,Invest[Amortissement HT + intérêts]))*BD16</f>
        <v>0</v>
      </c>
      <c r="D16" s="276">
        <f>(SUMIF(Fonctionnement[Affectation matrice],$AB$3,Fonctionnement[Montant (€HT)])+SUMIF(Invest[Affectation matrice],$AB$3,Invest[Amortissement HT + intérêts]))*BE16</f>
        <v>0</v>
      </c>
      <c r="E16" s="276">
        <f>(SUMIF(Fonctionnement[Affectation matrice],$AB$3,Fonctionnement[Montant (€HT)])+SUMIF(Invest[Affectation matrice],$AB$3,Invest[Amortissement HT + intérêts]))*BF16</f>
        <v>0</v>
      </c>
      <c r="F16" s="276">
        <f>(SUMIF(Fonctionnement[Affectation matrice],$AB$3,Fonctionnement[Montant (€HT)])+SUMIF(Invest[Affectation matrice],$AB$3,Invest[Amortissement HT + intérêts]))*BG16</f>
        <v>0</v>
      </c>
      <c r="G16" s="276">
        <f>(SUMIF(Fonctionnement[Affectation matrice],$AB$3,Fonctionnement[Montant (€HT)])+SUMIF(Invest[Affectation matrice],$AB$3,Invest[Amortissement HT + intérêts]))*BH16</f>
        <v>0</v>
      </c>
      <c r="H16" s="276">
        <f>(SUMIF(Fonctionnement[Affectation matrice],$AB$3,Fonctionnement[Montant (€HT)])+SUMIF(Invest[Affectation matrice],$AB$3,Invest[Amortissement HT + intérêts]))*BI16</f>
        <v>0</v>
      </c>
      <c r="I16" s="276">
        <f>(SUMIF(Fonctionnement[Affectation matrice],$AB$3,Fonctionnement[Montant (€HT)])+SUMIF(Invest[Affectation matrice],$AB$3,Invest[Amortissement HT + intérêts]))*BJ16</f>
        <v>0</v>
      </c>
      <c r="J16" s="276">
        <f>(SUMIF(Fonctionnement[Affectation matrice],$AB$3,Fonctionnement[Montant (€HT)])+SUMIF(Invest[Affectation matrice],$AB$3,Invest[Amortissement HT + intérêts]))*BK16</f>
        <v>0</v>
      </c>
      <c r="K16" s="276">
        <f>(SUMIF(Fonctionnement[Affectation matrice],$AB$3,Fonctionnement[Montant (€HT)])+SUMIF(Invest[Affectation matrice],$AB$3,Invest[Amortissement HT + intérêts]))*BL16</f>
        <v>0</v>
      </c>
      <c r="L16" s="276">
        <f>(SUMIF(Fonctionnement[Affectation matrice],$AB$3,Fonctionnement[Montant (€HT)])+SUMIF(Invest[Affectation matrice],$AB$3,Invest[Amortissement HT + intérêts]))*BM16</f>
        <v>0</v>
      </c>
      <c r="M16" s="276">
        <f>(SUMIF(Fonctionnement[Affectation matrice],$AB$3,Fonctionnement[Montant (€HT)])+SUMIF(Invest[Affectation matrice],$AB$3,Invest[Amortissement HT + intérêts]))*BN16</f>
        <v>0</v>
      </c>
      <c r="N16" s="276">
        <f>(SUMIF(Fonctionnement[Affectation matrice],$AB$3,Fonctionnement[Montant (€HT)])+SUMIF(Invest[Affectation matrice],$AB$3,Invest[Amortissement HT + intérêts]))*BO16</f>
        <v>0</v>
      </c>
      <c r="O16" s="276">
        <f>(SUMIF(Fonctionnement[Affectation matrice],$AB$3,Fonctionnement[Montant (€HT)])+SUMIF(Invest[Affectation matrice],$AB$3,Invest[Amortissement HT + intérêts]))*BP16</f>
        <v>0</v>
      </c>
      <c r="P16" s="276">
        <f>(SUMIF(Fonctionnement[Affectation matrice],$AB$3,Fonctionnement[Montant (€HT)])+SUMIF(Invest[Affectation matrice],$AB$3,Invest[Amortissement HT + intérêts]))*BQ16</f>
        <v>0</v>
      </c>
      <c r="Q16" s="276">
        <f>(SUMIF(Fonctionnement[Affectation matrice],$AB$3,Fonctionnement[Montant (€HT)])+SUMIF(Invest[Affectation matrice],$AB$3,Invest[Amortissement HT + intérêts]))*BR16</f>
        <v>0</v>
      </c>
      <c r="R16" s="276">
        <f>(SUMIF(Fonctionnement[Affectation matrice],$AB$3,Fonctionnement[Montant (€HT)])+SUMIF(Invest[Affectation matrice],$AB$3,Invest[Amortissement HT + intérêts]))*BS16</f>
        <v>0</v>
      </c>
      <c r="S16" s="276">
        <f>(SUMIF(Fonctionnement[Affectation matrice],$AB$3,Fonctionnement[Montant (€HT)])+SUMIF(Invest[Affectation matrice],$AB$3,Invest[Amortissement HT + intérêts]))*BT16</f>
        <v>0</v>
      </c>
      <c r="T16" s="276">
        <f>(SUMIF(Fonctionnement[Affectation matrice],$AB$3,Fonctionnement[Montant (€HT)])+SUMIF(Invest[Affectation matrice],$AB$3,Invest[Amortissement HT + intérêts]))*BU16</f>
        <v>0</v>
      </c>
      <c r="U16" s="276">
        <f>(SUMIF(Fonctionnement[Affectation matrice],$AB$3,Fonctionnement[Montant (€HT)])+SUMIF(Invest[Affectation matrice],$AB$3,Invest[Amortissement HT + intérêts]))*BV16</f>
        <v>0</v>
      </c>
      <c r="V16" s="276">
        <f>(SUMIF(Fonctionnement[Affectation matrice],$AB$3,Fonctionnement[Montant (€HT)])+SUMIF(Invest[Affectation matrice],$AB$3,Invest[Amortissement HT + intérêts]))*BW16</f>
        <v>0</v>
      </c>
      <c r="W16" s="276">
        <f>(SUMIF(Fonctionnement[Affectation matrice],$AB$3,Fonctionnement[Montant (€HT)])+SUMIF(Invest[Affectation matrice],$AB$3,Invest[Amortissement HT + intérêts]))*BX16</f>
        <v>0</v>
      </c>
      <c r="X16" s="276">
        <f>(SUMIF(Fonctionnement[Affectation matrice],$AB$3,Fonctionnement[Montant (€HT)])+SUMIF(Invest[Affectation matrice],$AB$3,Invest[Amortissement HT + intérêts]))*BY16</f>
        <v>0</v>
      </c>
      <c r="Y16" s="276">
        <f>(SUMIF(Fonctionnement[Affectation matrice],$AB$3,Fonctionnement[Montant (€HT)])+SUMIF(Invest[Affectation matrice],$AB$3,Invest[Amortissement HT + intérêts]))*BZ16</f>
        <v>0</v>
      </c>
      <c r="Z16" s="276">
        <f>(SUMIF(Fonctionnement[Affectation matrice],$AB$3,Fonctionnement[Montant (€HT)])+SUMIF(Invest[Affectation matrice],$AB$3,Invest[Amortissement HT + intérêts]))*CA16</f>
        <v>0</v>
      </c>
      <c r="AA16" s="199"/>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283">
        <f t="shared" si="4"/>
        <v>0</v>
      </c>
      <c r="BB16" s="7"/>
      <c r="BC16" s="61">
        <f t="shared" si="2"/>
        <v>0</v>
      </c>
      <c r="BD16" s="61">
        <f t="shared" si="2"/>
        <v>0</v>
      </c>
      <c r="BE16" s="61">
        <f t="shared" si="2"/>
        <v>0</v>
      </c>
      <c r="BF16" s="61">
        <f t="shared" si="2"/>
        <v>0</v>
      </c>
      <c r="BG16" s="61">
        <f t="shared" si="2"/>
        <v>0</v>
      </c>
      <c r="BH16" s="61">
        <f t="shared" si="2"/>
        <v>0</v>
      </c>
      <c r="BI16" s="61">
        <f t="shared" si="2"/>
        <v>0</v>
      </c>
      <c r="BJ16" s="61">
        <f t="shared" si="2"/>
        <v>0</v>
      </c>
      <c r="BK16" s="61">
        <f t="shared" si="2"/>
        <v>0</v>
      </c>
      <c r="BL16" s="61">
        <f t="shared" si="2"/>
        <v>0</v>
      </c>
      <c r="BM16" s="61">
        <f t="shared" si="2"/>
        <v>0</v>
      </c>
      <c r="BN16" s="61">
        <f t="shared" si="2"/>
        <v>0</v>
      </c>
      <c r="BO16" s="61">
        <f t="shared" si="2"/>
        <v>0</v>
      </c>
      <c r="BP16" s="61">
        <f t="shared" si="2"/>
        <v>0</v>
      </c>
      <c r="BQ16" s="61">
        <f t="shared" si="2"/>
        <v>0</v>
      </c>
      <c r="BR16" s="61">
        <f t="shared" si="2"/>
        <v>0</v>
      </c>
      <c r="BS16" s="61">
        <f t="shared" si="3"/>
        <v>0</v>
      </c>
      <c r="BT16" s="61">
        <f t="shared" si="3"/>
        <v>0</v>
      </c>
      <c r="BU16" s="61">
        <f t="shared" si="3"/>
        <v>0</v>
      </c>
      <c r="BV16" s="61">
        <f t="shared" si="3"/>
        <v>0</v>
      </c>
      <c r="BW16" s="61">
        <f t="shared" si="3"/>
        <v>0</v>
      </c>
      <c r="BX16" s="61">
        <f t="shared" si="3"/>
        <v>0</v>
      </c>
      <c r="BY16" s="61">
        <f t="shared" si="3"/>
        <v>0</v>
      </c>
      <c r="BZ16" s="61">
        <f t="shared" si="3"/>
        <v>0</v>
      </c>
      <c r="CA16" s="61">
        <f t="shared" si="3"/>
        <v>0</v>
      </c>
      <c r="CB16" s="61">
        <f t="shared" si="5"/>
        <v>0</v>
      </c>
      <c r="CD16" s="200">
        <f>(SUMIF(Fonctionnement[Affectation matrice],$AB$3,Fonctionnement[TVA acquittée])+SUMIF(Invest[Affectation matrice],$AB$3,Invest[TVA acquittée]))*BC16</f>
        <v>0</v>
      </c>
      <c r="CE16" s="200">
        <f>(SUMIF(Fonctionnement[Affectation matrice],$AB$3,Fonctionnement[TVA acquittée])+SUMIF(Invest[Affectation matrice],$AB$3,Invest[TVA acquittée]))*BD16</f>
        <v>0</v>
      </c>
      <c r="CF16" s="200">
        <f>(SUMIF(Fonctionnement[Affectation matrice],$AB$3,Fonctionnement[TVA acquittée])+SUMIF(Invest[Affectation matrice],$AB$3,Invest[TVA acquittée]))*BE16</f>
        <v>0</v>
      </c>
      <c r="CG16" s="200">
        <f>(SUMIF(Fonctionnement[Affectation matrice],$AB$3,Fonctionnement[TVA acquittée])+SUMIF(Invest[Affectation matrice],$AB$3,Invest[TVA acquittée]))*BF16</f>
        <v>0</v>
      </c>
      <c r="CH16" s="200">
        <f>(SUMIF(Fonctionnement[Affectation matrice],$AB$3,Fonctionnement[TVA acquittée])+SUMIF(Invest[Affectation matrice],$AB$3,Invest[TVA acquittée]))*BG16</f>
        <v>0</v>
      </c>
      <c r="CI16" s="200">
        <f>(SUMIF(Fonctionnement[Affectation matrice],$AB$3,Fonctionnement[TVA acquittée])+SUMIF(Invest[Affectation matrice],$AB$3,Invest[TVA acquittée]))*BH16</f>
        <v>0</v>
      </c>
      <c r="CJ16" s="200">
        <f>(SUMIF(Fonctionnement[Affectation matrice],$AB$3,Fonctionnement[TVA acquittée])+SUMIF(Invest[Affectation matrice],$AB$3,Invest[TVA acquittée]))*BI16</f>
        <v>0</v>
      </c>
      <c r="CK16" s="200">
        <f>(SUMIF(Fonctionnement[Affectation matrice],$AB$3,Fonctionnement[TVA acquittée])+SUMIF(Invest[Affectation matrice],$AB$3,Invest[TVA acquittée]))*BJ16</f>
        <v>0</v>
      </c>
      <c r="CL16" s="200">
        <f>(SUMIF(Fonctionnement[Affectation matrice],$AB$3,Fonctionnement[TVA acquittée])+SUMIF(Invest[Affectation matrice],$AB$3,Invest[TVA acquittée]))*BK16</f>
        <v>0</v>
      </c>
      <c r="CM16" s="200">
        <f>(SUMIF(Fonctionnement[Affectation matrice],$AB$3,Fonctionnement[TVA acquittée])+SUMIF(Invest[Affectation matrice],$AB$3,Invest[TVA acquittée]))*BL16</f>
        <v>0</v>
      </c>
      <c r="CN16" s="200">
        <f>(SUMIF(Fonctionnement[Affectation matrice],$AB$3,Fonctionnement[TVA acquittée])+SUMIF(Invest[Affectation matrice],$AB$3,Invest[TVA acquittée]))*BM16</f>
        <v>0</v>
      </c>
      <c r="CO16" s="200">
        <f>(SUMIF(Fonctionnement[Affectation matrice],$AB$3,Fonctionnement[TVA acquittée])+SUMIF(Invest[Affectation matrice],$AB$3,Invest[TVA acquittée]))*BN16</f>
        <v>0</v>
      </c>
      <c r="CP16" s="200">
        <f>(SUMIF(Fonctionnement[Affectation matrice],$AB$3,Fonctionnement[TVA acquittée])+SUMIF(Invest[Affectation matrice],$AB$3,Invest[TVA acquittée]))*BO16</f>
        <v>0</v>
      </c>
      <c r="CQ16" s="200">
        <f>(SUMIF(Fonctionnement[Affectation matrice],$AB$3,Fonctionnement[TVA acquittée])+SUMIF(Invest[Affectation matrice],$AB$3,Invest[TVA acquittée]))*BP16</f>
        <v>0</v>
      </c>
      <c r="CR16" s="200">
        <f>(SUMIF(Fonctionnement[Affectation matrice],$AB$3,Fonctionnement[TVA acquittée])+SUMIF(Invest[Affectation matrice],$AB$3,Invest[TVA acquittée]))*BQ16</f>
        <v>0</v>
      </c>
      <c r="CS16" s="200">
        <f>(SUMIF(Fonctionnement[Affectation matrice],$AB$3,Fonctionnement[TVA acquittée])+SUMIF(Invest[Affectation matrice],$AB$3,Invest[TVA acquittée]))*BR16</f>
        <v>0</v>
      </c>
      <c r="CT16" s="200">
        <f>(SUMIF(Fonctionnement[Affectation matrice],$AB$3,Fonctionnement[TVA acquittée])+SUMIF(Invest[Affectation matrice],$AB$3,Invest[TVA acquittée]))*BS16</f>
        <v>0</v>
      </c>
      <c r="CU16" s="200">
        <f>(SUMIF(Fonctionnement[Affectation matrice],$AB$3,Fonctionnement[TVA acquittée])+SUMIF(Invest[Affectation matrice],$AB$3,Invest[TVA acquittée]))*BT16</f>
        <v>0</v>
      </c>
      <c r="CV16" s="200">
        <f>(SUMIF(Fonctionnement[Affectation matrice],$AB$3,Fonctionnement[TVA acquittée])+SUMIF(Invest[Affectation matrice],$AB$3,Invest[TVA acquittée]))*BU16</f>
        <v>0</v>
      </c>
      <c r="CW16" s="200">
        <f>(SUMIF(Fonctionnement[Affectation matrice],$AB$3,Fonctionnement[TVA acquittée])+SUMIF(Invest[Affectation matrice],$AB$3,Invest[TVA acquittée]))*BV16</f>
        <v>0</v>
      </c>
      <c r="CX16" s="200">
        <f>(SUMIF(Fonctionnement[Affectation matrice],$AB$3,Fonctionnement[TVA acquittée])+SUMIF(Invest[Affectation matrice],$AB$3,Invest[TVA acquittée]))*BW16</f>
        <v>0</v>
      </c>
      <c r="CY16" s="200">
        <f>(SUMIF(Fonctionnement[Affectation matrice],$AB$3,Fonctionnement[TVA acquittée])+SUMIF(Invest[Affectation matrice],$AB$3,Invest[TVA acquittée]))*BX16</f>
        <v>0</v>
      </c>
      <c r="CZ16" s="200">
        <f>(SUMIF(Fonctionnement[Affectation matrice],$AB$3,Fonctionnement[TVA acquittée])+SUMIF(Invest[Affectation matrice],$AB$3,Invest[TVA acquittée]))*BY16</f>
        <v>0</v>
      </c>
      <c r="DA16" s="200">
        <f>(SUMIF(Fonctionnement[Affectation matrice],$AB$3,Fonctionnement[TVA acquittée])+SUMIF(Invest[Affectation matrice],$AB$3,Invest[TVA acquittée]))*BZ16</f>
        <v>0</v>
      </c>
      <c r="DB16" s="200">
        <f>(SUMIF(Fonctionnement[Affectation matrice],$AB$3,Fonctionnement[TVA acquittée])+SUMIF(Invest[Affectation matrice],$AB$3,Invest[TVA acquittée]))*CA16</f>
        <v>0</v>
      </c>
    </row>
    <row r="17" spans="1:106" ht="12.75" hidden="1" customHeight="1" x14ac:dyDescent="0.25">
      <c r="A17" s="42">
        <f>Matrice[[#This Row],[Ligne de la matrice]]</f>
        <v>0</v>
      </c>
      <c r="B17" s="276">
        <f>(SUMIF(Fonctionnement[Affectation matrice],$AB$3,Fonctionnement[Montant (€HT)])+SUMIF(Invest[Affectation matrice],$AB$3,Invest[Amortissement HT + intérêts]))*BC17</f>
        <v>0</v>
      </c>
      <c r="C17" s="276">
        <f>(SUMIF(Fonctionnement[Affectation matrice],$AB$3,Fonctionnement[Montant (€HT)])+SUMIF(Invest[Affectation matrice],$AB$3,Invest[Amortissement HT + intérêts]))*BD17</f>
        <v>0</v>
      </c>
      <c r="D17" s="276">
        <f>(SUMIF(Fonctionnement[Affectation matrice],$AB$3,Fonctionnement[Montant (€HT)])+SUMIF(Invest[Affectation matrice],$AB$3,Invest[Amortissement HT + intérêts]))*BE17</f>
        <v>0</v>
      </c>
      <c r="E17" s="276">
        <f>(SUMIF(Fonctionnement[Affectation matrice],$AB$3,Fonctionnement[Montant (€HT)])+SUMIF(Invest[Affectation matrice],$AB$3,Invest[Amortissement HT + intérêts]))*BF17</f>
        <v>0</v>
      </c>
      <c r="F17" s="276">
        <f>(SUMIF(Fonctionnement[Affectation matrice],$AB$3,Fonctionnement[Montant (€HT)])+SUMIF(Invest[Affectation matrice],$AB$3,Invest[Amortissement HT + intérêts]))*BG17</f>
        <v>0</v>
      </c>
      <c r="G17" s="276">
        <f>(SUMIF(Fonctionnement[Affectation matrice],$AB$3,Fonctionnement[Montant (€HT)])+SUMIF(Invest[Affectation matrice],$AB$3,Invest[Amortissement HT + intérêts]))*BH17</f>
        <v>0</v>
      </c>
      <c r="H17" s="276">
        <f>(SUMIF(Fonctionnement[Affectation matrice],$AB$3,Fonctionnement[Montant (€HT)])+SUMIF(Invest[Affectation matrice],$AB$3,Invest[Amortissement HT + intérêts]))*BI17</f>
        <v>0</v>
      </c>
      <c r="I17" s="276">
        <f>(SUMIF(Fonctionnement[Affectation matrice],$AB$3,Fonctionnement[Montant (€HT)])+SUMIF(Invest[Affectation matrice],$AB$3,Invest[Amortissement HT + intérêts]))*BJ17</f>
        <v>0</v>
      </c>
      <c r="J17" s="276">
        <f>(SUMIF(Fonctionnement[Affectation matrice],$AB$3,Fonctionnement[Montant (€HT)])+SUMIF(Invest[Affectation matrice],$AB$3,Invest[Amortissement HT + intérêts]))*BK17</f>
        <v>0</v>
      </c>
      <c r="K17" s="276">
        <f>(SUMIF(Fonctionnement[Affectation matrice],$AB$3,Fonctionnement[Montant (€HT)])+SUMIF(Invest[Affectation matrice],$AB$3,Invest[Amortissement HT + intérêts]))*BL17</f>
        <v>0</v>
      </c>
      <c r="L17" s="276">
        <f>(SUMIF(Fonctionnement[Affectation matrice],$AB$3,Fonctionnement[Montant (€HT)])+SUMIF(Invest[Affectation matrice],$AB$3,Invest[Amortissement HT + intérêts]))*BM17</f>
        <v>0</v>
      </c>
      <c r="M17" s="276">
        <f>(SUMIF(Fonctionnement[Affectation matrice],$AB$3,Fonctionnement[Montant (€HT)])+SUMIF(Invest[Affectation matrice],$AB$3,Invest[Amortissement HT + intérêts]))*BN17</f>
        <v>0</v>
      </c>
      <c r="N17" s="276">
        <f>(SUMIF(Fonctionnement[Affectation matrice],$AB$3,Fonctionnement[Montant (€HT)])+SUMIF(Invest[Affectation matrice],$AB$3,Invest[Amortissement HT + intérêts]))*BO17</f>
        <v>0</v>
      </c>
      <c r="O17" s="276">
        <f>(SUMIF(Fonctionnement[Affectation matrice],$AB$3,Fonctionnement[Montant (€HT)])+SUMIF(Invest[Affectation matrice],$AB$3,Invest[Amortissement HT + intérêts]))*BP17</f>
        <v>0</v>
      </c>
      <c r="P17" s="276">
        <f>(SUMIF(Fonctionnement[Affectation matrice],$AB$3,Fonctionnement[Montant (€HT)])+SUMIF(Invest[Affectation matrice],$AB$3,Invest[Amortissement HT + intérêts]))*BQ17</f>
        <v>0</v>
      </c>
      <c r="Q17" s="276">
        <f>(SUMIF(Fonctionnement[Affectation matrice],$AB$3,Fonctionnement[Montant (€HT)])+SUMIF(Invest[Affectation matrice],$AB$3,Invest[Amortissement HT + intérêts]))*BR17</f>
        <v>0</v>
      </c>
      <c r="R17" s="276">
        <f>(SUMIF(Fonctionnement[Affectation matrice],$AB$3,Fonctionnement[Montant (€HT)])+SUMIF(Invest[Affectation matrice],$AB$3,Invest[Amortissement HT + intérêts]))*BS17</f>
        <v>0</v>
      </c>
      <c r="S17" s="276">
        <f>(SUMIF(Fonctionnement[Affectation matrice],$AB$3,Fonctionnement[Montant (€HT)])+SUMIF(Invest[Affectation matrice],$AB$3,Invest[Amortissement HT + intérêts]))*BT17</f>
        <v>0</v>
      </c>
      <c r="T17" s="276">
        <f>(SUMIF(Fonctionnement[Affectation matrice],$AB$3,Fonctionnement[Montant (€HT)])+SUMIF(Invest[Affectation matrice],$AB$3,Invest[Amortissement HT + intérêts]))*BU17</f>
        <v>0</v>
      </c>
      <c r="U17" s="276">
        <f>(SUMIF(Fonctionnement[Affectation matrice],$AB$3,Fonctionnement[Montant (€HT)])+SUMIF(Invest[Affectation matrice],$AB$3,Invest[Amortissement HT + intérêts]))*BV17</f>
        <v>0</v>
      </c>
      <c r="V17" s="276">
        <f>(SUMIF(Fonctionnement[Affectation matrice],$AB$3,Fonctionnement[Montant (€HT)])+SUMIF(Invest[Affectation matrice],$AB$3,Invest[Amortissement HT + intérêts]))*BW17</f>
        <v>0</v>
      </c>
      <c r="W17" s="276">
        <f>(SUMIF(Fonctionnement[Affectation matrice],$AB$3,Fonctionnement[Montant (€HT)])+SUMIF(Invest[Affectation matrice],$AB$3,Invest[Amortissement HT + intérêts]))*BX17</f>
        <v>0</v>
      </c>
      <c r="X17" s="276">
        <f>(SUMIF(Fonctionnement[Affectation matrice],$AB$3,Fonctionnement[Montant (€HT)])+SUMIF(Invest[Affectation matrice],$AB$3,Invest[Amortissement HT + intérêts]))*BY17</f>
        <v>0</v>
      </c>
      <c r="Y17" s="276">
        <f>(SUMIF(Fonctionnement[Affectation matrice],$AB$3,Fonctionnement[Montant (€HT)])+SUMIF(Invest[Affectation matrice],$AB$3,Invest[Amortissement HT + intérêts]))*BZ17</f>
        <v>0</v>
      </c>
      <c r="Z17" s="276">
        <f>(SUMIF(Fonctionnement[Affectation matrice],$AB$3,Fonctionnement[Montant (€HT)])+SUMIF(Invest[Affectation matrice],$AB$3,Invest[Amortissement HT + intérêts]))*CA17</f>
        <v>0</v>
      </c>
      <c r="AA17" s="199"/>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283">
        <f t="shared" si="4"/>
        <v>0</v>
      </c>
      <c r="BC17" s="61">
        <f t="shared" si="2"/>
        <v>0</v>
      </c>
      <c r="BD17" s="61">
        <f t="shared" si="2"/>
        <v>0</v>
      </c>
      <c r="BE17" s="61">
        <f t="shared" si="2"/>
        <v>0</v>
      </c>
      <c r="BF17" s="61">
        <f t="shared" si="2"/>
        <v>0</v>
      </c>
      <c r="BG17" s="61">
        <f t="shared" si="2"/>
        <v>0</v>
      </c>
      <c r="BH17" s="61">
        <f t="shared" si="2"/>
        <v>0</v>
      </c>
      <c r="BI17" s="61">
        <f t="shared" si="2"/>
        <v>0</v>
      </c>
      <c r="BJ17" s="61">
        <f t="shared" si="2"/>
        <v>0</v>
      </c>
      <c r="BK17" s="61">
        <f t="shared" si="2"/>
        <v>0</v>
      </c>
      <c r="BL17" s="61">
        <f t="shared" si="2"/>
        <v>0</v>
      </c>
      <c r="BM17" s="61">
        <f t="shared" si="2"/>
        <v>0</v>
      </c>
      <c r="BN17" s="61">
        <f t="shared" si="2"/>
        <v>0</v>
      </c>
      <c r="BO17" s="61">
        <f t="shared" si="2"/>
        <v>0</v>
      </c>
      <c r="BP17" s="61">
        <f t="shared" si="2"/>
        <v>0</v>
      </c>
      <c r="BQ17" s="61">
        <f t="shared" si="2"/>
        <v>0</v>
      </c>
      <c r="BR17" s="61">
        <f t="shared" si="2"/>
        <v>0</v>
      </c>
      <c r="BS17" s="61">
        <f t="shared" si="3"/>
        <v>0</v>
      </c>
      <c r="BT17" s="61">
        <f t="shared" si="3"/>
        <v>0</v>
      </c>
      <c r="BU17" s="61">
        <f t="shared" si="3"/>
        <v>0</v>
      </c>
      <c r="BV17" s="61">
        <f t="shared" si="3"/>
        <v>0</v>
      </c>
      <c r="BW17" s="61">
        <f t="shared" si="3"/>
        <v>0</v>
      </c>
      <c r="BX17" s="61">
        <f t="shared" si="3"/>
        <v>0</v>
      </c>
      <c r="BY17" s="61">
        <f t="shared" si="3"/>
        <v>0</v>
      </c>
      <c r="BZ17" s="61">
        <f t="shared" si="3"/>
        <v>0</v>
      </c>
      <c r="CA17" s="61">
        <f t="shared" si="3"/>
        <v>0</v>
      </c>
      <c r="CB17" s="61">
        <f t="shared" si="5"/>
        <v>0</v>
      </c>
      <c r="CD17" s="200">
        <f>(SUMIF(Fonctionnement[Affectation matrice],$AB$3,Fonctionnement[TVA acquittée])+SUMIF(Invest[Affectation matrice],$AB$3,Invest[TVA acquittée]))*BC17</f>
        <v>0</v>
      </c>
      <c r="CE17" s="200">
        <f>(SUMIF(Fonctionnement[Affectation matrice],$AB$3,Fonctionnement[TVA acquittée])+SUMIF(Invest[Affectation matrice],$AB$3,Invest[TVA acquittée]))*BD17</f>
        <v>0</v>
      </c>
      <c r="CF17" s="200">
        <f>(SUMIF(Fonctionnement[Affectation matrice],$AB$3,Fonctionnement[TVA acquittée])+SUMIF(Invest[Affectation matrice],$AB$3,Invest[TVA acquittée]))*BE17</f>
        <v>0</v>
      </c>
      <c r="CG17" s="200">
        <f>(SUMIF(Fonctionnement[Affectation matrice],$AB$3,Fonctionnement[TVA acquittée])+SUMIF(Invest[Affectation matrice],$AB$3,Invest[TVA acquittée]))*BF17</f>
        <v>0</v>
      </c>
      <c r="CH17" s="200">
        <f>(SUMIF(Fonctionnement[Affectation matrice],$AB$3,Fonctionnement[TVA acquittée])+SUMIF(Invest[Affectation matrice],$AB$3,Invest[TVA acquittée]))*BG17</f>
        <v>0</v>
      </c>
      <c r="CI17" s="200">
        <f>(SUMIF(Fonctionnement[Affectation matrice],$AB$3,Fonctionnement[TVA acquittée])+SUMIF(Invest[Affectation matrice],$AB$3,Invest[TVA acquittée]))*BH17</f>
        <v>0</v>
      </c>
      <c r="CJ17" s="200">
        <f>(SUMIF(Fonctionnement[Affectation matrice],$AB$3,Fonctionnement[TVA acquittée])+SUMIF(Invest[Affectation matrice],$AB$3,Invest[TVA acquittée]))*BI17</f>
        <v>0</v>
      </c>
      <c r="CK17" s="200">
        <f>(SUMIF(Fonctionnement[Affectation matrice],$AB$3,Fonctionnement[TVA acquittée])+SUMIF(Invest[Affectation matrice],$AB$3,Invest[TVA acquittée]))*BJ17</f>
        <v>0</v>
      </c>
      <c r="CL17" s="200">
        <f>(SUMIF(Fonctionnement[Affectation matrice],$AB$3,Fonctionnement[TVA acquittée])+SUMIF(Invest[Affectation matrice],$AB$3,Invest[TVA acquittée]))*BK17</f>
        <v>0</v>
      </c>
      <c r="CM17" s="200">
        <f>(SUMIF(Fonctionnement[Affectation matrice],$AB$3,Fonctionnement[TVA acquittée])+SUMIF(Invest[Affectation matrice],$AB$3,Invest[TVA acquittée]))*BL17</f>
        <v>0</v>
      </c>
      <c r="CN17" s="200">
        <f>(SUMIF(Fonctionnement[Affectation matrice],$AB$3,Fonctionnement[TVA acquittée])+SUMIF(Invest[Affectation matrice],$AB$3,Invest[TVA acquittée]))*BM17</f>
        <v>0</v>
      </c>
      <c r="CO17" s="200">
        <f>(SUMIF(Fonctionnement[Affectation matrice],$AB$3,Fonctionnement[TVA acquittée])+SUMIF(Invest[Affectation matrice],$AB$3,Invest[TVA acquittée]))*BN17</f>
        <v>0</v>
      </c>
      <c r="CP17" s="200">
        <f>(SUMIF(Fonctionnement[Affectation matrice],$AB$3,Fonctionnement[TVA acquittée])+SUMIF(Invest[Affectation matrice],$AB$3,Invest[TVA acquittée]))*BO17</f>
        <v>0</v>
      </c>
      <c r="CQ17" s="200">
        <f>(SUMIF(Fonctionnement[Affectation matrice],$AB$3,Fonctionnement[TVA acquittée])+SUMIF(Invest[Affectation matrice],$AB$3,Invest[TVA acquittée]))*BP17</f>
        <v>0</v>
      </c>
      <c r="CR17" s="200">
        <f>(SUMIF(Fonctionnement[Affectation matrice],$AB$3,Fonctionnement[TVA acquittée])+SUMIF(Invest[Affectation matrice],$AB$3,Invest[TVA acquittée]))*BQ17</f>
        <v>0</v>
      </c>
      <c r="CS17" s="200">
        <f>(SUMIF(Fonctionnement[Affectation matrice],$AB$3,Fonctionnement[TVA acquittée])+SUMIF(Invest[Affectation matrice],$AB$3,Invest[TVA acquittée]))*BR17</f>
        <v>0</v>
      </c>
      <c r="CT17" s="200">
        <f>(SUMIF(Fonctionnement[Affectation matrice],$AB$3,Fonctionnement[TVA acquittée])+SUMIF(Invest[Affectation matrice],$AB$3,Invest[TVA acquittée]))*BS17</f>
        <v>0</v>
      </c>
      <c r="CU17" s="200">
        <f>(SUMIF(Fonctionnement[Affectation matrice],$AB$3,Fonctionnement[TVA acquittée])+SUMIF(Invest[Affectation matrice],$AB$3,Invest[TVA acquittée]))*BT17</f>
        <v>0</v>
      </c>
      <c r="CV17" s="200">
        <f>(SUMIF(Fonctionnement[Affectation matrice],$AB$3,Fonctionnement[TVA acquittée])+SUMIF(Invest[Affectation matrice],$AB$3,Invest[TVA acquittée]))*BU17</f>
        <v>0</v>
      </c>
      <c r="CW17" s="200">
        <f>(SUMIF(Fonctionnement[Affectation matrice],$AB$3,Fonctionnement[TVA acquittée])+SUMIF(Invest[Affectation matrice],$AB$3,Invest[TVA acquittée]))*BV17</f>
        <v>0</v>
      </c>
      <c r="CX17" s="200">
        <f>(SUMIF(Fonctionnement[Affectation matrice],$AB$3,Fonctionnement[TVA acquittée])+SUMIF(Invest[Affectation matrice],$AB$3,Invest[TVA acquittée]))*BW17</f>
        <v>0</v>
      </c>
      <c r="CY17" s="200">
        <f>(SUMIF(Fonctionnement[Affectation matrice],$AB$3,Fonctionnement[TVA acquittée])+SUMIF(Invest[Affectation matrice],$AB$3,Invest[TVA acquittée]))*BX17</f>
        <v>0</v>
      </c>
      <c r="CZ17" s="200">
        <f>(SUMIF(Fonctionnement[Affectation matrice],$AB$3,Fonctionnement[TVA acquittée])+SUMIF(Invest[Affectation matrice],$AB$3,Invest[TVA acquittée]))*BY17</f>
        <v>0</v>
      </c>
      <c r="DA17" s="200">
        <f>(SUMIF(Fonctionnement[Affectation matrice],$AB$3,Fonctionnement[TVA acquittée])+SUMIF(Invest[Affectation matrice],$AB$3,Invest[TVA acquittée]))*BZ17</f>
        <v>0</v>
      </c>
      <c r="DB17" s="200">
        <f>(SUMIF(Fonctionnement[Affectation matrice],$AB$3,Fonctionnement[TVA acquittée])+SUMIF(Invest[Affectation matrice],$AB$3,Invest[TVA acquittée]))*CA17</f>
        <v>0</v>
      </c>
    </row>
    <row r="18" spans="1:106" ht="12.75" hidden="1" customHeight="1" x14ac:dyDescent="0.25">
      <c r="A18" s="42">
        <f>Matrice[[#This Row],[Ligne de la matrice]]</f>
        <v>0</v>
      </c>
      <c r="B18" s="276">
        <f>(SUMIF(Fonctionnement[Affectation matrice],$AB$3,Fonctionnement[Montant (€HT)])+SUMIF(Invest[Affectation matrice],$AB$3,Invest[Amortissement HT + intérêts]))*BC18</f>
        <v>0</v>
      </c>
      <c r="C18" s="276">
        <f>(SUMIF(Fonctionnement[Affectation matrice],$AB$3,Fonctionnement[Montant (€HT)])+SUMIF(Invest[Affectation matrice],$AB$3,Invest[Amortissement HT + intérêts]))*BD18</f>
        <v>0</v>
      </c>
      <c r="D18" s="276">
        <f>(SUMIF(Fonctionnement[Affectation matrice],$AB$3,Fonctionnement[Montant (€HT)])+SUMIF(Invest[Affectation matrice],$AB$3,Invest[Amortissement HT + intérêts]))*BE18</f>
        <v>0</v>
      </c>
      <c r="E18" s="276">
        <f>(SUMIF(Fonctionnement[Affectation matrice],$AB$3,Fonctionnement[Montant (€HT)])+SUMIF(Invest[Affectation matrice],$AB$3,Invest[Amortissement HT + intérêts]))*BF18</f>
        <v>0</v>
      </c>
      <c r="F18" s="276">
        <f>(SUMIF(Fonctionnement[Affectation matrice],$AB$3,Fonctionnement[Montant (€HT)])+SUMIF(Invest[Affectation matrice],$AB$3,Invest[Amortissement HT + intérêts]))*BG18</f>
        <v>0</v>
      </c>
      <c r="G18" s="276">
        <f>(SUMIF(Fonctionnement[Affectation matrice],$AB$3,Fonctionnement[Montant (€HT)])+SUMIF(Invest[Affectation matrice],$AB$3,Invest[Amortissement HT + intérêts]))*BH18</f>
        <v>0</v>
      </c>
      <c r="H18" s="276">
        <f>(SUMIF(Fonctionnement[Affectation matrice],$AB$3,Fonctionnement[Montant (€HT)])+SUMIF(Invest[Affectation matrice],$AB$3,Invest[Amortissement HT + intérêts]))*BI18</f>
        <v>0</v>
      </c>
      <c r="I18" s="276">
        <f>(SUMIF(Fonctionnement[Affectation matrice],$AB$3,Fonctionnement[Montant (€HT)])+SUMIF(Invest[Affectation matrice],$AB$3,Invest[Amortissement HT + intérêts]))*BJ18</f>
        <v>0</v>
      </c>
      <c r="J18" s="276">
        <f>(SUMIF(Fonctionnement[Affectation matrice],$AB$3,Fonctionnement[Montant (€HT)])+SUMIF(Invest[Affectation matrice],$AB$3,Invest[Amortissement HT + intérêts]))*BK18</f>
        <v>0</v>
      </c>
      <c r="K18" s="276">
        <f>(SUMIF(Fonctionnement[Affectation matrice],$AB$3,Fonctionnement[Montant (€HT)])+SUMIF(Invest[Affectation matrice],$AB$3,Invest[Amortissement HT + intérêts]))*BL18</f>
        <v>0</v>
      </c>
      <c r="L18" s="276">
        <f>(SUMIF(Fonctionnement[Affectation matrice],$AB$3,Fonctionnement[Montant (€HT)])+SUMIF(Invest[Affectation matrice],$AB$3,Invest[Amortissement HT + intérêts]))*BM18</f>
        <v>0</v>
      </c>
      <c r="M18" s="276">
        <f>(SUMIF(Fonctionnement[Affectation matrice],$AB$3,Fonctionnement[Montant (€HT)])+SUMIF(Invest[Affectation matrice],$AB$3,Invest[Amortissement HT + intérêts]))*BN18</f>
        <v>0</v>
      </c>
      <c r="N18" s="276">
        <f>(SUMIF(Fonctionnement[Affectation matrice],$AB$3,Fonctionnement[Montant (€HT)])+SUMIF(Invest[Affectation matrice],$AB$3,Invest[Amortissement HT + intérêts]))*BO18</f>
        <v>0</v>
      </c>
      <c r="O18" s="276">
        <f>(SUMIF(Fonctionnement[Affectation matrice],$AB$3,Fonctionnement[Montant (€HT)])+SUMIF(Invest[Affectation matrice],$AB$3,Invest[Amortissement HT + intérêts]))*BP18</f>
        <v>0</v>
      </c>
      <c r="P18" s="276">
        <f>(SUMIF(Fonctionnement[Affectation matrice],$AB$3,Fonctionnement[Montant (€HT)])+SUMIF(Invest[Affectation matrice],$AB$3,Invest[Amortissement HT + intérêts]))*BQ18</f>
        <v>0</v>
      </c>
      <c r="Q18" s="276">
        <f>(SUMIF(Fonctionnement[Affectation matrice],$AB$3,Fonctionnement[Montant (€HT)])+SUMIF(Invest[Affectation matrice],$AB$3,Invest[Amortissement HT + intérêts]))*BR18</f>
        <v>0</v>
      </c>
      <c r="R18" s="276">
        <f>(SUMIF(Fonctionnement[Affectation matrice],$AB$3,Fonctionnement[Montant (€HT)])+SUMIF(Invest[Affectation matrice],$AB$3,Invest[Amortissement HT + intérêts]))*BS18</f>
        <v>0</v>
      </c>
      <c r="S18" s="276">
        <f>(SUMIF(Fonctionnement[Affectation matrice],$AB$3,Fonctionnement[Montant (€HT)])+SUMIF(Invest[Affectation matrice],$AB$3,Invest[Amortissement HT + intérêts]))*BT18</f>
        <v>0</v>
      </c>
      <c r="T18" s="276">
        <f>(SUMIF(Fonctionnement[Affectation matrice],$AB$3,Fonctionnement[Montant (€HT)])+SUMIF(Invest[Affectation matrice],$AB$3,Invest[Amortissement HT + intérêts]))*BU18</f>
        <v>0</v>
      </c>
      <c r="U18" s="276">
        <f>(SUMIF(Fonctionnement[Affectation matrice],$AB$3,Fonctionnement[Montant (€HT)])+SUMIF(Invest[Affectation matrice],$AB$3,Invest[Amortissement HT + intérêts]))*BV18</f>
        <v>0</v>
      </c>
      <c r="V18" s="276">
        <f>(SUMIF(Fonctionnement[Affectation matrice],$AB$3,Fonctionnement[Montant (€HT)])+SUMIF(Invest[Affectation matrice],$AB$3,Invest[Amortissement HT + intérêts]))*BW18</f>
        <v>0</v>
      </c>
      <c r="W18" s="276">
        <f>(SUMIF(Fonctionnement[Affectation matrice],$AB$3,Fonctionnement[Montant (€HT)])+SUMIF(Invest[Affectation matrice],$AB$3,Invest[Amortissement HT + intérêts]))*BX18</f>
        <v>0</v>
      </c>
      <c r="X18" s="276">
        <f>(SUMIF(Fonctionnement[Affectation matrice],$AB$3,Fonctionnement[Montant (€HT)])+SUMIF(Invest[Affectation matrice],$AB$3,Invest[Amortissement HT + intérêts]))*BY18</f>
        <v>0</v>
      </c>
      <c r="Y18" s="276">
        <f>(SUMIF(Fonctionnement[Affectation matrice],$AB$3,Fonctionnement[Montant (€HT)])+SUMIF(Invest[Affectation matrice],$AB$3,Invest[Amortissement HT + intérêts]))*BZ18</f>
        <v>0</v>
      </c>
      <c r="Z18" s="276">
        <f>(SUMIF(Fonctionnement[Affectation matrice],$AB$3,Fonctionnement[Montant (€HT)])+SUMIF(Invest[Affectation matrice],$AB$3,Invest[Amortissement HT + intérêts]))*CA18</f>
        <v>0</v>
      </c>
      <c r="AA18" s="199"/>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283">
        <f t="shared" si="4"/>
        <v>0</v>
      </c>
      <c r="BC18" s="61">
        <f t="shared" si="2"/>
        <v>0</v>
      </c>
      <c r="BD18" s="61">
        <f t="shared" si="2"/>
        <v>0</v>
      </c>
      <c r="BE18" s="61">
        <f t="shared" si="2"/>
        <v>0</v>
      </c>
      <c r="BF18" s="61">
        <f t="shared" si="2"/>
        <v>0</v>
      </c>
      <c r="BG18" s="61">
        <f t="shared" si="2"/>
        <v>0</v>
      </c>
      <c r="BH18" s="61">
        <f t="shared" si="2"/>
        <v>0</v>
      </c>
      <c r="BI18" s="61">
        <f t="shared" si="2"/>
        <v>0</v>
      </c>
      <c r="BJ18" s="61">
        <f t="shared" si="2"/>
        <v>0</v>
      </c>
      <c r="BK18" s="61">
        <f t="shared" si="2"/>
        <v>0</v>
      </c>
      <c r="BL18" s="61">
        <f t="shared" si="2"/>
        <v>0</v>
      </c>
      <c r="BM18" s="61">
        <f t="shared" si="2"/>
        <v>0</v>
      </c>
      <c r="BN18" s="61">
        <f t="shared" si="2"/>
        <v>0</v>
      </c>
      <c r="BO18" s="61">
        <f t="shared" si="2"/>
        <v>0</v>
      </c>
      <c r="BP18" s="61">
        <f t="shared" si="2"/>
        <v>0</v>
      </c>
      <c r="BQ18" s="61">
        <f t="shared" si="2"/>
        <v>0</v>
      </c>
      <c r="BR18" s="61">
        <f t="shared" si="2"/>
        <v>0</v>
      </c>
      <c r="BS18" s="61">
        <f t="shared" si="3"/>
        <v>0</v>
      </c>
      <c r="BT18" s="61">
        <f t="shared" si="3"/>
        <v>0</v>
      </c>
      <c r="BU18" s="61">
        <f t="shared" si="3"/>
        <v>0</v>
      </c>
      <c r="BV18" s="61">
        <f t="shared" si="3"/>
        <v>0</v>
      </c>
      <c r="BW18" s="61">
        <f t="shared" si="3"/>
        <v>0</v>
      </c>
      <c r="BX18" s="61">
        <f t="shared" si="3"/>
        <v>0</v>
      </c>
      <c r="BY18" s="61">
        <f t="shared" si="3"/>
        <v>0</v>
      </c>
      <c r="BZ18" s="61">
        <f t="shared" si="3"/>
        <v>0</v>
      </c>
      <c r="CA18" s="61">
        <f t="shared" si="3"/>
        <v>0</v>
      </c>
      <c r="CB18" s="61">
        <f t="shared" si="5"/>
        <v>0</v>
      </c>
      <c r="CD18" s="200">
        <f>(SUMIF(Fonctionnement[Affectation matrice],$AB$3,Fonctionnement[TVA acquittée])+SUMIF(Invest[Affectation matrice],$AB$3,Invest[TVA acquittée]))*BC18</f>
        <v>0</v>
      </c>
      <c r="CE18" s="200">
        <f>(SUMIF(Fonctionnement[Affectation matrice],$AB$3,Fonctionnement[TVA acquittée])+SUMIF(Invest[Affectation matrice],$AB$3,Invest[TVA acquittée]))*BD18</f>
        <v>0</v>
      </c>
      <c r="CF18" s="200">
        <f>(SUMIF(Fonctionnement[Affectation matrice],$AB$3,Fonctionnement[TVA acquittée])+SUMIF(Invest[Affectation matrice],$AB$3,Invest[TVA acquittée]))*BE18</f>
        <v>0</v>
      </c>
      <c r="CG18" s="200">
        <f>(SUMIF(Fonctionnement[Affectation matrice],$AB$3,Fonctionnement[TVA acquittée])+SUMIF(Invest[Affectation matrice],$AB$3,Invest[TVA acquittée]))*BF18</f>
        <v>0</v>
      </c>
      <c r="CH18" s="200">
        <f>(SUMIF(Fonctionnement[Affectation matrice],$AB$3,Fonctionnement[TVA acquittée])+SUMIF(Invest[Affectation matrice],$AB$3,Invest[TVA acquittée]))*BG18</f>
        <v>0</v>
      </c>
      <c r="CI18" s="200">
        <f>(SUMIF(Fonctionnement[Affectation matrice],$AB$3,Fonctionnement[TVA acquittée])+SUMIF(Invest[Affectation matrice],$AB$3,Invest[TVA acquittée]))*BH18</f>
        <v>0</v>
      </c>
      <c r="CJ18" s="200">
        <f>(SUMIF(Fonctionnement[Affectation matrice],$AB$3,Fonctionnement[TVA acquittée])+SUMIF(Invest[Affectation matrice],$AB$3,Invest[TVA acquittée]))*BI18</f>
        <v>0</v>
      </c>
      <c r="CK18" s="200">
        <f>(SUMIF(Fonctionnement[Affectation matrice],$AB$3,Fonctionnement[TVA acquittée])+SUMIF(Invest[Affectation matrice],$AB$3,Invest[TVA acquittée]))*BJ18</f>
        <v>0</v>
      </c>
      <c r="CL18" s="200">
        <f>(SUMIF(Fonctionnement[Affectation matrice],$AB$3,Fonctionnement[TVA acquittée])+SUMIF(Invest[Affectation matrice],$AB$3,Invest[TVA acquittée]))*BK18</f>
        <v>0</v>
      </c>
      <c r="CM18" s="200">
        <f>(SUMIF(Fonctionnement[Affectation matrice],$AB$3,Fonctionnement[TVA acquittée])+SUMIF(Invest[Affectation matrice],$AB$3,Invest[TVA acquittée]))*BL18</f>
        <v>0</v>
      </c>
      <c r="CN18" s="200">
        <f>(SUMIF(Fonctionnement[Affectation matrice],$AB$3,Fonctionnement[TVA acquittée])+SUMIF(Invest[Affectation matrice],$AB$3,Invest[TVA acquittée]))*BM18</f>
        <v>0</v>
      </c>
      <c r="CO18" s="200">
        <f>(SUMIF(Fonctionnement[Affectation matrice],$AB$3,Fonctionnement[TVA acquittée])+SUMIF(Invest[Affectation matrice],$AB$3,Invest[TVA acquittée]))*BN18</f>
        <v>0</v>
      </c>
      <c r="CP18" s="200">
        <f>(SUMIF(Fonctionnement[Affectation matrice],$AB$3,Fonctionnement[TVA acquittée])+SUMIF(Invest[Affectation matrice],$AB$3,Invest[TVA acquittée]))*BO18</f>
        <v>0</v>
      </c>
      <c r="CQ18" s="200">
        <f>(SUMIF(Fonctionnement[Affectation matrice],$AB$3,Fonctionnement[TVA acquittée])+SUMIF(Invest[Affectation matrice],$AB$3,Invest[TVA acquittée]))*BP18</f>
        <v>0</v>
      </c>
      <c r="CR18" s="200">
        <f>(SUMIF(Fonctionnement[Affectation matrice],$AB$3,Fonctionnement[TVA acquittée])+SUMIF(Invest[Affectation matrice],$AB$3,Invest[TVA acquittée]))*BQ18</f>
        <v>0</v>
      </c>
      <c r="CS18" s="200">
        <f>(SUMIF(Fonctionnement[Affectation matrice],$AB$3,Fonctionnement[TVA acquittée])+SUMIF(Invest[Affectation matrice],$AB$3,Invest[TVA acquittée]))*BR18</f>
        <v>0</v>
      </c>
      <c r="CT18" s="200">
        <f>(SUMIF(Fonctionnement[Affectation matrice],$AB$3,Fonctionnement[TVA acquittée])+SUMIF(Invest[Affectation matrice],$AB$3,Invest[TVA acquittée]))*BS18</f>
        <v>0</v>
      </c>
      <c r="CU18" s="200">
        <f>(SUMIF(Fonctionnement[Affectation matrice],$AB$3,Fonctionnement[TVA acquittée])+SUMIF(Invest[Affectation matrice],$AB$3,Invest[TVA acquittée]))*BT18</f>
        <v>0</v>
      </c>
      <c r="CV18" s="200">
        <f>(SUMIF(Fonctionnement[Affectation matrice],$AB$3,Fonctionnement[TVA acquittée])+SUMIF(Invest[Affectation matrice],$AB$3,Invest[TVA acquittée]))*BU18</f>
        <v>0</v>
      </c>
      <c r="CW18" s="200">
        <f>(SUMIF(Fonctionnement[Affectation matrice],$AB$3,Fonctionnement[TVA acquittée])+SUMIF(Invest[Affectation matrice],$AB$3,Invest[TVA acquittée]))*BV18</f>
        <v>0</v>
      </c>
      <c r="CX18" s="200">
        <f>(SUMIF(Fonctionnement[Affectation matrice],$AB$3,Fonctionnement[TVA acquittée])+SUMIF(Invest[Affectation matrice],$AB$3,Invest[TVA acquittée]))*BW18</f>
        <v>0</v>
      </c>
      <c r="CY18" s="200">
        <f>(SUMIF(Fonctionnement[Affectation matrice],$AB$3,Fonctionnement[TVA acquittée])+SUMIF(Invest[Affectation matrice],$AB$3,Invest[TVA acquittée]))*BX18</f>
        <v>0</v>
      </c>
      <c r="CZ18" s="200">
        <f>(SUMIF(Fonctionnement[Affectation matrice],$AB$3,Fonctionnement[TVA acquittée])+SUMIF(Invest[Affectation matrice],$AB$3,Invest[TVA acquittée]))*BY18</f>
        <v>0</v>
      </c>
      <c r="DA18" s="200">
        <f>(SUMIF(Fonctionnement[Affectation matrice],$AB$3,Fonctionnement[TVA acquittée])+SUMIF(Invest[Affectation matrice],$AB$3,Invest[TVA acquittée]))*BZ18</f>
        <v>0</v>
      </c>
      <c r="DB18" s="200">
        <f>(SUMIF(Fonctionnement[Affectation matrice],$AB$3,Fonctionnement[TVA acquittée])+SUMIF(Invest[Affectation matrice],$AB$3,Invest[TVA acquittée]))*CA18</f>
        <v>0</v>
      </c>
    </row>
    <row r="19" spans="1:106" ht="12.75" hidden="1" customHeight="1" x14ac:dyDescent="0.25">
      <c r="A19" s="42">
        <f>Matrice[[#This Row],[Ligne de la matrice]]</f>
        <v>0</v>
      </c>
      <c r="B19" s="276">
        <f>(SUMIF(Fonctionnement[Affectation matrice],$AB$3,Fonctionnement[Montant (€HT)])+SUMIF(Invest[Affectation matrice],$AB$3,Invest[Amortissement HT + intérêts]))*BC19</f>
        <v>0</v>
      </c>
      <c r="C19" s="276">
        <f>(SUMIF(Fonctionnement[Affectation matrice],$AB$3,Fonctionnement[Montant (€HT)])+SUMIF(Invest[Affectation matrice],$AB$3,Invest[Amortissement HT + intérêts]))*BD19</f>
        <v>0</v>
      </c>
      <c r="D19" s="276">
        <f>(SUMIF(Fonctionnement[Affectation matrice],$AB$3,Fonctionnement[Montant (€HT)])+SUMIF(Invest[Affectation matrice],$AB$3,Invest[Amortissement HT + intérêts]))*BE19</f>
        <v>0</v>
      </c>
      <c r="E19" s="276">
        <f>(SUMIF(Fonctionnement[Affectation matrice],$AB$3,Fonctionnement[Montant (€HT)])+SUMIF(Invest[Affectation matrice],$AB$3,Invest[Amortissement HT + intérêts]))*BF19</f>
        <v>0</v>
      </c>
      <c r="F19" s="276">
        <f>(SUMIF(Fonctionnement[Affectation matrice],$AB$3,Fonctionnement[Montant (€HT)])+SUMIF(Invest[Affectation matrice],$AB$3,Invest[Amortissement HT + intérêts]))*BG19</f>
        <v>0</v>
      </c>
      <c r="G19" s="276">
        <f>(SUMIF(Fonctionnement[Affectation matrice],$AB$3,Fonctionnement[Montant (€HT)])+SUMIF(Invest[Affectation matrice],$AB$3,Invest[Amortissement HT + intérêts]))*BH19</f>
        <v>0</v>
      </c>
      <c r="H19" s="276">
        <f>(SUMIF(Fonctionnement[Affectation matrice],$AB$3,Fonctionnement[Montant (€HT)])+SUMIF(Invest[Affectation matrice],$AB$3,Invest[Amortissement HT + intérêts]))*BI19</f>
        <v>0</v>
      </c>
      <c r="I19" s="276">
        <f>(SUMIF(Fonctionnement[Affectation matrice],$AB$3,Fonctionnement[Montant (€HT)])+SUMIF(Invest[Affectation matrice],$AB$3,Invest[Amortissement HT + intérêts]))*BJ19</f>
        <v>0</v>
      </c>
      <c r="J19" s="276">
        <f>(SUMIF(Fonctionnement[Affectation matrice],$AB$3,Fonctionnement[Montant (€HT)])+SUMIF(Invest[Affectation matrice],$AB$3,Invest[Amortissement HT + intérêts]))*BK19</f>
        <v>0</v>
      </c>
      <c r="K19" s="276">
        <f>(SUMIF(Fonctionnement[Affectation matrice],$AB$3,Fonctionnement[Montant (€HT)])+SUMIF(Invest[Affectation matrice],$AB$3,Invest[Amortissement HT + intérêts]))*BL19</f>
        <v>0</v>
      </c>
      <c r="L19" s="276">
        <f>(SUMIF(Fonctionnement[Affectation matrice],$AB$3,Fonctionnement[Montant (€HT)])+SUMIF(Invest[Affectation matrice],$AB$3,Invest[Amortissement HT + intérêts]))*BM19</f>
        <v>0</v>
      </c>
      <c r="M19" s="276">
        <f>(SUMIF(Fonctionnement[Affectation matrice],$AB$3,Fonctionnement[Montant (€HT)])+SUMIF(Invest[Affectation matrice],$AB$3,Invest[Amortissement HT + intérêts]))*BN19</f>
        <v>0</v>
      </c>
      <c r="N19" s="276">
        <f>(SUMIF(Fonctionnement[Affectation matrice],$AB$3,Fonctionnement[Montant (€HT)])+SUMIF(Invest[Affectation matrice],$AB$3,Invest[Amortissement HT + intérêts]))*BO19</f>
        <v>0</v>
      </c>
      <c r="O19" s="276">
        <f>(SUMIF(Fonctionnement[Affectation matrice],$AB$3,Fonctionnement[Montant (€HT)])+SUMIF(Invest[Affectation matrice],$AB$3,Invest[Amortissement HT + intérêts]))*BP19</f>
        <v>0</v>
      </c>
      <c r="P19" s="276">
        <f>(SUMIF(Fonctionnement[Affectation matrice],$AB$3,Fonctionnement[Montant (€HT)])+SUMIF(Invest[Affectation matrice],$AB$3,Invest[Amortissement HT + intérêts]))*BQ19</f>
        <v>0</v>
      </c>
      <c r="Q19" s="276">
        <f>(SUMIF(Fonctionnement[Affectation matrice],$AB$3,Fonctionnement[Montant (€HT)])+SUMIF(Invest[Affectation matrice],$AB$3,Invest[Amortissement HT + intérêts]))*BR19</f>
        <v>0</v>
      </c>
      <c r="R19" s="276">
        <f>(SUMIF(Fonctionnement[Affectation matrice],$AB$3,Fonctionnement[Montant (€HT)])+SUMIF(Invest[Affectation matrice],$AB$3,Invest[Amortissement HT + intérêts]))*BS19</f>
        <v>0</v>
      </c>
      <c r="S19" s="276">
        <f>(SUMIF(Fonctionnement[Affectation matrice],$AB$3,Fonctionnement[Montant (€HT)])+SUMIF(Invest[Affectation matrice],$AB$3,Invest[Amortissement HT + intérêts]))*BT19</f>
        <v>0</v>
      </c>
      <c r="T19" s="276">
        <f>(SUMIF(Fonctionnement[Affectation matrice],$AB$3,Fonctionnement[Montant (€HT)])+SUMIF(Invest[Affectation matrice],$AB$3,Invest[Amortissement HT + intérêts]))*BU19</f>
        <v>0</v>
      </c>
      <c r="U19" s="276">
        <f>(SUMIF(Fonctionnement[Affectation matrice],$AB$3,Fonctionnement[Montant (€HT)])+SUMIF(Invest[Affectation matrice],$AB$3,Invest[Amortissement HT + intérêts]))*BV19</f>
        <v>0</v>
      </c>
      <c r="V19" s="276">
        <f>(SUMIF(Fonctionnement[Affectation matrice],$AB$3,Fonctionnement[Montant (€HT)])+SUMIF(Invest[Affectation matrice],$AB$3,Invest[Amortissement HT + intérêts]))*BW19</f>
        <v>0</v>
      </c>
      <c r="W19" s="276">
        <f>(SUMIF(Fonctionnement[Affectation matrice],$AB$3,Fonctionnement[Montant (€HT)])+SUMIF(Invest[Affectation matrice],$AB$3,Invest[Amortissement HT + intérêts]))*BX19</f>
        <v>0</v>
      </c>
      <c r="X19" s="276">
        <f>(SUMIF(Fonctionnement[Affectation matrice],$AB$3,Fonctionnement[Montant (€HT)])+SUMIF(Invest[Affectation matrice],$AB$3,Invest[Amortissement HT + intérêts]))*BY19</f>
        <v>0</v>
      </c>
      <c r="Y19" s="276">
        <f>(SUMIF(Fonctionnement[Affectation matrice],$AB$3,Fonctionnement[Montant (€HT)])+SUMIF(Invest[Affectation matrice],$AB$3,Invest[Amortissement HT + intérêts]))*BZ19</f>
        <v>0</v>
      </c>
      <c r="Z19" s="276">
        <f>(SUMIF(Fonctionnement[Affectation matrice],$AB$3,Fonctionnement[Montant (€HT)])+SUMIF(Invest[Affectation matrice],$AB$3,Invest[Amortissement HT + intérêts]))*CA19</f>
        <v>0</v>
      </c>
      <c r="AA19" s="199"/>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283">
        <f t="shared" si="4"/>
        <v>0</v>
      </c>
      <c r="BC19" s="61">
        <f t="shared" si="2"/>
        <v>0</v>
      </c>
      <c r="BD19" s="61">
        <f t="shared" si="2"/>
        <v>0</v>
      </c>
      <c r="BE19" s="61">
        <f t="shared" si="2"/>
        <v>0</v>
      </c>
      <c r="BF19" s="61">
        <f t="shared" si="2"/>
        <v>0</v>
      </c>
      <c r="BG19" s="61">
        <f t="shared" si="2"/>
        <v>0</v>
      </c>
      <c r="BH19" s="61">
        <f t="shared" si="2"/>
        <v>0</v>
      </c>
      <c r="BI19" s="61">
        <f t="shared" si="2"/>
        <v>0</v>
      </c>
      <c r="BJ19" s="61">
        <f t="shared" si="2"/>
        <v>0</v>
      </c>
      <c r="BK19" s="61">
        <f t="shared" si="2"/>
        <v>0</v>
      </c>
      <c r="BL19" s="61">
        <f t="shared" si="2"/>
        <v>0</v>
      </c>
      <c r="BM19" s="61">
        <f t="shared" si="2"/>
        <v>0</v>
      </c>
      <c r="BN19" s="61">
        <f t="shared" si="2"/>
        <v>0</v>
      </c>
      <c r="BO19" s="61">
        <f t="shared" si="2"/>
        <v>0</v>
      </c>
      <c r="BP19" s="61">
        <f t="shared" si="2"/>
        <v>0</v>
      </c>
      <c r="BQ19" s="61">
        <f t="shared" si="2"/>
        <v>0</v>
      </c>
      <c r="BR19" s="61">
        <f t="shared" si="2"/>
        <v>0</v>
      </c>
      <c r="BS19" s="61">
        <f t="shared" si="3"/>
        <v>0</v>
      </c>
      <c r="BT19" s="61">
        <f t="shared" si="3"/>
        <v>0</v>
      </c>
      <c r="BU19" s="61">
        <f t="shared" si="3"/>
        <v>0</v>
      </c>
      <c r="BV19" s="61">
        <f t="shared" si="3"/>
        <v>0</v>
      </c>
      <c r="BW19" s="61">
        <f t="shared" si="3"/>
        <v>0</v>
      </c>
      <c r="BX19" s="61">
        <f t="shared" si="3"/>
        <v>0</v>
      </c>
      <c r="BY19" s="61">
        <f t="shared" si="3"/>
        <v>0</v>
      </c>
      <c r="BZ19" s="61">
        <f t="shared" si="3"/>
        <v>0</v>
      </c>
      <c r="CA19" s="61">
        <f t="shared" si="3"/>
        <v>0</v>
      </c>
      <c r="CB19" s="61">
        <f t="shared" si="5"/>
        <v>0</v>
      </c>
      <c r="CD19" s="200">
        <f>(SUMIF(Fonctionnement[Affectation matrice],$AB$3,Fonctionnement[TVA acquittée])+SUMIF(Invest[Affectation matrice],$AB$3,Invest[TVA acquittée]))*BC19</f>
        <v>0</v>
      </c>
      <c r="CE19" s="200">
        <f>(SUMIF(Fonctionnement[Affectation matrice],$AB$3,Fonctionnement[TVA acquittée])+SUMIF(Invest[Affectation matrice],$AB$3,Invest[TVA acquittée]))*BD19</f>
        <v>0</v>
      </c>
      <c r="CF19" s="200">
        <f>(SUMIF(Fonctionnement[Affectation matrice],$AB$3,Fonctionnement[TVA acquittée])+SUMIF(Invest[Affectation matrice],$AB$3,Invest[TVA acquittée]))*BE19</f>
        <v>0</v>
      </c>
      <c r="CG19" s="200">
        <f>(SUMIF(Fonctionnement[Affectation matrice],$AB$3,Fonctionnement[TVA acquittée])+SUMIF(Invest[Affectation matrice],$AB$3,Invest[TVA acquittée]))*BF19</f>
        <v>0</v>
      </c>
      <c r="CH19" s="200">
        <f>(SUMIF(Fonctionnement[Affectation matrice],$AB$3,Fonctionnement[TVA acquittée])+SUMIF(Invest[Affectation matrice],$AB$3,Invest[TVA acquittée]))*BG19</f>
        <v>0</v>
      </c>
      <c r="CI19" s="200">
        <f>(SUMIF(Fonctionnement[Affectation matrice],$AB$3,Fonctionnement[TVA acquittée])+SUMIF(Invest[Affectation matrice],$AB$3,Invest[TVA acquittée]))*BH19</f>
        <v>0</v>
      </c>
      <c r="CJ19" s="200">
        <f>(SUMIF(Fonctionnement[Affectation matrice],$AB$3,Fonctionnement[TVA acquittée])+SUMIF(Invest[Affectation matrice],$AB$3,Invest[TVA acquittée]))*BI19</f>
        <v>0</v>
      </c>
      <c r="CK19" s="200">
        <f>(SUMIF(Fonctionnement[Affectation matrice],$AB$3,Fonctionnement[TVA acquittée])+SUMIF(Invest[Affectation matrice],$AB$3,Invest[TVA acquittée]))*BJ19</f>
        <v>0</v>
      </c>
      <c r="CL19" s="200">
        <f>(SUMIF(Fonctionnement[Affectation matrice],$AB$3,Fonctionnement[TVA acquittée])+SUMIF(Invest[Affectation matrice],$AB$3,Invest[TVA acquittée]))*BK19</f>
        <v>0</v>
      </c>
      <c r="CM19" s="200">
        <f>(SUMIF(Fonctionnement[Affectation matrice],$AB$3,Fonctionnement[TVA acquittée])+SUMIF(Invest[Affectation matrice],$AB$3,Invest[TVA acquittée]))*BL19</f>
        <v>0</v>
      </c>
      <c r="CN19" s="200">
        <f>(SUMIF(Fonctionnement[Affectation matrice],$AB$3,Fonctionnement[TVA acquittée])+SUMIF(Invest[Affectation matrice],$AB$3,Invest[TVA acquittée]))*BM19</f>
        <v>0</v>
      </c>
      <c r="CO19" s="200">
        <f>(SUMIF(Fonctionnement[Affectation matrice],$AB$3,Fonctionnement[TVA acquittée])+SUMIF(Invest[Affectation matrice],$AB$3,Invest[TVA acquittée]))*BN19</f>
        <v>0</v>
      </c>
      <c r="CP19" s="200">
        <f>(SUMIF(Fonctionnement[Affectation matrice],$AB$3,Fonctionnement[TVA acquittée])+SUMIF(Invest[Affectation matrice],$AB$3,Invest[TVA acquittée]))*BO19</f>
        <v>0</v>
      </c>
      <c r="CQ19" s="200">
        <f>(SUMIF(Fonctionnement[Affectation matrice],$AB$3,Fonctionnement[TVA acquittée])+SUMIF(Invest[Affectation matrice],$AB$3,Invest[TVA acquittée]))*BP19</f>
        <v>0</v>
      </c>
      <c r="CR19" s="200">
        <f>(SUMIF(Fonctionnement[Affectation matrice],$AB$3,Fonctionnement[TVA acquittée])+SUMIF(Invest[Affectation matrice],$AB$3,Invest[TVA acquittée]))*BQ19</f>
        <v>0</v>
      </c>
      <c r="CS19" s="200">
        <f>(SUMIF(Fonctionnement[Affectation matrice],$AB$3,Fonctionnement[TVA acquittée])+SUMIF(Invest[Affectation matrice],$AB$3,Invest[TVA acquittée]))*BR19</f>
        <v>0</v>
      </c>
      <c r="CT19" s="200">
        <f>(SUMIF(Fonctionnement[Affectation matrice],$AB$3,Fonctionnement[TVA acquittée])+SUMIF(Invest[Affectation matrice],$AB$3,Invest[TVA acquittée]))*BS19</f>
        <v>0</v>
      </c>
      <c r="CU19" s="200">
        <f>(SUMIF(Fonctionnement[Affectation matrice],$AB$3,Fonctionnement[TVA acquittée])+SUMIF(Invest[Affectation matrice],$AB$3,Invest[TVA acquittée]))*BT19</f>
        <v>0</v>
      </c>
      <c r="CV19" s="200">
        <f>(SUMIF(Fonctionnement[Affectation matrice],$AB$3,Fonctionnement[TVA acquittée])+SUMIF(Invest[Affectation matrice],$AB$3,Invest[TVA acquittée]))*BU19</f>
        <v>0</v>
      </c>
      <c r="CW19" s="200">
        <f>(SUMIF(Fonctionnement[Affectation matrice],$AB$3,Fonctionnement[TVA acquittée])+SUMIF(Invest[Affectation matrice],$AB$3,Invest[TVA acquittée]))*BV19</f>
        <v>0</v>
      </c>
      <c r="CX19" s="200">
        <f>(SUMIF(Fonctionnement[Affectation matrice],$AB$3,Fonctionnement[TVA acquittée])+SUMIF(Invest[Affectation matrice],$AB$3,Invest[TVA acquittée]))*BW19</f>
        <v>0</v>
      </c>
      <c r="CY19" s="200">
        <f>(SUMIF(Fonctionnement[Affectation matrice],$AB$3,Fonctionnement[TVA acquittée])+SUMIF(Invest[Affectation matrice],$AB$3,Invest[TVA acquittée]))*BX19</f>
        <v>0</v>
      </c>
      <c r="CZ19" s="200">
        <f>(SUMIF(Fonctionnement[Affectation matrice],$AB$3,Fonctionnement[TVA acquittée])+SUMIF(Invest[Affectation matrice],$AB$3,Invest[TVA acquittée]))*BY19</f>
        <v>0</v>
      </c>
      <c r="DA19" s="200">
        <f>(SUMIF(Fonctionnement[Affectation matrice],$AB$3,Fonctionnement[TVA acquittée])+SUMIF(Invest[Affectation matrice],$AB$3,Invest[TVA acquittée]))*BZ19</f>
        <v>0</v>
      </c>
      <c r="DB19" s="200">
        <f>(SUMIF(Fonctionnement[Affectation matrice],$AB$3,Fonctionnement[TVA acquittée])+SUMIF(Invest[Affectation matrice],$AB$3,Invest[TVA acquittée]))*CA19</f>
        <v>0</v>
      </c>
    </row>
    <row r="20" spans="1:106" ht="12.75" hidden="1" customHeight="1" x14ac:dyDescent="0.25">
      <c r="A20" s="42">
        <f>Matrice[[#This Row],[Ligne de la matrice]]</f>
        <v>0</v>
      </c>
      <c r="B20" s="276">
        <f>(SUMIF(Fonctionnement[Affectation matrice],$AB$3,Fonctionnement[Montant (€HT)])+SUMIF(Invest[Affectation matrice],$AB$3,Invest[Amortissement HT + intérêts]))*BC20</f>
        <v>0</v>
      </c>
      <c r="C20" s="276">
        <f>(SUMIF(Fonctionnement[Affectation matrice],$AB$3,Fonctionnement[Montant (€HT)])+SUMIF(Invest[Affectation matrice],$AB$3,Invest[Amortissement HT + intérêts]))*BD20</f>
        <v>0</v>
      </c>
      <c r="D20" s="276">
        <f>(SUMIF(Fonctionnement[Affectation matrice],$AB$3,Fonctionnement[Montant (€HT)])+SUMIF(Invest[Affectation matrice],$AB$3,Invest[Amortissement HT + intérêts]))*BE20</f>
        <v>0</v>
      </c>
      <c r="E20" s="276">
        <f>(SUMIF(Fonctionnement[Affectation matrice],$AB$3,Fonctionnement[Montant (€HT)])+SUMIF(Invest[Affectation matrice],$AB$3,Invest[Amortissement HT + intérêts]))*BF20</f>
        <v>0</v>
      </c>
      <c r="F20" s="276">
        <f>(SUMIF(Fonctionnement[Affectation matrice],$AB$3,Fonctionnement[Montant (€HT)])+SUMIF(Invest[Affectation matrice],$AB$3,Invest[Amortissement HT + intérêts]))*BG20</f>
        <v>0</v>
      </c>
      <c r="G20" s="276">
        <f>(SUMIF(Fonctionnement[Affectation matrice],$AB$3,Fonctionnement[Montant (€HT)])+SUMIF(Invest[Affectation matrice],$AB$3,Invest[Amortissement HT + intérêts]))*BH20</f>
        <v>0</v>
      </c>
      <c r="H20" s="276">
        <f>(SUMIF(Fonctionnement[Affectation matrice],$AB$3,Fonctionnement[Montant (€HT)])+SUMIF(Invest[Affectation matrice],$AB$3,Invest[Amortissement HT + intérêts]))*BI20</f>
        <v>0</v>
      </c>
      <c r="I20" s="276">
        <f>(SUMIF(Fonctionnement[Affectation matrice],$AB$3,Fonctionnement[Montant (€HT)])+SUMIF(Invest[Affectation matrice],$AB$3,Invest[Amortissement HT + intérêts]))*BJ20</f>
        <v>0</v>
      </c>
      <c r="J20" s="276">
        <f>(SUMIF(Fonctionnement[Affectation matrice],$AB$3,Fonctionnement[Montant (€HT)])+SUMIF(Invest[Affectation matrice],$AB$3,Invest[Amortissement HT + intérêts]))*BK20</f>
        <v>0</v>
      </c>
      <c r="K20" s="276">
        <f>(SUMIF(Fonctionnement[Affectation matrice],$AB$3,Fonctionnement[Montant (€HT)])+SUMIF(Invest[Affectation matrice],$AB$3,Invest[Amortissement HT + intérêts]))*BL20</f>
        <v>0</v>
      </c>
      <c r="L20" s="276">
        <f>(SUMIF(Fonctionnement[Affectation matrice],$AB$3,Fonctionnement[Montant (€HT)])+SUMIF(Invest[Affectation matrice],$AB$3,Invest[Amortissement HT + intérêts]))*BM20</f>
        <v>0</v>
      </c>
      <c r="M20" s="276">
        <f>(SUMIF(Fonctionnement[Affectation matrice],$AB$3,Fonctionnement[Montant (€HT)])+SUMIF(Invest[Affectation matrice],$AB$3,Invest[Amortissement HT + intérêts]))*BN20</f>
        <v>0</v>
      </c>
      <c r="N20" s="276">
        <f>(SUMIF(Fonctionnement[Affectation matrice],$AB$3,Fonctionnement[Montant (€HT)])+SUMIF(Invest[Affectation matrice],$AB$3,Invest[Amortissement HT + intérêts]))*BO20</f>
        <v>0</v>
      </c>
      <c r="O20" s="276">
        <f>(SUMIF(Fonctionnement[Affectation matrice],$AB$3,Fonctionnement[Montant (€HT)])+SUMIF(Invest[Affectation matrice],$AB$3,Invest[Amortissement HT + intérêts]))*BP20</f>
        <v>0</v>
      </c>
      <c r="P20" s="276">
        <f>(SUMIF(Fonctionnement[Affectation matrice],$AB$3,Fonctionnement[Montant (€HT)])+SUMIF(Invest[Affectation matrice],$AB$3,Invest[Amortissement HT + intérêts]))*BQ20</f>
        <v>0</v>
      </c>
      <c r="Q20" s="276">
        <f>(SUMIF(Fonctionnement[Affectation matrice],$AB$3,Fonctionnement[Montant (€HT)])+SUMIF(Invest[Affectation matrice],$AB$3,Invest[Amortissement HT + intérêts]))*BR20</f>
        <v>0</v>
      </c>
      <c r="R20" s="276">
        <f>(SUMIF(Fonctionnement[Affectation matrice],$AB$3,Fonctionnement[Montant (€HT)])+SUMIF(Invest[Affectation matrice],$AB$3,Invest[Amortissement HT + intérêts]))*BS20</f>
        <v>0</v>
      </c>
      <c r="S20" s="276">
        <f>(SUMIF(Fonctionnement[Affectation matrice],$AB$3,Fonctionnement[Montant (€HT)])+SUMIF(Invest[Affectation matrice],$AB$3,Invest[Amortissement HT + intérêts]))*BT20</f>
        <v>0</v>
      </c>
      <c r="T20" s="276">
        <f>(SUMIF(Fonctionnement[Affectation matrice],$AB$3,Fonctionnement[Montant (€HT)])+SUMIF(Invest[Affectation matrice],$AB$3,Invest[Amortissement HT + intérêts]))*BU20</f>
        <v>0</v>
      </c>
      <c r="U20" s="276">
        <f>(SUMIF(Fonctionnement[Affectation matrice],$AB$3,Fonctionnement[Montant (€HT)])+SUMIF(Invest[Affectation matrice],$AB$3,Invest[Amortissement HT + intérêts]))*BV20</f>
        <v>0</v>
      </c>
      <c r="V20" s="276">
        <f>(SUMIF(Fonctionnement[Affectation matrice],$AB$3,Fonctionnement[Montant (€HT)])+SUMIF(Invest[Affectation matrice],$AB$3,Invest[Amortissement HT + intérêts]))*BW20</f>
        <v>0</v>
      </c>
      <c r="W20" s="276">
        <f>(SUMIF(Fonctionnement[Affectation matrice],$AB$3,Fonctionnement[Montant (€HT)])+SUMIF(Invest[Affectation matrice],$AB$3,Invest[Amortissement HT + intérêts]))*BX20</f>
        <v>0</v>
      </c>
      <c r="X20" s="276">
        <f>(SUMIF(Fonctionnement[Affectation matrice],$AB$3,Fonctionnement[Montant (€HT)])+SUMIF(Invest[Affectation matrice],$AB$3,Invest[Amortissement HT + intérêts]))*BY20</f>
        <v>0</v>
      </c>
      <c r="Y20" s="276">
        <f>(SUMIF(Fonctionnement[Affectation matrice],$AB$3,Fonctionnement[Montant (€HT)])+SUMIF(Invest[Affectation matrice],$AB$3,Invest[Amortissement HT + intérêts]))*BZ20</f>
        <v>0</v>
      </c>
      <c r="Z20" s="276">
        <f>(SUMIF(Fonctionnement[Affectation matrice],$AB$3,Fonctionnement[Montant (€HT)])+SUMIF(Invest[Affectation matrice],$AB$3,Invest[Amortissement HT + intérêts]))*CA20</f>
        <v>0</v>
      </c>
      <c r="AA20" s="199"/>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283">
        <f t="shared" si="4"/>
        <v>0</v>
      </c>
      <c r="BC20" s="61">
        <f t="shared" si="2"/>
        <v>0</v>
      </c>
      <c r="BD20" s="61">
        <f t="shared" si="2"/>
        <v>0</v>
      </c>
      <c r="BE20" s="61">
        <f t="shared" si="2"/>
        <v>0</v>
      </c>
      <c r="BF20" s="61">
        <f t="shared" si="2"/>
        <v>0</v>
      </c>
      <c r="BG20" s="61">
        <f t="shared" si="2"/>
        <v>0</v>
      </c>
      <c r="BH20" s="61">
        <f t="shared" si="2"/>
        <v>0</v>
      </c>
      <c r="BI20" s="61">
        <f t="shared" si="2"/>
        <v>0</v>
      </c>
      <c r="BJ20" s="61">
        <f t="shared" si="2"/>
        <v>0</v>
      </c>
      <c r="BK20" s="61">
        <f t="shared" si="2"/>
        <v>0</v>
      </c>
      <c r="BL20" s="61">
        <f t="shared" si="2"/>
        <v>0</v>
      </c>
      <c r="BM20" s="61">
        <f t="shared" si="2"/>
        <v>0</v>
      </c>
      <c r="BN20" s="61">
        <f t="shared" si="2"/>
        <v>0</v>
      </c>
      <c r="BO20" s="61">
        <f t="shared" si="2"/>
        <v>0</v>
      </c>
      <c r="BP20" s="61">
        <f t="shared" si="2"/>
        <v>0</v>
      </c>
      <c r="BQ20" s="61">
        <f t="shared" si="2"/>
        <v>0</v>
      </c>
      <c r="BR20" s="61">
        <f t="shared" ref="BR20:BR22" si="6">IF($BA$53=0,0,AQ20/$BA$53)</f>
        <v>0</v>
      </c>
      <c r="BS20" s="61">
        <f t="shared" si="3"/>
        <v>0</v>
      </c>
      <c r="BT20" s="61">
        <f t="shared" si="3"/>
        <v>0</v>
      </c>
      <c r="BU20" s="61">
        <f t="shared" si="3"/>
        <v>0</v>
      </c>
      <c r="BV20" s="61">
        <f t="shared" si="3"/>
        <v>0</v>
      </c>
      <c r="BW20" s="61">
        <f t="shared" si="3"/>
        <v>0</v>
      </c>
      <c r="BX20" s="61">
        <f t="shared" si="3"/>
        <v>0</v>
      </c>
      <c r="BY20" s="61">
        <f t="shared" si="3"/>
        <v>0</v>
      </c>
      <c r="BZ20" s="61">
        <f t="shared" si="3"/>
        <v>0</v>
      </c>
      <c r="CA20" s="61">
        <f t="shared" si="3"/>
        <v>0</v>
      </c>
      <c r="CB20" s="61">
        <f t="shared" si="5"/>
        <v>0</v>
      </c>
      <c r="CD20" s="200">
        <f>(SUMIF(Fonctionnement[Affectation matrice],$AB$3,Fonctionnement[TVA acquittée])+SUMIF(Invest[Affectation matrice],$AB$3,Invest[TVA acquittée]))*BC20</f>
        <v>0</v>
      </c>
      <c r="CE20" s="200">
        <f>(SUMIF(Fonctionnement[Affectation matrice],$AB$3,Fonctionnement[TVA acquittée])+SUMIF(Invest[Affectation matrice],$AB$3,Invest[TVA acquittée]))*BD20</f>
        <v>0</v>
      </c>
      <c r="CF20" s="200">
        <f>(SUMIF(Fonctionnement[Affectation matrice],$AB$3,Fonctionnement[TVA acquittée])+SUMIF(Invest[Affectation matrice],$AB$3,Invest[TVA acquittée]))*BE20</f>
        <v>0</v>
      </c>
      <c r="CG20" s="200">
        <f>(SUMIF(Fonctionnement[Affectation matrice],$AB$3,Fonctionnement[TVA acquittée])+SUMIF(Invest[Affectation matrice],$AB$3,Invest[TVA acquittée]))*BF20</f>
        <v>0</v>
      </c>
      <c r="CH20" s="200">
        <f>(SUMIF(Fonctionnement[Affectation matrice],$AB$3,Fonctionnement[TVA acquittée])+SUMIF(Invest[Affectation matrice],$AB$3,Invest[TVA acquittée]))*BG20</f>
        <v>0</v>
      </c>
      <c r="CI20" s="200">
        <f>(SUMIF(Fonctionnement[Affectation matrice],$AB$3,Fonctionnement[TVA acquittée])+SUMIF(Invest[Affectation matrice],$AB$3,Invest[TVA acquittée]))*BH20</f>
        <v>0</v>
      </c>
      <c r="CJ20" s="200">
        <f>(SUMIF(Fonctionnement[Affectation matrice],$AB$3,Fonctionnement[TVA acquittée])+SUMIF(Invest[Affectation matrice],$AB$3,Invest[TVA acquittée]))*BI20</f>
        <v>0</v>
      </c>
      <c r="CK20" s="200">
        <f>(SUMIF(Fonctionnement[Affectation matrice],$AB$3,Fonctionnement[TVA acquittée])+SUMIF(Invest[Affectation matrice],$AB$3,Invest[TVA acquittée]))*BJ20</f>
        <v>0</v>
      </c>
      <c r="CL20" s="200">
        <f>(SUMIF(Fonctionnement[Affectation matrice],$AB$3,Fonctionnement[TVA acquittée])+SUMIF(Invest[Affectation matrice],$AB$3,Invest[TVA acquittée]))*BK20</f>
        <v>0</v>
      </c>
      <c r="CM20" s="200">
        <f>(SUMIF(Fonctionnement[Affectation matrice],$AB$3,Fonctionnement[TVA acquittée])+SUMIF(Invest[Affectation matrice],$AB$3,Invest[TVA acquittée]))*BL20</f>
        <v>0</v>
      </c>
      <c r="CN20" s="200">
        <f>(SUMIF(Fonctionnement[Affectation matrice],$AB$3,Fonctionnement[TVA acquittée])+SUMIF(Invest[Affectation matrice],$AB$3,Invest[TVA acquittée]))*BM20</f>
        <v>0</v>
      </c>
      <c r="CO20" s="200">
        <f>(SUMIF(Fonctionnement[Affectation matrice],$AB$3,Fonctionnement[TVA acquittée])+SUMIF(Invest[Affectation matrice],$AB$3,Invest[TVA acquittée]))*BN20</f>
        <v>0</v>
      </c>
      <c r="CP20" s="200">
        <f>(SUMIF(Fonctionnement[Affectation matrice],$AB$3,Fonctionnement[TVA acquittée])+SUMIF(Invest[Affectation matrice],$AB$3,Invest[TVA acquittée]))*BO20</f>
        <v>0</v>
      </c>
      <c r="CQ20" s="200">
        <f>(SUMIF(Fonctionnement[Affectation matrice],$AB$3,Fonctionnement[TVA acquittée])+SUMIF(Invest[Affectation matrice],$AB$3,Invest[TVA acquittée]))*BP20</f>
        <v>0</v>
      </c>
      <c r="CR20" s="200">
        <f>(SUMIF(Fonctionnement[Affectation matrice],$AB$3,Fonctionnement[TVA acquittée])+SUMIF(Invest[Affectation matrice],$AB$3,Invest[TVA acquittée]))*BQ20</f>
        <v>0</v>
      </c>
      <c r="CS20" s="200">
        <f>(SUMIF(Fonctionnement[Affectation matrice],$AB$3,Fonctionnement[TVA acquittée])+SUMIF(Invest[Affectation matrice],$AB$3,Invest[TVA acquittée]))*BR20</f>
        <v>0</v>
      </c>
      <c r="CT20" s="200">
        <f>(SUMIF(Fonctionnement[Affectation matrice],$AB$3,Fonctionnement[TVA acquittée])+SUMIF(Invest[Affectation matrice],$AB$3,Invest[TVA acquittée]))*BS20</f>
        <v>0</v>
      </c>
      <c r="CU20" s="200">
        <f>(SUMIF(Fonctionnement[Affectation matrice],$AB$3,Fonctionnement[TVA acquittée])+SUMIF(Invest[Affectation matrice],$AB$3,Invest[TVA acquittée]))*BT20</f>
        <v>0</v>
      </c>
      <c r="CV20" s="200">
        <f>(SUMIF(Fonctionnement[Affectation matrice],$AB$3,Fonctionnement[TVA acquittée])+SUMIF(Invest[Affectation matrice],$AB$3,Invest[TVA acquittée]))*BU20</f>
        <v>0</v>
      </c>
      <c r="CW20" s="200">
        <f>(SUMIF(Fonctionnement[Affectation matrice],$AB$3,Fonctionnement[TVA acquittée])+SUMIF(Invest[Affectation matrice],$AB$3,Invest[TVA acquittée]))*BV20</f>
        <v>0</v>
      </c>
      <c r="CX20" s="200">
        <f>(SUMIF(Fonctionnement[Affectation matrice],$AB$3,Fonctionnement[TVA acquittée])+SUMIF(Invest[Affectation matrice],$AB$3,Invest[TVA acquittée]))*BW20</f>
        <v>0</v>
      </c>
      <c r="CY20" s="200">
        <f>(SUMIF(Fonctionnement[Affectation matrice],$AB$3,Fonctionnement[TVA acquittée])+SUMIF(Invest[Affectation matrice],$AB$3,Invest[TVA acquittée]))*BX20</f>
        <v>0</v>
      </c>
      <c r="CZ20" s="200">
        <f>(SUMIF(Fonctionnement[Affectation matrice],$AB$3,Fonctionnement[TVA acquittée])+SUMIF(Invest[Affectation matrice],$AB$3,Invest[TVA acquittée]))*BY20</f>
        <v>0</v>
      </c>
      <c r="DA20" s="200">
        <f>(SUMIF(Fonctionnement[Affectation matrice],$AB$3,Fonctionnement[TVA acquittée])+SUMIF(Invest[Affectation matrice],$AB$3,Invest[TVA acquittée]))*BZ20</f>
        <v>0</v>
      </c>
      <c r="DB20" s="200">
        <f>(SUMIF(Fonctionnement[Affectation matrice],$AB$3,Fonctionnement[TVA acquittée])+SUMIF(Invest[Affectation matrice],$AB$3,Invest[TVA acquittée]))*CA20</f>
        <v>0</v>
      </c>
    </row>
    <row r="21" spans="1:106" s="22" customFormat="1" ht="12.75" hidden="1" customHeight="1" x14ac:dyDescent="0.25">
      <c r="A21" s="42">
        <f>Matrice[[#This Row],[Ligne de la matrice]]</f>
        <v>0</v>
      </c>
      <c r="B21" s="276">
        <f>(SUMIF(Fonctionnement[Affectation matrice],$AB$3,Fonctionnement[Montant (€HT)])+SUMIF(Invest[Affectation matrice],$AB$3,Invest[Amortissement HT + intérêts]))*BC21</f>
        <v>0</v>
      </c>
      <c r="C21" s="276">
        <f>(SUMIF(Fonctionnement[Affectation matrice],$AB$3,Fonctionnement[Montant (€HT)])+SUMIF(Invest[Affectation matrice],$AB$3,Invest[Amortissement HT + intérêts]))*BD21</f>
        <v>0</v>
      </c>
      <c r="D21" s="276">
        <f>(SUMIF(Fonctionnement[Affectation matrice],$AB$3,Fonctionnement[Montant (€HT)])+SUMIF(Invest[Affectation matrice],$AB$3,Invest[Amortissement HT + intérêts]))*BE21</f>
        <v>0</v>
      </c>
      <c r="E21" s="276">
        <f>(SUMIF(Fonctionnement[Affectation matrice],$AB$3,Fonctionnement[Montant (€HT)])+SUMIF(Invest[Affectation matrice],$AB$3,Invest[Amortissement HT + intérêts]))*BF21</f>
        <v>0</v>
      </c>
      <c r="F21" s="276">
        <f>(SUMIF(Fonctionnement[Affectation matrice],$AB$3,Fonctionnement[Montant (€HT)])+SUMIF(Invest[Affectation matrice],$AB$3,Invest[Amortissement HT + intérêts]))*BG21</f>
        <v>0</v>
      </c>
      <c r="G21" s="276">
        <f>(SUMIF(Fonctionnement[Affectation matrice],$AB$3,Fonctionnement[Montant (€HT)])+SUMIF(Invest[Affectation matrice],$AB$3,Invest[Amortissement HT + intérêts]))*BH21</f>
        <v>0</v>
      </c>
      <c r="H21" s="276">
        <f>(SUMIF(Fonctionnement[Affectation matrice],$AB$3,Fonctionnement[Montant (€HT)])+SUMIF(Invest[Affectation matrice],$AB$3,Invest[Amortissement HT + intérêts]))*BI21</f>
        <v>0</v>
      </c>
      <c r="I21" s="276">
        <f>(SUMIF(Fonctionnement[Affectation matrice],$AB$3,Fonctionnement[Montant (€HT)])+SUMIF(Invest[Affectation matrice],$AB$3,Invest[Amortissement HT + intérêts]))*BJ21</f>
        <v>0</v>
      </c>
      <c r="J21" s="276">
        <f>(SUMIF(Fonctionnement[Affectation matrice],$AB$3,Fonctionnement[Montant (€HT)])+SUMIF(Invest[Affectation matrice],$AB$3,Invest[Amortissement HT + intérêts]))*BK21</f>
        <v>0</v>
      </c>
      <c r="K21" s="276">
        <f>(SUMIF(Fonctionnement[Affectation matrice],$AB$3,Fonctionnement[Montant (€HT)])+SUMIF(Invest[Affectation matrice],$AB$3,Invest[Amortissement HT + intérêts]))*BL21</f>
        <v>0</v>
      </c>
      <c r="L21" s="276">
        <f>(SUMIF(Fonctionnement[Affectation matrice],$AB$3,Fonctionnement[Montant (€HT)])+SUMIF(Invest[Affectation matrice],$AB$3,Invest[Amortissement HT + intérêts]))*BM21</f>
        <v>0</v>
      </c>
      <c r="M21" s="276">
        <f>(SUMIF(Fonctionnement[Affectation matrice],$AB$3,Fonctionnement[Montant (€HT)])+SUMIF(Invest[Affectation matrice],$AB$3,Invest[Amortissement HT + intérêts]))*BN21</f>
        <v>0</v>
      </c>
      <c r="N21" s="276">
        <f>(SUMIF(Fonctionnement[Affectation matrice],$AB$3,Fonctionnement[Montant (€HT)])+SUMIF(Invest[Affectation matrice],$AB$3,Invest[Amortissement HT + intérêts]))*BO21</f>
        <v>0</v>
      </c>
      <c r="O21" s="276">
        <f>(SUMIF(Fonctionnement[Affectation matrice],$AB$3,Fonctionnement[Montant (€HT)])+SUMIF(Invest[Affectation matrice],$AB$3,Invest[Amortissement HT + intérêts]))*BP21</f>
        <v>0</v>
      </c>
      <c r="P21" s="276">
        <f>(SUMIF(Fonctionnement[Affectation matrice],$AB$3,Fonctionnement[Montant (€HT)])+SUMIF(Invest[Affectation matrice],$AB$3,Invest[Amortissement HT + intérêts]))*BQ21</f>
        <v>0</v>
      </c>
      <c r="Q21" s="276">
        <f>(SUMIF(Fonctionnement[Affectation matrice],$AB$3,Fonctionnement[Montant (€HT)])+SUMIF(Invest[Affectation matrice],$AB$3,Invest[Amortissement HT + intérêts]))*BR21</f>
        <v>0</v>
      </c>
      <c r="R21" s="276">
        <f>(SUMIF(Fonctionnement[Affectation matrice],$AB$3,Fonctionnement[Montant (€HT)])+SUMIF(Invest[Affectation matrice],$AB$3,Invest[Amortissement HT + intérêts]))*BS21</f>
        <v>0</v>
      </c>
      <c r="S21" s="276">
        <f>(SUMIF(Fonctionnement[Affectation matrice],$AB$3,Fonctionnement[Montant (€HT)])+SUMIF(Invest[Affectation matrice],$AB$3,Invest[Amortissement HT + intérêts]))*BT21</f>
        <v>0</v>
      </c>
      <c r="T21" s="276">
        <f>(SUMIF(Fonctionnement[Affectation matrice],$AB$3,Fonctionnement[Montant (€HT)])+SUMIF(Invest[Affectation matrice],$AB$3,Invest[Amortissement HT + intérêts]))*BU21</f>
        <v>0</v>
      </c>
      <c r="U21" s="276">
        <f>(SUMIF(Fonctionnement[Affectation matrice],$AB$3,Fonctionnement[Montant (€HT)])+SUMIF(Invest[Affectation matrice],$AB$3,Invest[Amortissement HT + intérêts]))*BV21</f>
        <v>0</v>
      </c>
      <c r="V21" s="276">
        <f>(SUMIF(Fonctionnement[Affectation matrice],$AB$3,Fonctionnement[Montant (€HT)])+SUMIF(Invest[Affectation matrice],$AB$3,Invest[Amortissement HT + intérêts]))*BW21</f>
        <v>0</v>
      </c>
      <c r="W21" s="276">
        <f>(SUMIF(Fonctionnement[Affectation matrice],$AB$3,Fonctionnement[Montant (€HT)])+SUMIF(Invest[Affectation matrice],$AB$3,Invest[Amortissement HT + intérêts]))*BX21</f>
        <v>0</v>
      </c>
      <c r="X21" s="276">
        <f>(SUMIF(Fonctionnement[Affectation matrice],$AB$3,Fonctionnement[Montant (€HT)])+SUMIF(Invest[Affectation matrice],$AB$3,Invest[Amortissement HT + intérêts]))*BY21</f>
        <v>0</v>
      </c>
      <c r="Y21" s="276">
        <f>(SUMIF(Fonctionnement[Affectation matrice],$AB$3,Fonctionnement[Montant (€HT)])+SUMIF(Invest[Affectation matrice],$AB$3,Invest[Amortissement HT + intérêts]))*BZ21</f>
        <v>0</v>
      </c>
      <c r="Z21" s="276">
        <f>(SUMIF(Fonctionnement[Affectation matrice],$AB$3,Fonctionnement[Montant (€HT)])+SUMIF(Invest[Affectation matrice],$AB$3,Invest[Amortissement HT + intérêts]))*CA21</f>
        <v>0</v>
      </c>
      <c r="AA21" s="199"/>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283">
        <f t="shared" si="4"/>
        <v>0</v>
      </c>
      <c r="BB21" s="7"/>
      <c r="BC21" s="61">
        <f t="shared" ref="BC21:BQ22" si="7">IF($BA$53=0,0,AB21/$BA$53)</f>
        <v>0</v>
      </c>
      <c r="BD21" s="61">
        <f t="shared" si="7"/>
        <v>0</v>
      </c>
      <c r="BE21" s="61">
        <f t="shared" si="7"/>
        <v>0</v>
      </c>
      <c r="BF21" s="61">
        <f t="shared" si="7"/>
        <v>0</v>
      </c>
      <c r="BG21" s="61">
        <f t="shared" si="7"/>
        <v>0</v>
      </c>
      <c r="BH21" s="61">
        <f t="shared" si="7"/>
        <v>0</v>
      </c>
      <c r="BI21" s="61">
        <f t="shared" si="7"/>
        <v>0</v>
      </c>
      <c r="BJ21" s="61">
        <f t="shared" si="7"/>
        <v>0</v>
      </c>
      <c r="BK21" s="61">
        <f t="shared" si="7"/>
        <v>0</v>
      </c>
      <c r="BL21" s="61">
        <f t="shared" si="7"/>
        <v>0</v>
      </c>
      <c r="BM21" s="61">
        <f t="shared" si="7"/>
        <v>0</v>
      </c>
      <c r="BN21" s="61">
        <f t="shared" si="7"/>
        <v>0</v>
      </c>
      <c r="BO21" s="61">
        <f t="shared" si="7"/>
        <v>0</v>
      </c>
      <c r="BP21" s="61">
        <f t="shared" si="7"/>
        <v>0</v>
      </c>
      <c r="BQ21" s="61">
        <f t="shared" si="7"/>
        <v>0</v>
      </c>
      <c r="BR21" s="61">
        <f t="shared" si="6"/>
        <v>0</v>
      </c>
      <c r="BS21" s="61">
        <f t="shared" si="3"/>
        <v>0</v>
      </c>
      <c r="BT21" s="61">
        <f t="shared" si="3"/>
        <v>0</v>
      </c>
      <c r="BU21" s="61">
        <f t="shared" si="3"/>
        <v>0</v>
      </c>
      <c r="BV21" s="61">
        <f t="shared" si="3"/>
        <v>0</v>
      </c>
      <c r="BW21" s="61">
        <f t="shared" si="3"/>
        <v>0</v>
      </c>
      <c r="BX21" s="61">
        <f t="shared" si="3"/>
        <v>0</v>
      </c>
      <c r="BY21" s="61">
        <f t="shared" si="3"/>
        <v>0</v>
      </c>
      <c r="BZ21" s="61">
        <f t="shared" si="3"/>
        <v>0</v>
      </c>
      <c r="CA21" s="61">
        <f t="shared" si="3"/>
        <v>0</v>
      </c>
      <c r="CB21" s="61">
        <f t="shared" si="5"/>
        <v>0</v>
      </c>
      <c r="CD21" s="200">
        <f>(SUMIF(Fonctionnement[Affectation matrice],$AB$3,Fonctionnement[TVA acquittée])+SUMIF(Invest[Affectation matrice],$AB$3,Invest[TVA acquittée]))*BC21</f>
        <v>0</v>
      </c>
      <c r="CE21" s="200">
        <f>(SUMIF(Fonctionnement[Affectation matrice],$AB$3,Fonctionnement[TVA acquittée])+SUMIF(Invest[Affectation matrice],$AB$3,Invest[TVA acquittée]))*BD21</f>
        <v>0</v>
      </c>
      <c r="CF21" s="200">
        <f>(SUMIF(Fonctionnement[Affectation matrice],$AB$3,Fonctionnement[TVA acquittée])+SUMIF(Invest[Affectation matrice],$AB$3,Invest[TVA acquittée]))*BE21</f>
        <v>0</v>
      </c>
      <c r="CG21" s="200">
        <f>(SUMIF(Fonctionnement[Affectation matrice],$AB$3,Fonctionnement[TVA acquittée])+SUMIF(Invest[Affectation matrice],$AB$3,Invest[TVA acquittée]))*BF21</f>
        <v>0</v>
      </c>
      <c r="CH21" s="200">
        <f>(SUMIF(Fonctionnement[Affectation matrice],$AB$3,Fonctionnement[TVA acquittée])+SUMIF(Invest[Affectation matrice],$AB$3,Invest[TVA acquittée]))*BG21</f>
        <v>0</v>
      </c>
      <c r="CI21" s="200">
        <f>(SUMIF(Fonctionnement[Affectation matrice],$AB$3,Fonctionnement[TVA acquittée])+SUMIF(Invest[Affectation matrice],$AB$3,Invest[TVA acquittée]))*BH21</f>
        <v>0</v>
      </c>
      <c r="CJ21" s="200">
        <f>(SUMIF(Fonctionnement[Affectation matrice],$AB$3,Fonctionnement[TVA acquittée])+SUMIF(Invest[Affectation matrice],$AB$3,Invest[TVA acquittée]))*BI21</f>
        <v>0</v>
      </c>
      <c r="CK21" s="200">
        <f>(SUMIF(Fonctionnement[Affectation matrice],$AB$3,Fonctionnement[TVA acquittée])+SUMIF(Invest[Affectation matrice],$AB$3,Invest[TVA acquittée]))*BJ21</f>
        <v>0</v>
      </c>
      <c r="CL21" s="200">
        <f>(SUMIF(Fonctionnement[Affectation matrice],$AB$3,Fonctionnement[TVA acquittée])+SUMIF(Invest[Affectation matrice],$AB$3,Invest[TVA acquittée]))*BK21</f>
        <v>0</v>
      </c>
      <c r="CM21" s="200">
        <f>(SUMIF(Fonctionnement[Affectation matrice],$AB$3,Fonctionnement[TVA acquittée])+SUMIF(Invest[Affectation matrice],$AB$3,Invest[TVA acquittée]))*BL21</f>
        <v>0</v>
      </c>
      <c r="CN21" s="200">
        <f>(SUMIF(Fonctionnement[Affectation matrice],$AB$3,Fonctionnement[TVA acquittée])+SUMIF(Invest[Affectation matrice],$AB$3,Invest[TVA acquittée]))*BM21</f>
        <v>0</v>
      </c>
      <c r="CO21" s="200">
        <f>(SUMIF(Fonctionnement[Affectation matrice],$AB$3,Fonctionnement[TVA acquittée])+SUMIF(Invest[Affectation matrice],$AB$3,Invest[TVA acquittée]))*BN21</f>
        <v>0</v>
      </c>
      <c r="CP21" s="200">
        <f>(SUMIF(Fonctionnement[Affectation matrice],$AB$3,Fonctionnement[TVA acquittée])+SUMIF(Invest[Affectation matrice],$AB$3,Invest[TVA acquittée]))*BO21</f>
        <v>0</v>
      </c>
      <c r="CQ21" s="200">
        <f>(SUMIF(Fonctionnement[Affectation matrice],$AB$3,Fonctionnement[TVA acquittée])+SUMIF(Invest[Affectation matrice],$AB$3,Invest[TVA acquittée]))*BP21</f>
        <v>0</v>
      </c>
      <c r="CR21" s="200">
        <f>(SUMIF(Fonctionnement[Affectation matrice],$AB$3,Fonctionnement[TVA acquittée])+SUMIF(Invest[Affectation matrice],$AB$3,Invest[TVA acquittée]))*BQ21</f>
        <v>0</v>
      </c>
      <c r="CS21" s="200">
        <f>(SUMIF(Fonctionnement[Affectation matrice],$AB$3,Fonctionnement[TVA acquittée])+SUMIF(Invest[Affectation matrice],$AB$3,Invest[TVA acquittée]))*BR21</f>
        <v>0</v>
      </c>
      <c r="CT21" s="200">
        <f>(SUMIF(Fonctionnement[Affectation matrice],$AB$3,Fonctionnement[TVA acquittée])+SUMIF(Invest[Affectation matrice],$AB$3,Invest[TVA acquittée]))*BS21</f>
        <v>0</v>
      </c>
      <c r="CU21" s="200">
        <f>(SUMIF(Fonctionnement[Affectation matrice],$AB$3,Fonctionnement[TVA acquittée])+SUMIF(Invest[Affectation matrice],$AB$3,Invest[TVA acquittée]))*BT21</f>
        <v>0</v>
      </c>
      <c r="CV21" s="200">
        <f>(SUMIF(Fonctionnement[Affectation matrice],$AB$3,Fonctionnement[TVA acquittée])+SUMIF(Invest[Affectation matrice],$AB$3,Invest[TVA acquittée]))*BU21</f>
        <v>0</v>
      </c>
      <c r="CW21" s="200">
        <f>(SUMIF(Fonctionnement[Affectation matrice],$AB$3,Fonctionnement[TVA acquittée])+SUMIF(Invest[Affectation matrice],$AB$3,Invest[TVA acquittée]))*BV21</f>
        <v>0</v>
      </c>
      <c r="CX21" s="200">
        <f>(SUMIF(Fonctionnement[Affectation matrice],$AB$3,Fonctionnement[TVA acquittée])+SUMIF(Invest[Affectation matrice],$AB$3,Invest[TVA acquittée]))*BW21</f>
        <v>0</v>
      </c>
      <c r="CY21" s="200">
        <f>(SUMIF(Fonctionnement[Affectation matrice],$AB$3,Fonctionnement[TVA acquittée])+SUMIF(Invest[Affectation matrice],$AB$3,Invest[TVA acquittée]))*BX21</f>
        <v>0</v>
      </c>
      <c r="CZ21" s="200">
        <f>(SUMIF(Fonctionnement[Affectation matrice],$AB$3,Fonctionnement[TVA acquittée])+SUMIF(Invest[Affectation matrice],$AB$3,Invest[TVA acquittée]))*BY21</f>
        <v>0</v>
      </c>
      <c r="DA21" s="200">
        <f>(SUMIF(Fonctionnement[Affectation matrice],$AB$3,Fonctionnement[TVA acquittée])+SUMIF(Invest[Affectation matrice],$AB$3,Invest[TVA acquittée]))*BZ21</f>
        <v>0</v>
      </c>
      <c r="DB21" s="200">
        <f>(SUMIF(Fonctionnement[Affectation matrice],$AB$3,Fonctionnement[TVA acquittée])+SUMIF(Invest[Affectation matrice],$AB$3,Invest[TVA acquittée]))*CA21</f>
        <v>0</v>
      </c>
    </row>
    <row r="22" spans="1:106" s="22" customFormat="1" ht="12.75" hidden="1" customHeight="1" x14ac:dyDescent="0.25">
      <c r="A22" s="42">
        <f>Matrice[[#This Row],[Ligne de la matrice]]</f>
        <v>0</v>
      </c>
      <c r="B22" s="276">
        <f>(SUMIF(Fonctionnement[Affectation matrice],$AB$3,Fonctionnement[Montant (€HT)])+SUMIF(Invest[Affectation matrice],$AB$3,Invest[Amortissement HT + intérêts]))*BC22</f>
        <v>0</v>
      </c>
      <c r="C22" s="276">
        <f>(SUMIF(Fonctionnement[Affectation matrice],$AB$3,Fonctionnement[Montant (€HT)])+SUMIF(Invest[Affectation matrice],$AB$3,Invest[Amortissement HT + intérêts]))*BD22</f>
        <v>0</v>
      </c>
      <c r="D22" s="276">
        <f>(SUMIF(Fonctionnement[Affectation matrice],$AB$3,Fonctionnement[Montant (€HT)])+SUMIF(Invest[Affectation matrice],$AB$3,Invest[Amortissement HT + intérêts]))*BE22</f>
        <v>0</v>
      </c>
      <c r="E22" s="276">
        <f>(SUMIF(Fonctionnement[Affectation matrice],$AB$3,Fonctionnement[Montant (€HT)])+SUMIF(Invest[Affectation matrice],$AB$3,Invest[Amortissement HT + intérêts]))*BF22</f>
        <v>0</v>
      </c>
      <c r="F22" s="276">
        <f>(SUMIF(Fonctionnement[Affectation matrice],$AB$3,Fonctionnement[Montant (€HT)])+SUMIF(Invest[Affectation matrice],$AB$3,Invest[Amortissement HT + intérêts]))*BG22</f>
        <v>0</v>
      </c>
      <c r="G22" s="276">
        <f>(SUMIF(Fonctionnement[Affectation matrice],$AB$3,Fonctionnement[Montant (€HT)])+SUMIF(Invest[Affectation matrice],$AB$3,Invest[Amortissement HT + intérêts]))*BH22</f>
        <v>0</v>
      </c>
      <c r="H22" s="276">
        <f>(SUMIF(Fonctionnement[Affectation matrice],$AB$3,Fonctionnement[Montant (€HT)])+SUMIF(Invest[Affectation matrice],$AB$3,Invest[Amortissement HT + intérêts]))*BI22</f>
        <v>0</v>
      </c>
      <c r="I22" s="276">
        <f>(SUMIF(Fonctionnement[Affectation matrice],$AB$3,Fonctionnement[Montant (€HT)])+SUMIF(Invest[Affectation matrice],$AB$3,Invest[Amortissement HT + intérêts]))*BJ22</f>
        <v>0</v>
      </c>
      <c r="J22" s="276">
        <f>(SUMIF(Fonctionnement[Affectation matrice],$AB$3,Fonctionnement[Montant (€HT)])+SUMIF(Invest[Affectation matrice],$AB$3,Invest[Amortissement HT + intérêts]))*BK22</f>
        <v>0</v>
      </c>
      <c r="K22" s="276">
        <f>(SUMIF(Fonctionnement[Affectation matrice],$AB$3,Fonctionnement[Montant (€HT)])+SUMIF(Invest[Affectation matrice],$AB$3,Invest[Amortissement HT + intérêts]))*BL22</f>
        <v>0</v>
      </c>
      <c r="L22" s="276">
        <f>(SUMIF(Fonctionnement[Affectation matrice],$AB$3,Fonctionnement[Montant (€HT)])+SUMIF(Invest[Affectation matrice],$AB$3,Invest[Amortissement HT + intérêts]))*BM22</f>
        <v>0</v>
      </c>
      <c r="M22" s="276">
        <f>(SUMIF(Fonctionnement[Affectation matrice],$AB$3,Fonctionnement[Montant (€HT)])+SUMIF(Invest[Affectation matrice],$AB$3,Invest[Amortissement HT + intérêts]))*BN22</f>
        <v>0</v>
      </c>
      <c r="N22" s="276">
        <f>(SUMIF(Fonctionnement[Affectation matrice],$AB$3,Fonctionnement[Montant (€HT)])+SUMIF(Invest[Affectation matrice],$AB$3,Invest[Amortissement HT + intérêts]))*BO22</f>
        <v>0</v>
      </c>
      <c r="O22" s="276">
        <f>(SUMIF(Fonctionnement[Affectation matrice],$AB$3,Fonctionnement[Montant (€HT)])+SUMIF(Invest[Affectation matrice],$AB$3,Invest[Amortissement HT + intérêts]))*BP22</f>
        <v>0</v>
      </c>
      <c r="P22" s="276">
        <f>(SUMIF(Fonctionnement[Affectation matrice],$AB$3,Fonctionnement[Montant (€HT)])+SUMIF(Invest[Affectation matrice],$AB$3,Invest[Amortissement HT + intérêts]))*BQ22</f>
        <v>0</v>
      </c>
      <c r="Q22" s="276">
        <f>(SUMIF(Fonctionnement[Affectation matrice],$AB$3,Fonctionnement[Montant (€HT)])+SUMIF(Invest[Affectation matrice],$AB$3,Invest[Amortissement HT + intérêts]))*BR22</f>
        <v>0</v>
      </c>
      <c r="R22" s="276">
        <f>(SUMIF(Fonctionnement[Affectation matrice],$AB$3,Fonctionnement[Montant (€HT)])+SUMIF(Invest[Affectation matrice],$AB$3,Invest[Amortissement HT + intérêts]))*BS22</f>
        <v>0</v>
      </c>
      <c r="S22" s="276">
        <f>(SUMIF(Fonctionnement[Affectation matrice],$AB$3,Fonctionnement[Montant (€HT)])+SUMIF(Invest[Affectation matrice],$AB$3,Invest[Amortissement HT + intérêts]))*BT22</f>
        <v>0</v>
      </c>
      <c r="T22" s="276">
        <f>(SUMIF(Fonctionnement[Affectation matrice],$AB$3,Fonctionnement[Montant (€HT)])+SUMIF(Invest[Affectation matrice],$AB$3,Invest[Amortissement HT + intérêts]))*BU22</f>
        <v>0</v>
      </c>
      <c r="U22" s="276">
        <f>(SUMIF(Fonctionnement[Affectation matrice],$AB$3,Fonctionnement[Montant (€HT)])+SUMIF(Invest[Affectation matrice],$AB$3,Invest[Amortissement HT + intérêts]))*BV22</f>
        <v>0</v>
      </c>
      <c r="V22" s="276">
        <f>(SUMIF(Fonctionnement[Affectation matrice],$AB$3,Fonctionnement[Montant (€HT)])+SUMIF(Invest[Affectation matrice],$AB$3,Invest[Amortissement HT + intérêts]))*BW22</f>
        <v>0</v>
      </c>
      <c r="W22" s="276">
        <f>(SUMIF(Fonctionnement[Affectation matrice],$AB$3,Fonctionnement[Montant (€HT)])+SUMIF(Invest[Affectation matrice],$AB$3,Invest[Amortissement HT + intérêts]))*BX22</f>
        <v>0</v>
      </c>
      <c r="X22" s="276">
        <f>(SUMIF(Fonctionnement[Affectation matrice],$AB$3,Fonctionnement[Montant (€HT)])+SUMIF(Invest[Affectation matrice],$AB$3,Invest[Amortissement HT + intérêts]))*BY22</f>
        <v>0</v>
      </c>
      <c r="Y22" s="276">
        <f>(SUMIF(Fonctionnement[Affectation matrice],$AB$3,Fonctionnement[Montant (€HT)])+SUMIF(Invest[Affectation matrice],$AB$3,Invest[Amortissement HT + intérêts]))*BZ22</f>
        <v>0</v>
      </c>
      <c r="Z22" s="276">
        <f>(SUMIF(Fonctionnement[Affectation matrice],$AB$3,Fonctionnement[Montant (€HT)])+SUMIF(Invest[Affectation matrice],$AB$3,Invest[Amortissement HT + intérêts]))*CA22</f>
        <v>0</v>
      </c>
      <c r="AA22" s="199"/>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283">
        <f t="shared" si="4"/>
        <v>0</v>
      </c>
      <c r="BB22" s="7"/>
      <c r="BC22" s="61">
        <f t="shared" si="7"/>
        <v>0</v>
      </c>
      <c r="BD22" s="61">
        <f t="shared" si="7"/>
        <v>0</v>
      </c>
      <c r="BE22" s="61">
        <f t="shared" si="7"/>
        <v>0</v>
      </c>
      <c r="BF22" s="61">
        <f t="shared" si="7"/>
        <v>0</v>
      </c>
      <c r="BG22" s="61">
        <f t="shared" si="7"/>
        <v>0</v>
      </c>
      <c r="BH22" s="61">
        <f t="shared" si="7"/>
        <v>0</v>
      </c>
      <c r="BI22" s="61">
        <f t="shared" si="7"/>
        <v>0</v>
      </c>
      <c r="BJ22" s="61">
        <f t="shared" si="7"/>
        <v>0</v>
      </c>
      <c r="BK22" s="61">
        <f t="shared" si="7"/>
        <v>0</v>
      </c>
      <c r="BL22" s="61">
        <f t="shared" si="7"/>
        <v>0</v>
      </c>
      <c r="BM22" s="61">
        <f t="shared" si="7"/>
        <v>0</v>
      </c>
      <c r="BN22" s="61">
        <f t="shared" si="7"/>
        <v>0</v>
      </c>
      <c r="BO22" s="61">
        <f t="shared" si="7"/>
        <v>0</v>
      </c>
      <c r="BP22" s="61">
        <f t="shared" si="7"/>
        <v>0</v>
      </c>
      <c r="BQ22" s="61">
        <f t="shared" si="7"/>
        <v>0</v>
      </c>
      <c r="BR22" s="61">
        <f t="shared" si="6"/>
        <v>0</v>
      </c>
      <c r="BS22" s="61">
        <f t="shared" si="3"/>
        <v>0</v>
      </c>
      <c r="BT22" s="61">
        <f t="shared" si="3"/>
        <v>0</v>
      </c>
      <c r="BU22" s="61">
        <f t="shared" si="3"/>
        <v>0</v>
      </c>
      <c r="BV22" s="61">
        <f t="shared" si="3"/>
        <v>0</v>
      </c>
      <c r="BW22" s="61">
        <f t="shared" si="3"/>
        <v>0</v>
      </c>
      <c r="BX22" s="61">
        <f t="shared" si="3"/>
        <v>0</v>
      </c>
      <c r="BY22" s="61">
        <f t="shared" si="3"/>
        <v>0</v>
      </c>
      <c r="BZ22" s="61">
        <f t="shared" si="3"/>
        <v>0</v>
      </c>
      <c r="CA22" s="61">
        <f t="shared" si="3"/>
        <v>0</v>
      </c>
      <c r="CB22" s="61">
        <f t="shared" si="5"/>
        <v>0</v>
      </c>
      <c r="CD22" s="200">
        <f>(SUMIF(Fonctionnement[Affectation matrice],$AB$3,Fonctionnement[TVA acquittée])+SUMIF(Invest[Affectation matrice],$AB$3,Invest[TVA acquittée]))*BC22</f>
        <v>0</v>
      </c>
      <c r="CE22" s="200">
        <f>(SUMIF(Fonctionnement[Affectation matrice],$AB$3,Fonctionnement[TVA acquittée])+SUMIF(Invest[Affectation matrice],$AB$3,Invest[TVA acquittée]))*BD22</f>
        <v>0</v>
      </c>
      <c r="CF22" s="200">
        <f>(SUMIF(Fonctionnement[Affectation matrice],$AB$3,Fonctionnement[TVA acquittée])+SUMIF(Invest[Affectation matrice],$AB$3,Invest[TVA acquittée]))*BE22</f>
        <v>0</v>
      </c>
      <c r="CG22" s="200">
        <f>(SUMIF(Fonctionnement[Affectation matrice],$AB$3,Fonctionnement[TVA acquittée])+SUMIF(Invest[Affectation matrice],$AB$3,Invest[TVA acquittée]))*BF22</f>
        <v>0</v>
      </c>
      <c r="CH22" s="200">
        <f>(SUMIF(Fonctionnement[Affectation matrice],$AB$3,Fonctionnement[TVA acquittée])+SUMIF(Invest[Affectation matrice],$AB$3,Invest[TVA acquittée]))*BG22</f>
        <v>0</v>
      </c>
      <c r="CI22" s="200">
        <f>(SUMIF(Fonctionnement[Affectation matrice],$AB$3,Fonctionnement[TVA acquittée])+SUMIF(Invest[Affectation matrice],$AB$3,Invest[TVA acquittée]))*BH22</f>
        <v>0</v>
      </c>
      <c r="CJ22" s="200">
        <f>(SUMIF(Fonctionnement[Affectation matrice],$AB$3,Fonctionnement[TVA acquittée])+SUMIF(Invest[Affectation matrice],$AB$3,Invest[TVA acquittée]))*BI22</f>
        <v>0</v>
      </c>
      <c r="CK22" s="200">
        <f>(SUMIF(Fonctionnement[Affectation matrice],$AB$3,Fonctionnement[TVA acquittée])+SUMIF(Invest[Affectation matrice],$AB$3,Invest[TVA acquittée]))*BJ22</f>
        <v>0</v>
      </c>
      <c r="CL22" s="200">
        <f>(SUMIF(Fonctionnement[Affectation matrice],$AB$3,Fonctionnement[TVA acquittée])+SUMIF(Invest[Affectation matrice],$AB$3,Invest[TVA acquittée]))*BK22</f>
        <v>0</v>
      </c>
      <c r="CM22" s="200">
        <f>(SUMIF(Fonctionnement[Affectation matrice],$AB$3,Fonctionnement[TVA acquittée])+SUMIF(Invest[Affectation matrice],$AB$3,Invest[TVA acquittée]))*BL22</f>
        <v>0</v>
      </c>
      <c r="CN22" s="200">
        <f>(SUMIF(Fonctionnement[Affectation matrice],$AB$3,Fonctionnement[TVA acquittée])+SUMIF(Invest[Affectation matrice],$AB$3,Invest[TVA acquittée]))*BM22</f>
        <v>0</v>
      </c>
      <c r="CO22" s="200">
        <f>(SUMIF(Fonctionnement[Affectation matrice],$AB$3,Fonctionnement[TVA acquittée])+SUMIF(Invest[Affectation matrice],$AB$3,Invest[TVA acquittée]))*BN22</f>
        <v>0</v>
      </c>
      <c r="CP22" s="200">
        <f>(SUMIF(Fonctionnement[Affectation matrice],$AB$3,Fonctionnement[TVA acquittée])+SUMIF(Invest[Affectation matrice],$AB$3,Invest[TVA acquittée]))*BO22</f>
        <v>0</v>
      </c>
      <c r="CQ22" s="200">
        <f>(SUMIF(Fonctionnement[Affectation matrice],$AB$3,Fonctionnement[TVA acquittée])+SUMIF(Invest[Affectation matrice],$AB$3,Invest[TVA acquittée]))*BP22</f>
        <v>0</v>
      </c>
      <c r="CR22" s="200">
        <f>(SUMIF(Fonctionnement[Affectation matrice],$AB$3,Fonctionnement[TVA acquittée])+SUMIF(Invest[Affectation matrice],$AB$3,Invest[TVA acquittée]))*BQ22</f>
        <v>0</v>
      </c>
      <c r="CS22" s="200">
        <f>(SUMIF(Fonctionnement[Affectation matrice],$AB$3,Fonctionnement[TVA acquittée])+SUMIF(Invest[Affectation matrice],$AB$3,Invest[TVA acquittée]))*BR22</f>
        <v>0</v>
      </c>
      <c r="CT22" s="200">
        <f>(SUMIF(Fonctionnement[Affectation matrice],$AB$3,Fonctionnement[TVA acquittée])+SUMIF(Invest[Affectation matrice],$AB$3,Invest[TVA acquittée]))*BS22</f>
        <v>0</v>
      </c>
      <c r="CU22" s="200">
        <f>(SUMIF(Fonctionnement[Affectation matrice],$AB$3,Fonctionnement[TVA acquittée])+SUMIF(Invest[Affectation matrice],$AB$3,Invest[TVA acquittée]))*BT22</f>
        <v>0</v>
      </c>
      <c r="CV22" s="200">
        <f>(SUMIF(Fonctionnement[Affectation matrice],$AB$3,Fonctionnement[TVA acquittée])+SUMIF(Invest[Affectation matrice],$AB$3,Invest[TVA acquittée]))*BU22</f>
        <v>0</v>
      </c>
      <c r="CW22" s="200">
        <f>(SUMIF(Fonctionnement[Affectation matrice],$AB$3,Fonctionnement[TVA acquittée])+SUMIF(Invest[Affectation matrice],$AB$3,Invest[TVA acquittée]))*BV22</f>
        <v>0</v>
      </c>
      <c r="CX22" s="200">
        <f>(SUMIF(Fonctionnement[Affectation matrice],$AB$3,Fonctionnement[TVA acquittée])+SUMIF(Invest[Affectation matrice],$AB$3,Invest[TVA acquittée]))*BW22</f>
        <v>0</v>
      </c>
      <c r="CY22" s="200">
        <f>(SUMIF(Fonctionnement[Affectation matrice],$AB$3,Fonctionnement[TVA acquittée])+SUMIF(Invest[Affectation matrice],$AB$3,Invest[TVA acquittée]))*BX22</f>
        <v>0</v>
      </c>
      <c r="CZ22" s="200">
        <f>(SUMIF(Fonctionnement[Affectation matrice],$AB$3,Fonctionnement[TVA acquittée])+SUMIF(Invest[Affectation matrice],$AB$3,Invest[TVA acquittée]))*BY22</f>
        <v>0</v>
      </c>
      <c r="DA22" s="200">
        <f>(SUMIF(Fonctionnement[Affectation matrice],$AB$3,Fonctionnement[TVA acquittée])+SUMIF(Invest[Affectation matrice],$AB$3,Invest[TVA acquittée]))*BZ22</f>
        <v>0</v>
      </c>
      <c r="DB22" s="200">
        <f>(SUMIF(Fonctionnement[Affectation matrice],$AB$3,Fonctionnement[TVA acquittée])+SUMIF(Invest[Affectation matrice],$AB$3,Invest[TVA acquittée]))*CA22</f>
        <v>0</v>
      </c>
    </row>
    <row r="23" spans="1:106" s="205" customFormat="1" ht="12.75" hidden="1" customHeight="1" x14ac:dyDescent="0.25">
      <c r="A23" s="186"/>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02"/>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03"/>
      <c r="BB23" s="204"/>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row>
    <row r="24" spans="1:106" s="22" customFormat="1" ht="12.75" hidden="1" customHeight="1" x14ac:dyDescent="0.25">
      <c r="A24" s="42" t="str">
        <f>Matrice[[#This Row],[Ligne de la matrice]]</f>
        <v>Ventes de produits et d'énergie</v>
      </c>
      <c r="B24" s="276">
        <f>(SUMIF(Fonctionnement[Affectation matrice],$AB$3,Fonctionnement[Montant (€HT)])+SUMIF(Invest[Affectation matrice],$AB$3,Invest[Amortissement HT + intérêts]))*BC24</f>
        <v>0</v>
      </c>
      <c r="C24" s="276">
        <f>(SUMIF(Fonctionnement[Affectation matrice],$AB$3,Fonctionnement[Montant (€HT)])+SUMIF(Invest[Affectation matrice],$AB$3,Invest[Amortissement HT + intérêts]))*BD24</f>
        <v>0</v>
      </c>
      <c r="D24" s="276">
        <f>(SUMIF(Fonctionnement[Affectation matrice],$AB$3,Fonctionnement[Montant (€HT)])+SUMIF(Invest[Affectation matrice],$AB$3,Invest[Amortissement HT + intérêts]))*BE24</f>
        <v>0</v>
      </c>
      <c r="E24" s="276">
        <f>(SUMIF(Fonctionnement[Affectation matrice],$AB$3,Fonctionnement[Montant (€HT)])+SUMIF(Invest[Affectation matrice],$AB$3,Invest[Amortissement HT + intérêts]))*BF24</f>
        <v>0</v>
      </c>
      <c r="F24" s="276">
        <f>(SUMIF(Fonctionnement[Affectation matrice],$AB$3,Fonctionnement[Montant (€HT)])+SUMIF(Invest[Affectation matrice],$AB$3,Invest[Amortissement HT + intérêts]))*BG24</f>
        <v>0</v>
      </c>
      <c r="G24" s="276">
        <f>(SUMIF(Fonctionnement[Affectation matrice],$AB$3,Fonctionnement[Montant (€HT)])+SUMIF(Invest[Affectation matrice],$AB$3,Invest[Amortissement HT + intérêts]))*BH24</f>
        <v>0</v>
      </c>
      <c r="H24" s="276">
        <f>(SUMIF(Fonctionnement[Affectation matrice],$AB$3,Fonctionnement[Montant (€HT)])+SUMIF(Invest[Affectation matrice],$AB$3,Invest[Amortissement HT + intérêts]))*BI24</f>
        <v>0</v>
      </c>
      <c r="I24" s="276">
        <f>(SUMIF(Fonctionnement[Affectation matrice],$AB$3,Fonctionnement[Montant (€HT)])+SUMIF(Invest[Affectation matrice],$AB$3,Invest[Amortissement HT + intérêts]))*BJ24</f>
        <v>0</v>
      </c>
      <c r="J24" s="276">
        <f>(SUMIF(Fonctionnement[Affectation matrice],$AB$3,Fonctionnement[Montant (€HT)])+SUMIF(Invest[Affectation matrice],$AB$3,Invest[Amortissement HT + intérêts]))*BK24</f>
        <v>0</v>
      </c>
      <c r="K24" s="276">
        <f>(SUMIF(Fonctionnement[Affectation matrice],$AB$3,Fonctionnement[Montant (€HT)])+SUMIF(Invest[Affectation matrice],$AB$3,Invest[Amortissement HT + intérêts]))*BL24</f>
        <v>0</v>
      </c>
      <c r="L24" s="276">
        <f>(SUMIF(Fonctionnement[Affectation matrice],$AB$3,Fonctionnement[Montant (€HT)])+SUMIF(Invest[Affectation matrice],$AB$3,Invest[Amortissement HT + intérêts]))*BM24</f>
        <v>0</v>
      </c>
      <c r="M24" s="276">
        <f>(SUMIF(Fonctionnement[Affectation matrice],$AB$3,Fonctionnement[Montant (€HT)])+SUMIF(Invest[Affectation matrice],$AB$3,Invest[Amortissement HT + intérêts]))*BN24</f>
        <v>0</v>
      </c>
      <c r="N24" s="276">
        <f>(SUMIF(Fonctionnement[Affectation matrice],$AB$3,Fonctionnement[Montant (€HT)])+SUMIF(Invest[Affectation matrice],$AB$3,Invest[Amortissement HT + intérêts]))*BO24</f>
        <v>0</v>
      </c>
      <c r="O24" s="276">
        <f>(SUMIF(Fonctionnement[Affectation matrice],$AB$3,Fonctionnement[Montant (€HT)])+SUMIF(Invest[Affectation matrice],$AB$3,Invest[Amortissement HT + intérêts]))*BP24</f>
        <v>0</v>
      </c>
      <c r="P24" s="276">
        <f>(SUMIF(Fonctionnement[Affectation matrice],$AB$3,Fonctionnement[Montant (€HT)])+SUMIF(Invest[Affectation matrice],$AB$3,Invest[Amortissement HT + intérêts]))*BQ24</f>
        <v>0</v>
      </c>
      <c r="Q24" s="276">
        <f>(SUMIF(Fonctionnement[Affectation matrice],$AB$3,Fonctionnement[Montant (€HT)])+SUMIF(Invest[Affectation matrice],$AB$3,Invest[Amortissement HT + intérêts]))*BR24</f>
        <v>0</v>
      </c>
      <c r="R24" s="276">
        <f>(SUMIF(Fonctionnement[Affectation matrice],$AB$3,Fonctionnement[Montant (€HT)])+SUMIF(Invest[Affectation matrice],$AB$3,Invest[Amortissement HT + intérêts]))*BS24</f>
        <v>0</v>
      </c>
      <c r="S24" s="276">
        <f>(SUMIF(Fonctionnement[Affectation matrice],$AB$3,Fonctionnement[Montant (€HT)])+SUMIF(Invest[Affectation matrice],$AB$3,Invest[Amortissement HT + intérêts]))*BT24</f>
        <v>0</v>
      </c>
      <c r="T24" s="276">
        <f>(SUMIF(Fonctionnement[Affectation matrice],$AB$3,Fonctionnement[Montant (€HT)])+SUMIF(Invest[Affectation matrice],$AB$3,Invest[Amortissement HT + intérêts]))*BU24</f>
        <v>0</v>
      </c>
      <c r="U24" s="276">
        <f>(SUMIF(Fonctionnement[Affectation matrice],$AB$3,Fonctionnement[Montant (€HT)])+SUMIF(Invest[Affectation matrice],$AB$3,Invest[Amortissement HT + intérêts]))*BV24</f>
        <v>0</v>
      </c>
      <c r="V24" s="276">
        <f>(SUMIF(Fonctionnement[Affectation matrice],$AB$3,Fonctionnement[Montant (€HT)])+SUMIF(Invest[Affectation matrice],$AB$3,Invest[Amortissement HT + intérêts]))*BW24</f>
        <v>0</v>
      </c>
      <c r="W24" s="276">
        <f>(SUMIF(Fonctionnement[Affectation matrice],$AB$3,Fonctionnement[Montant (€HT)])+SUMIF(Invest[Affectation matrice],$AB$3,Invest[Amortissement HT + intérêts]))*BX24</f>
        <v>0</v>
      </c>
      <c r="X24" s="276">
        <f>(SUMIF(Fonctionnement[Affectation matrice],$AB$3,Fonctionnement[Montant (€HT)])+SUMIF(Invest[Affectation matrice],$AB$3,Invest[Amortissement HT + intérêts]))*BY24</f>
        <v>0</v>
      </c>
      <c r="Y24" s="276">
        <f>(SUMIF(Fonctionnement[Affectation matrice],$AB$3,Fonctionnement[Montant (€HT)])+SUMIF(Invest[Affectation matrice],$AB$3,Invest[Amortissement HT + intérêts]))*BZ24</f>
        <v>0</v>
      </c>
      <c r="Z24" s="276">
        <f>(SUMIF(Fonctionnement[Affectation matrice],$AB$3,Fonctionnement[Montant (€HT)])+SUMIF(Invest[Affectation matrice],$AB$3,Invest[Amortissement HT + intérêts]))*CA24</f>
        <v>0</v>
      </c>
      <c r="AA24" s="199"/>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283">
        <f t="shared" si="4"/>
        <v>0</v>
      </c>
      <c r="BB24" s="7"/>
      <c r="BC24" s="61">
        <f t="shared" ref="BC24:BR33" si="8">IF($BA$53=0,0,AB24/$BA$53)</f>
        <v>0</v>
      </c>
      <c r="BD24" s="61">
        <f t="shared" si="8"/>
        <v>0</v>
      </c>
      <c r="BE24" s="61">
        <f t="shared" si="8"/>
        <v>0</v>
      </c>
      <c r="BF24" s="61">
        <f t="shared" si="8"/>
        <v>0</v>
      </c>
      <c r="BG24" s="61">
        <f t="shared" si="8"/>
        <v>0</v>
      </c>
      <c r="BH24" s="61">
        <f t="shared" si="8"/>
        <v>0</v>
      </c>
      <c r="BI24" s="61">
        <f t="shared" si="8"/>
        <v>0</v>
      </c>
      <c r="BJ24" s="61">
        <f t="shared" si="8"/>
        <v>0</v>
      </c>
      <c r="BK24" s="61">
        <f t="shared" si="8"/>
        <v>0</v>
      </c>
      <c r="BL24" s="61">
        <f t="shared" si="8"/>
        <v>0</v>
      </c>
      <c r="BM24" s="61">
        <f t="shared" si="8"/>
        <v>0</v>
      </c>
      <c r="BN24" s="61">
        <f t="shared" si="8"/>
        <v>0</v>
      </c>
      <c r="BO24" s="61">
        <f t="shared" si="8"/>
        <v>0</v>
      </c>
      <c r="BP24" s="61">
        <f t="shared" si="8"/>
        <v>0</v>
      </c>
      <c r="BQ24" s="61">
        <f t="shared" si="8"/>
        <v>0</v>
      </c>
      <c r="BR24" s="61">
        <f t="shared" si="8"/>
        <v>0</v>
      </c>
      <c r="BS24" s="61">
        <f t="shared" ref="BS24:CA33" si="9">IF($BA$53=0,0,AR24/$BA$53)</f>
        <v>0</v>
      </c>
      <c r="BT24" s="61">
        <f t="shared" si="9"/>
        <v>0</v>
      </c>
      <c r="BU24" s="61">
        <f t="shared" si="9"/>
        <v>0</v>
      </c>
      <c r="BV24" s="61">
        <f t="shared" si="9"/>
        <v>0</v>
      </c>
      <c r="BW24" s="61">
        <f t="shared" si="9"/>
        <v>0</v>
      </c>
      <c r="BX24" s="61">
        <f t="shared" si="9"/>
        <v>0</v>
      </c>
      <c r="BY24" s="61">
        <f t="shared" si="9"/>
        <v>0</v>
      </c>
      <c r="BZ24" s="61">
        <f t="shared" si="9"/>
        <v>0</v>
      </c>
      <c r="CA24" s="61">
        <f t="shared" si="9"/>
        <v>0</v>
      </c>
      <c r="CB24" s="61">
        <f t="shared" si="5"/>
        <v>0</v>
      </c>
      <c r="CD24" s="200">
        <f>(SUMIF(Fonctionnement[Affectation matrice],$AB$3,Fonctionnement[TVA acquittée])+SUMIF(Invest[Affectation matrice],$AB$3,Invest[TVA acquittée]))*BC24</f>
        <v>0</v>
      </c>
      <c r="CE24" s="200">
        <f>(SUMIF(Fonctionnement[Affectation matrice],$AB$3,Fonctionnement[TVA acquittée])+SUMIF(Invest[Affectation matrice],$AB$3,Invest[TVA acquittée]))*BD24</f>
        <v>0</v>
      </c>
      <c r="CF24" s="200">
        <f>(SUMIF(Fonctionnement[Affectation matrice],$AB$3,Fonctionnement[TVA acquittée])+SUMIF(Invest[Affectation matrice],$AB$3,Invest[TVA acquittée]))*BE24</f>
        <v>0</v>
      </c>
      <c r="CG24" s="200">
        <f>(SUMIF(Fonctionnement[Affectation matrice],$AB$3,Fonctionnement[TVA acquittée])+SUMIF(Invest[Affectation matrice],$AB$3,Invest[TVA acquittée]))*BF24</f>
        <v>0</v>
      </c>
      <c r="CH24" s="200">
        <f>(SUMIF(Fonctionnement[Affectation matrice],$AB$3,Fonctionnement[TVA acquittée])+SUMIF(Invest[Affectation matrice],$AB$3,Invest[TVA acquittée]))*BG24</f>
        <v>0</v>
      </c>
      <c r="CI24" s="200">
        <f>(SUMIF(Fonctionnement[Affectation matrice],$AB$3,Fonctionnement[TVA acquittée])+SUMIF(Invest[Affectation matrice],$AB$3,Invest[TVA acquittée]))*BH24</f>
        <v>0</v>
      </c>
      <c r="CJ24" s="200">
        <f>(SUMIF(Fonctionnement[Affectation matrice],$AB$3,Fonctionnement[TVA acquittée])+SUMIF(Invest[Affectation matrice],$AB$3,Invest[TVA acquittée]))*BI24</f>
        <v>0</v>
      </c>
      <c r="CK24" s="200">
        <f>(SUMIF(Fonctionnement[Affectation matrice],$AB$3,Fonctionnement[TVA acquittée])+SUMIF(Invest[Affectation matrice],$AB$3,Invest[TVA acquittée]))*BJ24</f>
        <v>0</v>
      </c>
      <c r="CL24" s="200">
        <f>(SUMIF(Fonctionnement[Affectation matrice],$AB$3,Fonctionnement[TVA acquittée])+SUMIF(Invest[Affectation matrice],$AB$3,Invest[TVA acquittée]))*BK24</f>
        <v>0</v>
      </c>
      <c r="CM24" s="200">
        <f>(SUMIF(Fonctionnement[Affectation matrice],$AB$3,Fonctionnement[TVA acquittée])+SUMIF(Invest[Affectation matrice],$AB$3,Invest[TVA acquittée]))*BL24</f>
        <v>0</v>
      </c>
      <c r="CN24" s="200">
        <f>(SUMIF(Fonctionnement[Affectation matrice],$AB$3,Fonctionnement[TVA acquittée])+SUMIF(Invest[Affectation matrice],$AB$3,Invest[TVA acquittée]))*BM24</f>
        <v>0</v>
      </c>
      <c r="CO24" s="200">
        <f>(SUMIF(Fonctionnement[Affectation matrice],$AB$3,Fonctionnement[TVA acquittée])+SUMIF(Invest[Affectation matrice],$AB$3,Invest[TVA acquittée]))*BN24</f>
        <v>0</v>
      </c>
      <c r="CP24" s="200">
        <f>(SUMIF(Fonctionnement[Affectation matrice],$AB$3,Fonctionnement[TVA acquittée])+SUMIF(Invest[Affectation matrice],$AB$3,Invest[TVA acquittée]))*BO24</f>
        <v>0</v>
      </c>
      <c r="CQ24" s="200">
        <f>(SUMIF(Fonctionnement[Affectation matrice],$AB$3,Fonctionnement[TVA acquittée])+SUMIF(Invest[Affectation matrice],$AB$3,Invest[TVA acquittée]))*BP24</f>
        <v>0</v>
      </c>
      <c r="CR24" s="200">
        <f>(SUMIF(Fonctionnement[Affectation matrice],$AB$3,Fonctionnement[TVA acquittée])+SUMIF(Invest[Affectation matrice],$AB$3,Invest[TVA acquittée]))*BQ24</f>
        <v>0</v>
      </c>
      <c r="CS24" s="200">
        <f>(SUMIF(Fonctionnement[Affectation matrice],$AB$3,Fonctionnement[TVA acquittée])+SUMIF(Invest[Affectation matrice],$AB$3,Invest[TVA acquittée]))*BR24</f>
        <v>0</v>
      </c>
      <c r="CT24" s="200">
        <f>(SUMIF(Fonctionnement[Affectation matrice],$AB$3,Fonctionnement[TVA acquittée])+SUMIF(Invest[Affectation matrice],$AB$3,Invest[TVA acquittée]))*BS24</f>
        <v>0</v>
      </c>
      <c r="CU24" s="200">
        <f>(SUMIF(Fonctionnement[Affectation matrice],$AB$3,Fonctionnement[TVA acquittée])+SUMIF(Invest[Affectation matrice],$AB$3,Invest[TVA acquittée]))*BT24</f>
        <v>0</v>
      </c>
      <c r="CV24" s="200">
        <f>(SUMIF(Fonctionnement[Affectation matrice],$AB$3,Fonctionnement[TVA acquittée])+SUMIF(Invest[Affectation matrice],$AB$3,Invest[TVA acquittée]))*BU24</f>
        <v>0</v>
      </c>
      <c r="CW24" s="200">
        <f>(SUMIF(Fonctionnement[Affectation matrice],$AB$3,Fonctionnement[TVA acquittée])+SUMIF(Invest[Affectation matrice],$AB$3,Invest[TVA acquittée]))*BV24</f>
        <v>0</v>
      </c>
      <c r="CX24" s="200">
        <f>(SUMIF(Fonctionnement[Affectation matrice],$AB$3,Fonctionnement[TVA acquittée])+SUMIF(Invest[Affectation matrice],$AB$3,Invest[TVA acquittée]))*BW24</f>
        <v>0</v>
      </c>
      <c r="CY24" s="200">
        <f>(SUMIF(Fonctionnement[Affectation matrice],$AB$3,Fonctionnement[TVA acquittée])+SUMIF(Invest[Affectation matrice],$AB$3,Invest[TVA acquittée]))*BX24</f>
        <v>0</v>
      </c>
      <c r="CZ24" s="200">
        <f>(SUMIF(Fonctionnement[Affectation matrice],$AB$3,Fonctionnement[TVA acquittée])+SUMIF(Invest[Affectation matrice],$AB$3,Invest[TVA acquittée]))*BY24</f>
        <v>0</v>
      </c>
      <c r="DA24" s="200">
        <f>(SUMIF(Fonctionnement[Affectation matrice],$AB$3,Fonctionnement[TVA acquittée])+SUMIF(Invest[Affectation matrice],$AB$3,Invest[TVA acquittée]))*BZ24</f>
        <v>0</v>
      </c>
      <c r="DB24" s="200">
        <f>(SUMIF(Fonctionnement[Affectation matrice],$AB$3,Fonctionnement[TVA acquittée])+SUMIF(Invest[Affectation matrice],$AB$3,Invest[TVA acquittée]))*CA24</f>
        <v>0</v>
      </c>
    </row>
    <row r="25" spans="1:106" s="22" customFormat="1" ht="12.75" hidden="1" customHeight="1" x14ac:dyDescent="0.25">
      <c r="A25" s="42" t="str">
        <f>Matrice[[#This Row],[Ligne de la matrice]]</f>
        <v>Matériaux</v>
      </c>
      <c r="B25" s="276">
        <f>(SUMIF(Fonctionnement[Affectation matrice],$AB$3,Fonctionnement[Montant (€HT)])+SUMIF(Invest[Affectation matrice],$AB$3,Invest[Amortissement HT + intérêts]))*BC25</f>
        <v>0</v>
      </c>
      <c r="C25" s="276">
        <f>(SUMIF(Fonctionnement[Affectation matrice],$AB$3,Fonctionnement[Montant (€HT)])+SUMIF(Invest[Affectation matrice],$AB$3,Invest[Amortissement HT + intérêts]))*BD25</f>
        <v>0</v>
      </c>
      <c r="D25" s="276">
        <f>(SUMIF(Fonctionnement[Affectation matrice],$AB$3,Fonctionnement[Montant (€HT)])+SUMIF(Invest[Affectation matrice],$AB$3,Invest[Amortissement HT + intérêts]))*BE25</f>
        <v>0</v>
      </c>
      <c r="E25" s="276">
        <f>(SUMIF(Fonctionnement[Affectation matrice],$AB$3,Fonctionnement[Montant (€HT)])+SUMIF(Invest[Affectation matrice],$AB$3,Invest[Amortissement HT + intérêts]))*BF25</f>
        <v>0</v>
      </c>
      <c r="F25" s="276">
        <f>(SUMIF(Fonctionnement[Affectation matrice],$AB$3,Fonctionnement[Montant (€HT)])+SUMIF(Invest[Affectation matrice],$AB$3,Invest[Amortissement HT + intérêts]))*BG25</f>
        <v>0</v>
      </c>
      <c r="G25" s="276">
        <f>(SUMIF(Fonctionnement[Affectation matrice],$AB$3,Fonctionnement[Montant (€HT)])+SUMIF(Invest[Affectation matrice],$AB$3,Invest[Amortissement HT + intérêts]))*BH25</f>
        <v>0</v>
      </c>
      <c r="H25" s="276">
        <f>(SUMIF(Fonctionnement[Affectation matrice],$AB$3,Fonctionnement[Montant (€HT)])+SUMIF(Invest[Affectation matrice],$AB$3,Invest[Amortissement HT + intérêts]))*BI25</f>
        <v>0</v>
      </c>
      <c r="I25" s="276">
        <f>(SUMIF(Fonctionnement[Affectation matrice],$AB$3,Fonctionnement[Montant (€HT)])+SUMIF(Invest[Affectation matrice],$AB$3,Invest[Amortissement HT + intérêts]))*BJ25</f>
        <v>0</v>
      </c>
      <c r="J25" s="276">
        <f>(SUMIF(Fonctionnement[Affectation matrice],$AB$3,Fonctionnement[Montant (€HT)])+SUMIF(Invest[Affectation matrice],$AB$3,Invest[Amortissement HT + intérêts]))*BK25</f>
        <v>0</v>
      </c>
      <c r="K25" s="276">
        <f>(SUMIF(Fonctionnement[Affectation matrice],$AB$3,Fonctionnement[Montant (€HT)])+SUMIF(Invest[Affectation matrice],$AB$3,Invest[Amortissement HT + intérêts]))*BL25</f>
        <v>0</v>
      </c>
      <c r="L25" s="276">
        <f>(SUMIF(Fonctionnement[Affectation matrice],$AB$3,Fonctionnement[Montant (€HT)])+SUMIF(Invest[Affectation matrice],$AB$3,Invest[Amortissement HT + intérêts]))*BM25</f>
        <v>0</v>
      </c>
      <c r="M25" s="276">
        <f>(SUMIF(Fonctionnement[Affectation matrice],$AB$3,Fonctionnement[Montant (€HT)])+SUMIF(Invest[Affectation matrice],$AB$3,Invest[Amortissement HT + intérêts]))*BN25</f>
        <v>0</v>
      </c>
      <c r="N25" s="276">
        <f>(SUMIF(Fonctionnement[Affectation matrice],$AB$3,Fonctionnement[Montant (€HT)])+SUMIF(Invest[Affectation matrice],$AB$3,Invest[Amortissement HT + intérêts]))*BO25</f>
        <v>0</v>
      </c>
      <c r="O25" s="276">
        <f>(SUMIF(Fonctionnement[Affectation matrice],$AB$3,Fonctionnement[Montant (€HT)])+SUMIF(Invest[Affectation matrice],$AB$3,Invest[Amortissement HT + intérêts]))*BP25</f>
        <v>0</v>
      </c>
      <c r="P25" s="276">
        <f>(SUMIF(Fonctionnement[Affectation matrice],$AB$3,Fonctionnement[Montant (€HT)])+SUMIF(Invest[Affectation matrice],$AB$3,Invest[Amortissement HT + intérêts]))*BQ25</f>
        <v>0</v>
      </c>
      <c r="Q25" s="276">
        <f>(SUMIF(Fonctionnement[Affectation matrice],$AB$3,Fonctionnement[Montant (€HT)])+SUMIF(Invest[Affectation matrice],$AB$3,Invest[Amortissement HT + intérêts]))*BR25</f>
        <v>0</v>
      </c>
      <c r="R25" s="276">
        <f>(SUMIF(Fonctionnement[Affectation matrice],$AB$3,Fonctionnement[Montant (€HT)])+SUMIF(Invest[Affectation matrice],$AB$3,Invest[Amortissement HT + intérêts]))*BS25</f>
        <v>0</v>
      </c>
      <c r="S25" s="276">
        <f>(SUMIF(Fonctionnement[Affectation matrice],$AB$3,Fonctionnement[Montant (€HT)])+SUMIF(Invest[Affectation matrice],$AB$3,Invest[Amortissement HT + intérêts]))*BT25</f>
        <v>0</v>
      </c>
      <c r="T25" s="276">
        <f>(SUMIF(Fonctionnement[Affectation matrice],$AB$3,Fonctionnement[Montant (€HT)])+SUMIF(Invest[Affectation matrice],$AB$3,Invest[Amortissement HT + intérêts]))*BU25</f>
        <v>0</v>
      </c>
      <c r="U25" s="276">
        <f>(SUMIF(Fonctionnement[Affectation matrice],$AB$3,Fonctionnement[Montant (€HT)])+SUMIF(Invest[Affectation matrice],$AB$3,Invest[Amortissement HT + intérêts]))*BV25</f>
        <v>0</v>
      </c>
      <c r="V25" s="276">
        <f>(SUMIF(Fonctionnement[Affectation matrice],$AB$3,Fonctionnement[Montant (€HT)])+SUMIF(Invest[Affectation matrice],$AB$3,Invest[Amortissement HT + intérêts]))*BW25</f>
        <v>0</v>
      </c>
      <c r="W25" s="276">
        <f>(SUMIF(Fonctionnement[Affectation matrice],$AB$3,Fonctionnement[Montant (€HT)])+SUMIF(Invest[Affectation matrice],$AB$3,Invest[Amortissement HT + intérêts]))*BX25</f>
        <v>0</v>
      </c>
      <c r="X25" s="276">
        <f>(SUMIF(Fonctionnement[Affectation matrice],$AB$3,Fonctionnement[Montant (€HT)])+SUMIF(Invest[Affectation matrice],$AB$3,Invest[Amortissement HT + intérêts]))*BY25</f>
        <v>0</v>
      </c>
      <c r="Y25" s="276">
        <f>(SUMIF(Fonctionnement[Affectation matrice],$AB$3,Fonctionnement[Montant (€HT)])+SUMIF(Invest[Affectation matrice],$AB$3,Invest[Amortissement HT + intérêts]))*BZ25</f>
        <v>0</v>
      </c>
      <c r="Z25" s="276">
        <f>(SUMIF(Fonctionnement[Affectation matrice],$AB$3,Fonctionnement[Montant (€HT)])+SUMIF(Invest[Affectation matrice],$AB$3,Invest[Amortissement HT + intérêts]))*CA25</f>
        <v>0</v>
      </c>
      <c r="AA25" s="199"/>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283">
        <f t="shared" si="4"/>
        <v>0</v>
      </c>
      <c r="BB25" s="7"/>
      <c r="BC25" s="61">
        <f t="shared" si="8"/>
        <v>0</v>
      </c>
      <c r="BD25" s="61">
        <f t="shared" si="8"/>
        <v>0</v>
      </c>
      <c r="BE25" s="61">
        <f t="shared" si="8"/>
        <v>0</v>
      </c>
      <c r="BF25" s="61">
        <f t="shared" si="8"/>
        <v>0</v>
      </c>
      <c r="BG25" s="61">
        <f t="shared" si="8"/>
        <v>0</v>
      </c>
      <c r="BH25" s="61">
        <f t="shared" si="8"/>
        <v>0</v>
      </c>
      <c r="BI25" s="61">
        <f t="shared" si="8"/>
        <v>0</v>
      </c>
      <c r="BJ25" s="61">
        <f t="shared" si="8"/>
        <v>0</v>
      </c>
      <c r="BK25" s="61">
        <f t="shared" si="8"/>
        <v>0</v>
      </c>
      <c r="BL25" s="61">
        <f t="shared" si="8"/>
        <v>0</v>
      </c>
      <c r="BM25" s="61">
        <f t="shared" si="8"/>
        <v>0</v>
      </c>
      <c r="BN25" s="61">
        <f t="shared" si="8"/>
        <v>0</v>
      </c>
      <c r="BO25" s="61">
        <f t="shared" si="8"/>
        <v>0</v>
      </c>
      <c r="BP25" s="61">
        <f t="shared" si="8"/>
        <v>0</v>
      </c>
      <c r="BQ25" s="61">
        <f t="shared" si="8"/>
        <v>0</v>
      </c>
      <c r="BR25" s="61">
        <f t="shared" si="8"/>
        <v>0</v>
      </c>
      <c r="BS25" s="61">
        <f t="shared" si="9"/>
        <v>0</v>
      </c>
      <c r="BT25" s="61">
        <f t="shared" si="9"/>
        <v>0</v>
      </c>
      <c r="BU25" s="61">
        <f t="shared" si="9"/>
        <v>0</v>
      </c>
      <c r="BV25" s="61">
        <f t="shared" si="9"/>
        <v>0</v>
      </c>
      <c r="BW25" s="61">
        <f t="shared" si="9"/>
        <v>0</v>
      </c>
      <c r="BX25" s="61">
        <f t="shared" si="9"/>
        <v>0</v>
      </c>
      <c r="BY25" s="61">
        <f t="shared" si="9"/>
        <v>0</v>
      </c>
      <c r="BZ25" s="61">
        <f t="shared" si="9"/>
        <v>0</v>
      </c>
      <c r="CA25" s="61">
        <f t="shared" si="9"/>
        <v>0</v>
      </c>
      <c r="CB25" s="61">
        <f t="shared" si="5"/>
        <v>0</v>
      </c>
      <c r="CD25" s="200">
        <f>(SUMIF(Fonctionnement[Affectation matrice],$AB$3,Fonctionnement[TVA acquittée])+SUMIF(Invest[Affectation matrice],$AB$3,Invest[TVA acquittée]))*BC25</f>
        <v>0</v>
      </c>
      <c r="CE25" s="200">
        <f>(SUMIF(Fonctionnement[Affectation matrice],$AB$3,Fonctionnement[TVA acquittée])+SUMIF(Invest[Affectation matrice],$AB$3,Invest[TVA acquittée]))*BD25</f>
        <v>0</v>
      </c>
      <c r="CF25" s="200">
        <f>(SUMIF(Fonctionnement[Affectation matrice],$AB$3,Fonctionnement[TVA acquittée])+SUMIF(Invest[Affectation matrice],$AB$3,Invest[TVA acquittée]))*BE25</f>
        <v>0</v>
      </c>
      <c r="CG25" s="200">
        <f>(SUMIF(Fonctionnement[Affectation matrice],$AB$3,Fonctionnement[TVA acquittée])+SUMIF(Invest[Affectation matrice],$AB$3,Invest[TVA acquittée]))*BF25</f>
        <v>0</v>
      </c>
      <c r="CH25" s="200">
        <f>(SUMIF(Fonctionnement[Affectation matrice],$AB$3,Fonctionnement[TVA acquittée])+SUMIF(Invest[Affectation matrice],$AB$3,Invest[TVA acquittée]))*BG25</f>
        <v>0</v>
      </c>
      <c r="CI25" s="200">
        <f>(SUMIF(Fonctionnement[Affectation matrice],$AB$3,Fonctionnement[TVA acquittée])+SUMIF(Invest[Affectation matrice],$AB$3,Invest[TVA acquittée]))*BH25</f>
        <v>0</v>
      </c>
      <c r="CJ25" s="200">
        <f>(SUMIF(Fonctionnement[Affectation matrice],$AB$3,Fonctionnement[TVA acquittée])+SUMIF(Invest[Affectation matrice],$AB$3,Invest[TVA acquittée]))*BI25</f>
        <v>0</v>
      </c>
      <c r="CK25" s="200">
        <f>(SUMIF(Fonctionnement[Affectation matrice],$AB$3,Fonctionnement[TVA acquittée])+SUMIF(Invest[Affectation matrice],$AB$3,Invest[TVA acquittée]))*BJ25</f>
        <v>0</v>
      </c>
      <c r="CL25" s="200">
        <f>(SUMIF(Fonctionnement[Affectation matrice],$AB$3,Fonctionnement[TVA acquittée])+SUMIF(Invest[Affectation matrice],$AB$3,Invest[TVA acquittée]))*BK25</f>
        <v>0</v>
      </c>
      <c r="CM25" s="200">
        <f>(SUMIF(Fonctionnement[Affectation matrice],$AB$3,Fonctionnement[TVA acquittée])+SUMIF(Invest[Affectation matrice],$AB$3,Invest[TVA acquittée]))*BL25</f>
        <v>0</v>
      </c>
      <c r="CN25" s="200">
        <f>(SUMIF(Fonctionnement[Affectation matrice],$AB$3,Fonctionnement[TVA acquittée])+SUMIF(Invest[Affectation matrice],$AB$3,Invest[TVA acquittée]))*BM25</f>
        <v>0</v>
      </c>
      <c r="CO25" s="200">
        <f>(SUMIF(Fonctionnement[Affectation matrice],$AB$3,Fonctionnement[TVA acquittée])+SUMIF(Invest[Affectation matrice],$AB$3,Invest[TVA acquittée]))*BN25</f>
        <v>0</v>
      </c>
      <c r="CP25" s="200">
        <f>(SUMIF(Fonctionnement[Affectation matrice],$AB$3,Fonctionnement[TVA acquittée])+SUMIF(Invest[Affectation matrice],$AB$3,Invest[TVA acquittée]))*BO25</f>
        <v>0</v>
      </c>
      <c r="CQ25" s="200">
        <f>(SUMIF(Fonctionnement[Affectation matrice],$AB$3,Fonctionnement[TVA acquittée])+SUMIF(Invest[Affectation matrice],$AB$3,Invest[TVA acquittée]))*BP25</f>
        <v>0</v>
      </c>
      <c r="CR25" s="200">
        <f>(SUMIF(Fonctionnement[Affectation matrice],$AB$3,Fonctionnement[TVA acquittée])+SUMIF(Invest[Affectation matrice],$AB$3,Invest[TVA acquittée]))*BQ25</f>
        <v>0</v>
      </c>
      <c r="CS25" s="200">
        <f>(SUMIF(Fonctionnement[Affectation matrice],$AB$3,Fonctionnement[TVA acquittée])+SUMIF(Invest[Affectation matrice],$AB$3,Invest[TVA acquittée]))*BR25</f>
        <v>0</v>
      </c>
      <c r="CT25" s="200">
        <f>(SUMIF(Fonctionnement[Affectation matrice],$AB$3,Fonctionnement[TVA acquittée])+SUMIF(Invest[Affectation matrice],$AB$3,Invest[TVA acquittée]))*BS25</f>
        <v>0</v>
      </c>
      <c r="CU25" s="200">
        <f>(SUMIF(Fonctionnement[Affectation matrice],$AB$3,Fonctionnement[TVA acquittée])+SUMIF(Invest[Affectation matrice],$AB$3,Invest[TVA acquittée]))*BT25</f>
        <v>0</v>
      </c>
      <c r="CV25" s="200">
        <f>(SUMIF(Fonctionnement[Affectation matrice],$AB$3,Fonctionnement[TVA acquittée])+SUMIF(Invest[Affectation matrice],$AB$3,Invest[TVA acquittée]))*BU25</f>
        <v>0</v>
      </c>
      <c r="CW25" s="200">
        <f>(SUMIF(Fonctionnement[Affectation matrice],$AB$3,Fonctionnement[TVA acquittée])+SUMIF(Invest[Affectation matrice],$AB$3,Invest[TVA acquittée]))*BV25</f>
        <v>0</v>
      </c>
      <c r="CX25" s="200">
        <f>(SUMIF(Fonctionnement[Affectation matrice],$AB$3,Fonctionnement[TVA acquittée])+SUMIF(Invest[Affectation matrice],$AB$3,Invest[TVA acquittée]))*BW25</f>
        <v>0</v>
      </c>
      <c r="CY25" s="200">
        <f>(SUMIF(Fonctionnement[Affectation matrice],$AB$3,Fonctionnement[TVA acquittée])+SUMIF(Invest[Affectation matrice],$AB$3,Invest[TVA acquittée]))*BX25</f>
        <v>0</v>
      </c>
      <c r="CZ25" s="200">
        <f>(SUMIF(Fonctionnement[Affectation matrice],$AB$3,Fonctionnement[TVA acquittée])+SUMIF(Invest[Affectation matrice],$AB$3,Invest[TVA acquittée]))*BY25</f>
        <v>0</v>
      </c>
      <c r="DA25" s="200">
        <f>(SUMIF(Fonctionnement[Affectation matrice],$AB$3,Fonctionnement[TVA acquittée])+SUMIF(Invest[Affectation matrice],$AB$3,Invest[TVA acquittée]))*BZ25</f>
        <v>0</v>
      </c>
      <c r="DB25" s="200">
        <f>(SUMIF(Fonctionnement[Affectation matrice],$AB$3,Fonctionnement[TVA acquittée])+SUMIF(Invest[Affectation matrice],$AB$3,Invest[TVA acquittée]))*CA25</f>
        <v>0</v>
      </c>
    </row>
    <row r="26" spans="1:106" s="22" customFormat="1" ht="12.75" hidden="1" customHeight="1" x14ac:dyDescent="0.25">
      <c r="A26" s="42" t="str">
        <f>Matrice[[#This Row],[Ligne de la matrice]]</f>
        <v>Compost</v>
      </c>
      <c r="B26" s="276">
        <f>(SUMIF(Fonctionnement[Affectation matrice],$AB$3,Fonctionnement[Montant (€HT)])+SUMIF(Invest[Affectation matrice],$AB$3,Invest[Amortissement HT + intérêts]))*BC26</f>
        <v>0</v>
      </c>
      <c r="C26" s="276">
        <f>(SUMIF(Fonctionnement[Affectation matrice],$AB$3,Fonctionnement[Montant (€HT)])+SUMIF(Invest[Affectation matrice],$AB$3,Invest[Amortissement HT + intérêts]))*BD26</f>
        <v>0</v>
      </c>
      <c r="D26" s="276">
        <f>(SUMIF(Fonctionnement[Affectation matrice],$AB$3,Fonctionnement[Montant (€HT)])+SUMIF(Invest[Affectation matrice],$AB$3,Invest[Amortissement HT + intérêts]))*BE26</f>
        <v>0</v>
      </c>
      <c r="E26" s="276">
        <f>(SUMIF(Fonctionnement[Affectation matrice],$AB$3,Fonctionnement[Montant (€HT)])+SUMIF(Invest[Affectation matrice],$AB$3,Invest[Amortissement HT + intérêts]))*BF26</f>
        <v>0</v>
      </c>
      <c r="F26" s="276">
        <f>(SUMIF(Fonctionnement[Affectation matrice],$AB$3,Fonctionnement[Montant (€HT)])+SUMIF(Invest[Affectation matrice],$AB$3,Invest[Amortissement HT + intérêts]))*BG26</f>
        <v>0</v>
      </c>
      <c r="G26" s="276">
        <f>(SUMIF(Fonctionnement[Affectation matrice],$AB$3,Fonctionnement[Montant (€HT)])+SUMIF(Invest[Affectation matrice],$AB$3,Invest[Amortissement HT + intérêts]))*BH26</f>
        <v>0</v>
      </c>
      <c r="H26" s="276">
        <f>(SUMIF(Fonctionnement[Affectation matrice],$AB$3,Fonctionnement[Montant (€HT)])+SUMIF(Invest[Affectation matrice],$AB$3,Invest[Amortissement HT + intérêts]))*BI26</f>
        <v>0</v>
      </c>
      <c r="I26" s="276">
        <f>(SUMIF(Fonctionnement[Affectation matrice],$AB$3,Fonctionnement[Montant (€HT)])+SUMIF(Invest[Affectation matrice],$AB$3,Invest[Amortissement HT + intérêts]))*BJ26</f>
        <v>0</v>
      </c>
      <c r="J26" s="276">
        <f>(SUMIF(Fonctionnement[Affectation matrice],$AB$3,Fonctionnement[Montant (€HT)])+SUMIF(Invest[Affectation matrice],$AB$3,Invest[Amortissement HT + intérêts]))*BK26</f>
        <v>0</v>
      </c>
      <c r="K26" s="276">
        <f>(SUMIF(Fonctionnement[Affectation matrice],$AB$3,Fonctionnement[Montant (€HT)])+SUMIF(Invest[Affectation matrice],$AB$3,Invest[Amortissement HT + intérêts]))*BL26</f>
        <v>0</v>
      </c>
      <c r="L26" s="276">
        <f>(SUMIF(Fonctionnement[Affectation matrice],$AB$3,Fonctionnement[Montant (€HT)])+SUMIF(Invest[Affectation matrice],$AB$3,Invest[Amortissement HT + intérêts]))*BM26</f>
        <v>0</v>
      </c>
      <c r="M26" s="276">
        <f>(SUMIF(Fonctionnement[Affectation matrice],$AB$3,Fonctionnement[Montant (€HT)])+SUMIF(Invest[Affectation matrice],$AB$3,Invest[Amortissement HT + intérêts]))*BN26</f>
        <v>0</v>
      </c>
      <c r="N26" s="276">
        <f>(SUMIF(Fonctionnement[Affectation matrice],$AB$3,Fonctionnement[Montant (€HT)])+SUMIF(Invest[Affectation matrice],$AB$3,Invest[Amortissement HT + intérêts]))*BO26</f>
        <v>0</v>
      </c>
      <c r="O26" s="276">
        <f>(SUMIF(Fonctionnement[Affectation matrice],$AB$3,Fonctionnement[Montant (€HT)])+SUMIF(Invest[Affectation matrice],$AB$3,Invest[Amortissement HT + intérêts]))*BP26</f>
        <v>0</v>
      </c>
      <c r="P26" s="276">
        <f>(SUMIF(Fonctionnement[Affectation matrice],$AB$3,Fonctionnement[Montant (€HT)])+SUMIF(Invest[Affectation matrice],$AB$3,Invest[Amortissement HT + intérêts]))*BQ26</f>
        <v>0</v>
      </c>
      <c r="Q26" s="276">
        <f>(SUMIF(Fonctionnement[Affectation matrice],$AB$3,Fonctionnement[Montant (€HT)])+SUMIF(Invest[Affectation matrice],$AB$3,Invest[Amortissement HT + intérêts]))*BR26</f>
        <v>0</v>
      </c>
      <c r="R26" s="276">
        <f>(SUMIF(Fonctionnement[Affectation matrice],$AB$3,Fonctionnement[Montant (€HT)])+SUMIF(Invest[Affectation matrice],$AB$3,Invest[Amortissement HT + intérêts]))*BS26</f>
        <v>0</v>
      </c>
      <c r="S26" s="276">
        <f>(SUMIF(Fonctionnement[Affectation matrice],$AB$3,Fonctionnement[Montant (€HT)])+SUMIF(Invest[Affectation matrice],$AB$3,Invest[Amortissement HT + intérêts]))*BT26</f>
        <v>0</v>
      </c>
      <c r="T26" s="276">
        <f>(SUMIF(Fonctionnement[Affectation matrice],$AB$3,Fonctionnement[Montant (€HT)])+SUMIF(Invest[Affectation matrice],$AB$3,Invest[Amortissement HT + intérêts]))*BU26</f>
        <v>0</v>
      </c>
      <c r="U26" s="276">
        <f>(SUMIF(Fonctionnement[Affectation matrice],$AB$3,Fonctionnement[Montant (€HT)])+SUMIF(Invest[Affectation matrice],$AB$3,Invest[Amortissement HT + intérêts]))*BV26</f>
        <v>0</v>
      </c>
      <c r="V26" s="276">
        <f>(SUMIF(Fonctionnement[Affectation matrice],$AB$3,Fonctionnement[Montant (€HT)])+SUMIF(Invest[Affectation matrice],$AB$3,Invest[Amortissement HT + intérêts]))*BW26</f>
        <v>0</v>
      </c>
      <c r="W26" s="276">
        <f>(SUMIF(Fonctionnement[Affectation matrice],$AB$3,Fonctionnement[Montant (€HT)])+SUMIF(Invest[Affectation matrice],$AB$3,Invest[Amortissement HT + intérêts]))*BX26</f>
        <v>0</v>
      </c>
      <c r="X26" s="276">
        <f>(SUMIF(Fonctionnement[Affectation matrice],$AB$3,Fonctionnement[Montant (€HT)])+SUMIF(Invest[Affectation matrice],$AB$3,Invest[Amortissement HT + intérêts]))*BY26</f>
        <v>0</v>
      </c>
      <c r="Y26" s="276">
        <f>(SUMIF(Fonctionnement[Affectation matrice],$AB$3,Fonctionnement[Montant (€HT)])+SUMIF(Invest[Affectation matrice],$AB$3,Invest[Amortissement HT + intérêts]))*BZ26</f>
        <v>0</v>
      </c>
      <c r="Z26" s="276">
        <f>(SUMIF(Fonctionnement[Affectation matrice],$AB$3,Fonctionnement[Montant (€HT)])+SUMIF(Invest[Affectation matrice],$AB$3,Invest[Amortissement HT + intérêts]))*CA26</f>
        <v>0</v>
      </c>
      <c r="AA26" s="199"/>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283">
        <f t="shared" si="4"/>
        <v>0</v>
      </c>
      <c r="BB26" s="7"/>
      <c r="BC26" s="61">
        <f t="shared" si="8"/>
        <v>0</v>
      </c>
      <c r="BD26" s="61">
        <f t="shared" si="8"/>
        <v>0</v>
      </c>
      <c r="BE26" s="61">
        <f t="shared" si="8"/>
        <v>0</v>
      </c>
      <c r="BF26" s="61">
        <f t="shared" si="8"/>
        <v>0</v>
      </c>
      <c r="BG26" s="61">
        <f t="shared" si="8"/>
        <v>0</v>
      </c>
      <c r="BH26" s="61">
        <f t="shared" si="8"/>
        <v>0</v>
      </c>
      <c r="BI26" s="61">
        <f t="shared" si="8"/>
        <v>0</v>
      </c>
      <c r="BJ26" s="61">
        <f t="shared" si="8"/>
        <v>0</v>
      </c>
      <c r="BK26" s="61">
        <f t="shared" si="8"/>
        <v>0</v>
      </c>
      <c r="BL26" s="61">
        <f t="shared" si="8"/>
        <v>0</v>
      </c>
      <c r="BM26" s="61">
        <f t="shared" si="8"/>
        <v>0</v>
      </c>
      <c r="BN26" s="61">
        <f t="shared" si="8"/>
        <v>0</v>
      </c>
      <c r="BO26" s="61">
        <f t="shared" si="8"/>
        <v>0</v>
      </c>
      <c r="BP26" s="61">
        <f t="shared" si="8"/>
        <v>0</v>
      </c>
      <c r="BQ26" s="61">
        <f t="shared" si="8"/>
        <v>0</v>
      </c>
      <c r="BR26" s="61">
        <f t="shared" si="8"/>
        <v>0</v>
      </c>
      <c r="BS26" s="61">
        <f t="shared" si="9"/>
        <v>0</v>
      </c>
      <c r="BT26" s="61">
        <f t="shared" si="9"/>
        <v>0</v>
      </c>
      <c r="BU26" s="61">
        <f t="shared" si="9"/>
        <v>0</v>
      </c>
      <c r="BV26" s="61">
        <f t="shared" si="9"/>
        <v>0</v>
      </c>
      <c r="BW26" s="61">
        <f t="shared" si="9"/>
        <v>0</v>
      </c>
      <c r="BX26" s="61">
        <f t="shared" si="9"/>
        <v>0</v>
      </c>
      <c r="BY26" s="61">
        <f t="shared" si="9"/>
        <v>0</v>
      </c>
      <c r="BZ26" s="61">
        <f t="shared" si="9"/>
        <v>0</v>
      </c>
      <c r="CA26" s="61">
        <f t="shared" si="9"/>
        <v>0</v>
      </c>
      <c r="CB26" s="61">
        <f t="shared" si="5"/>
        <v>0</v>
      </c>
      <c r="CD26" s="200">
        <f>(SUMIF(Fonctionnement[Affectation matrice],$AB$3,Fonctionnement[TVA acquittée])+SUMIF(Invest[Affectation matrice],$AB$3,Invest[TVA acquittée]))*BC26</f>
        <v>0</v>
      </c>
      <c r="CE26" s="200">
        <f>(SUMIF(Fonctionnement[Affectation matrice],$AB$3,Fonctionnement[TVA acquittée])+SUMIF(Invest[Affectation matrice],$AB$3,Invest[TVA acquittée]))*BD26</f>
        <v>0</v>
      </c>
      <c r="CF26" s="200">
        <f>(SUMIF(Fonctionnement[Affectation matrice],$AB$3,Fonctionnement[TVA acquittée])+SUMIF(Invest[Affectation matrice],$AB$3,Invest[TVA acquittée]))*BE26</f>
        <v>0</v>
      </c>
      <c r="CG26" s="200">
        <f>(SUMIF(Fonctionnement[Affectation matrice],$AB$3,Fonctionnement[TVA acquittée])+SUMIF(Invest[Affectation matrice],$AB$3,Invest[TVA acquittée]))*BF26</f>
        <v>0</v>
      </c>
      <c r="CH26" s="200">
        <f>(SUMIF(Fonctionnement[Affectation matrice],$AB$3,Fonctionnement[TVA acquittée])+SUMIF(Invest[Affectation matrice],$AB$3,Invest[TVA acquittée]))*BG26</f>
        <v>0</v>
      </c>
      <c r="CI26" s="200">
        <f>(SUMIF(Fonctionnement[Affectation matrice],$AB$3,Fonctionnement[TVA acquittée])+SUMIF(Invest[Affectation matrice],$AB$3,Invest[TVA acquittée]))*BH26</f>
        <v>0</v>
      </c>
      <c r="CJ26" s="200">
        <f>(SUMIF(Fonctionnement[Affectation matrice],$AB$3,Fonctionnement[TVA acquittée])+SUMIF(Invest[Affectation matrice],$AB$3,Invest[TVA acquittée]))*BI26</f>
        <v>0</v>
      </c>
      <c r="CK26" s="200">
        <f>(SUMIF(Fonctionnement[Affectation matrice],$AB$3,Fonctionnement[TVA acquittée])+SUMIF(Invest[Affectation matrice],$AB$3,Invest[TVA acquittée]))*BJ26</f>
        <v>0</v>
      </c>
      <c r="CL26" s="200">
        <f>(SUMIF(Fonctionnement[Affectation matrice],$AB$3,Fonctionnement[TVA acquittée])+SUMIF(Invest[Affectation matrice],$AB$3,Invest[TVA acquittée]))*BK26</f>
        <v>0</v>
      </c>
      <c r="CM26" s="200">
        <f>(SUMIF(Fonctionnement[Affectation matrice],$AB$3,Fonctionnement[TVA acquittée])+SUMIF(Invest[Affectation matrice],$AB$3,Invest[TVA acquittée]))*BL26</f>
        <v>0</v>
      </c>
      <c r="CN26" s="200">
        <f>(SUMIF(Fonctionnement[Affectation matrice],$AB$3,Fonctionnement[TVA acquittée])+SUMIF(Invest[Affectation matrice],$AB$3,Invest[TVA acquittée]))*BM26</f>
        <v>0</v>
      </c>
      <c r="CO26" s="200">
        <f>(SUMIF(Fonctionnement[Affectation matrice],$AB$3,Fonctionnement[TVA acquittée])+SUMIF(Invest[Affectation matrice],$AB$3,Invest[TVA acquittée]))*BN26</f>
        <v>0</v>
      </c>
      <c r="CP26" s="200">
        <f>(SUMIF(Fonctionnement[Affectation matrice],$AB$3,Fonctionnement[TVA acquittée])+SUMIF(Invest[Affectation matrice],$AB$3,Invest[TVA acquittée]))*BO26</f>
        <v>0</v>
      </c>
      <c r="CQ26" s="200">
        <f>(SUMIF(Fonctionnement[Affectation matrice],$AB$3,Fonctionnement[TVA acquittée])+SUMIF(Invest[Affectation matrice],$AB$3,Invest[TVA acquittée]))*BP26</f>
        <v>0</v>
      </c>
      <c r="CR26" s="200">
        <f>(SUMIF(Fonctionnement[Affectation matrice],$AB$3,Fonctionnement[TVA acquittée])+SUMIF(Invest[Affectation matrice],$AB$3,Invest[TVA acquittée]))*BQ26</f>
        <v>0</v>
      </c>
      <c r="CS26" s="200">
        <f>(SUMIF(Fonctionnement[Affectation matrice],$AB$3,Fonctionnement[TVA acquittée])+SUMIF(Invest[Affectation matrice],$AB$3,Invest[TVA acquittée]))*BR26</f>
        <v>0</v>
      </c>
      <c r="CT26" s="200">
        <f>(SUMIF(Fonctionnement[Affectation matrice],$AB$3,Fonctionnement[TVA acquittée])+SUMIF(Invest[Affectation matrice],$AB$3,Invest[TVA acquittée]))*BS26</f>
        <v>0</v>
      </c>
      <c r="CU26" s="200">
        <f>(SUMIF(Fonctionnement[Affectation matrice],$AB$3,Fonctionnement[TVA acquittée])+SUMIF(Invest[Affectation matrice],$AB$3,Invest[TVA acquittée]))*BT26</f>
        <v>0</v>
      </c>
      <c r="CV26" s="200">
        <f>(SUMIF(Fonctionnement[Affectation matrice],$AB$3,Fonctionnement[TVA acquittée])+SUMIF(Invest[Affectation matrice],$AB$3,Invest[TVA acquittée]))*BU26</f>
        <v>0</v>
      </c>
      <c r="CW26" s="200">
        <f>(SUMIF(Fonctionnement[Affectation matrice],$AB$3,Fonctionnement[TVA acquittée])+SUMIF(Invest[Affectation matrice],$AB$3,Invest[TVA acquittée]))*BV26</f>
        <v>0</v>
      </c>
      <c r="CX26" s="200">
        <f>(SUMIF(Fonctionnement[Affectation matrice],$AB$3,Fonctionnement[TVA acquittée])+SUMIF(Invest[Affectation matrice],$AB$3,Invest[TVA acquittée]))*BW26</f>
        <v>0</v>
      </c>
      <c r="CY26" s="200">
        <f>(SUMIF(Fonctionnement[Affectation matrice],$AB$3,Fonctionnement[TVA acquittée])+SUMIF(Invest[Affectation matrice],$AB$3,Invest[TVA acquittée]))*BX26</f>
        <v>0</v>
      </c>
      <c r="CZ26" s="200">
        <f>(SUMIF(Fonctionnement[Affectation matrice],$AB$3,Fonctionnement[TVA acquittée])+SUMIF(Invest[Affectation matrice],$AB$3,Invest[TVA acquittée]))*BY26</f>
        <v>0</v>
      </c>
      <c r="DA26" s="200">
        <f>(SUMIF(Fonctionnement[Affectation matrice],$AB$3,Fonctionnement[TVA acquittée])+SUMIF(Invest[Affectation matrice],$AB$3,Invest[TVA acquittée]))*BZ26</f>
        <v>0</v>
      </c>
      <c r="DB26" s="200">
        <f>(SUMIF(Fonctionnement[Affectation matrice],$AB$3,Fonctionnement[TVA acquittée])+SUMIF(Invest[Affectation matrice],$AB$3,Invest[TVA acquittée]))*CA26</f>
        <v>0</v>
      </c>
    </row>
    <row r="27" spans="1:106" s="22" customFormat="1" ht="12.75" hidden="1" customHeight="1" x14ac:dyDescent="0.25">
      <c r="A27" s="42" t="str">
        <f>Matrice[[#This Row],[Ligne de la matrice]]</f>
        <v>Énergie</v>
      </c>
      <c r="B27" s="276">
        <f>(SUMIF(Fonctionnement[Affectation matrice],$AB$3,Fonctionnement[Montant (€HT)])+SUMIF(Invest[Affectation matrice],$AB$3,Invest[Amortissement HT + intérêts]))*BC27</f>
        <v>0</v>
      </c>
      <c r="C27" s="276">
        <f>(SUMIF(Fonctionnement[Affectation matrice],$AB$3,Fonctionnement[Montant (€HT)])+SUMIF(Invest[Affectation matrice],$AB$3,Invest[Amortissement HT + intérêts]))*BD27</f>
        <v>0</v>
      </c>
      <c r="D27" s="276">
        <f>(SUMIF(Fonctionnement[Affectation matrice],$AB$3,Fonctionnement[Montant (€HT)])+SUMIF(Invest[Affectation matrice],$AB$3,Invest[Amortissement HT + intérêts]))*BE27</f>
        <v>0</v>
      </c>
      <c r="E27" s="276">
        <f>(SUMIF(Fonctionnement[Affectation matrice],$AB$3,Fonctionnement[Montant (€HT)])+SUMIF(Invest[Affectation matrice],$AB$3,Invest[Amortissement HT + intérêts]))*BF27</f>
        <v>0</v>
      </c>
      <c r="F27" s="276">
        <f>(SUMIF(Fonctionnement[Affectation matrice],$AB$3,Fonctionnement[Montant (€HT)])+SUMIF(Invest[Affectation matrice],$AB$3,Invest[Amortissement HT + intérêts]))*BG27</f>
        <v>0</v>
      </c>
      <c r="G27" s="276">
        <f>(SUMIF(Fonctionnement[Affectation matrice],$AB$3,Fonctionnement[Montant (€HT)])+SUMIF(Invest[Affectation matrice],$AB$3,Invest[Amortissement HT + intérêts]))*BH27</f>
        <v>0</v>
      </c>
      <c r="H27" s="276">
        <f>(SUMIF(Fonctionnement[Affectation matrice],$AB$3,Fonctionnement[Montant (€HT)])+SUMIF(Invest[Affectation matrice],$AB$3,Invest[Amortissement HT + intérêts]))*BI27</f>
        <v>0</v>
      </c>
      <c r="I27" s="276">
        <f>(SUMIF(Fonctionnement[Affectation matrice],$AB$3,Fonctionnement[Montant (€HT)])+SUMIF(Invest[Affectation matrice],$AB$3,Invest[Amortissement HT + intérêts]))*BJ27</f>
        <v>0</v>
      </c>
      <c r="J27" s="276">
        <f>(SUMIF(Fonctionnement[Affectation matrice],$AB$3,Fonctionnement[Montant (€HT)])+SUMIF(Invest[Affectation matrice],$AB$3,Invest[Amortissement HT + intérêts]))*BK27</f>
        <v>0</v>
      </c>
      <c r="K27" s="276">
        <f>(SUMIF(Fonctionnement[Affectation matrice],$AB$3,Fonctionnement[Montant (€HT)])+SUMIF(Invest[Affectation matrice],$AB$3,Invest[Amortissement HT + intérêts]))*BL27</f>
        <v>0</v>
      </c>
      <c r="L27" s="276">
        <f>(SUMIF(Fonctionnement[Affectation matrice],$AB$3,Fonctionnement[Montant (€HT)])+SUMIF(Invest[Affectation matrice],$AB$3,Invest[Amortissement HT + intérêts]))*BM27</f>
        <v>0</v>
      </c>
      <c r="M27" s="276">
        <f>(SUMIF(Fonctionnement[Affectation matrice],$AB$3,Fonctionnement[Montant (€HT)])+SUMIF(Invest[Affectation matrice],$AB$3,Invest[Amortissement HT + intérêts]))*BN27</f>
        <v>0</v>
      </c>
      <c r="N27" s="276">
        <f>(SUMIF(Fonctionnement[Affectation matrice],$AB$3,Fonctionnement[Montant (€HT)])+SUMIF(Invest[Affectation matrice],$AB$3,Invest[Amortissement HT + intérêts]))*BO27</f>
        <v>0</v>
      </c>
      <c r="O27" s="276">
        <f>(SUMIF(Fonctionnement[Affectation matrice],$AB$3,Fonctionnement[Montant (€HT)])+SUMIF(Invest[Affectation matrice],$AB$3,Invest[Amortissement HT + intérêts]))*BP27</f>
        <v>0</v>
      </c>
      <c r="P27" s="276">
        <f>(SUMIF(Fonctionnement[Affectation matrice],$AB$3,Fonctionnement[Montant (€HT)])+SUMIF(Invest[Affectation matrice],$AB$3,Invest[Amortissement HT + intérêts]))*BQ27</f>
        <v>0</v>
      </c>
      <c r="Q27" s="276">
        <f>(SUMIF(Fonctionnement[Affectation matrice],$AB$3,Fonctionnement[Montant (€HT)])+SUMIF(Invest[Affectation matrice],$AB$3,Invest[Amortissement HT + intérêts]))*BR27</f>
        <v>0</v>
      </c>
      <c r="R27" s="276">
        <f>(SUMIF(Fonctionnement[Affectation matrice],$AB$3,Fonctionnement[Montant (€HT)])+SUMIF(Invest[Affectation matrice],$AB$3,Invest[Amortissement HT + intérêts]))*BS27</f>
        <v>0</v>
      </c>
      <c r="S27" s="276">
        <f>(SUMIF(Fonctionnement[Affectation matrice],$AB$3,Fonctionnement[Montant (€HT)])+SUMIF(Invest[Affectation matrice],$AB$3,Invest[Amortissement HT + intérêts]))*BT27</f>
        <v>0</v>
      </c>
      <c r="T27" s="276">
        <f>(SUMIF(Fonctionnement[Affectation matrice],$AB$3,Fonctionnement[Montant (€HT)])+SUMIF(Invest[Affectation matrice],$AB$3,Invest[Amortissement HT + intérêts]))*BU27</f>
        <v>0</v>
      </c>
      <c r="U27" s="276">
        <f>(SUMIF(Fonctionnement[Affectation matrice],$AB$3,Fonctionnement[Montant (€HT)])+SUMIF(Invest[Affectation matrice],$AB$3,Invest[Amortissement HT + intérêts]))*BV27</f>
        <v>0</v>
      </c>
      <c r="V27" s="276">
        <f>(SUMIF(Fonctionnement[Affectation matrice],$AB$3,Fonctionnement[Montant (€HT)])+SUMIF(Invest[Affectation matrice],$AB$3,Invest[Amortissement HT + intérêts]))*BW27</f>
        <v>0</v>
      </c>
      <c r="W27" s="276">
        <f>(SUMIF(Fonctionnement[Affectation matrice],$AB$3,Fonctionnement[Montant (€HT)])+SUMIF(Invest[Affectation matrice],$AB$3,Invest[Amortissement HT + intérêts]))*BX27</f>
        <v>0</v>
      </c>
      <c r="X27" s="276">
        <f>(SUMIF(Fonctionnement[Affectation matrice],$AB$3,Fonctionnement[Montant (€HT)])+SUMIF(Invest[Affectation matrice],$AB$3,Invest[Amortissement HT + intérêts]))*BY27</f>
        <v>0</v>
      </c>
      <c r="Y27" s="276">
        <f>(SUMIF(Fonctionnement[Affectation matrice],$AB$3,Fonctionnement[Montant (€HT)])+SUMIF(Invest[Affectation matrice],$AB$3,Invest[Amortissement HT + intérêts]))*BZ27</f>
        <v>0</v>
      </c>
      <c r="Z27" s="276">
        <f>(SUMIF(Fonctionnement[Affectation matrice],$AB$3,Fonctionnement[Montant (€HT)])+SUMIF(Invest[Affectation matrice],$AB$3,Invest[Amortissement HT + intérêts]))*CA27</f>
        <v>0</v>
      </c>
      <c r="AA27" s="199"/>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283">
        <f t="shared" si="4"/>
        <v>0</v>
      </c>
      <c r="BB27" s="7"/>
      <c r="BC27" s="61">
        <f t="shared" si="8"/>
        <v>0</v>
      </c>
      <c r="BD27" s="61">
        <f t="shared" si="8"/>
        <v>0</v>
      </c>
      <c r="BE27" s="61">
        <f t="shared" si="8"/>
        <v>0</v>
      </c>
      <c r="BF27" s="61">
        <f t="shared" si="8"/>
        <v>0</v>
      </c>
      <c r="BG27" s="61">
        <f t="shared" si="8"/>
        <v>0</v>
      </c>
      <c r="BH27" s="61">
        <f t="shared" si="8"/>
        <v>0</v>
      </c>
      <c r="BI27" s="61">
        <f t="shared" si="8"/>
        <v>0</v>
      </c>
      <c r="BJ27" s="61">
        <f t="shared" si="8"/>
        <v>0</v>
      </c>
      <c r="BK27" s="61">
        <f t="shared" si="8"/>
        <v>0</v>
      </c>
      <c r="BL27" s="61">
        <f t="shared" si="8"/>
        <v>0</v>
      </c>
      <c r="BM27" s="61">
        <f t="shared" si="8"/>
        <v>0</v>
      </c>
      <c r="BN27" s="61">
        <f t="shared" si="8"/>
        <v>0</v>
      </c>
      <c r="BO27" s="61">
        <f t="shared" si="8"/>
        <v>0</v>
      </c>
      <c r="BP27" s="61">
        <f t="shared" si="8"/>
        <v>0</v>
      </c>
      <c r="BQ27" s="61">
        <f t="shared" si="8"/>
        <v>0</v>
      </c>
      <c r="BR27" s="61">
        <f t="shared" si="8"/>
        <v>0</v>
      </c>
      <c r="BS27" s="61">
        <f t="shared" si="9"/>
        <v>0</v>
      </c>
      <c r="BT27" s="61">
        <f t="shared" si="9"/>
        <v>0</v>
      </c>
      <c r="BU27" s="61">
        <f t="shared" si="9"/>
        <v>0</v>
      </c>
      <c r="BV27" s="61">
        <f t="shared" si="9"/>
        <v>0</v>
      </c>
      <c r="BW27" s="61">
        <f t="shared" si="9"/>
        <v>0</v>
      </c>
      <c r="BX27" s="61">
        <f t="shared" si="9"/>
        <v>0</v>
      </c>
      <c r="BY27" s="61">
        <f t="shared" si="9"/>
        <v>0</v>
      </c>
      <c r="BZ27" s="61">
        <f t="shared" si="9"/>
        <v>0</v>
      </c>
      <c r="CA27" s="61">
        <f t="shared" si="9"/>
        <v>0</v>
      </c>
      <c r="CB27" s="61">
        <f t="shared" si="5"/>
        <v>0</v>
      </c>
      <c r="CD27" s="200">
        <f>(SUMIF(Fonctionnement[Affectation matrice],$AB$3,Fonctionnement[TVA acquittée])+SUMIF(Invest[Affectation matrice],$AB$3,Invest[TVA acquittée]))*BC27</f>
        <v>0</v>
      </c>
      <c r="CE27" s="200">
        <f>(SUMIF(Fonctionnement[Affectation matrice],$AB$3,Fonctionnement[TVA acquittée])+SUMIF(Invest[Affectation matrice],$AB$3,Invest[TVA acquittée]))*BD27</f>
        <v>0</v>
      </c>
      <c r="CF27" s="200">
        <f>(SUMIF(Fonctionnement[Affectation matrice],$AB$3,Fonctionnement[TVA acquittée])+SUMIF(Invest[Affectation matrice],$AB$3,Invest[TVA acquittée]))*BE27</f>
        <v>0</v>
      </c>
      <c r="CG27" s="200">
        <f>(SUMIF(Fonctionnement[Affectation matrice],$AB$3,Fonctionnement[TVA acquittée])+SUMIF(Invest[Affectation matrice],$AB$3,Invest[TVA acquittée]))*BF27</f>
        <v>0</v>
      </c>
      <c r="CH27" s="200">
        <f>(SUMIF(Fonctionnement[Affectation matrice],$AB$3,Fonctionnement[TVA acquittée])+SUMIF(Invest[Affectation matrice],$AB$3,Invest[TVA acquittée]))*BG27</f>
        <v>0</v>
      </c>
      <c r="CI27" s="200">
        <f>(SUMIF(Fonctionnement[Affectation matrice],$AB$3,Fonctionnement[TVA acquittée])+SUMIF(Invest[Affectation matrice],$AB$3,Invest[TVA acquittée]))*BH27</f>
        <v>0</v>
      </c>
      <c r="CJ27" s="200">
        <f>(SUMIF(Fonctionnement[Affectation matrice],$AB$3,Fonctionnement[TVA acquittée])+SUMIF(Invest[Affectation matrice],$AB$3,Invest[TVA acquittée]))*BI27</f>
        <v>0</v>
      </c>
      <c r="CK27" s="200">
        <f>(SUMIF(Fonctionnement[Affectation matrice],$AB$3,Fonctionnement[TVA acquittée])+SUMIF(Invest[Affectation matrice],$AB$3,Invest[TVA acquittée]))*BJ27</f>
        <v>0</v>
      </c>
      <c r="CL27" s="200">
        <f>(SUMIF(Fonctionnement[Affectation matrice],$AB$3,Fonctionnement[TVA acquittée])+SUMIF(Invest[Affectation matrice],$AB$3,Invest[TVA acquittée]))*BK27</f>
        <v>0</v>
      </c>
      <c r="CM27" s="200">
        <f>(SUMIF(Fonctionnement[Affectation matrice],$AB$3,Fonctionnement[TVA acquittée])+SUMIF(Invest[Affectation matrice],$AB$3,Invest[TVA acquittée]))*BL27</f>
        <v>0</v>
      </c>
      <c r="CN27" s="200">
        <f>(SUMIF(Fonctionnement[Affectation matrice],$AB$3,Fonctionnement[TVA acquittée])+SUMIF(Invest[Affectation matrice],$AB$3,Invest[TVA acquittée]))*BM27</f>
        <v>0</v>
      </c>
      <c r="CO27" s="200">
        <f>(SUMIF(Fonctionnement[Affectation matrice],$AB$3,Fonctionnement[TVA acquittée])+SUMIF(Invest[Affectation matrice],$AB$3,Invest[TVA acquittée]))*BN27</f>
        <v>0</v>
      </c>
      <c r="CP27" s="200">
        <f>(SUMIF(Fonctionnement[Affectation matrice],$AB$3,Fonctionnement[TVA acquittée])+SUMIF(Invest[Affectation matrice],$AB$3,Invest[TVA acquittée]))*BO27</f>
        <v>0</v>
      </c>
      <c r="CQ27" s="200">
        <f>(SUMIF(Fonctionnement[Affectation matrice],$AB$3,Fonctionnement[TVA acquittée])+SUMIF(Invest[Affectation matrice],$AB$3,Invest[TVA acquittée]))*BP27</f>
        <v>0</v>
      </c>
      <c r="CR27" s="200">
        <f>(SUMIF(Fonctionnement[Affectation matrice],$AB$3,Fonctionnement[TVA acquittée])+SUMIF(Invest[Affectation matrice],$AB$3,Invest[TVA acquittée]))*BQ27</f>
        <v>0</v>
      </c>
      <c r="CS27" s="200">
        <f>(SUMIF(Fonctionnement[Affectation matrice],$AB$3,Fonctionnement[TVA acquittée])+SUMIF(Invest[Affectation matrice],$AB$3,Invest[TVA acquittée]))*BR27</f>
        <v>0</v>
      </c>
      <c r="CT27" s="200">
        <f>(SUMIF(Fonctionnement[Affectation matrice],$AB$3,Fonctionnement[TVA acquittée])+SUMIF(Invest[Affectation matrice],$AB$3,Invest[TVA acquittée]))*BS27</f>
        <v>0</v>
      </c>
      <c r="CU27" s="200">
        <f>(SUMIF(Fonctionnement[Affectation matrice],$AB$3,Fonctionnement[TVA acquittée])+SUMIF(Invest[Affectation matrice],$AB$3,Invest[TVA acquittée]))*BT27</f>
        <v>0</v>
      </c>
      <c r="CV27" s="200">
        <f>(SUMIF(Fonctionnement[Affectation matrice],$AB$3,Fonctionnement[TVA acquittée])+SUMIF(Invest[Affectation matrice],$AB$3,Invest[TVA acquittée]))*BU27</f>
        <v>0</v>
      </c>
      <c r="CW27" s="200">
        <f>(SUMIF(Fonctionnement[Affectation matrice],$AB$3,Fonctionnement[TVA acquittée])+SUMIF(Invest[Affectation matrice],$AB$3,Invest[TVA acquittée]))*BV27</f>
        <v>0</v>
      </c>
      <c r="CX27" s="200">
        <f>(SUMIF(Fonctionnement[Affectation matrice],$AB$3,Fonctionnement[TVA acquittée])+SUMIF(Invest[Affectation matrice],$AB$3,Invest[TVA acquittée]))*BW27</f>
        <v>0</v>
      </c>
      <c r="CY27" s="200">
        <f>(SUMIF(Fonctionnement[Affectation matrice],$AB$3,Fonctionnement[TVA acquittée])+SUMIF(Invest[Affectation matrice],$AB$3,Invest[TVA acquittée]))*BX27</f>
        <v>0</v>
      </c>
      <c r="CZ27" s="200">
        <f>(SUMIF(Fonctionnement[Affectation matrice],$AB$3,Fonctionnement[TVA acquittée])+SUMIF(Invest[Affectation matrice],$AB$3,Invest[TVA acquittée]))*BY27</f>
        <v>0</v>
      </c>
      <c r="DA27" s="200">
        <f>(SUMIF(Fonctionnement[Affectation matrice],$AB$3,Fonctionnement[TVA acquittée])+SUMIF(Invest[Affectation matrice],$AB$3,Invest[TVA acquittée]))*BZ27</f>
        <v>0</v>
      </c>
      <c r="DB27" s="200">
        <f>(SUMIF(Fonctionnement[Affectation matrice],$AB$3,Fonctionnement[TVA acquittée])+SUMIF(Invest[Affectation matrice],$AB$3,Invest[TVA acquittée]))*CA27</f>
        <v>0</v>
      </c>
    </row>
    <row r="28" spans="1:106" s="22" customFormat="1" ht="12.75" hidden="1" customHeight="1" x14ac:dyDescent="0.25">
      <c r="A28" s="42" t="str">
        <f>Matrice[[#This Row],[Ligne de la matrice]]</f>
        <v>Prestation à des tiers</v>
      </c>
      <c r="B28" s="276">
        <f>(SUMIF(Fonctionnement[Affectation matrice],$AB$3,Fonctionnement[Montant (€HT)])+SUMIF(Invest[Affectation matrice],$AB$3,Invest[Amortissement HT + intérêts]))*BC28</f>
        <v>0</v>
      </c>
      <c r="C28" s="276">
        <f>(SUMIF(Fonctionnement[Affectation matrice],$AB$3,Fonctionnement[Montant (€HT)])+SUMIF(Invest[Affectation matrice],$AB$3,Invest[Amortissement HT + intérêts]))*BD28</f>
        <v>0</v>
      </c>
      <c r="D28" s="276">
        <f>(SUMIF(Fonctionnement[Affectation matrice],$AB$3,Fonctionnement[Montant (€HT)])+SUMIF(Invest[Affectation matrice],$AB$3,Invest[Amortissement HT + intérêts]))*BE28</f>
        <v>0</v>
      </c>
      <c r="E28" s="276">
        <f>(SUMIF(Fonctionnement[Affectation matrice],$AB$3,Fonctionnement[Montant (€HT)])+SUMIF(Invest[Affectation matrice],$AB$3,Invest[Amortissement HT + intérêts]))*BF28</f>
        <v>0</v>
      </c>
      <c r="F28" s="276">
        <f>(SUMIF(Fonctionnement[Affectation matrice],$AB$3,Fonctionnement[Montant (€HT)])+SUMIF(Invest[Affectation matrice],$AB$3,Invest[Amortissement HT + intérêts]))*BG28</f>
        <v>0</v>
      </c>
      <c r="G28" s="276">
        <f>(SUMIF(Fonctionnement[Affectation matrice],$AB$3,Fonctionnement[Montant (€HT)])+SUMIF(Invest[Affectation matrice],$AB$3,Invest[Amortissement HT + intérêts]))*BH28</f>
        <v>0</v>
      </c>
      <c r="H28" s="276">
        <f>(SUMIF(Fonctionnement[Affectation matrice],$AB$3,Fonctionnement[Montant (€HT)])+SUMIF(Invest[Affectation matrice],$AB$3,Invest[Amortissement HT + intérêts]))*BI28</f>
        <v>0</v>
      </c>
      <c r="I28" s="276">
        <f>(SUMIF(Fonctionnement[Affectation matrice],$AB$3,Fonctionnement[Montant (€HT)])+SUMIF(Invest[Affectation matrice],$AB$3,Invest[Amortissement HT + intérêts]))*BJ28</f>
        <v>0</v>
      </c>
      <c r="J28" s="276">
        <f>(SUMIF(Fonctionnement[Affectation matrice],$AB$3,Fonctionnement[Montant (€HT)])+SUMIF(Invest[Affectation matrice],$AB$3,Invest[Amortissement HT + intérêts]))*BK28</f>
        <v>0</v>
      </c>
      <c r="K28" s="276">
        <f>(SUMIF(Fonctionnement[Affectation matrice],$AB$3,Fonctionnement[Montant (€HT)])+SUMIF(Invest[Affectation matrice],$AB$3,Invest[Amortissement HT + intérêts]))*BL28</f>
        <v>0</v>
      </c>
      <c r="L28" s="276">
        <f>(SUMIF(Fonctionnement[Affectation matrice],$AB$3,Fonctionnement[Montant (€HT)])+SUMIF(Invest[Affectation matrice],$AB$3,Invest[Amortissement HT + intérêts]))*BM28</f>
        <v>0</v>
      </c>
      <c r="M28" s="276">
        <f>(SUMIF(Fonctionnement[Affectation matrice],$AB$3,Fonctionnement[Montant (€HT)])+SUMIF(Invest[Affectation matrice],$AB$3,Invest[Amortissement HT + intérêts]))*BN28</f>
        <v>0</v>
      </c>
      <c r="N28" s="276">
        <f>(SUMIF(Fonctionnement[Affectation matrice],$AB$3,Fonctionnement[Montant (€HT)])+SUMIF(Invest[Affectation matrice],$AB$3,Invest[Amortissement HT + intérêts]))*BO28</f>
        <v>0</v>
      </c>
      <c r="O28" s="276">
        <f>(SUMIF(Fonctionnement[Affectation matrice],$AB$3,Fonctionnement[Montant (€HT)])+SUMIF(Invest[Affectation matrice],$AB$3,Invest[Amortissement HT + intérêts]))*BP28</f>
        <v>0</v>
      </c>
      <c r="P28" s="276">
        <f>(SUMIF(Fonctionnement[Affectation matrice],$AB$3,Fonctionnement[Montant (€HT)])+SUMIF(Invest[Affectation matrice],$AB$3,Invest[Amortissement HT + intérêts]))*BQ28</f>
        <v>0</v>
      </c>
      <c r="Q28" s="276">
        <f>(SUMIF(Fonctionnement[Affectation matrice],$AB$3,Fonctionnement[Montant (€HT)])+SUMIF(Invest[Affectation matrice],$AB$3,Invest[Amortissement HT + intérêts]))*BR28</f>
        <v>0</v>
      </c>
      <c r="R28" s="276">
        <f>(SUMIF(Fonctionnement[Affectation matrice],$AB$3,Fonctionnement[Montant (€HT)])+SUMIF(Invest[Affectation matrice],$AB$3,Invest[Amortissement HT + intérêts]))*BS28</f>
        <v>0</v>
      </c>
      <c r="S28" s="276">
        <f>(SUMIF(Fonctionnement[Affectation matrice],$AB$3,Fonctionnement[Montant (€HT)])+SUMIF(Invest[Affectation matrice],$AB$3,Invest[Amortissement HT + intérêts]))*BT28</f>
        <v>0</v>
      </c>
      <c r="T28" s="276">
        <f>(SUMIF(Fonctionnement[Affectation matrice],$AB$3,Fonctionnement[Montant (€HT)])+SUMIF(Invest[Affectation matrice],$AB$3,Invest[Amortissement HT + intérêts]))*BU28</f>
        <v>0</v>
      </c>
      <c r="U28" s="276">
        <f>(SUMIF(Fonctionnement[Affectation matrice],$AB$3,Fonctionnement[Montant (€HT)])+SUMIF(Invest[Affectation matrice],$AB$3,Invest[Amortissement HT + intérêts]))*BV28</f>
        <v>0</v>
      </c>
      <c r="V28" s="276">
        <f>(SUMIF(Fonctionnement[Affectation matrice],$AB$3,Fonctionnement[Montant (€HT)])+SUMIF(Invest[Affectation matrice],$AB$3,Invest[Amortissement HT + intérêts]))*BW28</f>
        <v>0</v>
      </c>
      <c r="W28" s="276">
        <f>(SUMIF(Fonctionnement[Affectation matrice],$AB$3,Fonctionnement[Montant (€HT)])+SUMIF(Invest[Affectation matrice],$AB$3,Invest[Amortissement HT + intérêts]))*BX28</f>
        <v>0</v>
      </c>
      <c r="X28" s="276">
        <f>(SUMIF(Fonctionnement[Affectation matrice],$AB$3,Fonctionnement[Montant (€HT)])+SUMIF(Invest[Affectation matrice],$AB$3,Invest[Amortissement HT + intérêts]))*BY28</f>
        <v>0</v>
      </c>
      <c r="Y28" s="276">
        <f>(SUMIF(Fonctionnement[Affectation matrice],$AB$3,Fonctionnement[Montant (€HT)])+SUMIF(Invest[Affectation matrice],$AB$3,Invest[Amortissement HT + intérêts]))*BZ28</f>
        <v>0</v>
      </c>
      <c r="Z28" s="276">
        <f>(SUMIF(Fonctionnement[Affectation matrice],$AB$3,Fonctionnement[Montant (€HT)])+SUMIF(Invest[Affectation matrice],$AB$3,Invest[Amortissement HT + intérêts]))*CA28</f>
        <v>0</v>
      </c>
      <c r="AA28" s="199"/>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283">
        <f t="shared" si="4"/>
        <v>0</v>
      </c>
      <c r="BB28" s="7"/>
      <c r="BC28" s="61">
        <f t="shared" si="8"/>
        <v>0</v>
      </c>
      <c r="BD28" s="61">
        <f t="shared" si="8"/>
        <v>0</v>
      </c>
      <c r="BE28" s="61">
        <f t="shared" si="8"/>
        <v>0</v>
      </c>
      <c r="BF28" s="61">
        <f t="shared" si="8"/>
        <v>0</v>
      </c>
      <c r="BG28" s="61">
        <f t="shared" si="8"/>
        <v>0</v>
      </c>
      <c r="BH28" s="61">
        <f t="shared" si="8"/>
        <v>0</v>
      </c>
      <c r="BI28" s="61">
        <f t="shared" si="8"/>
        <v>0</v>
      </c>
      <c r="BJ28" s="61">
        <f t="shared" si="8"/>
        <v>0</v>
      </c>
      <c r="BK28" s="61">
        <f t="shared" si="8"/>
        <v>0</v>
      </c>
      <c r="BL28" s="61">
        <f t="shared" si="8"/>
        <v>0</v>
      </c>
      <c r="BM28" s="61">
        <f t="shared" si="8"/>
        <v>0</v>
      </c>
      <c r="BN28" s="61">
        <f t="shared" si="8"/>
        <v>0</v>
      </c>
      <c r="BO28" s="61">
        <f t="shared" si="8"/>
        <v>0</v>
      </c>
      <c r="BP28" s="61">
        <f t="shared" si="8"/>
        <v>0</v>
      </c>
      <c r="BQ28" s="61">
        <f t="shared" si="8"/>
        <v>0</v>
      </c>
      <c r="BR28" s="61">
        <f t="shared" si="8"/>
        <v>0</v>
      </c>
      <c r="BS28" s="61">
        <f t="shared" si="9"/>
        <v>0</v>
      </c>
      <c r="BT28" s="61">
        <f t="shared" si="9"/>
        <v>0</v>
      </c>
      <c r="BU28" s="61">
        <f t="shared" si="9"/>
        <v>0</v>
      </c>
      <c r="BV28" s="61">
        <f t="shared" si="9"/>
        <v>0</v>
      </c>
      <c r="BW28" s="61">
        <f t="shared" si="9"/>
        <v>0</v>
      </c>
      <c r="BX28" s="61">
        <f t="shared" si="9"/>
        <v>0</v>
      </c>
      <c r="BY28" s="61">
        <f t="shared" si="9"/>
        <v>0</v>
      </c>
      <c r="BZ28" s="61">
        <f t="shared" si="9"/>
        <v>0</v>
      </c>
      <c r="CA28" s="61">
        <f t="shared" si="9"/>
        <v>0</v>
      </c>
      <c r="CB28" s="61">
        <f t="shared" si="5"/>
        <v>0</v>
      </c>
      <c r="CD28" s="200">
        <f>(SUMIF(Fonctionnement[Affectation matrice],$AB$3,Fonctionnement[TVA acquittée])+SUMIF(Invest[Affectation matrice],$AB$3,Invest[TVA acquittée]))*BC28</f>
        <v>0</v>
      </c>
      <c r="CE28" s="200">
        <f>(SUMIF(Fonctionnement[Affectation matrice],$AB$3,Fonctionnement[TVA acquittée])+SUMIF(Invest[Affectation matrice],$AB$3,Invest[TVA acquittée]))*BD28</f>
        <v>0</v>
      </c>
      <c r="CF28" s="200">
        <f>(SUMIF(Fonctionnement[Affectation matrice],$AB$3,Fonctionnement[TVA acquittée])+SUMIF(Invest[Affectation matrice],$AB$3,Invest[TVA acquittée]))*BE28</f>
        <v>0</v>
      </c>
      <c r="CG28" s="200">
        <f>(SUMIF(Fonctionnement[Affectation matrice],$AB$3,Fonctionnement[TVA acquittée])+SUMIF(Invest[Affectation matrice],$AB$3,Invest[TVA acquittée]))*BF28</f>
        <v>0</v>
      </c>
      <c r="CH28" s="200">
        <f>(SUMIF(Fonctionnement[Affectation matrice],$AB$3,Fonctionnement[TVA acquittée])+SUMIF(Invest[Affectation matrice],$AB$3,Invest[TVA acquittée]))*BG28</f>
        <v>0</v>
      </c>
      <c r="CI28" s="200">
        <f>(SUMIF(Fonctionnement[Affectation matrice],$AB$3,Fonctionnement[TVA acquittée])+SUMIF(Invest[Affectation matrice],$AB$3,Invest[TVA acquittée]))*BH28</f>
        <v>0</v>
      </c>
      <c r="CJ28" s="200">
        <f>(SUMIF(Fonctionnement[Affectation matrice],$AB$3,Fonctionnement[TVA acquittée])+SUMIF(Invest[Affectation matrice],$AB$3,Invest[TVA acquittée]))*BI28</f>
        <v>0</v>
      </c>
      <c r="CK28" s="200">
        <f>(SUMIF(Fonctionnement[Affectation matrice],$AB$3,Fonctionnement[TVA acquittée])+SUMIF(Invest[Affectation matrice],$AB$3,Invest[TVA acquittée]))*BJ28</f>
        <v>0</v>
      </c>
      <c r="CL28" s="200">
        <f>(SUMIF(Fonctionnement[Affectation matrice],$AB$3,Fonctionnement[TVA acquittée])+SUMIF(Invest[Affectation matrice],$AB$3,Invest[TVA acquittée]))*BK28</f>
        <v>0</v>
      </c>
      <c r="CM28" s="200">
        <f>(SUMIF(Fonctionnement[Affectation matrice],$AB$3,Fonctionnement[TVA acquittée])+SUMIF(Invest[Affectation matrice],$AB$3,Invest[TVA acquittée]))*BL28</f>
        <v>0</v>
      </c>
      <c r="CN28" s="200">
        <f>(SUMIF(Fonctionnement[Affectation matrice],$AB$3,Fonctionnement[TVA acquittée])+SUMIF(Invest[Affectation matrice],$AB$3,Invest[TVA acquittée]))*BM28</f>
        <v>0</v>
      </c>
      <c r="CO28" s="200">
        <f>(SUMIF(Fonctionnement[Affectation matrice],$AB$3,Fonctionnement[TVA acquittée])+SUMIF(Invest[Affectation matrice],$AB$3,Invest[TVA acquittée]))*BN28</f>
        <v>0</v>
      </c>
      <c r="CP28" s="200">
        <f>(SUMIF(Fonctionnement[Affectation matrice],$AB$3,Fonctionnement[TVA acquittée])+SUMIF(Invest[Affectation matrice],$AB$3,Invest[TVA acquittée]))*BO28</f>
        <v>0</v>
      </c>
      <c r="CQ28" s="200">
        <f>(SUMIF(Fonctionnement[Affectation matrice],$AB$3,Fonctionnement[TVA acquittée])+SUMIF(Invest[Affectation matrice],$AB$3,Invest[TVA acquittée]))*BP28</f>
        <v>0</v>
      </c>
      <c r="CR28" s="200">
        <f>(SUMIF(Fonctionnement[Affectation matrice],$AB$3,Fonctionnement[TVA acquittée])+SUMIF(Invest[Affectation matrice],$AB$3,Invest[TVA acquittée]))*BQ28</f>
        <v>0</v>
      </c>
      <c r="CS28" s="200">
        <f>(SUMIF(Fonctionnement[Affectation matrice],$AB$3,Fonctionnement[TVA acquittée])+SUMIF(Invest[Affectation matrice],$AB$3,Invest[TVA acquittée]))*BR28</f>
        <v>0</v>
      </c>
      <c r="CT28" s="200">
        <f>(SUMIF(Fonctionnement[Affectation matrice],$AB$3,Fonctionnement[TVA acquittée])+SUMIF(Invest[Affectation matrice],$AB$3,Invest[TVA acquittée]))*BS28</f>
        <v>0</v>
      </c>
      <c r="CU28" s="200">
        <f>(SUMIF(Fonctionnement[Affectation matrice],$AB$3,Fonctionnement[TVA acquittée])+SUMIF(Invest[Affectation matrice],$AB$3,Invest[TVA acquittée]))*BT28</f>
        <v>0</v>
      </c>
      <c r="CV28" s="200">
        <f>(SUMIF(Fonctionnement[Affectation matrice],$AB$3,Fonctionnement[TVA acquittée])+SUMIF(Invest[Affectation matrice],$AB$3,Invest[TVA acquittée]))*BU28</f>
        <v>0</v>
      </c>
      <c r="CW28" s="200">
        <f>(SUMIF(Fonctionnement[Affectation matrice],$AB$3,Fonctionnement[TVA acquittée])+SUMIF(Invest[Affectation matrice],$AB$3,Invest[TVA acquittée]))*BV28</f>
        <v>0</v>
      </c>
      <c r="CX28" s="200">
        <f>(SUMIF(Fonctionnement[Affectation matrice],$AB$3,Fonctionnement[TVA acquittée])+SUMIF(Invest[Affectation matrice],$AB$3,Invest[TVA acquittée]))*BW28</f>
        <v>0</v>
      </c>
      <c r="CY28" s="200">
        <f>(SUMIF(Fonctionnement[Affectation matrice],$AB$3,Fonctionnement[TVA acquittée])+SUMIF(Invest[Affectation matrice],$AB$3,Invest[TVA acquittée]))*BX28</f>
        <v>0</v>
      </c>
      <c r="CZ28" s="200">
        <f>(SUMIF(Fonctionnement[Affectation matrice],$AB$3,Fonctionnement[TVA acquittée])+SUMIF(Invest[Affectation matrice],$AB$3,Invest[TVA acquittée]))*BY28</f>
        <v>0</v>
      </c>
      <c r="DA28" s="200">
        <f>(SUMIF(Fonctionnement[Affectation matrice],$AB$3,Fonctionnement[TVA acquittée])+SUMIF(Invest[Affectation matrice],$AB$3,Invest[TVA acquittée]))*BZ28</f>
        <v>0</v>
      </c>
      <c r="DB28" s="200">
        <f>(SUMIF(Fonctionnement[Affectation matrice],$AB$3,Fonctionnement[TVA acquittée])+SUMIF(Invest[Affectation matrice],$AB$3,Invest[TVA acquittée]))*CA28</f>
        <v>0</v>
      </c>
    </row>
    <row r="29" spans="1:106" s="22" customFormat="1" ht="12.75" hidden="1" customHeight="1" x14ac:dyDescent="0.25">
      <c r="A29" s="42" t="str">
        <f>Matrice[[#This Row],[Ligne de la matrice]]</f>
        <v>Autres produits</v>
      </c>
      <c r="B29" s="276">
        <f>(SUMIF(Fonctionnement[Affectation matrice],$AB$3,Fonctionnement[Montant (€HT)])+SUMIF(Invest[Affectation matrice],$AB$3,Invest[Amortissement HT + intérêts]))*BC29</f>
        <v>0</v>
      </c>
      <c r="C29" s="276">
        <f>(SUMIF(Fonctionnement[Affectation matrice],$AB$3,Fonctionnement[Montant (€HT)])+SUMIF(Invest[Affectation matrice],$AB$3,Invest[Amortissement HT + intérêts]))*BD29</f>
        <v>0</v>
      </c>
      <c r="D29" s="276">
        <f>(SUMIF(Fonctionnement[Affectation matrice],$AB$3,Fonctionnement[Montant (€HT)])+SUMIF(Invest[Affectation matrice],$AB$3,Invest[Amortissement HT + intérêts]))*BE29</f>
        <v>0</v>
      </c>
      <c r="E29" s="276">
        <f>(SUMIF(Fonctionnement[Affectation matrice],$AB$3,Fonctionnement[Montant (€HT)])+SUMIF(Invest[Affectation matrice],$AB$3,Invest[Amortissement HT + intérêts]))*BF29</f>
        <v>0</v>
      </c>
      <c r="F29" s="276">
        <f>(SUMIF(Fonctionnement[Affectation matrice],$AB$3,Fonctionnement[Montant (€HT)])+SUMIF(Invest[Affectation matrice],$AB$3,Invest[Amortissement HT + intérêts]))*BG29</f>
        <v>0</v>
      </c>
      <c r="G29" s="276">
        <f>(SUMIF(Fonctionnement[Affectation matrice],$AB$3,Fonctionnement[Montant (€HT)])+SUMIF(Invest[Affectation matrice],$AB$3,Invest[Amortissement HT + intérêts]))*BH29</f>
        <v>0</v>
      </c>
      <c r="H29" s="276">
        <f>(SUMIF(Fonctionnement[Affectation matrice],$AB$3,Fonctionnement[Montant (€HT)])+SUMIF(Invest[Affectation matrice],$AB$3,Invest[Amortissement HT + intérêts]))*BI29</f>
        <v>0</v>
      </c>
      <c r="I29" s="276">
        <f>(SUMIF(Fonctionnement[Affectation matrice],$AB$3,Fonctionnement[Montant (€HT)])+SUMIF(Invest[Affectation matrice],$AB$3,Invest[Amortissement HT + intérêts]))*BJ29</f>
        <v>0</v>
      </c>
      <c r="J29" s="276">
        <f>(SUMIF(Fonctionnement[Affectation matrice],$AB$3,Fonctionnement[Montant (€HT)])+SUMIF(Invest[Affectation matrice],$AB$3,Invest[Amortissement HT + intérêts]))*BK29</f>
        <v>0</v>
      </c>
      <c r="K29" s="276">
        <f>(SUMIF(Fonctionnement[Affectation matrice],$AB$3,Fonctionnement[Montant (€HT)])+SUMIF(Invest[Affectation matrice],$AB$3,Invest[Amortissement HT + intérêts]))*BL29</f>
        <v>0</v>
      </c>
      <c r="L29" s="276">
        <f>(SUMIF(Fonctionnement[Affectation matrice],$AB$3,Fonctionnement[Montant (€HT)])+SUMIF(Invest[Affectation matrice],$AB$3,Invest[Amortissement HT + intérêts]))*BM29</f>
        <v>0</v>
      </c>
      <c r="M29" s="276">
        <f>(SUMIF(Fonctionnement[Affectation matrice],$AB$3,Fonctionnement[Montant (€HT)])+SUMIF(Invest[Affectation matrice],$AB$3,Invest[Amortissement HT + intérêts]))*BN29</f>
        <v>0</v>
      </c>
      <c r="N29" s="276">
        <f>(SUMIF(Fonctionnement[Affectation matrice],$AB$3,Fonctionnement[Montant (€HT)])+SUMIF(Invest[Affectation matrice],$AB$3,Invest[Amortissement HT + intérêts]))*BO29</f>
        <v>0</v>
      </c>
      <c r="O29" s="276">
        <f>(SUMIF(Fonctionnement[Affectation matrice],$AB$3,Fonctionnement[Montant (€HT)])+SUMIF(Invest[Affectation matrice],$AB$3,Invest[Amortissement HT + intérêts]))*BP29</f>
        <v>0</v>
      </c>
      <c r="P29" s="276">
        <f>(SUMIF(Fonctionnement[Affectation matrice],$AB$3,Fonctionnement[Montant (€HT)])+SUMIF(Invest[Affectation matrice],$AB$3,Invest[Amortissement HT + intérêts]))*BQ29</f>
        <v>0</v>
      </c>
      <c r="Q29" s="276">
        <f>(SUMIF(Fonctionnement[Affectation matrice],$AB$3,Fonctionnement[Montant (€HT)])+SUMIF(Invest[Affectation matrice],$AB$3,Invest[Amortissement HT + intérêts]))*BR29</f>
        <v>0</v>
      </c>
      <c r="R29" s="276">
        <f>(SUMIF(Fonctionnement[Affectation matrice],$AB$3,Fonctionnement[Montant (€HT)])+SUMIF(Invest[Affectation matrice],$AB$3,Invest[Amortissement HT + intérêts]))*BS29</f>
        <v>0</v>
      </c>
      <c r="S29" s="276">
        <f>(SUMIF(Fonctionnement[Affectation matrice],$AB$3,Fonctionnement[Montant (€HT)])+SUMIF(Invest[Affectation matrice],$AB$3,Invest[Amortissement HT + intérêts]))*BT29</f>
        <v>0</v>
      </c>
      <c r="T29" s="276">
        <f>(SUMIF(Fonctionnement[Affectation matrice],$AB$3,Fonctionnement[Montant (€HT)])+SUMIF(Invest[Affectation matrice],$AB$3,Invest[Amortissement HT + intérêts]))*BU29</f>
        <v>0</v>
      </c>
      <c r="U29" s="276">
        <f>(SUMIF(Fonctionnement[Affectation matrice],$AB$3,Fonctionnement[Montant (€HT)])+SUMIF(Invest[Affectation matrice],$AB$3,Invest[Amortissement HT + intérêts]))*BV29</f>
        <v>0</v>
      </c>
      <c r="V29" s="276">
        <f>(SUMIF(Fonctionnement[Affectation matrice],$AB$3,Fonctionnement[Montant (€HT)])+SUMIF(Invest[Affectation matrice],$AB$3,Invest[Amortissement HT + intérêts]))*BW29</f>
        <v>0</v>
      </c>
      <c r="W29" s="276">
        <f>(SUMIF(Fonctionnement[Affectation matrice],$AB$3,Fonctionnement[Montant (€HT)])+SUMIF(Invest[Affectation matrice],$AB$3,Invest[Amortissement HT + intérêts]))*BX29</f>
        <v>0</v>
      </c>
      <c r="X29" s="276">
        <f>(SUMIF(Fonctionnement[Affectation matrice],$AB$3,Fonctionnement[Montant (€HT)])+SUMIF(Invest[Affectation matrice],$AB$3,Invest[Amortissement HT + intérêts]))*BY29</f>
        <v>0</v>
      </c>
      <c r="Y29" s="276">
        <f>(SUMIF(Fonctionnement[Affectation matrice],$AB$3,Fonctionnement[Montant (€HT)])+SUMIF(Invest[Affectation matrice],$AB$3,Invest[Amortissement HT + intérêts]))*BZ29</f>
        <v>0</v>
      </c>
      <c r="Z29" s="276">
        <f>(SUMIF(Fonctionnement[Affectation matrice],$AB$3,Fonctionnement[Montant (€HT)])+SUMIF(Invest[Affectation matrice],$AB$3,Invest[Amortissement HT + intérêts]))*CA29</f>
        <v>0</v>
      </c>
      <c r="AA29" s="199"/>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283">
        <f t="shared" si="4"/>
        <v>0</v>
      </c>
      <c r="BB29" s="7"/>
      <c r="BC29" s="61">
        <f t="shared" si="8"/>
        <v>0</v>
      </c>
      <c r="BD29" s="61">
        <f t="shared" si="8"/>
        <v>0</v>
      </c>
      <c r="BE29" s="61">
        <f t="shared" si="8"/>
        <v>0</v>
      </c>
      <c r="BF29" s="61">
        <f t="shared" si="8"/>
        <v>0</v>
      </c>
      <c r="BG29" s="61">
        <f t="shared" si="8"/>
        <v>0</v>
      </c>
      <c r="BH29" s="61">
        <f t="shared" si="8"/>
        <v>0</v>
      </c>
      <c r="BI29" s="61">
        <f t="shared" si="8"/>
        <v>0</v>
      </c>
      <c r="BJ29" s="61">
        <f t="shared" si="8"/>
        <v>0</v>
      </c>
      <c r="BK29" s="61">
        <f t="shared" si="8"/>
        <v>0</v>
      </c>
      <c r="BL29" s="61">
        <f t="shared" si="8"/>
        <v>0</v>
      </c>
      <c r="BM29" s="61">
        <f t="shared" si="8"/>
        <v>0</v>
      </c>
      <c r="BN29" s="61">
        <f t="shared" si="8"/>
        <v>0</v>
      </c>
      <c r="BO29" s="61">
        <f t="shared" si="8"/>
        <v>0</v>
      </c>
      <c r="BP29" s="61">
        <f t="shared" si="8"/>
        <v>0</v>
      </c>
      <c r="BQ29" s="61">
        <f t="shared" si="8"/>
        <v>0</v>
      </c>
      <c r="BR29" s="61">
        <f t="shared" si="8"/>
        <v>0</v>
      </c>
      <c r="BS29" s="61">
        <f t="shared" si="9"/>
        <v>0</v>
      </c>
      <c r="BT29" s="61">
        <f t="shared" si="9"/>
        <v>0</v>
      </c>
      <c r="BU29" s="61">
        <f t="shared" si="9"/>
        <v>0</v>
      </c>
      <c r="BV29" s="61">
        <f t="shared" si="9"/>
        <v>0</v>
      </c>
      <c r="BW29" s="61">
        <f t="shared" si="9"/>
        <v>0</v>
      </c>
      <c r="BX29" s="61">
        <f t="shared" si="9"/>
        <v>0</v>
      </c>
      <c r="BY29" s="61">
        <f t="shared" si="9"/>
        <v>0</v>
      </c>
      <c r="BZ29" s="61">
        <f t="shared" si="9"/>
        <v>0</v>
      </c>
      <c r="CA29" s="61">
        <f t="shared" si="9"/>
        <v>0</v>
      </c>
      <c r="CB29" s="61">
        <f t="shared" si="5"/>
        <v>0</v>
      </c>
      <c r="CD29" s="200">
        <f>(SUMIF(Fonctionnement[Affectation matrice],$AB$3,Fonctionnement[TVA acquittée])+SUMIF(Invest[Affectation matrice],$AB$3,Invest[TVA acquittée]))*BC29</f>
        <v>0</v>
      </c>
      <c r="CE29" s="200">
        <f>(SUMIF(Fonctionnement[Affectation matrice],$AB$3,Fonctionnement[TVA acquittée])+SUMIF(Invest[Affectation matrice],$AB$3,Invest[TVA acquittée]))*BD29</f>
        <v>0</v>
      </c>
      <c r="CF29" s="200">
        <f>(SUMIF(Fonctionnement[Affectation matrice],$AB$3,Fonctionnement[TVA acquittée])+SUMIF(Invest[Affectation matrice],$AB$3,Invest[TVA acquittée]))*BE29</f>
        <v>0</v>
      </c>
      <c r="CG29" s="200">
        <f>(SUMIF(Fonctionnement[Affectation matrice],$AB$3,Fonctionnement[TVA acquittée])+SUMIF(Invest[Affectation matrice],$AB$3,Invest[TVA acquittée]))*BF29</f>
        <v>0</v>
      </c>
      <c r="CH29" s="200">
        <f>(SUMIF(Fonctionnement[Affectation matrice],$AB$3,Fonctionnement[TVA acquittée])+SUMIF(Invest[Affectation matrice],$AB$3,Invest[TVA acquittée]))*BG29</f>
        <v>0</v>
      </c>
      <c r="CI29" s="200">
        <f>(SUMIF(Fonctionnement[Affectation matrice],$AB$3,Fonctionnement[TVA acquittée])+SUMIF(Invest[Affectation matrice],$AB$3,Invest[TVA acquittée]))*BH29</f>
        <v>0</v>
      </c>
      <c r="CJ29" s="200">
        <f>(SUMIF(Fonctionnement[Affectation matrice],$AB$3,Fonctionnement[TVA acquittée])+SUMIF(Invest[Affectation matrice],$AB$3,Invest[TVA acquittée]))*BI29</f>
        <v>0</v>
      </c>
      <c r="CK29" s="200">
        <f>(SUMIF(Fonctionnement[Affectation matrice],$AB$3,Fonctionnement[TVA acquittée])+SUMIF(Invest[Affectation matrice],$AB$3,Invest[TVA acquittée]))*BJ29</f>
        <v>0</v>
      </c>
      <c r="CL29" s="200">
        <f>(SUMIF(Fonctionnement[Affectation matrice],$AB$3,Fonctionnement[TVA acquittée])+SUMIF(Invest[Affectation matrice],$AB$3,Invest[TVA acquittée]))*BK29</f>
        <v>0</v>
      </c>
      <c r="CM29" s="200">
        <f>(SUMIF(Fonctionnement[Affectation matrice],$AB$3,Fonctionnement[TVA acquittée])+SUMIF(Invest[Affectation matrice],$AB$3,Invest[TVA acquittée]))*BL29</f>
        <v>0</v>
      </c>
      <c r="CN29" s="200">
        <f>(SUMIF(Fonctionnement[Affectation matrice],$AB$3,Fonctionnement[TVA acquittée])+SUMIF(Invest[Affectation matrice],$AB$3,Invest[TVA acquittée]))*BM29</f>
        <v>0</v>
      </c>
      <c r="CO29" s="200">
        <f>(SUMIF(Fonctionnement[Affectation matrice],$AB$3,Fonctionnement[TVA acquittée])+SUMIF(Invest[Affectation matrice],$AB$3,Invest[TVA acquittée]))*BN29</f>
        <v>0</v>
      </c>
      <c r="CP29" s="200">
        <f>(SUMIF(Fonctionnement[Affectation matrice],$AB$3,Fonctionnement[TVA acquittée])+SUMIF(Invest[Affectation matrice],$AB$3,Invest[TVA acquittée]))*BO29</f>
        <v>0</v>
      </c>
      <c r="CQ29" s="200">
        <f>(SUMIF(Fonctionnement[Affectation matrice],$AB$3,Fonctionnement[TVA acquittée])+SUMIF(Invest[Affectation matrice],$AB$3,Invest[TVA acquittée]))*BP29</f>
        <v>0</v>
      </c>
      <c r="CR29" s="200">
        <f>(SUMIF(Fonctionnement[Affectation matrice],$AB$3,Fonctionnement[TVA acquittée])+SUMIF(Invest[Affectation matrice],$AB$3,Invest[TVA acquittée]))*BQ29</f>
        <v>0</v>
      </c>
      <c r="CS29" s="200">
        <f>(SUMIF(Fonctionnement[Affectation matrice],$AB$3,Fonctionnement[TVA acquittée])+SUMIF(Invest[Affectation matrice],$AB$3,Invest[TVA acquittée]))*BR29</f>
        <v>0</v>
      </c>
      <c r="CT29" s="200">
        <f>(SUMIF(Fonctionnement[Affectation matrice],$AB$3,Fonctionnement[TVA acquittée])+SUMIF(Invest[Affectation matrice],$AB$3,Invest[TVA acquittée]))*BS29</f>
        <v>0</v>
      </c>
      <c r="CU29" s="200">
        <f>(SUMIF(Fonctionnement[Affectation matrice],$AB$3,Fonctionnement[TVA acquittée])+SUMIF(Invest[Affectation matrice],$AB$3,Invest[TVA acquittée]))*BT29</f>
        <v>0</v>
      </c>
      <c r="CV29" s="200">
        <f>(SUMIF(Fonctionnement[Affectation matrice],$AB$3,Fonctionnement[TVA acquittée])+SUMIF(Invest[Affectation matrice],$AB$3,Invest[TVA acquittée]))*BU29</f>
        <v>0</v>
      </c>
      <c r="CW29" s="200">
        <f>(SUMIF(Fonctionnement[Affectation matrice],$AB$3,Fonctionnement[TVA acquittée])+SUMIF(Invest[Affectation matrice],$AB$3,Invest[TVA acquittée]))*BV29</f>
        <v>0</v>
      </c>
      <c r="CX29" s="200">
        <f>(SUMIF(Fonctionnement[Affectation matrice],$AB$3,Fonctionnement[TVA acquittée])+SUMIF(Invest[Affectation matrice],$AB$3,Invest[TVA acquittée]))*BW29</f>
        <v>0</v>
      </c>
      <c r="CY29" s="200">
        <f>(SUMIF(Fonctionnement[Affectation matrice],$AB$3,Fonctionnement[TVA acquittée])+SUMIF(Invest[Affectation matrice],$AB$3,Invest[TVA acquittée]))*BX29</f>
        <v>0</v>
      </c>
      <c r="CZ29" s="200">
        <f>(SUMIF(Fonctionnement[Affectation matrice],$AB$3,Fonctionnement[TVA acquittée])+SUMIF(Invest[Affectation matrice],$AB$3,Invest[TVA acquittée]))*BY29</f>
        <v>0</v>
      </c>
      <c r="DA29" s="200">
        <f>(SUMIF(Fonctionnement[Affectation matrice],$AB$3,Fonctionnement[TVA acquittée])+SUMIF(Invest[Affectation matrice],$AB$3,Invest[TVA acquittée]))*BZ29</f>
        <v>0</v>
      </c>
      <c r="DB29" s="200">
        <f>(SUMIF(Fonctionnement[Affectation matrice],$AB$3,Fonctionnement[TVA acquittée])+SUMIF(Invest[Affectation matrice],$AB$3,Invest[TVA acquittée]))*CA29</f>
        <v>0</v>
      </c>
    </row>
    <row r="30" spans="1:106" s="22" customFormat="1" ht="12.75" hidden="1" customHeight="1" x14ac:dyDescent="0.25">
      <c r="A30" s="42" t="str">
        <f>Matrice[[#This Row],[Ligne de la matrice]]</f>
        <v>Tous soutiens des sociétés agréées</v>
      </c>
      <c r="B30" s="276">
        <f>(SUMIF(Fonctionnement[Affectation matrice],$AB$3,Fonctionnement[Montant (€HT)])+SUMIF(Invest[Affectation matrice],$AB$3,Invest[Amortissement HT + intérêts]))*BC30</f>
        <v>0</v>
      </c>
      <c r="C30" s="276">
        <f>(SUMIF(Fonctionnement[Affectation matrice],$AB$3,Fonctionnement[Montant (€HT)])+SUMIF(Invest[Affectation matrice],$AB$3,Invest[Amortissement HT + intérêts]))*BD30</f>
        <v>0</v>
      </c>
      <c r="D30" s="276">
        <f>(SUMIF(Fonctionnement[Affectation matrice],$AB$3,Fonctionnement[Montant (€HT)])+SUMIF(Invest[Affectation matrice],$AB$3,Invest[Amortissement HT + intérêts]))*BE30</f>
        <v>0</v>
      </c>
      <c r="E30" s="276">
        <f>(SUMIF(Fonctionnement[Affectation matrice],$AB$3,Fonctionnement[Montant (€HT)])+SUMIF(Invest[Affectation matrice],$AB$3,Invest[Amortissement HT + intérêts]))*BF30</f>
        <v>0</v>
      </c>
      <c r="F30" s="276">
        <f>(SUMIF(Fonctionnement[Affectation matrice],$AB$3,Fonctionnement[Montant (€HT)])+SUMIF(Invest[Affectation matrice],$AB$3,Invest[Amortissement HT + intérêts]))*BG30</f>
        <v>0</v>
      </c>
      <c r="G30" s="276">
        <f>(SUMIF(Fonctionnement[Affectation matrice],$AB$3,Fonctionnement[Montant (€HT)])+SUMIF(Invest[Affectation matrice],$AB$3,Invest[Amortissement HT + intérêts]))*BH30</f>
        <v>0</v>
      </c>
      <c r="H30" s="276">
        <f>(SUMIF(Fonctionnement[Affectation matrice],$AB$3,Fonctionnement[Montant (€HT)])+SUMIF(Invest[Affectation matrice],$AB$3,Invest[Amortissement HT + intérêts]))*BI30</f>
        <v>0</v>
      </c>
      <c r="I30" s="276">
        <f>(SUMIF(Fonctionnement[Affectation matrice],$AB$3,Fonctionnement[Montant (€HT)])+SUMIF(Invest[Affectation matrice],$AB$3,Invest[Amortissement HT + intérêts]))*BJ30</f>
        <v>0</v>
      </c>
      <c r="J30" s="276">
        <f>(SUMIF(Fonctionnement[Affectation matrice],$AB$3,Fonctionnement[Montant (€HT)])+SUMIF(Invest[Affectation matrice],$AB$3,Invest[Amortissement HT + intérêts]))*BK30</f>
        <v>0</v>
      </c>
      <c r="K30" s="276">
        <f>(SUMIF(Fonctionnement[Affectation matrice],$AB$3,Fonctionnement[Montant (€HT)])+SUMIF(Invest[Affectation matrice],$AB$3,Invest[Amortissement HT + intérêts]))*BL30</f>
        <v>0</v>
      </c>
      <c r="L30" s="276">
        <f>(SUMIF(Fonctionnement[Affectation matrice],$AB$3,Fonctionnement[Montant (€HT)])+SUMIF(Invest[Affectation matrice],$AB$3,Invest[Amortissement HT + intérêts]))*BM30</f>
        <v>0</v>
      </c>
      <c r="M30" s="276">
        <f>(SUMIF(Fonctionnement[Affectation matrice],$AB$3,Fonctionnement[Montant (€HT)])+SUMIF(Invest[Affectation matrice],$AB$3,Invest[Amortissement HT + intérêts]))*BN30</f>
        <v>0</v>
      </c>
      <c r="N30" s="276">
        <f>(SUMIF(Fonctionnement[Affectation matrice],$AB$3,Fonctionnement[Montant (€HT)])+SUMIF(Invest[Affectation matrice],$AB$3,Invest[Amortissement HT + intérêts]))*BO30</f>
        <v>0</v>
      </c>
      <c r="O30" s="276">
        <f>(SUMIF(Fonctionnement[Affectation matrice],$AB$3,Fonctionnement[Montant (€HT)])+SUMIF(Invest[Affectation matrice],$AB$3,Invest[Amortissement HT + intérêts]))*BP30</f>
        <v>0</v>
      </c>
      <c r="P30" s="276">
        <f>(SUMIF(Fonctionnement[Affectation matrice],$AB$3,Fonctionnement[Montant (€HT)])+SUMIF(Invest[Affectation matrice],$AB$3,Invest[Amortissement HT + intérêts]))*BQ30</f>
        <v>0</v>
      </c>
      <c r="Q30" s="276">
        <f>(SUMIF(Fonctionnement[Affectation matrice],$AB$3,Fonctionnement[Montant (€HT)])+SUMIF(Invest[Affectation matrice],$AB$3,Invest[Amortissement HT + intérêts]))*BR30</f>
        <v>0</v>
      </c>
      <c r="R30" s="276">
        <f>(SUMIF(Fonctionnement[Affectation matrice],$AB$3,Fonctionnement[Montant (€HT)])+SUMIF(Invest[Affectation matrice],$AB$3,Invest[Amortissement HT + intérêts]))*BS30</f>
        <v>0</v>
      </c>
      <c r="S30" s="276">
        <f>(SUMIF(Fonctionnement[Affectation matrice],$AB$3,Fonctionnement[Montant (€HT)])+SUMIF(Invest[Affectation matrice],$AB$3,Invest[Amortissement HT + intérêts]))*BT30</f>
        <v>0</v>
      </c>
      <c r="T30" s="276">
        <f>(SUMIF(Fonctionnement[Affectation matrice],$AB$3,Fonctionnement[Montant (€HT)])+SUMIF(Invest[Affectation matrice],$AB$3,Invest[Amortissement HT + intérêts]))*BU30</f>
        <v>0</v>
      </c>
      <c r="U30" s="276">
        <f>(SUMIF(Fonctionnement[Affectation matrice],$AB$3,Fonctionnement[Montant (€HT)])+SUMIF(Invest[Affectation matrice],$AB$3,Invest[Amortissement HT + intérêts]))*BV30</f>
        <v>0</v>
      </c>
      <c r="V30" s="276">
        <f>(SUMIF(Fonctionnement[Affectation matrice],$AB$3,Fonctionnement[Montant (€HT)])+SUMIF(Invest[Affectation matrice],$AB$3,Invest[Amortissement HT + intérêts]))*BW30</f>
        <v>0</v>
      </c>
      <c r="W30" s="276">
        <f>(SUMIF(Fonctionnement[Affectation matrice],$AB$3,Fonctionnement[Montant (€HT)])+SUMIF(Invest[Affectation matrice],$AB$3,Invest[Amortissement HT + intérêts]))*BX30</f>
        <v>0</v>
      </c>
      <c r="X30" s="276">
        <f>(SUMIF(Fonctionnement[Affectation matrice],$AB$3,Fonctionnement[Montant (€HT)])+SUMIF(Invest[Affectation matrice],$AB$3,Invest[Amortissement HT + intérêts]))*BY30</f>
        <v>0</v>
      </c>
      <c r="Y30" s="276">
        <f>(SUMIF(Fonctionnement[Affectation matrice],$AB$3,Fonctionnement[Montant (€HT)])+SUMIF(Invest[Affectation matrice],$AB$3,Invest[Amortissement HT + intérêts]))*BZ30</f>
        <v>0</v>
      </c>
      <c r="Z30" s="276">
        <f>(SUMIF(Fonctionnement[Affectation matrice],$AB$3,Fonctionnement[Montant (€HT)])+SUMIF(Invest[Affectation matrice],$AB$3,Invest[Amortissement HT + intérêts]))*CA30</f>
        <v>0</v>
      </c>
      <c r="AA30" s="199"/>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283">
        <f t="shared" si="4"/>
        <v>0</v>
      </c>
      <c r="BB30" s="7"/>
      <c r="BC30" s="61">
        <f t="shared" si="8"/>
        <v>0</v>
      </c>
      <c r="BD30" s="61">
        <f t="shared" si="8"/>
        <v>0</v>
      </c>
      <c r="BE30" s="61">
        <f t="shared" si="8"/>
        <v>0</v>
      </c>
      <c r="BF30" s="61">
        <f t="shared" si="8"/>
        <v>0</v>
      </c>
      <c r="BG30" s="61">
        <f t="shared" si="8"/>
        <v>0</v>
      </c>
      <c r="BH30" s="61">
        <f t="shared" si="8"/>
        <v>0</v>
      </c>
      <c r="BI30" s="61">
        <f t="shared" si="8"/>
        <v>0</v>
      </c>
      <c r="BJ30" s="61">
        <f t="shared" si="8"/>
        <v>0</v>
      </c>
      <c r="BK30" s="61">
        <f t="shared" si="8"/>
        <v>0</v>
      </c>
      <c r="BL30" s="61">
        <f t="shared" si="8"/>
        <v>0</v>
      </c>
      <c r="BM30" s="61">
        <f t="shared" si="8"/>
        <v>0</v>
      </c>
      <c r="BN30" s="61">
        <f t="shared" si="8"/>
        <v>0</v>
      </c>
      <c r="BO30" s="61">
        <f t="shared" si="8"/>
        <v>0</v>
      </c>
      <c r="BP30" s="61">
        <f t="shared" si="8"/>
        <v>0</v>
      </c>
      <c r="BQ30" s="61">
        <f t="shared" si="8"/>
        <v>0</v>
      </c>
      <c r="BR30" s="61">
        <f t="shared" si="8"/>
        <v>0</v>
      </c>
      <c r="BS30" s="61">
        <f t="shared" si="9"/>
        <v>0</v>
      </c>
      <c r="BT30" s="61">
        <f t="shared" si="9"/>
        <v>0</v>
      </c>
      <c r="BU30" s="61">
        <f t="shared" si="9"/>
        <v>0</v>
      </c>
      <c r="BV30" s="61">
        <f t="shared" si="9"/>
        <v>0</v>
      </c>
      <c r="BW30" s="61">
        <f t="shared" si="9"/>
        <v>0</v>
      </c>
      <c r="BX30" s="61">
        <f t="shared" si="9"/>
        <v>0</v>
      </c>
      <c r="BY30" s="61">
        <f t="shared" si="9"/>
        <v>0</v>
      </c>
      <c r="BZ30" s="61">
        <f t="shared" si="9"/>
        <v>0</v>
      </c>
      <c r="CA30" s="61">
        <f t="shared" si="9"/>
        <v>0</v>
      </c>
      <c r="CB30" s="61">
        <f t="shared" si="5"/>
        <v>0</v>
      </c>
      <c r="CD30" s="200">
        <f>(SUMIF(Fonctionnement[Affectation matrice],$AB$3,Fonctionnement[TVA acquittée])+SUMIF(Invest[Affectation matrice],$AB$3,Invest[TVA acquittée]))*BC30</f>
        <v>0</v>
      </c>
      <c r="CE30" s="200">
        <f>(SUMIF(Fonctionnement[Affectation matrice],$AB$3,Fonctionnement[TVA acquittée])+SUMIF(Invest[Affectation matrice],$AB$3,Invest[TVA acquittée]))*BD30</f>
        <v>0</v>
      </c>
      <c r="CF30" s="200">
        <f>(SUMIF(Fonctionnement[Affectation matrice],$AB$3,Fonctionnement[TVA acquittée])+SUMIF(Invest[Affectation matrice],$AB$3,Invest[TVA acquittée]))*BE30</f>
        <v>0</v>
      </c>
      <c r="CG30" s="200">
        <f>(SUMIF(Fonctionnement[Affectation matrice],$AB$3,Fonctionnement[TVA acquittée])+SUMIF(Invest[Affectation matrice],$AB$3,Invest[TVA acquittée]))*BF30</f>
        <v>0</v>
      </c>
      <c r="CH30" s="200">
        <f>(SUMIF(Fonctionnement[Affectation matrice],$AB$3,Fonctionnement[TVA acquittée])+SUMIF(Invest[Affectation matrice],$AB$3,Invest[TVA acquittée]))*BG30</f>
        <v>0</v>
      </c>
      <c r="CI30" s="200">
        <f>(SUMIF(Fonctionnement[Affectation matrice],$AB$3,Fonctionnement[TVA acquittée])+SUMIF(Invest[Affectation matrice],$AB$3,Invest[TVA acquittée]))*BH30</f>
        <v>0</v>
      </c>
      <c r="CJ30" s="200">
        <f>(SUMIF(Fonctionnement[Affectation matrice],$AB$3,Fonctionnement[TVA acquittée])+SUMIF(Invest[Affectation matrice],$AB$3,Invest[TVA acquittée]))*BI30</f>
        <v>0</v>
      </c>
      <c r="CK30" s="200">
        <f>(SUMIF(Fonctionnement[Affectation matrice],$AB$3,Fonctionnement[TVA acquittée])+SUMIF(Invest[Affectation matrice],$AB$3,Invest[TVA acquittée]))*BJ30</f>
        <v>0</v>
      </c>
      <c r="CL30" s="200">
        <f>(SUMIF(Fonctionnement[Affectation matrice],$AB$3,Fonctionnement[TVA acquittée])+SUMIF(Invest[Affectation matrice],$AB$3,Invest[TVA acquittée]))*BK30</f>
        <v>0</v>
      </c>
      <c r="CM30" s="200">
        <f>(SUMIF(Fonctionnement[Affectation matrice],$AB$3,Fonctionnement[TVA acquittée])+SUMIF(Invest[Affectation matrice],$AB$3,Invest[TVA acquittée]))*BL30</f>
        <v>0</v>
      </c>
      <c r="CN30" s="200">
        <f>(SUMIF(Fonctionnement[Affectation matrice],$AB$3,Fonctionnement[TVA acquittée])+SUMIF(Invest[Affectation matrice],$AB$3,Invest[TVA acquittée]))*BM30</f>
        <v>0</v>
      </c>
      <c r="CO30" s="200">
        <f>(SUMIF(Fonctionnement[Affectation matrice],$AB$3,Fonctionnement[TVA acquittée])+SUMIF(Invest[Affectation matrice],$AB$3,Invest[TVA acquittée]))*BN30</f>
        <v>0</v>
      </c>
      <c r="CP30" s="200">
        <f>(SUMIF(Fonctionnement[Affectation matrice],$AB$3,Fonctionnement[TVA acquittée])+SUMIF(Invest[Affectation matrice],$AB$3,Invest[TVA acquittée]))*BO30</f>
        <v>0</v>
      </c>
      <c r="CQ30" s="200">
        <f>(SUMIF(Fonctionnement[Affectation matrice],$AB$3,Fonctionnement[TVA acquittée])+SUMIF(Invest[Affectation matrice],$AB$3,Invest[TVA acquittée]))*BP30</f>
        <v>0</v>
      </c>
      <c r="CR30" s="200">
        <f>(SUMIF(Fonctionnement[Affectation matrice],$AB$3,Fonctionnement[TVA acquittée])+SUMIF(Invest[Affectation matrice],$AB$3,Invest[TVA acquittée]))*BQ30</f>
        <v>0</v>
      </c>
      <c r="CS30" s="200">
        <f>(SUMIF(Fonctionnement[Affectation matrice],$AB$3,Fonctionnement[TVA acquittée])+SUMIF(Invest[Affectation matrice],$AB$3,Invest[TVA acquittée]))*BR30</f>
        <v>0</v>
      </c>
      <c r="CT30" s="200">
        <f>(SUMIF(Fonctionnement[Affectation matrice],$AB$3,Fonctionnement[TVA acquittée])+SUMIF(Invest[Affectation matrice],$AB$3,Invest[TVA acquittée]))*BS30</f>
        <v>0</v>
      </c>
      <c r="CU30" s="200">
        <f>(SUMIF(Fonctionnement[Affectation matrice],$AB$3,Fonctionnement[TVA acquittée])+SUMIF(Invest[Affectation matrice],$AB$3,Invest[TVA acquittée]))*BT30</f>
        <v>0</v>
      </c>
      <c r="CV30" s="200">
        <f>(SUMIF(Fonctionnement[Affectation matrice],$AB$3,Fonctionnement[TVA acquittée])+SUMIF(Invest[Affectation matrice],$AB$3,Invest[TVA acquittée]))*BU30</f>
        <v>0</v>
      </c>
      <c r="CW30" s="200">
        <f>(SUMIF(Fonctionnement[Affectation matrice],$AB$3,Fonctionnement[TVA acquittée])+SUMIF(Invest[Affectation matrice],$AB$3,Invest[TVA acquittée]))*BV30</f>
        <v>0</v>
      </c>
      <c r="CX30" s="200">
        <f>(SUMIF(Fonctionnement[Affectation matrice],$AB$3,Fonctionnement[TVA acquittée])+SUMIF(Invest[Affectation matrice],$AB$3,Invest[TVA acquittée]))*BW30</f>
        <v>0</v>
      </c>
      <c r="CY30" s="200">
        <f>(SUMIF(Fonctionnement[Affectation matrice],$AB$3,Fonctionnement[TVA acquittée])+SUMIF(Invest[Affectation matrice],$AB$3,Invest[TVA acquittée]))*BX30</f>
        <v>0</v>
      </c>
      <c r="CZ30" s="200">
        <f>(SUMIF(Fonctionnement[Affectation matrice],$AB$3,Fonctionnement[TVA acquittée])+SUMIF(Invest[Affectation matrice],$AB$3,Invest[TVA acquittée]))*BY30</f>
        <v>0</v>
      </c>
      <c r="DA30" s="200">
        <f>(SUMIF(Fonctionnement[Affectation matrice],$AB$3,Fonctionnement[TVA acquittée])+SUMIF(Invest[Affectation matrice],$AB$3,Invest[TVA acquittée]))*BZ30</f>
        <v>0</v>
      </c>
      <c r="DB30" s="200">
        <f>(SUMIF(Fonctionnement[Affectation matrice],$AB$3,Fonctionnement[TVA acquittée])+SUMIF(Invest[Affectation matrice],$AB$3,Invest[TVA acquittée]))*CA30</f>
        <v>0</v>
      </c>
    </row>
    <row r="31" spans="1:106" s="22" customFormat="1" ht="12.75" hidden="1" customHeight="1" x14ac:dyDescent="0.25">
      <c r="A31" s="42" t="str">
        <f>Matrice[[#This Row],[Ligne de la matrice]]</f>
        <v>Reprises des subventions d'investissement</v>
      </c>
      <c r="B31" s="276">
        <f>(SUMIF(Fonctionnement[Affectation matrice],$AB$3,Fonctionnement[Montant (€HT)])+SUMIF(Invest[Affectation matrice],$AB$3,Invest[Amortissement HT + intérêts]))*BC31</f>
        <v>0</v>
      </c>
      <c r="C31" s="276">
        <f>(SUMIF(Fonctionnement[Affectation matrice],$AB$3,Fonctionnement[Montant (€HT)])+SUMIF(Invest[Affectation matrice],$AB$3,Invest[Amortissement HT + intérêts]))*BD31</f>
        <v>0</v>
      </c>
      <c r="D31" s="276">
        <f>(SUMIF(Fonctionnement[Affectation matrice],$AB$3,Fonctionnement[Montant (€HT)])+SUMIF(Invest[Affectation matrice],$AB$3,Invest[Amortissement HT + intérêts]))*BE31</f>
        <v>0</v>
      </c>
      <c r="E31" s="276">
        <f>(SUMIF(Fonctionnement[Affectation matrice],$AB$3,Fonctionnement[Montant (€HT)])+SUMIF(Invest[Affectation matrice],$AB$3,Invest[Amortissement HT + intérêts]))*BF31</f>
        <v>0</v>
      </c>
      <c r="F31" s="276">
        <f>(SUMIF(Fonctionnement[Affectation matrice],$AB$3,Fonctionnement[Montant (€HT)])+SUMIF(Invest[Affectation matrice],$AB$3,Invest[Amortissement HT + intérêts]))*BG31</f>
        <v>0</v>
      </c>
      <c r="G31" s="276">
        <f>(SUMIF(Fonctionnement[Affectation matrice],$AB$3,Fonctionnement[Montant (€HT)])+SUMIF(Invest[Affectation matrice],$AB$3,Invest[Amortissement HT + intérêts]))*BH31</f>
        <v>0</v>
      </c>
      <c r="H31" s="276">
        <f>(SUMIF(Fonctionnement[Affectation matrice],$AB$3,Fonctionnement[Montant (€HT)])+SUMIF(Invest[Affectation matrice],$AB$3,Invest[Amortissement HT + intérêts]))*BI31</f>
        <v>0</v>
      </c>
      <c r="I31" s="276">
        <f>(SUMIF(Fonctionnement[Affectation matrice],$AB$3,Fonctionnement[Montant (€HT)])+SUMIF(Invest[Affectation matrice],$AB$3,Invest[Amortissement HT + intérêts]))*BJ31</f>
        <v>0</v>
      </c>
      <c r="J31" s="276">
        <f>(SUMIF(Fonctionnement[Affectation matrice],$AB$3,Fonctionnement[Montant (€HT)])+SUMIF(Invest[Affectation matrice],$AB$3,Invest[Amortissement HT + intérêts]))*BK31</f>
        <v>0</v>
      </c>
      <c r="K31" s="276">
        <f>(SUMIF(Fonctionnement[Affectation matrice],$AB$3,Fonctionnement[Montant (€HT)])+SUMIF(Invest[Affectation matrice],$AB$3,Invest[Amortissement HT + intérêts]))*BL31</f>
        <v>0</v>
      </c>
      <c r="L31" s="276">
        <f>(SUMIF(Fonctionnement[Affectation matrice],$AB$3,Fonctionnement[Montant (€HT)])+SUMIF(Invest[Affectation matrice],$AB$3,Invest[Amortissement HT + intérêts]))*BM31</f>
        <v>0</v>
      </c>
      <c r="M31" s="276">
        <f>(SUMIF(Fonctionnement[Affectation matrice],$AB$3,Fonctionnement[Montant (€HT)])+SUMIF(Invest[Affectation matrice],$AB$3,Invest[Amortissement HT + intérêts]))*BN31</f>
        <v>0</v>
      </c>
      <c r="N31" s="276">
        <f>(SUMIF(Fonctionnement[Affectation matrice],$AB$3,Fonctionnement[Montant (€HT)])+SUMIF(Invest[Affectation matrice],$AB$3,Invest[Amortissement HT + intérêts]))*BO31</f>
        <v>0</v>
      </c>
      <c r="O31" s="276">
        <f>(SUMIF(Fonctionnement[Affectation matrice],$AB$3,Fonctionnement[Montant (€HT)])+SUMIF(Invest[Affectation matrice],$AB$3,Invest[Amortissement HT + intérêts]))*BP31</f>
        <v>0</v>
      </c>
      <c r="P31" s="276">
        <f>(SUMIF(Fonctionnement[Affectation matrice],$AB$3,Fonctionnement[Montant (€HT)])+SUMIF(Invest[Affectation matrice],$AB$3,Invest[Amortissement HT + intérêts]))*BQ31</f>
        <v>0</v>
      </c>
      <c r="Q31" s="276">
        <f>(SUMIF(Fonctionnement[Affectation matrice],$AB$3,Fonctionnement[Montant (€HT)])+SUMIF(Invest[Affectation matrice],$AB$3,Invest[Amortissement HT + intérêts]))*BR31</f>
        <v>0</v>
      </c>
      <c r="R31" s="276">
        <f>(SUMIF(Fonctionnement[Affectation matrice],$AB$3,Fonctionnement[Montant (€HT)])+SUMIF(Invest[Affectation matrice],$AB$3,Invest[Amortissement HT + intérêts]))*BS31</f>
        <v>0</v>
      </c>
      <c r="S31" s="276">
        <f>(SUMIF(Fonctionnement[Affectation matrice],$AB$3,Fonctionnement[Montant (€HT)])+SUMIF(Invest[Affectation matrice],$AB$3,Invest[Amortissement HT + intérêts]))*BT31</f>
        <v>0</v>
      </c>
      <c r="T31" s="276">
        <f>(SUMIF(Fonctionnement[Affectation matrice],$AB$3,Fonctionnement[Montant (€HT)])+SUMIF(Invest[Affectation matrice],$AB$3,Invest[Amortissement HT + intérêts]))*BU31</f>
        <v>0</v>
      </c>
      <c r="U31" s="276">
        <f>(SUMIF(Fonctionnement[Affectation matrice],$AB$3,Fonctionnement[Montant (€HT)])+SUMIF(Invest[Affectation matrice],$AB$3,Invest[Amortissement HT + intérêts]))*BV31</f>
        <v>0</v>
      </c>
      <c r="V31" s="276">
        <f>(SUMIF(Fonctionnement[Affectation matrice],$AB$3,Fonctionnement[Montant (€HT)])+SUMIF(Invest[Affectation matrice],$AB$3,Invest[Amortissement HT + intérêts]))*BW31</f>
        <v>0</v>
      </c>
      <c r="W31" s="276">
        <f>(SUMIF(Fonctionnement[Affectation matrice],$AB$3,Fonctionnement[Montant (€HT)])+SUMIF(Invest[Affectation matrice],$AB$3,Invest[Amortissement HT + intérêts]))*BX31</f>
        <v>0</v>
      </c>
      <c r="X31" s="276">
        <f>(SUMIF(Fonctionnement[Affectation matrice],$AB$3,Fonctionnement[Montant (€HT)])+SUMIF(Invest[Affectation matrice],$AB$3,Invest[Amortissement HT + intérêts]))*BY31</f>
        <v>0</v>
      </c>
      <c r="Y31" s="276">
        <f>(SUMIF(Fonctionnement[Affectation matrice],$AB$3,Fonctionnement[Montant (€HT)])+SUMIF(Invest[Affectation matrice],$AB$3,Invest[Amortissement HT + intérêts]))*BZ31</f>
        <v>0</v>
      </c>
      <c r="Z31" s="276">
        <f>(SUMIF(Fonctionnement[Affectation matrice],$AB$3,Fonctionnement[Montant (€HT)])+SUMIF(Invest[Affectation matrice],$AB$3,Invest[Amortissement HT + intérêts]))*CA31</f>
        <v>0</v>
      </c>
      <c r="AA31" s="199"/>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283">
        <f t="shared" si="4"/>
        <v>0</v>
      </c>
      <c r="BB31" s="7"/>
      <c r="BC31" s="61">
        <f t="shared" si="8"/>
        <v>0</v>
      </c>
      <c r="BD31" s="61">
        <f t="shared" si="8"/>
        <v>0</v>
      </c>
      <c r="BE31" s="61">
        <f t="shared" si="8"/>
        <v>0</v>
      </c>
      <c r="BF31" s="61">
        <f t="shared" si="8"/>
        <v>0</v>
      </c>
      <c r="BG31" s="61">
        <f t="shared" si="8"/>
        <v>0</v>
      </c>
      <c r="BH31" s="61">
        <f t="shared" si="8"/>
        <v>0</v>
      </c>
      <c r="BI31" s="61">
        <f t="shared" si="8"/>
        <v>0</v>
      </c>
      <c r="BJ31" s="61">
        <f t="shared" si="8"/>
        <v>0</v>
      </c>
      <c r="BK31" s="61">
        <f t="shared" si="8"/>
        <v>0</v>
      </c>
      <c r="BL31" s="61">
        <f t="shared" si="8"/>
        <v>0</v>
      </c>
      <c r="BM31" s="61">
        <f t="shared" si="8"/>
        <v>0</v>
      </c>
      <c r="BN31" s="61">
        <f t="shared" si="8"/>
        <v>0</v>
      </c>
      <c r="BO31" s="61">
        <f t="shared" si="8"/>
        <v>0</v>
      </c>
      <c r="BP31" s="61">
        <f t="shared" si="8"/>
        <v>0</v>
      </c>
      <c r="BQ31" s="61">
        <f t="shared" si="8"/>
        <v>0</v>
      </c>
      <c r="BR31" s="61">
        <f t="shared" si="8"/>
        <v>0</v>
      </c>
      <c r="BS31" s="61">
        <f t="shared" si="9"/>
        <v>0</v>
      </c>
      <c r="BT31" s="61">
        <f t="shared" si="9"/>
        <v>0</v>
      </c>
      <c r="BU31" s="61">
        <f t="shared" si="9"/>
        <v>0</v>
      </c>
      <c r="BV31" s="61">
        <f t="shared" si="9"/>
        <v>0</v>
      </c>
      <c r="BW31" s="61">
        <f t="shared" si="9"/>
        <v>0</v>
      </c>
      <c r="BX31" s="61">
        <f t="shared" si="9"/>
        <v>0</v>
      </c>
      <c r="BY31" s="61">
        <f t="shared" si="9"/>
        <v>0</v>
      </c>
      <c r="BZ31" s="61">
        <f t="shared" si="9"/>
        <v>0</v>
      </c>
      <c r="CA31" s="61">
        <f t="shared" si="9"/>
        <v>0</v>
      </c>
      <c r="CB31" s="61">
        <f t="shared" si="5"/>
        <v>0</v>
      </c>
      <c r="CD31" s="200">
        <f>(SUMIF(Fonctionnement[Affectation matrice],$AB$3,Fonctionnement[TVA acquittée])+SUMIF(Invest[Affectation matrice],$AB$3,Invest[TVA acquittée]))*BC31</f>
        <v>0</v>
      </c>
      <c r="CE31" s="200">
        <f>(SUMIF(Fonctionnement[Affectation matrice],$AB$3,Fonctionnement[TVA acquittée])+SUMIF(Invest[Affectation matrice],$AB$3,Invest[TVA acquittée]))*BD31</f>
        <v>0</v>
      </c>
      <c r="CF31" s="200">
        <f>(SUMIF(Fonctionnement[Affectation matrice],$AB$3,Fonctionnement[TVA acquittée])+SUMIF(Invest[Affectation matrice],$AB$3,Invest[TVA acquittée]))*BE31</f>
        <v>0</v>
      </c>
      <c r="CG31" s="200">
        <f>(SUMIF(Fonctionnement[Affectation matrice],$AB$3,Fonctionnement[TVA acquittée])+SUMIF(Invest[Affectation matrice],$AB$3,Invest[TVA acquittée]))*BF31</f>
        <v>0</v>
      </c>
      <c r="CH31" s="200">
        <f>(SUMIF(Fonctionnement[Affectation matrice],$AB$3,Fonctionnement[TVA acquittée])+SUMIF(Invest[Affectation matrice],$AB$3,Invest[TVA acquittée]))*BG31</f>
        <v>0</v>
      </c>
      <c r="CI31" s="200">
        <f>(SUMIF(Fonctionnement[Affectation matrice],$AB$3,Fonctionnement[TVA acquittée])+SUMIF(Invest[Affectation matrice],$AB$3,Invest[TVA acquittée]))*BH31</f>
        <v>0</v>
      </c>
      <c r="CJ31" s="200">
        <f>(SUMIF(Fonctionnement[Affectation matrice],$AB$3,Fonctionnement[TVA acquittée])+SUMIF(Invest[Affectation matrice],$AB$3,Invest[TVA acquittée]))*BI31</f>
        <v>0</v>
      </c>
      <c r="CK31" s="200">
        <f>(SUMIF(Fonctionnement[Affectation matrice],$AB$3,Fonctionnement[TVA acquittée])+SUMIF(Invest[Affectation matrice],$AB$3,Invest[TVA acquittée]))*BJ31</f>
        <v>0</v>
      </c>
      <c r="CL31" s="200">
        <f>(SUMIF(Fonctionnement[Affectation matrice],$AB$3,Fonctionnement[TVA acquittée])+SUMIF(Invest[Affectation matrice],$AB$3,Invest[TVA acquittée]))*BK31</f>
        <v>0</v>
      </c>
      <c r="CM31" s="200">
        <f>(SUMIF(Fonctionnement[Affectation matrice],$AB$3,Fonctionnement[TVA acquittée])+SUMIF(Invest[Affectation matrice],$AB$3,Invest[TVA acquittée]))*BL31</f>
        <v>0</v>
      </c>
      <c r="CN31" s="200">
        <f>(SUMIF(Fonctionnement[Affectation matrice],$AB$3,Fonctionnement[TVA acquittée])+SUMIF(Invest[Affectation matrice],$AB$3,Invest[TVA acquittée]))*BM31</f>
        <v>0</v>
      </c>
      <c r="CO31" s="200">
        <f>(SUMIF(Fonctionnement[Affectation matrice],$AB$3,Fonctionnement[TVA acquittée])+SUMIF(Invest[Affectation matrice],$AB$3,Invest[TVA acquittée]))*BN31</f>
        <v>0</v>
      </c>
      <c r="CP31" s="200">
        <f>(SUMIF(Fonctionnement[Affectation matrice],$AB$3,Fonctionnement[TVA acquittée])+SUMIF(Invest[Affectation matrice],$AB$3,Invest[TVA acquittée]))*BO31</f>
        <v>0</v>
      </c>
      <c r="CQ31" s="200">
        <f>(SUMIF(Fonctionnement[Affectation matrice],$AB$3,Fonctionnement[TVA acquittée])+SUMIF(Invest[Affectation matrice],$AB$3,Invest[TVA acquittée]))*BP31</f>
        <v>0</v>
      </c>
      <c r="CR31" s="200">
        <f>(SUMIF(Fonctionnement[Affectation matrice],$AB$3,Fonctionnement[TVA acquittée])+SUMIF(Invest[Affectation matrice],$AB$3,Invest[TVA acquittée]))*BQ31</f>
        <v>0</v>
      </c>
      <c r="CS31" s="200">
        <f>(SUMIF(Fonctionnement[Affectation matrice],$AB$3,Fonctionnement[TVA acquittée])+SUMIF(Invest[Affectation matrice],$AB$3,Invest[TVA acquittée]))*BR31</f>
        <v>0</v>
      </c>
      <c r="CT31" s="200">
        <f>(SUMIF(Fonctionnement[Affectation matrice],$AB$3,Fonctionnement[TVA acquittée])+SUMIF(Invest[Affectation matrice],$AB$3,Invest[TVA acquittée]))*BS31</f>
        <v>0</v>
      </c>
      <c r="CU31" s="200">
        <f>(SUMIF(Fonctionnement[Affectation matrice],$AB$3,Fonctionnement[TVA acquittée])+SUMIF(Invest[Affectation matrice],$AB$3,Invest[TVA acquittée]))*BT31</f>
        <v>0</v>
      </c>
      <c r="CV31" s="200">
        <f>(SUMIF(Fonctionnement[Affectation matrice],$AB$3,Fonctionnement[TVA acquittée])+SUMIF(Invest[Affectation matrice],$AB$3,Invest[TVA acquittée]))*BU31</f>
        <v>0</v>
      </c>
      <c r="CW31" s="200">
        <f>(SUMIF(Fonctionnement[Affectation matrice],$AB$3,Fonctionnement[TVA acquittée])+SUMIF(Invest[Affectation matrice],$AB$3,Invest[TVA acquittée]))*BV31</f>
        <v>0</v>
      </c>
      <c r="CX31" s="200">
        <f>(SUMIF(Fonctionnement[Affectation matrice],$AB$3,Fonctionnement[TVA acquittée])+SUMIF(Invest[Affectation matrice],$AB$3,Invest[TVA acquittée]))*BW31</f>
        <v>0</v>
      </c>
      <c r="CY31" s="200">
        <f>(SUMIF(Fonctionnement[Affectation matrice],$AB$3,Fonctionnement[TVA acquittée])+SUMIF(Invest[Affectation matrice],$AB$3,Invest[TVA acquittée]))*BX31</f>
        <v>0</v>
      </c>
      <c r="CZ31" s="200">
        <f>(SUMIF(Fonctionnement[Affectation matrice],$AB$3,Fonctionnement[TVA acquittée])+SUMIF(Invest[Affectation matrice],$AB$3,Invest[TVA acquittée]))*BY31</f>
        <v>0</v>
      </c>
      <c r="DA31" s="200">
        <f>(SUMIF(Fonctionnement[Affectation matrice],$AB$3,Fonctionnement[TVA acquittée])+SUMIF(Invest[Affectation matrice],$AB$3,Invest[TVA acquittée]))*BZ31</f>
        <v>0</v>
      </c>
      <c r="DB31" s="200">
        <f>(SUMIF(Fonctionnement[Affectation matrice],$AB$3,Fonctionnement[TVA acquittée])+SUMIF(Invest[Affectation matrice],$AB$3,Invest[TVA acquittée]))*CA31</f>
        <v>0</v>
      </c>
    </row>
    <row r="32" spans="1:106" s="22" customFormat="1" ht="12.75" hidden="1" customHeight="1" x14ac:dyDescent="0.25">
      <c r="A32" s="42" t="str">
        <f>Matrice[[#This Row],[Ligne de la matrice]]</f>
        <v>Subventions de fonctionnement</v>
      </c>
      <c r="B32" s="276">
        <f>(SUMIF(Fonctionnement[Affectation matrice],$AB$3,Fonctionnement[Montant (€HT)])+SUMIF(Invest[Affectation matrice],$AB$3,Invest[Amortissement HT + intérêts]))*BC32</f>
        <v>0</v>
      </c>
      <c r="C32" s="276">
        <f>(SUMIF(Fonctionnement[Affectation matrice],$AB$3,Fonctionnement[Montant (€HT)])+SUMIF(Invest[Affectation matrice],$AB$3,Invest[Amortissement HT + intérêts]))*BD32</f>
        <v>0</v>
      </c>
      <c r="D32" s="276">
        <f>(SUMIF(Fonctionnement[Affectation matrice],$AB$3,Fonctionnement[Montant (€HT)])+SUMIF(Invest[Affectation matrice],$AB$3,Invest[Amortissement HT + intérêts]))*BE32</f>
        <v>0</v>
      </c>
      <c r="E32" s="276">
        <f>(SUMIF(Fonctionnement[Affectation matrice],$AB$3,Fonctionnement[Montant (€HT)])+SUMIF(Invest[Affectation matrice],$AB$3,Invest[Amortissement HT + intérêts]))*BF32</f>
        <v>0</v>
      </c>
      <c r="F32" s="276">
        <f>(SUMIF(Fonctionnement[Affectation matrice],$AB$3,Fonctionnement[Montant (€HT)])+SUMIF(Invest[Affectation matrice],$AB$3,Invest[Amortissement HT + intérêts]))*BG32</f>
        <v>0</v>
      </c>
      <c r="G32" s="276">
        <f>(SUMIF(Fonctionnement[Affectation matrice],$AB$3,Fonctionnement[Montant (€HT)])+SUMIF(Invest[Affectation matrice],$AB$3,Invest[Amortissement HT + intérêts]))*BH32</f>
        <v>0</v>
      </c>
      <c r="H32" s="276">
        <f>(SUMIF(Fonctionnement[Affectation matrice],$AB$3,Fonctionnement[Montant (€HT)])+SUMIF(Invest[Affectation matrice],$AB$3,Invest[Amortissement HT + intérêts]))*BI32</f>
        <v>0</v>
      </c>
      <c r="I32" s="276">
        <f>(SUMIF(Fonctionnement[Affectation matrice],$AB$3,Fonctionnement[Montant (€HT)])+SUMIF(Invest[Affectation matrice],$AB$3,Invest[Amortissement HT + intérêts]))*BJ32</f>
        <v>0</v>
      </c>
      <c r="J32" s="276">
        <f>(SUMIF(Fonctionnement[Affectation matrice],$AB$3,Fonctionnement[Montant (€HT)])+SUMIF(Invest[Affectation matrice],$AB$3,Invest[Amortissement HT + intérêts]))*BK32</f>
        <v>0</v>
      </c>
      <c r="K32" s="276">
        <f>(SUMIF(Fonctionnement[Affectation matrice],$AB$3,Fonctionnement[Montant (€HT)])+SUMIF(Invest[Affectation matrice],$AB$3,Invest[Amortissement HT + intérêts]))*BL32</f>
        <v>0</v>
      </c>
      <c r="L32" s="276">
        <f>(SUMIF(Fonctionnement[Affectation matrice],$AB$3,Fonctionnement[Montant (€HT)])+SUMIF(Invest[Affectation matrice],$AB$3,Invest[Amortissement HT + intérêts]))*BM32</f>
        <v>0</v>
      </c>
      <c r="M32" s="276">
        <f>(SUMIF(Fonctionnement[Affectation matrice],$AB$3,Fonctionnement[Montant (€HT)])+SUMIF(Invest[Affectation matrice],$AB$3,Invest[Amortissement HT + intérêts]))*BN32</f>
        <v>0</v>
      </c>
      <c r="N32" s="276">
        <f>(SUMIF(Fonctionnement[Affectation matrice],$AB$3,Fonctionnement[Montant (€HT)])+SUMIF(Invest[Affectation matrice],$AB$3,Invest[Amortissement HT + intérêts]))*BO32</f>
        <v>0</v>
      </c>
      <c r="O32" s="276">
        <f>(SUMIF(Fonctionnement[Affectation matrice],$AB$3,Fonctionnement[Montant (€HT)])+SUMIF(Invest[Affectation matrice],$AB$3,Invest[Amortissement HT + intérêts]))*BP32</f>
        <v>0</v>
      </c>
      <c r="P32" s="276">
        <f>(SUMIF(Fonctionnement[Affectation matrice],$AB$3,Fonctionnement[Montant (€HT)])+SUMIF(Invest[Affectation matrice],$AB$3,Invest[Amortissement HT + intérêts]))*BQ32</f>
        <v>0</v>
      </c>
      <c r="Q32" s="276">
        <f>(SUMIF(Fonctionnement[Affectation matrice],$AB$3,Fonctionnement[Montant (€HT)])+SUMIF(Invest[Affectation matrice],$AB$3,Invest[Amortissement HT + intérêts]))*BR32</f>
        <v>0</v>
      </c>
      <c r="R32" s="276">
        <f>(SUMIF(Fonctionnement[Affectation matrice],$AB$3,Fonctionnement[Montant (€HT)])+SUMIF(Invest[Affectation matrice],$AB$3,Invest[Amortissement HT + intérêts]))*BS32</f>
        <v>0</v>
      </c>
      <c r="S32" s="276">
        <f>(SUMIF(Fonctionnement[Affectation matrice],$AB$3,Fonctionnement[Montant (€HT)])+SUMIF(Invest[Affectation matrice],$AB$3,Invest[Amortissement HT + intérêts]))*BT32</f>
        <v>0</v>
      </c>
      <c r="T32" s="276">
        <f>(SUMIF(Fonctionnement[Affectation matrice],$AB$3,Fonctionnement[Montant (€HT)])+SUMIF(Invest[Affectation matrice],$AB$3,Invest[Amortissement HT + intérêts]))*BU32</f>
        <v>0</v>
      </c>
      <c r="U32" s="276">
        <f>(SUMIF(Fonctionnement[Affectation matrice],$AB$3,Fonctionnement[Montant (€HT)])+SUMIF(Invest[Affectation matrice],$AB$3,Invest[Amortissement HT + intérêts]))*BV32</f>
        <v>0</v>
      </c>
      <c r="V32" s="276">
        <f>(SUMIF(Fonctionnement[Affectation matrice],$AB$3,Fonctionnement[Montant (€HT)])+SUMIF(Invest[Affectation matrice],$AB$3,Invest[Amortissement HT + intérêts]))*BW32</f>
        <v>0</v>
      </c>
      <c r="W32" s="276">
        <f>(SUMIF(Fonctionnement[Affectation matrice],$AB$3,Fonctionnement[Montant (€HT)])+SUMIF(Invest[Affectation matrice],$AB$3,Invest[Amortissement HT + intérêts]))*BX32</f>
        <v>0</v>
      </c>
      <c r="X32" s="276">
        <f>(SUMIF(Fonctionnement[Affectation matrice],$AB$3,Fonctionnement[Montant (€HT)])+SUMIF(Invest[Affectation matrice],$AB$3,Invest[Amortissement HT + intérêts]))*BY32</f>
        <v>0</v>
      </c>
      <c r="Y32" s="276">
        <f>(SUMIF(Fonctionnement[Affectation matrice],$AB$3,Fonctionnement[Montant (€HT)])+SUMIF(Invest[Affectation matrice],$AB$3,Invest[Amortissement HT + intérêts]))*BZ32</f>
        <v>0</v>
      </c>
      <c r="Z32" s="276">
        <f>(SUMIF(Fonctionnement[Affectation matrice],$AB$3,Fonctionnement[Montant (€HT)])+SUMIF(Invest[Affectation matrice],$AB$3,Invest[Amortissement HT + intérêts]))*CA32</f>
        <v>0</v>
      </c>
      <c r="AA32" s="199"/>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283">
        <f t="shared" si="4"/>
        <v>0</v>
      </c>
      <c r="BB32" s="7"/>
      <c r="BC32" s="61">
        <f t="shared" si="8"/>
        <v>0</v>
      </c>
      <c r="BD32" s="61">
        <f t="shared" si="8"/>
        <v>0</v>
      </c>
      <c r="BE32" s="61">
        <f t="shared" si="8"/>
        <v>0</v>
      </c>
      <c r="BF32" s="61">
        <f t="shared" si="8"/>
        <v>0</v>
      </c>
      <c r="BG32" s="61">
        <f t="shared" si="8"/>
        <v>0</v>
      </c>
      <c r="BH32" s="61">
        <f t="shared" si="8"/>
        <v>0</v>
      </c>
      <c r="BI32" s="61">
        <f t="shared" si="8"/>
        <v>0</v>
      </c>
      <c r="BJ32" s="61">
        <f t="shared" si="8"/>
        <v>0</v>
      </c>
      <c r="BK32" s="61">
        <f t="shared" si="8"/>
        <v>0</v>
      </c>
      <c r="BL32" s="61">
        <f t="shared" si="8"/>
        <v>0</v>
      </c>
      <c r="BM32" s="61">
        <f t="shared" si="8"/>
        <v>0</v>
      </c>
      <c r="BN32" s="61">
        <f t="shared" si="8"/>
        <v>0</v>
      </c>
      <c r="BO32" s="61">
        <f t="shared" si="8"/>
        <v>0</v>
      </c>
      <c r="BP32" s="61">
        <f t="shared" si="8"/>
        <v>0</v>
      </c>
      <c r="BQ32" s="61">
        <f t="shared" si="8"/>
        <v>0</v>
      </c>
      <c r="BR32" s="61">
        <f t="shared" si="8"/>
        <v>0</v>
      </c>
      <c r="BS32" s="61">
        <f t="shared" si="9"/>
        <v>0</v>
      </c>
      <c r="BT32" s="61">
        <f t="shared" si="9"/>
        <v>0</v>
      </c>
      <c r="BU32" s="61">
        <f t="shared" si="9"/>
        <v>0</v>
      </c>
      <c r="BV32" s="61">
        <f t="shared" si="9"/>
        <v>0</v>
      </c>
      <c r="BW32" s="61">
        <f t="shared" si="9"/>
        <v>0</v>
      </c>
      <c r="BX32" s="61">
        <f t="shared" si="9"/>
        <v>0</v>
      </c>
      <c r="BY32" s="61">
        <f t="shared" si="9"/>
        <v>0</v>
      </c>
      <c r="BZ32" s="61">
        <f t="shared" si="9"/>
        <v>0</v>
      </c>
      <c r="CA32" s="61">
        <f t="shared" si="9"/>
        <v>0</v>
      </c>
      <c r="CB32" s="61">
        <f t="shared" si="5"/>
        <v>0</v>
      </c>
      <c r="CD32" s="200">
        <f>(SUMIF(Fonctionnement[Affectation matrice],$AB$3,Fonctionnement[TVA acquittée])+SUMIF(Invest[Affectation matrice],$AB$3,Invest[TVA acquittée]))*BC32</f>
        <v>0</v>
      </c>
      <c r="CE32" s="200">
        <f>(SUMIF(Fonctionnement[Affectation matrice],$AB$3,Fonctionnement[TVA acquittée])+SUMIF(Invest[Affectation matrice],$AB$3,Invest[TVA acquittée]))*BD32</f>
        <v>0</v>
      </c>
      <c r="CF32" s="200">
        <f>(SUMIF(Fonctionnement[Affectation matrice],$AB$3,Fonctionnement[TVA acquittée])+SUMIF(Invest[Affectation matrice],$AB$3,Invest[TVA acquittée]))*BE32</f>
        <v>0</v>
      </c>
      <c r="CG32" s="200">
        <f>(SUMIF(Fonctionnement[Affectation matrice],$AB$3,Fonctionnement[TVA acquittée])+SUMIF(Invest[Affectation matrice],$AB$3,Invest[TVA acquittée]))*BF32</f>
        <v>0</v>
      </c>
      <c r="CH32" s="200">
        <f>(SUMIF(Fonctionnement[Affectation matrice],$AB$3,Fonctionnement[TVA acquittée])+SUMIF(Invest[Affectation matrice],$AB$3,Invest[TVA acquittée]))*BG32</f>
        <v>0</v>
      </c>
      <c r="CI32" s="200">
        <f>(SUMIF(Fonctionnement[Affectation matrice],$AB$3,Fonctionnement[TVA acquittée])+SUMIF(Invest[Affectation matrice],$AB$3,Invest[TVA acquittée]))*BH32</f>
        <v>0</v>
      </c>
      <c r="CJ32" s="200">
        <f>(SUMIF(Fonctionnement[Affectation matrice],$AB$3,Fonctionnement[TVA acquittée])+SUMIF(Invest[Affectation matrice],$AB$3,Invest[TVA acquittée]))*BI32</f>
        <v>0</v>
      </c>
      <c r="CK32" s="200">
        <f>(SUMIF(Fonctionnement[Affectation matrice],$AB$3,Fonctionnement[TVA acquittée])+SUMIF(Invest[Affectation matrice],$AB$3,Invest[TVA acquittée]))*BJ32</f>
        <v>0</v>
      </c>
      <c r="CL32" s="200">
        <f>(SUMIF(Fonctionnement[Affectation matrice],$AB$3,Fonctionnement[TVA acquittée])+SUMIF(Invest[Affectation matrice],$AB$3,Invest[TVA acquittée]))*BK32</f>
        <v>0</v>
      </c>
      <c r="CM32" s="200">
        <f>(SUMIF(Fonctionnement[Affectation matrice],$AB$3,Fonctionnement[TVA acquittée])+SUMIF(Invest[Affectation matrice],$AB$3,Invest[TVA acquittée]))*BL32</f>
        <v>0</v>
      </c>
      <c r="CN32" s="200">
        <f>(SUMIF(Fonctionnement[Affectation matrice],$AB$3,Fonctionnement[TVA acquittée])+SUMIF(Invest[Affectation matrice],$AB$3,Invest[TVA acquittée]))*BM32</f>
        <v>0</v>
      </c>
      <c r="CO32" s="200">
        <f>(SUMIF(Fonctionnement[Affectation matrice],$AB$3,Fonctionnement[TVA acquittée])+SUMIF(Invest[Affectation matrice],$AB$3,Invest[TVA acquittée]))*BN32</f>
        <v>0</v>
      </c>
      <c r="CP32" s="200">
        <f>(SUMIF(Fonctionnement[Affectation matrice],$AB$3,Fonctionnement[TVA acquittée])+SUMIF(Invest[Affectation matrice],$AB$3,Invest[TVA acquittée]))*BO32</f>
        <v>0</v>
      </c>
      <c r="CQ32" s="200">
        <f>(SUMIF(Fonctionnement[Affectation matrice],$AB$3,Fonctionnement[TVA acquittée])+SUMIF(Invest[Affectation matrice],$AB$3,Invest[TVA acquittée]))*BP32</f>
        <v>0</v>
      </c>
      <c r="CR32" s="200">
        <f>(SUMIF(Fonctionnement[Affectation matrice],$AB$3,Fonctionnement[TVA acquittée])+SUMIF(Invest[Affectation matrice],$AB$3,Invest[TVA acquittée]))*BQ32</f>
        <v>0</v>
      </c>
      <c r="CS32" s="200">
        <f>(SUMIF(Fonctionnement[Affectation matrice],$AB$3,Fonctionnement[TVA acquittée])+SUMIF(Invest[Affectation matrice],$AB$3,Invest[TVA acquittée]))*BR32</f>
        <v>0</v>
      </c>
      <c r="CT32" s="200">
        <f>(SUMIF(Fonctionnement[Affectation matrice],$AB$3,Fonctionnement[TVA acquittée])+SUMIF(Invest[Affectation matrice],$AB$3,Invest[TVA acquittée]))*BS32</f>
        <v>0</v>
      </c>
      <c r="CU32" s="200">
        <f>(SUMIF(Fonctionnement[Affectation matrice],$AB$3,Fonctionnement[TVA acquittée])+SUMIF(Invest[Affectation matrice],$AB$3,Invest[TVA acquittée]))*BT32</f>
        <v>0</v>
      </c>
      <c r="CV32" s="200">
        <f>(SUMIF(Fonctionnement[Affectation matrice],$AB$3,Fonctionnement[TVA acquittée])+SUMIF(Invest[Affectation matrice],$AB$3,Invest[TVA acquittée]))*BU32</f>
        <v>0</v>
      </c>
      <c r="CW32" s="200">
        <f>(SUMIF(Fonctionnement[Affectation matrice],$AB$3,Fonctionnement[TVA acquittée])+SUMIF(Invest[Affectation matrice],$AB$3,Invest[TVA acquittée]))*BV32</f>
        <v>0</v>
      </c>
      <c r="CX32" s="200">
        <f>(SUMIF(Fonctionnement[Affectation matrice],$AB$3,Fonctionnement[TVA acquittée])+SUMIF(Invest[Affectation matrice],$AB$3,Invest[TVA acquittée]))*BW32</f>
        <v>0</v>
      </c>
      <c r="CY32" s="200">
        <f>(SUMIF(Fonctionnement[Affectation matrice],$AB$3,Fonctionnement[TVA acquittée])+SUMIF(Invest[Affectation matrice],$AB$3,Invest[TVA acquittée]))*BX32</f>
        <v>0</v>
      </c>
      <c r="CZ32" s="200">
        <f>(SUMIF(Fonctionnement[Affectation matrice],$AB$3,Fonctionnement[TVA acquittée])+SUMIF(Invest[Affectation matrice],$AB$3,Invest[TVA acquittée]))*BY32</f>
        <v>0</v>
      </c>
      <c r="DA32" s="200">
        <f>(SUMIF(Fonctionnement[Affectation matrice],$AB$3,Fonctionnement[TVA acquittée])+SUMIF(Invest[Affectation matrice],$AB$3,Invest[TVA acquittée]))*BZ32</f>
        <v>0</v>
      </c>
      <c r="DB32" s="200">
        <f>(SUMIF(Fonctionnement[Affectation matrice],$AB$3,Fonctionnement[TVA acquittée])+SUMIF(Invest[Affectation matrice],$AB$3,Invest[TVA acquittée]))*CA32</f>
        <v>0</v>
      </c>
    </row>
    <row r="33" spans="1:106" s="22" customFormat="1" ht="12.75" hidden="1" customHeight="1" x14ac:dyDescent="0.25">
      <c r="A33" s="42" t="str">
        <f>Matrice[[#This Row],[Ligne de la matrice]]</f>
        <v>Aides à l'emploi</v>
      </c>
      <c r="B33" s="276">
        <f>(SUMIF(Fonctionnement[Affectation matrice],$AB$3,Fonctionnement[Montant (€HT)])+SUMIF(Invest[Affectation matrice],$AB$3,Invest[Amortissement HT + intérêts]))*BC33</f>
        <v>0</v>
      </c>
      <c r="C33" s="276">
        <f>(SUMIF(Fonctionnement[Affectation matrice],$AB$3,Fonctionnement[Montant (€HT)])+SUMIF(Invest[Affectation matrice],$AB$3,Invest[Amortissement HT + intérêts]))*BD33</f>
        <v>0</v>
      </c>
      <c r="D33" s="276">
        <f>(SUMIF(Fonctionnement[Affectation matrice],$AB$3,Fonctionnement[Montant (€HT)])+SUMIF(Invest[Affectation matrice],$AB$3,Invest[Amortissement HT + intérêts]))*BE33</f>
        <v>0</v>
      </c>
      <c r="E33" s="276">
        <f>(SUMIF(Fonctionnement[Affectation matrice],$AB$3,Fonctionnement[Montant (€HT)])+SUMIF(Invest[Affectation matrice],$AB$3,Invest[Amortissement HT + intérêts]))*BF33</f>
        <v>0</v>
      </c>
      <c r="F33" s="276">
        <f>(SUMIF(Fonctionnement[Affectation matrice],$AB$3,Fonctionnement[Montant (€HT)])+SUMIF(Invest[Affectation matrice],$AB$3,Invest[Amortissement HT + intérêts]))*BG33</f>
        <v>0</v>
      </c>
      <c r="G33" s="276">
        <f>(SUMIF(Fonctionnement[Affectation matrice],$AB$3,Fonctionnement[Montant (€HT)])+SUMIF(Invest[Affectation matrice],$AB$3,Invest[Amortissement HT + intérêts]))*BH33</f>
        <v>0</v>
      </c>
      <c r="H33" s="276">
        <f>(SUMIF(Fonctionnement[Affectation matrice],$AB$3,Fonctionnement[Montant (€HT)])+SUMIF(Invest[Affectation matrice],$AB$3,Invest[Amortissement HT + intérêts]))*BI33</f>
        <v>0</v>
      </c>
      <c r="I33" s="276">
        <f>(SUMIF(Fonctionnement[Affectation matrice],$AB$3,Fonctionnement[Montant (€HT)])+SUMIF(Invest[Affectation matrice],$AB$3,Invest[Amortissement HT + intérêts]))*BJ33</f>
        <v>0</v>
      </c>
      <c r="J33" s="276">
        <f>(SUMIF(Fonctionnement[Affectation matrice],$AB$3,Fonctionnement[Montant (€HT)])+SUMIF(Invest[Affectation matrice],$AB$3,Invest[Amortissement HT + intérêts]))*BK33</f>
        <v>0</v>
      </c>
      <c r="K33" s="276">
        <f>(SUMIF(Fonctionnement[Affectation matrice],$AB$3,Fonctionnement[Montant (€HT)])+SUMIF(Invest[Affectation matrice],$AB$3,Invest[Amortissement HT + intérêts]))*BL33</f>
        <v>0</v>
      </c>
      <c r="L33" s="276">
        <f>(SUMIF(Fonctionnement[Affectation matrice],$AB$3,Fonctionnement[Montant (€HT)])+SUMIF(Invest[Affectation matrice],$AB$3,Invest[Amortissement HT + intérêts]))*BM33</f>
        <v>0</v>
      </c>
      <c r="M33" s="276">
        <f>(SUMIF(Fonctionnement[Affectation matrice],$AB$3,Fonctionnement[Montant (€HT)])+SUMIF(Invest[Affectation matrice],$AB$3,Invest[Amortissement HT + intérêts]))*BN33</f>
        <v>0</v>
      </c>
      <c r="N33" s="276">
        <f>(SUMIF(Fonctionnement[Affectation matrice],$AB$3,Fonctionnement[Montant (€HT)])+SUMIF(Invest[Affectation matrice],$AB$3,Invest[Amortissement HT + intérêts]))*BO33</f>
        <v>0</v>
      </c>
      <c r="O33" s="276">
        <f>(SUMIF(Fonctionnement[Affectation matrice],$AB$3,Fonctionnement[Montant (€HT)])+SUMIF(Invest[Affectation matrice],$AB$3,Invest[Amortissement HT + intérêts]))*BP33</f>
        <v>0</v>
      </c>
      <c r="P33" s="276">
        <f>(SUMIF(Fonctionnement[Affectation matrice],$AB$3,Fonctionnement[Montant (€HT)])+SUMIF(Invest[Affectation matrice],$AB$3,Invest[Amortissement HT + intérêts]))*BQ33</f>
        <v>0</v>
      </c>
      <c r="Q33" s="276">
        <f>(SUMIF(Fonctionnement[Affectation matrice],$AB$3,Fonctionnement[Montant (€HT)])+SUMIF(Invest[Affectation matrice],$AB$3,Invest[Amortissement HT + intérêts]))*BR33</f>
        <v>0</v>
      </c>
      <c r="R33" s="276">
        <f>(SUMIF(Fonctionnement[Affectation matrice],$AB$3,Fonctionnement[Montant (€HT)])+SUMIF(Invest[Affectation matrice],$AB$3,Invest[Amortissement HT + intérêts]))*BS33</f>
        <v>0</v>
      </c>
      <c r="S33" s="276">
        <f>(SUMIF(Fonctionnement[Affectation matrice],$AB$3,Fonctionnement[Montant (€HT)])+SUMIF(Invest[Affectation matrice],$AB$3,Invest[Amortissement HT + intérêts]))*BT33</f>
        <v>0</v>
      </c>
      <c r="T33" s="276">
        <f>(SUMIF(Fonctionnement[Affectation matrice],$AB$3,Fonctionnement[Montant (€HT)])+SUMIF(Invest[Affectation matrice],$AB$3,Invest[Amortissement HT + intérêts]))*BU33</f>
        <v>0</v>
      </c>
      <c r="U33" s="276">
        <f>(SUMIF(Fonctionnement[Affectation matrice],$AB$3,Fonctionnement[Montant (€HT)])+SUMIF(Invest[Affectation matrice],$AB$3,Invest[Amortissement HT + intérêts]))*BV33</f>
        <v>0</v>
      </c>
      <c r="V33" s="276">
        <f>(SUMIF(Fonctionnement[Affectation matrice],$AB$3,Fonctionnement[Montant (€HT)])+SUMIF(Invest[Affectation matrice],$AB$3,Invest[Amortissement HT + intérêts]))*BW33</f>
        <v>0</v>
      </c>
      <c r="W33" s="276">
        <f>(SUMIF(Fonctionnement[Affectation matrice],$AB$3,Fonctionnement[Montant (€HT)])+SUMIF(Invest[Affectation matrice],$AB$3,Invest[Amortissement HT + intérêts]))*BX33</f>
        <v>0</v>
      </c>
      <c r="X33" s="276">
        <f>(SUMIF(Fonctionnement[Affectation matrice],$AB$3,Fonctionnement[Montant (€HT)])+SUMIF(Invest[Affectation matrice],$AB$3,Invest[Amortissement HT + intérêts]))*BY33</f>
        <v>0</v>
      </c>
      <c r="Y33" s="276">
        <f>(SUMIF(Fonctionnement[Affectation matrice],$AB$3,Fonctionnement[Montant (€HT)])+SUMIF(Invest[Affectation matrice],$AB$3,Invest[Amortissement HT + intérêts]))*BZ33</f>
        <v>0</v>
      </c>
      <c r="Z33" s="276">
        <f>(SUMIF(Fonctionnement[Affectation matrice],$AB$3,Fonctionnement[Montant (€HT)])+SUMIF(Invest[Affectation matrice],$AB$3,Invest[Amortissement HT + intérêts]))*CA33</f>
        <v>0</v>
      </c>
      <c r="AA33" s="199"/>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283">
        <f t="shared" si="4"/>
        <v>0</v>
      </c>
      <c r="BB33" s="7"/>
      <c r="BC33" s="61">
        <f t="shared" si="8"/>
        <v>0</v>
      </c>
      <c r="BD33" s="61">
        <f t="shared" si="8"/>
        <v>0</v>
      </c>
      <c r="BE33" s="61">
        <f t="shared" si="8"/>
        <v>0</v>
      </c>
      <c r="BF33" s="61">
        <f t="shared" si="8"/>
        <v>0</v>
      </c>
      <c r="BG33" s="61">
        <f t="shared" si="8"/>
        <v>0</v>
      </c>
      <c r="BH33" s="61">
        <f t="shared" si="8"/>
        <v>0</v>
      </c>
      <c r="BI33" s="61">
        <f t="shared" si="8"/>
        <v>0</v>
      </c>
      <c r="BJ33" s="61">
        <f t="shared" si="8"/>
        <v>0</v>
      </c>
      <c r="BK33" s="61">
        <f t="shared" si="8"/>
        <v>0</v>
      </c>
      <c r="BL33" s="61">
        <f t="shared" si="8"/>
        <v>0</v>
      </c>
      <c r="BM33" s="61">
        <f t="shared" si="8"/>
        <v>0</v>
      </c>
      <c r="BN33" s="61">
        <f t="shared" si="8"/>
        <v>0</v>
      </c>
      <c r="BO33" s="61">
        <f t="shared" si="8"/>
        <v>0</v>
      </c>
      <c r="BP33" s="61">
        <f t="shared" si="8"/>
        <v>0</v>
      </c>
      <c r="BQ33" s="61">
        <f t="shared" si="8"/>
        <v>0</v>
      </c>
      <c r="BR33" s="61">
        <f t="shared" si="8"/>
        <v>0</v>
      </c>
      <c r="BS33" s="61">
        <f t="shared" si="9"/>
        <v>0</v>
      </c>
      <c r="BT33" s="61">
        <f t="shared" si="9"/>
        <v>0</v>
      </c>
      <c r="BU33" s="61">
        <f t="shared" si="9"/>
        <v>0</v>
      </c>
      <c r="BV33" s="61">
        <f t="shared" si="9"/>
        <v>0</v>
      </c>
      <c r="BW33" s="61">
        <f t="shared" si="9"/>
        <v>0</v>
      </c>
      <c r="BX33" s="61">
        <f t="shared" si="9"/>
        <v>0</v>
      </c>
      <c r="BY33" s="61">
        <f t="shared" si="9"/>
        <v>0</v>
      </c>
      <c r="BZ33" s="61">
        <f t="shared" si="9"/>
        <v>0</v>
      </c>
      <c r="CA33" s="61">
        <f t="shared" si="9"/>
        <v>0</v>
      </c>
      <c r="CB33" s="61">
        <f t="shared" si="5"/>
        <v>0</v>
      </c>
      <c r="CD33" s="200">
        <f>(SUMIF(Fonctionnement[Affectation matrice],$AB$3,Fonctionnement[TVA acquittée])+SUMIF(Invest[Affectation matrice],$AB$3,Invest[TVA acquittée]))*BC33</f>
        <v>0</v>
      </c>
      <c r="CE33" s="200">
        <f>(SUMIF(Fonctionnement[Affectation matrice],$AB$3,Fonctionnement[TVA acquittée])+SUMIF(Invest[Affectation matrice],$AB$3,Invest[TVA acquittée]))*BD33</f>
        <v>0</v>
      </c>
      <c r="CF33" s="200">
        <f>(SUMIF(Fonctionnement[Affectation matrice],$AB$3,Fonctionnement[TVA acquittée])+SUMIF(Invest[Affectation matrice],$AB$3,Invest[TVA acquittée]))*BE33</f>
        <v>0</v>
      </c>
      <c r="CG33" s="200">
        <f>(SUMIF(Fonctionnement[Affectation matrice],$AB$3,Fonctionnement[TVA acquittée])+SUMIF(Invest[Affectation matrice],$AB$3,Invest[TVA acquittée]))*BF33</f>
        <v>0</v>
      </c>
      <c r="CH33" s="200">
        <f>(SUMIF(Fonctionnement[Affectation matrice],$AB$3,Fonctionnement[TVA acquittée])+SUMIF(Invest[Affectation matrice],$AB$3,Invest[TVA acquittée]))*BG33</f>
        <v>0</v>
      </c>
      <c r="CI33" s="200">
        <f>(SUMIF(Fonctionnement[Affectation matrice],$AB$3,Fonctionnement[TVA acquittée])+SUMIF(Invest[Affectation matrice],$AB$3,Invest[TVA acquittée]))*BH33</f>
        <v>0</v>
      </c>
      <c r="CJ33" s="200">
        <f>(SUMIF(Fonctionnement[Affectation matrice],$AB$3,Fonctionnement[TVA acquittée])+SUMIF(Invest[Affectation matrice],$AB$3,Invest[TVA acquittée]))*BI33</f>
        <v>0</v>
      </c>
      <c r="CK33" s="200">
        <f>(SUMIF(Fonctionnement[Affectation matrice],$AB$3,Fonctionnement[TVA acquittée])+SUMIF(Invest[Affectation matrice],$AB$3,Invest[TVA acquittée]))*BJ33</f>
        <v>0</v>
      </c>
      <c r="CL33" s="200">
        <f>(SUMIF(Fonctionnement[Affectation matrice],$AB$3,Fonctionnement[TVA acquittée])+SUMIF(Invest[Affectation matrice],$AB$3,Invest[TVA acquittée]))*BK33</f>
        <v>0</v>
      </c>
      <c r="CM33" s="200">
        <f>(SUMIF(Fonctionnement[Affectation matrice],$AB$3,Fonctionnement[TVA acquittée])+SUMIF(Invest[Affectation matrice],$AB$3,Invest[TVA acquittée]))*BL33</f>
        <v>0</v>
      </c>
      <c r="CN33" s="200">
        <f>(SUMIF(Fonctionnement[Affectation matrice],$AB$3,Fonctionnement[TVA acquittée])+SUMIF(Invest[Affectation matrice],$AB$3,Invest[TVA acquittée]))*BM33</f>
        <v>0</v>
      </c>
      <c r="CO33" s="200">
        <f>(SUMIF(Fonctionnement[Affectation matrice],$AB$3,Fonctionnement[TVA acquittée])+SUMIF(Invest[Affectation matrice],$AB$3,Invest[TVA acquittée]))*BN33</f>
        <v>0</v>
      </c>
      <c r="CP33" s="200">
        <f>(SUMIF(Fonctionnement[Affectation matrice],$AB$3,Fonctionnement[TVA acquittée])+SUMIF(Invest[Affectation matrice],$AB$3,Invest[TVA acquittée]))*BO33</f>
        <v>0</v>
      </c>
      <c r="CQ33" s="200">
        <f>(SUMIF(Fonctionnement[Affectation matrice],$AB$3,Fonctionnement[TVA acquittée])+SUMIF(Invest[Affectation matrice],$AB$3,Invest[TVA acquittée]))*BP33</f>
        <v>0</v>
      </c>
      <c r="CR33" s="200">
        <f>(SUMIF(Fonctionnement[Affectation matrice],$AB$3,Fonctionnement[TVA acquittée])+SUMIF(Invest[Affectation matrice],$AB$3,Invest[TVA acquittée]))*BQ33</f>
        <v>0</v>
      </c>
      <c r="CS33" s="200">
        <f>(SUMIF(Fonctionnement[Affectation matrice],$AB$3,Fonctionnement[TVA acquittée])+SUMIF(Invest[Affectation matrice],$AB$3,Invest[TVA acquittée]))*BR33</f>
        <v>0</v>
      </c>
      <c r="CT33" s="200">
        <f>(SUMIF(Fonctionnement[Affectation matrice],$AB$3,Fonctionnement[TVA acquittée])+SUMIF(Invest[Affectation matrice],$AB$3,Invest[TVA acquittée]))*BS33</f>
        <v>0</v>
      </c>
      <c r="CU33" s="200">
        <f>(SUMIF(Fonctionnement[Affectation matrice],$AB$3,Fonctionnement[TVA acquittée])+SUMIF(Invest[Affectation matrice],$AB$3,Invest[TVA acquittée]))*BT33</f>
        <v>0</v>
      </c>
      <c r="CV33" s="200">
        <f>(SUMIF(Fonctionnement[Affectation matrice],$AB$3,Fonctionnement[TVA acquittée])+SUMIF(Invest[Affectation matrice],$AB$3,Invest[TVA acquittée]))*BU33</f>
        <v>0</v>
      </c>
      <c r="CW33" s="200">
        <f>(SUMIF(Fonctionnement[Affectation matrice],$AB$3,Fonctionnement[TVA acquittée])+SUMIF(Invest[Affectation matrice],$AB$3,Invest[TVA acquittée]))*BV33</f>
        <v>0</v>
      </c>
      <c r="CX33" s="200">
        <f>(SUMIF(Fonctionnement[Affectation matrice],$AB$3,Fonctionnement[TVA acquittée])+SUMIF(Invest[Affectation matrice],$AB$3,Invest[TVA acquittée]))*BW33</f>
        <v>0</v>
      </c>
      <c r="CY33" s="200">
        <f>(SUMIF(Fonctionnement[Affectation matrice],$AB$3,Fonctionnement[TVA acquittée])+SUMIF(Invest[Affectation matrice],$AB$3,Invest[TVA acquittée]))*BX33</f>
        <v>0</v>
      </c>
      <c r="CZ33" s="200">
        <f>(SUMIF(Fonctionnement[Affectation matrice],$AB$3,Fonctionnement[TVA acquittée])+SUMIF(Invest[Affectation matrice],$AB$3,Invest[TVA acquittée]))*BY33</f>
        <v>0</v>
      </c>
      <c r="DA33" s="200">
        <f>(SUMIF(Fonctionnement[Affectation matrice],$AB$3,Fonctionnement[TVA acquittée])+SUMIF(Invest[Affectation matrice],$AB$3,Invest[TVA acquittée]))*BZ33</f>
        <v>0</v>
      </c>
      <c r="DB33" s="200">
        <f>(SUMIF(Fonctionnement[Affectation matrice],$AB$3,Fonctionnement[TVA acquittée])+SUMIF(Invest[Affectation matrice],$AB$3,Invest[TVA acquittée]))*CA33</f>
        <v>0</v>
      </c>
    </row>
    <row r="34" spans="1:106" s="205" customFormat="1" ht="12.75" hidden="1" customHeight="1" x14ac:dyDescent="0.25">
      <c r="A34" s="186"/>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02"/>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03"/>
      <c r="BB34" s="204"/>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row>
    <row r="35" spans="1:106" s="22" customFormat="1" ht="12.75" hidden="1" customHeight="1" x14ac:dyDescent="0.25">
      <c r="A35" s="42" t="str">
        <f>Matrice[[#This Row],[Ligne de la matrice]]</f>
        <v>TVA acquittée</v>
      </c>
      <c r="B35" s="276">
        <f>(SUMIF(Fonctionnement[Affectation matrice],$AB$3,Fonctionnement[Montant (€HT)])+SUMIF(Invest[Affectation matrice],$AB$3,Invest[Amortissement HT + intérêts]))*BC35</f>
        <v>0</v>
      </c>
      <c r="C35" s="276">
        <f>(SUMIF(Fonctionnement[Affectation matrice],$AB$3,Fonctionnement[Montant (€HT)])+SUMIF(Invest[Affectation matrice],$AB$3,Invest[Amortissement HT + intérêts]))*BD35</f>
        <v>0</v>
      </c>
      <c r="D35" s="276">
        <f>(SUMIF(Fonctionnement[Affectation matrice],$AB$3,Fonctionnement[Montant (€HT)])+SUMIF(Invest[Affectation matrice],$AB$3,Invest[Amortissement HT + intérêts]))*BE35</f>
        <v>0</v>
      </c>
      <c r="E35" s="276">
        <f>(SUMIF(Fonctionnement[Affectation matrice],$AB$3,Fonctionnement[Montant (€HT)])+SUMIF(Invest[Affectation matrice],$AB$3,Invest[Amortissement HT + intérêts]))*BF35</f>
        <v>0</v>
      </c>
      <c r="F35" s="276">
        <f>(SUMIF(Fonctionnement[Affectation matrice],$AB$3,Fonctionnement[Montant (€HT)])+SUMIF(Invest[Affectation matrice],$AB$3,Invest[Amortissement HT + intérêts]))*BG35</f>
        <v>0</v>
      </c>
      <c r="G35" s="276">
        <f>(SUMIF(Fonctionnement[Affectation matrice],$AB$3,Fonctionnement[Montant (€HT)])+SUMIF(Invest[Affectation matrice],$AB$3,Invest[Amortissement HT + intérêts]))*BH35</f>
        <v>0</v>
      </c>
      <c r="H35" s="276">
        <f>(SUMIF(Fonctionnement[Affectation matrice],$AB$3,Fonctionnement[Montant (€HT)])+SUMIF(Invest[Affectation matrice],$AB$3,Invest[Amortissement HT + intérêts]))*BI35</f>
        <v>0</v>
      </c>
      <c r="I35" s="276">
        <f>(SUMIF(Fonctionnement[Affectation matrice],$AB$3,Fonctionnement[Montant (€HT)])+SUMIF(Invest[Affectation matrice],$AB$3,Invest[Amortissement HT + intérêts]))*BJ35</f>
        <v>0</v>
      </c>
      <c r="J35" s="276">
        <f>(SUMIF(Fonctionnement[Affectation matrice],$AB$3,Fonctionnement[Montant (€HT)])+SUMIF(Invest[Affectation matrice],$AB$3,Invest[Amortissement HT + intérêts]))*BK35</f>
        <v>0</v>
      </c>
      <c r="K35" s="276">
        <f>(SUMIF(Fonctionnement[Affectation matrice],$AB$3,Fonctionnement[Montant (€HT)])+SUMIF(Invest[Affectation matrice],$AB$3,Invest[Amortissement HT + intérêts]))*BL35</f>
        <v>0</v>
      </c>
      <c r="L35" s="276">
        <f>(SUMIF(Fonctionnement[Affectation matrice],$AB$3,Fonctionnement[Montant (€HT)])+SUMIF(Invest[Affectation matrice],$AB$3,Invest[Amortissement HT + intérêts]))*BM35</f>
        <v>0</v>
      </c>
      <c r="M35" s="276">
        <f>(SUMIF(Fonctionnement[Affectation matrice],$AB$3,Fonctionnement[Montant (€HT)])+SUMIF(Invest[Affectation matrice],$AB$3,Invest[Amortissement HT + intérêts]))*BN35</f>
        <v>0</v>
      </c>
      <c r="N35" s="276">
        <f>(SUMIF(Fonctionnement[Affectation matrice],$AB$3,Fonctionnement[Montant (€HT)])+SUMIF(Invest[Affectation matrice],$AB$3,Invest[Amortissement HT + intérêts]))*BO35</f>
        <v>0</v>
      </c>
      <c r="O35" s="276">
        <f>(SUMIF(Fonctionnement[Affectation matrice],$AB$3,Fonctionnement[Montant (€HT)])+SUMIF(Invest[Affectation matrice],$AB$3,Invest[Amortissement HT + intérêts]))*BP35</f>
        <v>0</v>
      </c>
      <c r="P35" s="276">
        <f>(SUMIF(Fonctionnement[Affectation matrice],$AB$3,Fonctionnement[Montant (€HT)])+SUMIF(Invest[Affectation matrice],$AB$3,Invest[Amortissement HT + intérêts]))*BQ35</f>
        <v>0</v>
      </c>
      <c r="Q35" s="276">
        <f>(SUMIF(Fonctionnement[Affectation matrice],$AB$3,Fonctionnement[Montant (€HT)])+SUMIF(Invest[Affectation matrice],$AB$3,Invest[Amortissement HT + intérêts]))*BR35</f>
        <v>0</v>
      </c>
      <c r="R35" s="276">
        <f>(SUMIF(Fonctionnement[Affectation matrice],$AB$3,Fonctionnement[Montant (€HT)])+SUMIF(Invest[Affectation matrice],$AB$3,Invest[Amortissement HT + intérêts]))*BS35</f>
        <v>0</v>
      </c>
      <c r="S35" s="276">
        <f>(SUMIF(Fonctionnement[Affectation matrice],$AB$3,Fonctionnement[Montant (€HT)])+SUMIF(Invest[Affectation matrice],$AB$3,Invest[Amortissement HT + intérêts]))*BT35</f>
        <v>0</v>
      </c>
      <c r="T35" s="276">
        <f>(SUMIF(Fonctionnement[Affectation matrice],$AB$3,Fonctionnement[Montant (€HT)])+SUMIF(Invest[Affectation matrice],$AB$3,Invest[Amortissement HT + intérêts]))*BU35</f>
        <v>0</v>
      </c>
      <c r="U35" s="276">
        <f>(SUMIF(Fonctionnement[Affectation matrice],$AB$3,Fonctionnement[Montant (€HT)])+SUMIF(Invest[Affectation matrice],$AB$3,Invest[Amortissement HT + intérêts]))*BV35</f>
        <v>0</v>
      </c>
      <c r="V35" s="276">
        <f>(SUMIF(Fonctionnement[Affectation matrice],$AB$3,Fonctionnement[Montant (€HT)])+SUMIF(Invest[Affectation matrice],$AB$3,Invest[Amortissement HT + intérêts]))*BW35</f>
        <v>0</v>
      </c>
      <c r="W35" s="276">
        <f>(SUMIF(Fonctionnement[Affectation matrice],$AB$3,Fonctionnement[Montant (€HT)])+SUMIF(Invest[Affectation matrice],$AB$3,Invest[Amortissement HT + intérêts]))*BX35</f>
        <v>0</v>
      </c>
      <c r="X35" s="276">
        <f>(SUMIF(Fonctionnement[Affectation matrice],$AB$3,Fonctionnement[Montant (€HT)])+SUMIF(Invest[Affectation matrice],$AB$3,Invest[Amortissement HT + intérêts]))*BY35</f>
        <v>0</v>
      </c>
      <c r="Y35" s="276">
        <f>(SUMIF(Fonctionnement[Affectation matrice],$AB$3,Fonctionnement[Montant (€HT)])+SUMIF(Invest[Affectation matrice],$AB$3,Invest[Amortissement HT + intérêts]))*BZ35</f>
        <v>0</v>
      </c>
      <c r="Z35" s="276">
        <f>(SUMIF(Fonctionnement[Affectation matrice],$AB$3,Fonctionnement[Montant (€HT)])+SUMIF(Invest[Affectation matrice],$AB$3,Invest[Amortissement HT + intérêts]))*CA35</f>
        <v>0</v>
      </c>
      <c r="AA35" s="199"/>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283">
        <f t="shared" si="4"/>
        <v>0</v>
      </c>
      <c r="BB35" s="7"/>
      <c r="BC35" s="61">
        <f t="shared" ref="BC35:BR41" si="10">IF($BA$53=0,0,AB35/$BA$53)</f>
        <v>0</v>
      </c>
      <c r="BD35" s="61">
        <f t="shared" si="10"/>
        <v>0</v>
      </c>
      <c r="BE35" s="61">
        <f t="shared" si="10"/>
        <v>0</v>
      </c>
      <c r="BF35" s="61">
        <f t="shared" si="10"/>
        <v>0</v>
      </c>
      <c r="BG35" s="61">
        <f t="shared" si="10"/>
        <v>0</v>
      </c>
      <c r="BH35" s="61">
        <f t="shared" si="10"/>
        <v>0</v>
      </c>
      <c r="BI35" s="61">
        <f t="shared" si="10"/>
        <v>0</v>
      </c>
      <c r="BJ35" s="61">
        <f t="shared" si="10"/>
        <v>0</v>
      </c>
      <c r="BK35" s="61">
        <f t="shared" si="10"/>
        <v>0</v>
      </c>
      <c r="BL35" s="61">
        <f t="shared" si="10"/>
        <v>0</v>
      </c>
      <c r="BM35" s="61">
        <f t="shared" si="10"/>
        <v>0</v>
      </c>
      <c r="BN35" s="61">
        <f t="shared" si="10"/>
        <v>0</v>
      </c>
      <c r="BO35" s="61">
        <f t="shared" si="10"/>
        <v>0</v>
      </c>
      <c r="BP35" s="61">
        <f t="shared" si="10"/>
        <v>0</v>
      </c>
      <c r="BQ35" s="61">
        <f t="shared" si="10"/>
        <v>0</v>
      </c>
      <c r="BR35" s="61">
        <f t="shared" si="10"/>
        <v>0</v>
      </c>
      <c r="BS35" s="61">
        <f t="shared" ref="BM35:CA41" si="11">IF($BA$53=0,0,AR35/$BA$53)</f>
        <v>0</v>
      </c>
      <c r="BT35" s="61">
        <f t="shared" si="11"/>
        <v>0</v>
      </c>
      <c r="BU35" s="61">
        <f t="shared" si="11"/>
        <v>0</v>
      </c>
      <c r="BV35" s="61">
        <f t="shared" si="11"/>
        <v>0</v>
      </c>
      <c r="BW35" s="61">
        <f t="shared" si="11"/>
        <v>0</v>
      </c>
      <c r="BX35" s="61">
        <f t="shared" si="11"/>
        <v>0</v>
      </c>
      <c r="BY35" s="61">
        <f t="shared" si="11"/>
        <v>0</v>
      </c>
      <c r="BZ35" s="61">
        <f t="shared" si="11"/>
        <v>0</v>
      </c>
      <c r="CA35" s="61">
        <f t="shared" si="11"/>
        <v>0</v>
      </c>
      <c r="CB35" s="61">
        <f t="shared" si="5"/>
        <v>0</v>
      </c>
      <c r="CD35" s="200">
        <f>(SUMIF(Fonctionnement[Affectation matrice],$AB$3,Fonctionnement[TVA acquittée])+SUMIF(Invest[Affectation matrice],$AB$3,Invest[TVA acquittée]))*BC35</f>
        <v>0</v>
      </c>
      <c r="CE35" s="200">
        <f>(SUMIF(Fonctionnement[Affectation matrice],$AB$3,Fonctionnement[TVA acquittée])+SUMIF(Invest[Affectation matrice],$AB$3,Invest[TVA acquittée]))*BD35</f>
        <v>0</v>
      </c>
      <c r="CF35" s="200">
        <f>(SUMIF(Fonctionnement[Affectation matrice],$AB$3,Fonctionnement[TVA acquittée])+SUMIF(Invest[Affectation matrice],$AB$3,Invest[TVA acquittée]))*BE35</f>
        <v>0</v>
      </c>
      <c r="CG35" s="200">
        <f>(SUMIF(Fonctionnement[Affectation matrice],$AB$3,Fonctionnement[TVA acquittée])+SUMIF(Invest[Affectation matrice],$AB$3,Invest[TVA acquittée]))*BF35</f>
        <v>0</v>
      </c>
      <c r="CH35" s="200">
        <f>(SUMIF(Fonctionnement[Affectation matrice],$AB$3,Fonctionnement[TVA acquittée])+SUMIF(Invest[Affectation matrice],$AB$3,Invest[TVA acquittée]))*BG35</f>
        <v>0</v>
      </c>
      <c r="CI35" s="200">
        <f>(SUMIF(Fonctionnement[Affectation matrice],$AB$3,Fonctionnement[TVA acquittée])+SUMIF(Invest[Affectation matrice],$AB$3,Invest[TVA acquittée]))*BH35</f>
        <v>0</v>
      </c>
      <c r="CJ35" s="200">
        <f>(SUMIF(Fonctionnement[Affectation matrice],$AB$3,Fonctionnement[TVA acquittée])+SUMIF(Invest[Affectation matrice],$AB$3,Invest[TVA acquittée]))*BI35</f>
        <v>0</v>
      </c>
      <c r="CK35" s="200">
        <f>(SUMIF(Fonctionnement[Affectation matrice],$AB$3,Fonctionnement[TVA acquittée])+SUMIF(Invest[Affectation matrice],$AB$3,Invest[TVA acquittée]))*BJ35</f>
        <v>0</v>
      </c>
      <c r="CL35" s="200">
        <f>(SUMIF(Fonctionnement[Affectation matrice],$AB$3,Fonctionnement[TVA acquittée])+SUMIF(Invest[Affectation matrice],$AB$3,Invest[TVA acquittée]))*BK35</f>
        <v>0</v>
      </c>
      <c r="CM35" s="200">
        <f>(SUMIF(Fonctionnement[Affectation matrice],$AB$3,Fonctionnement[TVA acquittée])+SUMIF(Invest[Affectation matrice],$AB$3,Invest[TVA acquittée]))*BL35</f>
        <v>0</v>
      </c>
      <c r="CN35" s="200">
        <f>(SUMIF(Fonctionnement[Affectation matrice],$AB$3,Fonctionnement[TVA acquittée])+SUMIF(Invest[Affectation matrice],$AB$3,Invest[TVA acquittée]))*BM35</f>
        <v>0</v>
      </c>
      <c r="CO35" s="200">
        <f>(SUMIF(Fonctionnement[Affectation matrice],$AB$3,Fonctionnement[TVA acquittée])+SUMIF(Invest[Affectation matrice],$AB$3,Invest[TVA acquittée]))*BN35</f>
        <v>0</v>
      </c>
      <c r="CP35" s="200">
        <f>(SUMIF(Fonctionnement[Affectation matrice],$AB$3,Fonctionnement[TVA acquittée])+SUMIF(Invest[Affectation matrice],$AB$3,Invest[TVA acquittée]))*BO35</f>
        <v>0</v>
      </c>
      <c r="CQ35" s="200">
        <f>(SUMIF(Fonctionnement[Affectation matrice],$AB$3,Fonctionnement[TVA acquittée])+SUMIF(Invest[Affectation matrice],$AB$3,Invest[TVA acquittée]))*BP35</f>
        <v>0</v>
      </c>
      <c r="CR35" s="200">
        <f>(SUMIF(Fonctionnement[Affectation matrice],$AB$3,Fonctionnement[TVA acquittée])+SUMIF(Invest[Affectation matrice],$AB$3,Invest[TVA acquittée]))*BQ35</f>
        <v>0</v>
      </c>
      <c r="CS35" s="200">
        <f>(SUMIF(Fonctionnement[Affectation matrice],$AB$3,Fonctionnement[TVA acquittée])+SUMIF(Invest[Affectation matrice],$AB$3,Invest[TVA acquittée]))*BR35</f>
        <v>0</v>
      </c>
      <c r="CT35" s="200">
        <f>(SUMIF(Fonctionnement[Affectation matrice],$AB$3,Fonctionnement[TVA acquittée])+SUMIF(Invest[Affectation matrice],$AB$3,Invest[TVA acquittée]))*BS35</f>
        <v>0</v>
      </c>
      <c r="CU35" s="200">
        <f>(SUMIF(Fonctionnement[Affectation matrice],$AB$3,Fonctionnement[TVA acquittée])+SUMIF(Invest[Affectation matrice],$AB$3,Invest[TVA acquittée]))*BT35</f>
        <v>0</v>
      </c>
      <c r="CV35" s="200">
        <f>(SUMIF(Fonctionnement[Affectation matrice],$AB$3,Fonctionnement[TVA acquittée])+SUMIF(Invest[Affectation matrice],$AB$3,Invest[TVA acquittée]))*BU35</f>
        <v>0</v>
      </c>
      <c r="CW35" s="200">
        <f>(SUMIF(Fonctionnement[Affectation matrice],$AB$3,Fonctionnement[TVA acquittée])+SUMIF(Invest[Affectation matrice],$AB$3,Invest[TVA acquittée]))*BV35</f>
        <v>0</v>
      </c>
      <c r="CX35" s="200">
        <f>(SUMIF(Fonctionnement[Affectation matrice],$AB$3,Fonctionnement[TVA acquittée])+SUMIF(Invest[Affectation matrice],$AB$3,Invest[TVA acquittée]))*BW35</f>
        <v>0</v>
      </c>
      <c r="CY35" s="200">
        <f>(SUMIF(Fonctionnement[Affectation matrice],$AB$3,Fonctionnement[TVA acquittée])+SUMIF(Invest[Affectation matrice],$AB$3,Invest[TVA acquittée]))*BX35</f>
        <v>0</v>
      </c>
      <c r="CZ35" s="200">
        <f>(SUMIF(Fonctionnement[Affectation matrice],$AB$3,Fonctionnement[TVA acquittée])+SUMIF(Invest[Affectation matrice],$AB$3,Invest[TVA acquittée]))*BY35</f>
        <v>0</v>
      </c>
      <c r="DA35" s="200">
        <f>(SUMIF(Fonctionnement[Affectation matrice],$AB$3,Fonctionnement[TVA acquittée])+SUMIF(Invest[Affectation matrice],$AB$3,Invest[TVA acquittée]))*BZ35</f>
        <v>0</v>
      </c>
      <c r="DB35" s="200">
        <f>(SUMIF(Fonctionnement[Affectation matrice],$AB$3,Fonctionnement[TVA acquittée])+SUMIF(Invest[Affectation matrice],$AB$3,Invest[TVA acquittée]))*CA35</f>
        <v>0</v>
      </c>
    </row>
    <row r="36" spans="1:106" s="22" customFormat="1" ht="12.75" hidden="1" customHeight="1" x14ac:dyDescent="0.25">
      <c r="A36" s="42" t="str">
        <f>Matrice[[#This Row],[Ligne de la matrice]]</f>
        <v>TEOM</v>
      </c>
      <c r="B36" s="276">
        <f>(SUMIF(Fonctionnement[Affectation matrice],$AB$3,Fonctionnement[Montant (€HT)])+SUMIF(Invest[Affectation matrice],$AB$3,Invest[Amortissement HT + intérêts]))*BC36</f>
        <v>0</v>
      </c>
      <c r="C36" s="276">
        <f>(SUMIF(Fonctionnement[Affectation matrice],$AB$3,Fonctionnement[Montant (€HT)])+SUMIF(Invest[Affectation matrice],$AB$3,Invest[Amortissement HT + intérêts]))*BD36</f>
        <v>0</v>
      </c>
      <c r="D36" s="276">
        <f>(SUMIF(Fonctionnement[Affectation matrice],$AB$3,Fonctionnement[Montant (€HT)])+SUMIF(Invest[Affectation matrice],$AB$3,Invest[Amortissement HT + intérêts]))*BE36</f>
        <v>0</v>
      </c>
      <c r="E36" s="276">
        <f>(SUMIF(Fonctionnement[Affectation matrice],$AB$3,Fonctionnement[Montant (€HT)])+SUMIF(Invest[Affectation matrice],$AB$3,Invest[Amortissement HT + intérêts]))*BF36</f>
        <v>0</v>
      </c>
      <c r="F36" s="276">
        <f>(SUMIF(Fonctionnement[Affectation matrice],$AB$3,Fonctionnement[Montant (€HT)])+SUMIF(Invest[Affectation matrice],$AB$3,Invest[Amortissement HT + intérêts]))*BG36</f>
        <v>0</v>
      </c>
      <c r="G36" s="276">
        <f>(SUMIF(Fonctionnement[Affectation matrice],$AB$3,Fonctionnement[Montant (€HT)])+SUMIF(Invest[Affectation matrice],$AB$3,Invest[Amortissement HT + intérêts]))*BH36</f>
        <v>0</v>
      </c>
      <c r="H36" s="276">
        <f>(SUMIF(Fonctionnement[Affectation matrice],$AB$3,Fonctionnement[Montant (€HT)])+SUMIF(Invest[Affectation matrice],$AB$3,Invest[Amortissement HT + intérêts]))*BI36</f>
        <v>0</v>
      </c>
      <c r="I36" s="276">
        <f>(SUMIF(Fonctionnement[Affectation matrice],$AB$3,Fonctionnement[Montant (€HT)])+SUMIF(Invest[Affectation matrice],$AB$3,Invest[Amortissement HT + intérêts]))*BJ36</f>
        <v>0</v>
      </c>
      <c r="J36" s="276">
        <f>(SUMIF(Fonctionnement[Affectation matrice],$AB$3,Fonctionnement[Montant (€HT)])+SUMIF(Invest[Affectation matrice],$AB$3,Invest[Amortissement HT + intérêts]))*BK36</f>
        <v>0</v>
      </c>
      <c r="K36" s="276">
        <f>(SUMIF(Fonctionnement[Affectation matrice],$AB$3,Fonctionnement[Montant (€HT)])+SUMIF(Invest[Affectation matrice],$AB$3,Invest[Amortissement HT + intérêts]))*BL36</f>
        <v>0</v>
      </c>
      <c r="L36" s="276">
        <f>(SUMIF(Fonctionnement[Affectation matrice],$AB$3,Fonctionnement[Montant (€HT)])+SUMIF(Invest[Affectation matrice],$AB$3,Invest[Amortissement HT + intérêts]))*BM36</f>
        <v>0</v>
      </c>
      <c r="M36" s="276">
        <f>(SUMIF(Fonctionnement[Affectation matrice],$AB$3,Fonctionnement[Montant (€HT)])+SUMIF(Invest[Affectation matrice],$AB$3,Invest[Amortissement HT + intérêts]))*BN36</f>
        <v>0</v>
      </c>
      <c r="N36" s="276">
        <f>(SUMIF(Fonctionnement[Affectation matrice],$AB$3,Fonctionnement[Montant (€HT)])+SUMIF(Invest[Affectation matrice],$AB$3,Invest[Amortissement HT + intérêts]))*BO36</f>
        <v>0</v>
      </c>
      <c r="O36" s="276">
        <f>(SUMIF(Fonctionnement[Affectation matrice],$AB$3,Fonctionnement[Montant (€HT)])+SUMIF(Invest[Affectation matrice],$AB$3,Invest[Amortissement HT + intérêts]))*BP36</f>
        <v>0</v>
      </c>
      <c r="P36" s="276">
        <f>(SUMIF(Fonctionnement[Affectation matrice],$AB$3,Fonctionnement[Montant (€HT)])+SUMIF(Invest[Affectation matrice],$AB$3,Invest[Amortissement HT + intérêts]))*BQ36</f>
        <v>0</v>
      </c>
      <c r="Q36" s="276">
        <f>(SUMIF(Fonctionnement[Affectation matrice],$AB$3,Fonctionnement[Montant (€HT)])+SUMIF(Invest[Affectation matrice],$AB$3,Invest[Amortissement HT + intérêts]))*BR36</f>
        <v>0</v>
      </c>
      <c r="R36" s="276">
        <f>(SUMIF(Fonctionnement[Affectation matrice],$AB$3,Fonctionnement[Montant (€HT)])+SUMIF(Invest[Affectation matrice],$AB$3,Invest[Amortissement HT + intérêts]))*BS36</f>
        <v>0</v>
      </c>
      <c r="S36" s="276">
        <f>(SUMIF(Fonctionnement[Affectation matrice],$AB$3,Fonctionnement[Montant (€HT)])+SUMIF(Invest[Affectation matrice],$AB$3,Invest[Amortissement HT + intérêts]))*BT36</f>
        <v>0</v>
      </c>
      <c r="T36" s="276">
        <f>(SUMIF(Fonctionnement[Affectation matrice],$AB$3,Fonctionnement[Montant (€HT)])+SUMIF(Invest[Affectation matrice],$AB$3,Invest[Amortissement HT + intérêts]))*BU36</f>
        <v>0</v>
      </c>
      <c r="U36" s="276">
        <f>(SUMIF(Fonctionnement[Affectation matrice],$AB$3,Fonctionnement[Montant (€HT)])+SUMIF(Invest[Affectation matrice],$AB$3,Invest[Amortissement HT + intérêts]))*BV36</f>
        <v>0</v>
      </c>
      <c r="V36" s="276">
        <f>(SUMIF(Fonctionnement[Affectation matrice],$AB$3,Fonctionnement[Montant (€HT)])+SUMIF(Invest[Affectation matrice],$AB$3,Invest[Amortissement HT + intérêts]))*BW36</f>
        <v>0</v>
      </c>
      <c r="W36" s="276">
        <f>(SUMIF(Fonctionnement[Affectation matrice],$AB$3,Fonctionnement[Montant (€HT)])+SUMIF(Invest[Affectation matrice],$AB$3,Invest[Amortissement HT + intérêts]))*BX36</f>
        <v>0</v>
      </c>
      <c r="X36" s="276">
        <f>(SUMIF(Fonctionnement[Affectation matrice],$AB$3,Fonctionnement[Montant (€HT)])+SUMIF(Invest[Affectation matrice],$AB$3,Invest[Amortissement HT + intérêts]))*BY36</f>
        <v>0</v>
      </c>
      <c r="Y36" s="276">
        <f>(SUMIF(Fonctionnement[Affectation matrice],$AB$3,Fonctionnement[Montant (€HT)])+SUMIF(Invest[Affectation matrice],$AB$3,Invest[Amortissement HT + intérêts]))*BZ36</f>
        <v>0</v>
      </c>
      <c r="Z36" s="276">
        <f>(SUMIF(Fonctionnement[Affectation matrice],$AB$3,Fonctionnement[Montant (€HT)])+SUMIF(Invest[Affectation matrice],$AB$3,Invest[Amortissement HT + intérêts]))*CA36</f>
        <v>0</v>
      </c>
      <c r="AA36" s="199"/>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283">
        <f t="shared" si="4"/>
        <v>0</v>
      </c>
      <c r="BB36" s="7"/>
      <c r="BC36" s="61">
        <f t="shared" si="10"/>
        <v>0</v>
      </c>
      <c r="BD36" s="61">
        <f t="shared" si="10"/>
        <v>0</v>
      </c>
      <c r="BE36" s="61">
        <f t="shared" si="10"/>
        <v>0</v>
      </c>
      <c r="BF36" s="61">
        <f t="shared" si="10"/>
        <v>0</v>
      </c>
      <c r="BG36" s="61">
        <f t="shared" si="10"/>
        <v>0</v>
      </c>
      <c r="BH36" s="61">
        <f t="shared" si="10"/>
        <v>0</v>
      </c>
      <c r="BI36" s="61">
        <f t="shared" si="10"/>
        <v>0</v>
      </c>
      <c r="BJ36" s="61">
        <f t="shared" si="10"/>
        <v>0</v>
      </c>
      <c r="BK36" s="61">
        <f t="shared" si="10"/>
        <v>0</v>
      </c>
      <c r="BL36" s="61">
        <f t="shared" si="10"/>
        <v>0</v>
      </c>
      <c r="BM36" s="61">
        <f t="shared" si="11"/>
        <v>0</v>
      </c>
      <c r="BN36" s="61">
        <f t="shared" si="11"/>
        <v>0</v>
      </c>
      <c r="BO36" s="61">
        <f t="shared" si="11"/>
        <v>0</v>
      </c>
      <c r="BP36" s="61">
        <f t="shared" si="11"/>
        <v>0</v>
      </c>
      <c r="BQ36" s="61">
        <f t="shared" si="11"/>
        <v>0</v>
      </c>
      <c r="BR36" s="61">
        <f t="shared" si="11"/>
        <v>0</v>
      </c>
      <c r="BS36" s="61">
        <f t="shared" si="11"/>
        <v>0</v>
      </c>
      <c r="BT36" s="61">
        <f t="shared" si="11"/>
        <v>0</v>
      </c>
      <c r="BU36" s="61">
        <f t="shared" si="11"/>
        <v>0</v>
      </c>
      <c r="BV36" s="61">
        <f t="shared" si="11"/>
        <v>0</v>
      </c>
      <c r="BW36" s="61">
        <f t="shared" si="11"/>
        <v>0</v>
      </c>
      <c r="BX36" s="61">
        <f t="shared" si="11"/>
        <v>0</v>
      </c>
      <c r="BY36" s="61">
        <f t="shared" si="11"/>
        <v>0</v>
      </c>
      <c r="BZ36" s="61">
        <f t="shared" si="11"/>
        <v>0</v>
      </c>
      <c r="CA36" s="61">
        <f t="shared" si="11"/>
        <v>0</v>
      </c>
      <c r="CB36" s="61">
        <f t="shared" si="5"/>
        <v>0</v>
      </c>
      <c r="CD36" s="200">
        <f>(SUMIF(Fonctionnement[Affectation matrice],$AB$3,Fonctionnement[TVA acquittée])+SUMIF(Invest[Affectation matrice],$AB$3,Invest[TVA acquittée]))*BC36</f>
        <v>0</v>
      </c>
      <c r="CE36" s="200">
        <f>(SUMIF(Fonctionnement[Affectation matrice],$AB$3,Fonctionnement[TVA acquittée])+SUMIF(Invest[Affectation matrice],$AB$3,Invest[TVA acquittée]))*BD36</f>
        <v>0</v>
      </c>
      <c r="CF36" s="200">
        <f>(SUMIF(Fonctionnement[Affectation matrice],$AB$3,Fonctionnement[TVA acquittée])+SUMIF(Invest[Affectation matrice],$AB$3,Invest[TVA acquittée]))*BE36</f>
        <v>0</v>
      </c>
      <c r="CG36" s="200">
        <f>(SUMIF(Fonctionnement[Affectation matrice],$AB$3,Fonctionnement[TVA acquittée])+SUMIF(Invest[Affectation matrice],$AB$3,Invest[TVA acquittée]))*BF36</f>
        <v>0</v>
      </c>
      <c r="CH36" s="200">
        <f>(SUMIF(Fonctionnement[Affectation matrice],$AB$3,Fonctionnement[TVA acquittée])+SUMIF(Invest[Affectation matrice],$AB$3,Invest[TVA acquittée]))*BG36</f>
        <v>0</v>
      </c>
      <c r="CI36" s="200">
        <f>(SUMIF(Fonctionnement[Affectation matrice],$AB$3,Fonctionnement[TVA acquittée])+SUMIF(Invest[Affectation matrice],$AB$3,Invest[TVA acquittée]))*BH36</f>
        <v>0</v>
      </c>
      <c r="CJ36" s="200">
        <f>(SUMIF(Fonctionnement[Affectation matrice],$AB$3,Fonctionnement[TVA acquittée])+SUMIF(Invest[Affectation matrice],$AB$3,Invest[TVA acquittée]))*BI36</f>
        <v>0</v>
      </c>
      <c r="CK36" s="200">
        <f>(SUMIF(Fonctionnement[Affectation matrice],$AB$3,Fonctionnement[TVA acquittée])+SUMIF(Invest[Affectation matrice],$AB$3,Invest[TVA acquittée]))*BJ36</f>
        <v>0</v>
      </c>
      <c r="CL36" s="200">
        <f>(SUMIF(Fonctionnement[Affectation matrice],$AB$3,Fonctionnement[TVA acquittée])+SUMIF(Invest[Affectation matrice],$AB$3,Invest[TVA acquittée]))*BK36</f>
        <v>0</v>
      </c>
      <c r="CM36" s="200">
        <f>(SUMIF(Fonctionnement[Affectation matrice],$AB$3,Fonctionnement[TVA acquittée])+SUMIF(Invest[Affectation matrice],$AB$3,Invest[TVA acquittée]))*BL36</f>
        <v>0</v>
      </c>
      <c r="CN36" s="200">
        <f>(SUMIF(Fonctionnement[Affectation matrice],$AB$3,Fonctionnement[TVA acquittée])+SUMIF(Invest[Affectation matrice],$AB$3,Invest[TVA acquittée]))*BM36</f>
        <v>0</v>
      </c>
      <c r="CO36" s="200">
        <f>(SUMIF(Fonctionnement[Affectation matrice],$AB$3,Fonctionnement[TVA acquittée])+SUMIF(Invest[Affectation matrice],$AB$3,Invest[TVA acquittée]))*BN36</f>
        <v>0</v>
      </c>
      <c r="CP36" s="200">
        <f>(SUMIF(Fonctionnement[Affectation matrice],$AB$3,Fonctionnement[TVA acquittée])+SUMIF(Invest[Affectation matrice],$AB$3,Invest[TVA acquittée]))*BO36</f>
        <v>0</v>
      </c>
      <c r="CQ36" s="200">
        <f>(SUMIF(Fonctionnement[Affectation matrice],$AB$3,Fonctionnement[TVA acquittée])+SUMIF(Invest[Affectation matrice],$AB$3,Invest[TVA acquittée]))*BP36</f>
        <v>0</v>
      </c>
      <c r="CR36" s="200">
        <f>(SUMIF(Fonctionnement[Affectation matrice],$AB$3,Fonctionnement[TVA acquittée])+SUMIF(Invest[Affectation matrice],$AB$3,Invest[TVA acquittée]))*BQ36</f>
        <v>0</v>
      </c>
      <c r="CS36" s="200">
        <f>(SUMIF(Fonctionnement[Affectation matrice],$AB$3,Fonctionnement[TVA acquittée])+SUMIF(Invest[Affectation matrice],$AB$3,Invest[TVA acquittée]))*BR36</f>
        <v>0</v>
      </c>
      <c r="CT36" s="200">
        <f>(SUMIF(Fonctionnement[Affectation matrice],$AB$3,Fonctionnement[TVA acquittée])+SUMIF(Invest[Affectation matrice],$AB$3,Invest[TVA acquittée]))*BS36</f>
        <v>0</v>
      </c>
      <c r="CU36" s="200">
        <f>(SUMIF(Fonctionnement[Affectation matrice],$AB$3,Fonctionnement[TVA acquittée])+SUMIF(Invest[Affectation matrice],$AB$3,Invest[TVA acquittée]))*BT36</f>
        <v>0</v>
      </c>
      <c r="CV36" s="200">
        <f>(SUMIF(Fonctionnement[Affectation matrice],$AB$3,Fonctionnement[TVA acquittée])+SUMIF(Invest[Affectation matrice],$AB$3,Invest[TVA acquittée]))*BU36</f>
        <v>0</v>
      </c>
      <c r="CW36" s="200">
        <f>(SUMIF(Fonctionnement[Affectation matrice],$AB$3,Fonctionnement[TVA acquittée])+SUMIF(Invest[Affectation matrice],$AB$3,Invest[TVA acquittée]))*BV36</f>
        <v>0</v>
      </c>
      <c r="CX36" s="200">
        <f>(SUMIF(Fonctionnement[Affectation matrice],$AB$3,Fonctionnement[TVA acquittée])+SUMIF(Invest[Affectation matrice],$AB$3,Invest[TVA acquittée]))*BW36</f>
        <v>0</v>
      </c>
      <c r="CY36" s="200">
        <f>(SUMIF(Fonctionnement[Affectation matrice],$AB$3,Fonctionnement[TVA acquittée])+SUMIF(Invest[Affectation matrice],$AB$3,Invest[TVA acquittée]))*BX36</f>
        <v>0</v>
      </c>
      <c r="CZ36" s="200">
        <f>(SUMIF(Fonctionnement[Affectation matrice],$AB$3,Fonctionnement[TVA acquittée])+SUMIF(Invest[Affectation matrice],$AB$3,Invest[TVA acquittée]))*BY36</f>
        <v>0</v>
      </c>
      <c r="DA36" s="200">
        <f>(SUMIF(Fonctionnement[Affectation matrice],$AB$3,Fonctionnement[TVA acquittée])+SUMIF(Invest[Affectation matrice],$AB$3,Invest[TVA acquittée]))*BZ36</f>
        <v>0</v>
      </c>
      <c r="DB36" s="200">
        <f>(SUMIF(Fonctionnement[Affectation matrice],$AB$3,Fonctionnement[TVA acquittée])+SUMIF(Invest[Affectation matrice],$AB$3,Invest[TVA acquittée]))*CA36</f>
        <v>0</v>
      </c>
    </row>
    <row r="37" spans="1:106" s="22" customFormat="1" ht="12.75" hidden="1" customHeight="1" x14ac:dyDescent="0.25">
      <c r="A37" s="42" t="str">
        <f>Matrice[[#This Row],[Ligne de la matrice]]</f>
        <v>REOM</v>
      </c>
      <c r="B37" s="276">
        <f>(SUMIF(Fonctionnement[Affectation matrice],$AB$3,Fonctionnement[Montant (€HT)])+SUMIF(Invest[Affectation matrice],$AB$3,Invest[Amortissement HT + intérêts]))*BC37</f>
        <v>0</v>
      </c>
      <c r="C37" s="276">
        <f>(SUMIF(Fonctionnement[Affectation matrice],$AB$3,Fonctionnement[Montant (€HT)])+SUMIF(Invest[Affectation matrice],$AB$3,Invest[Amortissement HT + intérêts]))*BD37</f>
        <v>0</v>
      </c>
      <c r="D37" s="276">
        <f>(SUMIF(Fonctionnement[Affectation matrice],$AB$3,Fonctionnement[Montant (€HT)])+SUMIF(Invest[Affectation matrice],$AB$3,Invest[Amortissement HT + intérêts]))*BE37</f>
        <v>0</v>
      </c>
      <c r="E37" s="276">
        <f>(SUMIF(Fonctionnement[Affectation matrice],$AB$3,Fonctionnement[Montant (€HT)])+SUMIF(Invest[Affectation matrice],$AB$3,Invest[Amortissement HT + intérêts]))*BF37</f>
        <v>0</v>
      </c>
      <c r="F37" s="276">
        <f>(SUMIF(Fonctionnement[Affectation matrice],$AB$3,Fonctionnement[Montant (€HT)])+SUMIF(Invest[Affectation matrice],$AB$3,Invest[Amortissement HT + intérêts]))*BG37</f>
        <v>0</v>
      </c>
      <c r="G37" s="276">
        <f>(SUMIF(Fonctionnement[Affectation matrice],$AB$3,Fonctionnement[Montant (€HT)])+SUMIF(Invest[Affectation matrice],$AB$3,Invest[Amortissement HT + intérêts]))*BH37</f>
        <v>0</v>
      </c>
      <c r="H37" s="276">
        <f>(SUMIF(Fonctionnement[Affectation matrice],$AB$3,Fonctionnement[Montant (€HT)])+SUMIF(Invest[Affectation matrice],$AB$3,Invest[Amortissement HT + intérêts]))*BI37</f>
        <v>0</v>
      </c>
      <c r="I37" s="276">
        <f>(SUMIF(Fonctionnement[Affectation matrice],$AB$3,Fonctionnement[Montant (€HT)])+SUMIF(Invest[Affectation matrice],$AB$3,Invest[Amortissement HT + intérêts]))*BJ37</f>
        <v>0</v>
      </c>
      <c r="J37" s="276">
        <f>(SUMIF(Fonctionnement[Affectation matrice],$AB$3,Fonctionnement[Montant (€HT)])+SUMIF(Invest[Affectation matrice],$AB$3,Invest[Amortissement HT + intérêts]))*BK37</f>
        <v>0</v>
      </c>
      <c r="K37" s="276">
        <f>(SUMIF(Fonctionnement[Affectation matrice],$AB$3,Fonctionnement[Montant (€HT)])+SUMIF(Invest[Affectation matrice],$AB$3,Invest[Amortissement HT + intérêts]))*BL37</f>
        <v>0</v>
      </c>
      <c r="L37" s="276">
        <f>(SUMIF(Fonctionnement[Affectation matrice],$AB$3,Fonctionnement[Montant (€HT)])+SUMIF(Invest[Affectation matrice],$AB$3,Invest[Amortissement HT + intérêts]))*BM37</f>
        <v>0</v>
      </c>
      <c r="M37" s="276">
        <f>(SUMIF(Fonctionnement[Affectation matrice],$AB$3,Fonctionnement[Montant (€HT)])+SUMIF(Invest[Affectation matrice],$AB$3,Invest[Amortissement HT + intérêts]))*BN37</f>
        <v>0</v>
      </c>
      <c r="N37" s="276">
        <f>(SUMIF(Fonctionnement[Affectation matrice],$AB$3,Fonctionnement[Montant (€HT)])+SUMIF(Invest[Affectation matrice],$AB$3,Invest[Amortissement HT + intérêts]))*BO37</f>
        <v>0</v>
      </c>
      <c r="O37" s="276">
        <f>(SUMIF(Fonctionnement[Affectation matrice],$AB$3,Fonctionnement[Montant (€HT)])+SUMIF(Invest[Affectation matrice],$AB$3,Invest[Amortissement HT + intérêts]))*BP37</f>
        <v>0</v>
      </c>
      <c r="P37" s="276">
        <f>(SUMIF(Fonctionnement[Affectation matrice],$AB$3,Fonctionnement[Montant (€HT)])+SUMIF(Invest[Affectation matrice],$AB$3,Invest[Amortissement HT + intérêts]))*BQ37</f>
        <v>0</v>
      </c>
      <c r="Q37" s="276">
        <f>(SUMIF(Fonctionnement[Affectation matrice],$AB$3,Fonctionnement[Montant (€HT)])+SUMIF(Invest[Affectation matrice],$AB$3,Invest[Amortissement HT + intérêts]))*BR37</f>
        <v>0</v>
      </c>
      <c r="R37" s="276">
        <f>(SUMIF(Fonctionnement[Affectation matrice],$AB$3,Fonctionnement[Montant (€HT)])+SUMIF(Invest[Affectation matrice],$AB$3,Invest[Amortissement HT + intérêts]))*BS37</f>
        <v>0</v>
      </c>
      <c r="S37" s="276">
        <f>(SUMIF(Fonctionnement[Affectation matrice],$AB$3,Fonctionnement[Montant (€HT)])+SUMIF(Invest[Affectation matrice],$AB$3,Invest[Amortissement HT + intérêts]))*BT37</f>
        <v>0</v>
      </c>
      <c r="T37" s="276">
        <f>(SUMIF(Fonctionnement[Affectation matrice],$AB$3,Fonctionnement[Montant (€HT)])+SUMIF(Invest[Affectation matrice],$AB$3,Invest[Amortissement HT + intérêts]))*BU37</f>
        <v>0</v>
      </c>
      <c r="U37" s="276">
        <f>(SUMIF(Fonctionnement[Affectation matrice],$AB$3,Fonctionnement[Montant (€HT)])+SUMIF(Invest[Affectation matrice],$AB$3,Invest[Amortissement HT + intérêts]))*BV37</f>
        <v>0</v>
      </c>
      <c r="V37" s="276">
        <f>(SUMIF(Fonctionnement[Affectation matrice],$AB$3,Fonctionnement[Montant (€HT)])+SUMIF(Invest[Affectation matrice],$AB$3,Invest[Amortissement HT + intérêts]))*BW37</f>
        <v>0</v>
      </c>
      <c r="W37" s="276">
        <f>(SUMIF(Fonctionnement[Affectation matrice],$AB$3,Fonctionnement[Montant (€HT)])+SUMIF(Invest[Affectation matrice],$AB$3,Invest[Amortissement HT + intérêts]))*BX37</f>
        <v>0</v>
      </c>
      <c r="X37" s="276">
        <f>(SUMIF(Fonctionnement[Affectation matrice],$AB$3,Fonctionnement[Montant (€HT)])+SUMIF(Invest[Affectation matrice],$AB$3,Invest[Amortissement HT + intérêts]))*BY37</f>
        <v>0</v>
      </c>
      <c r="Y37" s="276">
        <f>(SUMIF(Fonctionnement[Affectation matrice],$AB$3,Fonctionnement[Montant (€HT)])+SUMIF(Invest[Affectation matrice],$AB$3,Invest[Amortissement HT + intérêts]))*BZ37</f>
        <v>0</v>
      </c>
      <c r="Z37" s="276">
        <f>(SUMIF(Fonctionnement[Affectation matrice],$AB$3,Fonctionnement[Montant (€HT)])+SUMIF(Invest[Affectation matrice],$AB$3,Invest[Amortissement HT + intérêts]))*CA37</f>
        <v>0</v>
      </c>
      <c r="AA37" s="199"/>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283">
        <f t="shared" si="4"/>
        <v>0</v>
      </c>
      <c r="BB37" s="7"/>
      <c r="BC37" s="61">
        <f t="shared" si="10"/>
        <v>0</v>
      </c>
      <c r="BD37" s="61">
        <f t="shared" si="10"/>
        <v>0</v>
      </c>
      <c r="BE37" s="61">
        <f t="shared" si="10"/>
        <v>0</v>
      </c>
      <c r="BF37" s="61">
        <f t="shared" si="10"/>
        <v>0</v>
      </c>
      <c r="BG37" s="61">
        <f t="shared" si="10"/>
        <v>0</v>
      </c>
      <c r="BH37" s="61">
        <f t="shared" si="10"/>
        <v>0</v>
      </c>
      <c r="BI37" s="61">
        <f t="shared" si="10"/>
        <v>0</v>
      </c>
      <c r="BJ37" s="61">
        <f t="shared" si="10"/>
        <v>0</v>
      </c>
      <c r="BK37" s="61">
        <f t="shared" si="10"/>
        <v>0</v>
      </c>
      <c r="BL37" s="61">
        <f t="shared" si="10"/>
        <v>0</v>
      </c>
      <c r="BM37" s="61">
        <f t="shared" si="11"/>
        <v>0</v>
      </c>
      <c r="BN37" s="61">
        <f t="shared" si="11"/>
        <v>0</v>
      </c>
      <c r="BO37" s="61">
        <f t="shared" si="11"/>
        <v>0</v>
      </c>
      <c r="BP37" s="61">
        <f t="shared" si="11"/>
        <v>0</v>
      </c>
      <c r="BQ37" s="61">
        <f t="shared" si="11"/>
        <v>0</v>
      </c>
      <c r="BR37" s="61">
        <f t="shared" si="11"/>
        <v>0</v>
      </c>
      <c r="BS37" s="61">
        <f t="shared" si="11"/>
        <v>0</v>
      </c>
      <c r="BT37" s="61">
        <f t="shared" si="11"/>
        <v>0</v>
      </c>
      <c r="BU37" s="61">
        <f t="shared" si="11"/>
        <v>0</v>
      </c>
      <c r="BV37" s="61">
        <f t="shared" si="11"/>
        <v>0</v>
      </c>
      <c r="BW37" s="61">
        <f t="shared" si="11"/>
        <v>0</v>
      </c>
      <c r="BX37" s="61">
        <f t="shared" si="11"/>
        <v>0</v>
      </c>
      <c r="BY37" s="61">
        <f t="shared" si="11"/>
        <v>0</v>
      </c>
      <c r="BZ37" s="61">
        <f t="shared" si="11"/>
        <v>0</v>
      </c>
      <c r="CA37" s="61">
        <f t="shared" si="11"/>
        <v>0</v>
      </c>
      <c r="CB37" s="61">
        <f t="shared" si="5"/>
        <v>0</v>
      </c>
      <c r="CD37" s="200">
        <f>(SUMIF(Fonctionnement[Affectation matrice],$AB$3,Fonctionnement[TVA acquittée])+SUMIF(Invest[Affectation matrice],$AB$3,Invest[TVA acquittée]))*BC37</f>
        <v>0</v>
      </c>
      <c r="CE37" s="200">
        <f>(SUMIF(Fonctionnement[Affectation matrice],$AB$3,Fonctionnement[TVA acquittée])+SUMIF(Invest[Affectation matrice],$AB$3,Invest[TVA acquittée]))*BD37</f>
        <v>0</v>
      </c>
      <c r="CF37" s="200">
        <f>(SUMIF(Fonctionnement[Affectation matrice],$AB$3,Fonctionnement[TVA acquittée])+SUMIF(Invest[Affectation matrice],$AB$3,Invest[TVA acquittée]))*BE37</f>
        <v>0</v>
      </c>
      <c r="CG37" s="200">
        <f>(SUMIF(Fonctionnement[Affectation matrice],$AB$3,Fonctionnement[TVA acquittée])+SUMIF(Invest[Affectation matrice],$AB$3,Invest[TVA acquittée]))*BF37</f>
        <v>0</v>
      </c>
      <c r="CH37" s="200">
        <f>(SUMIF(Fonctionnement[Affectation matrice],$AB$3,Fonctionnement[TVA acquittée])+SUMIF(Invest[Affectation matrice],$AB$3,Invest[TVA acquittée]))*BG37</f>
        <v>0</v>
      </c>
      <c r="CI37" s="200">
        <f>(SUMIF(Fonctionnement[Affectation matrice],$AB$3,Fonctionnement[TVA acquittée])+SUMIF(Invest[Affectation matrice],$AB$3,Invest[TVA acquittée]))*BH37</f>
        <v>0</v>
      </c>
      <c r="CJ37" s="200">
        <f>(SUMIF(Fonctionnement[Affectation matrice],$AB$3,Fonctionnement[TVA acquittée])+SUMIF(Invest[Affectation matrice],$AB$3,Invest[TVA acquittée]))*BI37</f>
        <v>0</v>
      </c>
      <c r="CK37" s="200">
        <f>(SUMIF(Fonctionnement[Affectation matrice],$AB$3,Fonctionnement[TVA acquittée])+SUMIF(Invest[Affectation matrice],$AB$3,Invest[TVA acquittée]))*BJ37</f>
        <v>0</v>
      </c>
      <c r="CL37" s="200">
        <f>(SUMIF(Fonctionnement[Affectation matrice],$AB$3,Fonctionnement[TVA acquittée])+SUMIF(Invest[Affectation matrice],$AB$3,Invest[TVA acquittée]))*BK37</f>
        <v>0</v>
      </c>
      <c r="CM37" s="200">
        <f>(SUMIF(Fonctionnement[Affectation matrice],$AB$3,Fonctionnement[TVA acquittée])+SUMIF(Invest[Affectation matrice],$AB$3,Invest[TVA acquittée]))*BL37</f>
        <v>0</v>
      </c>
      <c r="CN37" s="200">
        <f>(SUMIF(Fonctionnement[Affectation matrice],$AB$3,Fonctionnement[TVA acquittée])+SUMIF(Invest[Affectation matrice],$AB$3,Invest[TVA acquittée]))*BM37</f>
        <v>0</v>
      </c>
      <c r="CO37" s="200">
        <f>(SUMIF(Fonctionnement[Affectation matrice],$AB$3,Fonctionnement[TVA acquittée])+SUMIF(Invest[Affectation matrice],$AB$3,Invest[TVA acquittée]))*BN37</f>
        <v>0</v>
      </c>
      <c r="CP37" s="200">
        <f>(SUMIF(Fonctionnement[Affectation matrice],$AB$3,Fonctionnement[TVA acquittée])+SUMIF(Invest[Affectation matrice],$AB$3,Invest[TVA acquittée]))*BO37</f>
        <v>0</v>
      </c>
      <c r="CQ37" s="200">
        <f>(SUMIF(Fonctionnement[Affectation matrice],$AB$3,Fonctionnement[TVA acquittée])+SUMIF(Invest[Affectation matrice],$AB$3,Invest[TVA acquittée]))*BP37</f>
        <v>0</v>
      </c>
      <c r="CR37" s="200">
        <f>(SUMIF(Fonctionnement[Affectation matrice],$AB$3,Fonctionnement[TVA acquittée])+SUMIF(Invest[Affectation matrice],$AB$3,Invest[TVA acquittée]))*BQ37</f>
        <v>0</v>
      </c>
      <c r="CS37" s="200">
        <f>(SUMIF(Fonctionnement[Affectation matrice],$AB$3,Fonctionnement[TVA acquittée])+SUMIF(Invest[Affectation matrice],$AB$3,Invest[TVA acquittée]))*BR37</f>
        <v>0</v>
      </c>
      <c r="CT37" s="200">
        <f>(SUMIF(Fonctionnement[Affectation matrice],$AB$3,Fonctionnement[TVA acquittée])+SUMIF(Invest[Affectation matrice],$AB$3,Invest[TVA acquittée]))*BS37</f>
        <v>0</v>
      </c>
      <c r="CU37" s="200">
        <f>(SUMIF(Fonctionnement[Affectation matrice],$AB$3,Fonctionnement[TVA acquittée])+SUMIF(Invest[Affectation matrice],$AB$3,Invest[TVA acquittée]))*BT37</f>
        <v>0</v>
      </c>
      <c r="CV37" s="200">
        <f>(SUMIF(Fonctionnement[Affectation matrice],$AB$3,Fonctionnement[TVA acquittée])+SUMIF(Invest[Affectation matrice],$AB$3,Invest[TVA acquittée]))*BU37</f>
        <v>0</v>
      </c>
      <c r="CW37" s="200">
        <f>(SUMIF(Fonctionnement[Affectation matrice],$AB$3,Fonctionnement[TVA acquittée])+SUMIF(Invest[Affectation matrice],$AB$3,Invest[TVA acquittée]))*BV37</f>
        <v>0</v>
      </c>
      <c r="CX37" s="200">
        <f>(SUMIF(Fonctionnement[Affectation matrice],$AB$3,Fonctionnement[TVA acquittée])+SUMIF(Invest[Affectation matrice],$AB$3,Invest[TVA acquittée]))*BW37</f>
        <v>0</v>
      </c>
      <c r="CY37" s="200">
        <f>(SUMIF(Fonctionnement[Affectation matrice],$AB$3,Fonctionnement[TVA acquittée])+SUMIF(Invest[Affectation matrice],$AB$3,Invest[TVA acquittée]))*BX37</f>
        <v>0</v>
      </c>
      <c r="CZ37" s="200">
        <f>(SUMIF(Fonctionnement[Affectation matrice],$AB$3,Fonctionnement[TVA acquittée])+SUMIF(Invest[Affectation matrice],$AB$3,Invest[TVA acquittée]))*BY37</f>
        <v>0</v>
      </c>
      <c r="DA37" s="200">
        <f>(SUMIF(Fonctionnement[Affectation matrice],$AB$3,Fonctionnement[TVA acquittée])+SUMIF(Invest[Affectation matrice],$AB$3,Invest[TVA acquittée]))*BZ37</f>
        <v>0</v>
      </c>
      <c r="DB37" s="200">
        <f>(SUMIF(Fonctionnement[Affectation matrice],$AB$3,Fonctionnement[TVA acquittée])+SUMIF(Invest[Affectation matrice],$AB$3,Invest[TVA acquittée]))*CA37</f>
        <v>0</v>
      </c>
    </row>
    <row r="38" spans="1:106" s="22" customFormat="1" ht="12.75" hidden="1" customHeight="1" x14ac:dyDescent="0.25">
      <c r="A38" s="42" t="str">
        <f>Matrice[[#This Row],[Ligne de la matrice]]</f>
        <v>Redevance spéciale et facturation à l'usager</v>
      </c>
      <c r="B38" s="276">
        <f>(SUMIF(Fonctionnement[Affectation matrice],$AB$3,Fonctionnement[Montant (€HT)])+SUMIF(Invest[Affectation matrice],$AB$3,Invest[Amortissement HT + intérêts]))*BC38</f>
        <v>0</v>
      </c>
      <c r="C38" s="276">
        <f>(SUMIF(Fonctionnement[Affectation matrice],$AB$3,Fonctionnement[Montant (€HT)])+SUMIF(Invest[Affectation matrice],$AB$3,Invest[Amortissement HT + intérêts]))*BD38</f>
        <v>0</v>
      </c>
      <c r="D38" s="276">
        <f>(SUMIF(Fonctionnement[Affectation matrice],$AB$3,Fonctionnement[Montant (€HT)])+SUMIF(Invest[Affectation matrice],$AB$3,Invest[Amortissement HT + intérêts]))*BE38</f>
        <v>0</v>
      </c>
      <c r="E38" s="276">
        <f>(SUMIF(Fonctionnement[Affectation matrice],$AB$3,Fonctionnement[Montant (€HT)])+SUMIF(Invest[Affectation matrice],$AB$3,Invest[Amortissement HT + intérêts]))*BF38</f>
        <v>0</v>
      </c>
      <c r="F38" s="276">
        <f>(SUMIF(Fonctionnement[Affectation matrice],$AB$3,Fonctionnement[Montant (€HT)])+SUMIF(Invest[Affectation matrice],$AB$3,Invest[Amortissement HT + intérêts]))*BG38</f>
        <v>0</v>
      </c>
      <c r="G38" s="276">
        <f>(SUMIF(Fonctionnement[Affectation matrice],$AB$3,Fonctionnement[Montant (€HT)])+SUMIF(Invest[Affectation matrice],$AB$3,Invest[Amortissement HT + intérêts]))*BH38</f>
        <v>0</v>
      </c>
      <c r="H38" s="276">
        <f>(SUMIF(Fonctionnement[Affectation matrice],$AB$3,Fonctionnement[Montant (€HT)])+SUMIF(Invest[Affectation matrice],$AB$3,Invest[Amortissement HT + intérêts]))*BI38</f>
        <v>0</v>
      </c>
      <c r="I38" s="276">
        <f>(SUMIF(Fonctionnement[Affectation matrice],$AB$3,Fonctionnement[Montant (€HT)])+SUMIF(Invest[Affectation matrice],$AB$3,Invest[Amortissement HT + intérêts]))*BJ38</f>
        <v>0</v>
      </c>
      <c r="J38" s="276">
        <f>(SUMIF(Fonctionnement[Affectation matrice],$AB$3,Fonctionnement[Montant (€HT)])+SUMIF(Invest[Affectation matrice],$AB$3,Invest[Amortissement HT + intérêts]))*BK38</f>
        <v>0</v>
      </c>
      <c r="K38" s="276">
        <f>(SUMIF(Fonctionnement[Affectation matrice],$AB$3,Fonctionnement[Montant (€HT)])+SUMIF(Invest[Affectation matrice],$AB$3,Invest[Amortissement HT + intérêts]))*BL38</f>
        <v>0</v>
      </c>
      <c r="L38" s="276">
        <f>(SUMIF(Fonctionnement[Affectation matrice],$AB$3,Fonctionnement[Montant (€HT)])+SUMIF(Invest[Affectation matrice],$AB$3,Invest[Amortissement HT + intérêts]))*BM38</f>
        <v>0</v>
      </c>
      <c r="M38" s="276">
        <f>(SUMIF(Fonctionnement[Affectation matrice],$AB$3,Fonctionnement[Montant (€HT)])+SUMIF(Invest[Affectation matrice],$AB$3,Invest[Amortissement HT + intérêts]))*BN38</f>
        <v>0</v>
      </c>
      <c r="N38" s="276">
        <f>(SUMIF(Fonctionnement[Affectation matrice],$AB$3,Fonctionnement[Montant (€HT)])+SUMIF(Invest[Affectation matrice],$AB$3,Invest[Amortissement HT + intérêts]))*BO38</f>
        <v>0</v>
      </c>
      <c r="O38" s="276">
        <f>(SUMIF(Fonctionnement[Affectation matrice],$AB$3,Fonctionnement[Montant (€HT)])+SUMIF(Invest[Affectation matrice],$AB$3,Invest[Amortissement HT + intérêts]))*BP38</f>
        <v>0</v>
      </c>
      <c r="P38" s="276">
        <f>(SUMIF(Fonctionnement[Affectation matrice],$AB$3,Fonctionnement[Montant (€HT)])+SUMIF(Invest[Affectation matrice],$AB$3,Invest[Amortissement HT + intérêts]))*BQ38</f>
        <v>0</v>
      </c>
      <c r="Q38" s="276">
        <f>(SUMIF(Fonctionnement[Affectation matrice],$AB$3,Fonctionnement[Montant (€HT)])+SUMIF(Invest[Affectation matrice],$AB$3,Invest[Amortissement HT + intérêts]))*BR38</f>
        <v>0</v>
      </c>
      <c r="R38" s="276">
        <f>(SUMIF(Fonctionnement[Affectation matrice],$AB$3,Fonctionnement[Montant (€HT)])+SUMIF(Invest[Affectation matrice],$AB$3,Invest[Amortissement HT + intérêts]))*BS38</f>
        <v>0</v>
      </c>
      <c r="S38" s="276">
        <f>(SUMIF(Fonctionnement[Affectation matrice],$AB$3,Fonctionnement[Montant (€HT)])+SUMIF(Invest[Affectation matrice],$AB$3,Invest[Amortissement HT + intérêts]))*BT38</f>
        <v>0</v>
      </c>
      <c r="T38" s="276">
        <f>(SUMIF(Fonctionnement[Affectation matrice],$AB$3,Fonctionnement[Montant (€HT)])+SUMIF(Invest[Affectation matrice],$AB$3,Invest[Amortissement HT + intérêts]))*BU38</f>
        <v>0</v>
      </c>
      <c r="U38" s="276">
        <f>(SUMIF(Fonctionnement[Affectation matrice],$AB$3,Fonctionnement[Montant (€HT)])+SUMIF(Invest[Affectation matrice],$AB$3,Invest[Amortissement HT + intérêts]))*BV38</f>
        <v>0</v>
      </c>
      <c r="V38" s="276">
        <f>(SUMIF(Fonctionnement[Affectation matrice],$AB$3,Fonctionnement[Montant (€HT)])+SUMIF(Invest[Affectation matrice],$AB$3,Invest[Amortissement HT + intérêts]))*BW38</f>
        <v>0</v>
      </c>
      <c r="W38" s="276">
        <f>(SUMIF(Fonctionnement[Affectation matrice],$AB$3,Fonctionnement[Montant (€HT)])+SUMIF(Invest[Affectation matrice],$AB$3,Invest[Amortissement HT + intérêts]))*BX38</f>
        <v>0</v>
      </c>
      <c r="X38" s="276">
        <f>(SUMIF(Fonctionnement[Affectation matrice],$AB$3,Fonctionnement[Montant (€HT)])+SUMIF(Invest[Affectation matrice],$AB$3,Invest[Amortissement HT + intérêts]))*BY38</f>
        <v>0</v>
      </c>
      <c r="Y38" s="276">
        <f>(SUMIF(Fonctionnement[Affectation matrice],$AB$3,Fonctionnement[Montant (€HT)])+SUMIF(Invest[Affectation matrice],$AB$3,Invest[Amortissement HT + intérêts]))*BZ38</f>
        <v>0</v>
      </c>
      <c r="Z38" s="276">
        <f>(SUMIF(Fonctionnement[Affectation matrice],$AB$3,Fonctionnement[Montant (€HT)])+SUMIF(Invest[Affectation matrice],$AB$3,Invest[Amortissement HT + intérêts]))*CA38</f>
        <v>0</v>
      </c>
      <c r="AA38" s="199"/>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283">
        <f t="shared" si="4"/>
        <v>0</v>
      </c>
      <c r="BB38" s="7"/>
      <c r="BC38" s="61">
        <f t="shared" si="10"/>
        <v>0</v>
      </c>
      <c r="BD38" s="61">
        <f t="shared" si="10"/>
        <v>0</v>
      </c>
      <c r="BE38" s="61">
        <f t="shared" si="10"/>
        <v>0</v>
      </c>
      <c r="BF38" s="61">
        <f t="shared" si="10"/>
        <v>0</v>
      </c>
      <c r="BG38" s="61">
        <f t="shared" si="10"/>
        <v>0</v>
      </c>
      <c r="BH38" s="61">
        <f t="shared" si="10"/>
        <v>0</v>
      </c>
      <c r="BI38" s="61">
        <f t="shared" si="10"/>
        <v>0</v>
      </c>
      <c r="BJ38" s="61">
        <f t="shared" si="10"/>
        <v>0</v>
      </c>
      <c r="BK38" s="61">
        <f t="shared" si="10"/>
        <v>0</v>
      </c>
      <c r="BL38" s="61">
        <f t="shared" si="10"/>
        <v>0</v>
      </c>
      <c r="BM38" s="61">
        <f t="shared" si="11"/>
        <v>0</v>
      </c>
      <c r="BN38" s="61">
        <f t="shared" si="11"/>
        <v>0</v>
      </c>
      <c r="BO38" s="61">
        <f t="shared" si="11"/>
        <v>0</v>
      </c>
      <c r="BP38" s="61">
        <f t="shared" si="11"/>
        <v>0</v>
      </c>
      <c r="BQ38" s="61">
        <f t="shared" si="11"/>
        <v>0</v>
      </c>
      <c r="BR38" s="61">
        <f t="shared" si="11"/>
        <v>0</v>
      </c>
      <c r="BS38" s="61">
        <f t="shared" si="11"/>
        <v>0</v>
      </c>
      <c r="BT38" s="61">
        <f t="shared" si="11"/>
        <v>0</v>
      </c>
      <c r="BU38" s="61">
        <f t="shared" si="11"/>
        <v>0</v>
      </c>
      <c r="BV38" s="61">
        <f t="shared" si="11"/>
        <v>0</v>
      </c>
      <c r="BW38" s="61">
        <f t="shared" si="11"/>
        <v>0</v>
      </c>
      <c r="BX38" s="61">
        <f t="shared" si="11"/>
        <v>0</v>
      </c>
      <c r="BY38" s="61">
        <f t="shared" si="11"/>
        <v>0</v>
      </c>
      <c r="BZ38" s="61">
        <f t="shared" si="11"/>
        <v>0</v>
      </c>
      <c r="CA38" s="61">
        <f t="shared" si="11"/>
        <v>0</v>
      </c>
      <c r="CB38" s="61">
        <f t="shared" si="5"/>
        <v>0</v>
      </c>
      <c r="CD38" s="200">
        <f>(SUMIF(Fonctionnement[Affectation matrice],$AB$3,Fonctionnement[TVA acquittée])+SUMIF(Invest[Affectation matrice],$AB$3,Invest[TVA acquittée]))*BC38</f>
        <v>0</v>
      </c>
      <c r="CE38" s="200">
        <f>(SUMIF(Fonctionnement[Affectation matrice],$AB$3,Fonctionnement[TVA acquittée])+SUMIF(Invest[Affectation matrice],$AB$3,Invest[TVA acquittée]))*BD38</f>
        <v>0</v>
      </c>
      <c r="CF38" s="200">
        <f>(SUMIF(Fonctionnement[Affectation matrice],$AB$3,Fonctionnement[TVA acquittée])+SUMIF(Invest[Affectation matrice],$AB$3,Invest[TVA acquittée]))*BE38</f>
        <v>0</v>
      </c>
      <c r="CG38" s="200">
        <f>(SUMIF(Fonctionnement[Affectation matrice],$AB$3,Fonctionnement[TVA acquittée])+SUMIF(Invest[Affectation matrice],$AB$3,Invest[TVA acquittée]))*BF38</f>
        <v>0</v>
      </c>
      <c r="CH38" s="200">
        <f>(SUMIF(Fonctionnement[Affectation matrice],$AB$3,Fonctionnement[TVA acquittée])+SUMIF(Invest[Affectation matrice],$AB$3,Invest[TVA acquittée]))*BG38</f>
        <v>0</v>
      </c>
      <c r="CI38" s="200">
        <f>(SUMIF(Fonctionnement[Affectation matrice],$AB$3,Fonctionnement[TVA acquittée])+SUMIF(Invest[Affectation matrice],$AB$3,Invest[TVA acquittée]))*BH38</f>
        <v>0</v>
      </c>
      <c r="CJ38" s="200">
        <f>(SUMIF(Fonctionnement[Affectation matrice],$AB$3,Fonctionnement[TVA acquittée])+SUMIF(Invest[Affectation matrice],$AB$3,Invest[TVA acquittée]))*BI38</f>
        <v>0</v>
      </c>
      <c r="CK38" s="200">
        <f>(SUMIF(Fonctionnement[Affectation matrice],$AB$3,Fonctionnement[TVA acquittée])+SUMIF(Invest[Affectation matrice],$AB$3,Invest[TVA acquittée]))*BJ38</f>
        <v>0</v>
      </c>
      <c r="CL38" s="200">
        <f>(SUMIF(Fonctionnement[Affectation matrice],$AB$3,Fonctionnement[TVA acquittée])+SUMIF(Invest[Affectation matrice],$AB$3,Invest[TVA acquittée]))*BK38</f>
        <v>0</v>
      </c>
      <c r="CM38" s="200">
        <f>(SUMIF(Fonctionnement[Affectation matrice],$AB$3,Fonctionnement[TVA acquittée])+SUMIF(Invest[Affectation matrice],$AB$3,Invest[TVA acquittée]))*BL38</f>
        <v>0</v>
      </c>
      <c r="CN38" s="200">
        <f>(SUMIF(Fonctionnement[Affectation matrice],$AB$3,Fonctionnement[TVA acquittée])+SUMIF(Invest[Affectation matrice],$AB$3,Invest[TVA acquittée]))*BM38</f>
        <v>0</v>
      </c>
      <c r="CO38" s="200">
        <f>(SUMIF(Fonctionnement[Affectation matrice],$AB$3,Fonctionnement[TVA acquittée])+SUMIF(Invest[Affectation matrice],$AB$3,Invest[TVA acquittée]))*BN38</f>
        <v>0</v>
      </c>
      <c r="CP38" s="200">
        <f>(SUMIF(Fonctionnement[Affectation matrice],$AB$3,Fonctionnement[TVA acquittée])+SUMIF(Invest[Affectation matrice],$AB$3,Invest[TVA acquittée]))*BO38</f>
        <v>0</v>
      </c>
      <c r="CQ38" s="200">
        <f>(SUMIF(Fonctionnement[Affectation matrice],$AB$3,Fonctionnement[TVA acquittée])+SUMIF(Invest[Affectation matrice],$AB$3,Invest[TVA acquittée]))*BP38</f>
        <v>0</v>
      </c>
      <c r="CR38" s="200">
        <f>(SUMIF(Fonctionnement[Affectation matrice],$AB$3,Fonctionnement[TVA acquittée])+SUMIF(Invest[Affectation matrice],$AB$3,Invest[TVA acquittée]))*BQ38</f>
        <v>0</v>
      </c>
      <c r="CS38" s="200">
        <f>(SUMIF(Fonctionnement[Affectation matrice],$AB$3,Fonctionnement[TVA acquittée])+SUMIF(Invest[Affectation matrice],$AB$3,Invest[TVA acquittée]))*BR38</f>
        <v>0</v>
      </c>
      <c r="CT38" s="200">
        <f>(SUMIF(Fonctionnement[Affectation matrice],$AB$3,Fonctionnement[TVA acquittée])+SUMIF(Invest[Affectation matrice],$AB$3,Invest[TVA acquittée]))*BS38</f>
        <v>0</v>
      </c>
      <c r="CU38" s="200">
        <f>(SUMIF(Fonctionnement[Affectation matrice],$AB$3,Fonctionnement[TVA acquittée])+SUMIF(Invest[Affectation matrice],$AB$3,Invest[TVA acquittée]))*BT38</f>
        <v>0</v>
      </c>
      <c r="CV38" s="200">
        <f>(SUMIF(Fonctionnement[Affectation matrice],$AB$3,Fonctionnement[TVA acquittée])+SUMIF(Invest[Affectation matrice],$AB$3,Invest[TVA acquittée]))*BU38</f>
        <v>0</v>
      </c>
      <c r="CW38" s="200">
        <f>(SUMIF(Fonctionnement[Affectation matrice],$AB$3,Fonctionnement[TVA acquittée])+SUMIF(Invest[Affectation matrice],$AB$3,Invest[TVA acquittée]))*BV38</f>
        <v>0</v>
      </c>
      <c r="CX38" s="200">
        <f>(SUMIF(Fonctionnement[Affectation matrice],$AB$3,Fonctionnement[TVA acquittée])+SUMIF(Invest[Affectation matrice],$AB$3,Invest[TVA acquittée]))*BW38</f>
        <v>0</v>
      </c>
      <c r="CY38" s="200">
        <f>(SUMIF(Fonctionnement[Affectation matrice],$AB$3,Fonctionnement[TVA acquittée])+SUMIF(Invest[Affectation matrice],$AB$3,Invest[TVA acquittée]))*BX38</f>
        <v>0</v>
      </c>
      <c r="CZ38" s="200">
        <f>(SUMIF(Fonctionnement[Affectation matrice],$AB$3,Fonctionnement[TVA acquittée])+SUMIF(Invest[Affectation matrice],$AB$3,Invest[TVA acquittée]))*BY38</f>
        <v>0</v>
      </c>
      <c r="DA38" s="200">
        <f>(SUMIF(Fonctionnement[Affectation matrice],$AB$3,Fonctionnement[TVA acquittée])+SUMIF(Invest[Affectation matrice],$AB$3,Invest[TVA acquittée]))*BZ38</f>
        <v>0</v>
      </c>
      <c r="DB38" s="200">
        <f>(SUMIF(Fonctionnement[Affectation matrice],$AB$3,Fonctionnement[TVA acquittée])+SUMIF(Invest[Affectation matrice],$AB$3,Invest[TVA acquittée]))*CA38</f>
        <v>0</v>
      </c>
    </row>
    <row r="39" spans="1:106" s="22" customFormat="1" ht="12.75" hidden="1" customHeight="1" x14ac:dyDescent="0.25">
      <c r="A39" s="42" t="str">
        <f>Matrice[[#This Row],[Ligne de la matrice]]</f>
        <v>Redevance spéciale</v>
      </c>
      <c r="B39" s="276">
        <f>(SUMIF(Fonctionnement[Affectation matrice],$AB$3,Fonctionnement[Montant (€HT)])+SUMIF(Invest[Affectation matrice],$AB$3,Invest[Amortissement HT + intérêts]))*BC39</f>
        <v>0</v>
      </c>
      <c r="C39" s="276">
        <f>(SUMIF(Fonctionnement[Affectation matrice],$AB$3,Fonctionnement[Montant (€HT)])+SUMIF(Invest[Affectation matrice],$AB$3,Invest[Amortissement HT + intérêts]))*BD39</f>
        <v>0</v>
      </c>
      <c r="D39" s="276">
        <f>(SUMIF(Fonctionnement[Affectation matrice],$AB$3,Fonctionnement[Montant (€HT)])+SUMIF(Invest[Affectation matrice],$AB$3,Invest[Amortissement HT + intérêts]))*BE39</f>
        <v>0</v>
      </c>
      <c r="E39" s="276">
        <f>(SUMIF(Fonctionnement[Affectation matrice],$AB$3,Fonctionnement[Montant (€HT)])+SUMIF(Invest[Affectation matrice],$AB$3,Invest[Amortissement HT + intérêts]))*BF39</f>
        <v>0</v>
      </c>
      <c r="F39" s="276">
        <f>(SUMIF(Fonctionnement[Affectation matrice],$AB$3,Fonctionnement[Montant (€HT)])+SUMIF(Invest[Affectation matrice],$AB$3,Invest[Amortissement HT + intérêts]))*BG39</f>
        <v>0</v>
      </c>
      <c r="G39" s="276">
        <f>(SUMIF(Fonctionnement[Affectation matrice],$AB$3,Fonctionnement[Montant (€HT)])+SUMIF(Invest[Affectation matrice],$AB$3,Invest[Amortissement HT + intérêts]))*BH39</f>
        <v>0</v>
      </c>
      <c r="H39" s="276">
        <f>(SUMIF(Fonctionnement[Affectation matrice],$AB$3,Fonctionnement[Montant (€HT)])+SUMIF(Invest[Affectation matrice],$AB$3,Invest[Amortissement HT + intérêts]))*BI39</f>
        <v>0</v>
      </c>
      <c r="I39" s="276">
        <f>(SUMIF(Fonctionnement[Affectation matrice],$AB$3,Fonctionnement[Montant (€HT)])+SUMIF(Invest[Affectation matrice],$AB$3,Invest[Amortissement HT + intérêts]))*BJ39</f>
        <v>0</v>
      </c>
      <c r="J39" s="276">
        <f>(SUMIF(Fonctionnement[Affectation matrice],$AB$3,Fonctionnement[Montant (€HT)])+SUMIF(Invest[Affectation matrice],$AB$3,Invest[Amortissement HT + intérêts]))*BK39</f>
        <v>0</v>
      </c>
      <c r="K39" s="276">
        <f>(SUMIF(Fonctionnement[Affectation matrice],$AB$3,Fonctionnement[Montant (€HT)])+SUMIF(Invest[Affectation matrice],$AB$3,Invest[Amortissement HT + intérêts]))*BL39</f>
        <v>0</v>
      </c>
      <c r="L39" s="276">
        <f>(SUMIF(Fonctionnement[Affectation matrice],$AB$3,Fonctionnement[Montant (€HT)])+SUMIF(Invest[Affectation matrice],$AB$3,Invest[Amortissement HT + intérêts]))*BM39</f>
        <v>0</v>
      </c>
      <c r="M39" s="276">
        <f>(SUMIF(Fonctionnement[Affectation matrice],$AB$3,Fonctionnement[Montant (€HT)])+SUMIF(Invest[Affectation matrice],$AB$3,Invest[Amortissement HT + intérêts]))*BN39</f>
        <v>0</v>
      </c>
      <c r="N39" s="276">
        <f>(SUMIF(Fonctionnement[Affectation matrice],$AB$3,Fonctionnement[Montant (€HT)])+SUMIF(Invest[Affectation matrice],$AB$3,Invest[Amortissement HT + intérêts]))*BO39</f>
        <v>0</v>
      </c>
      <c r="O39" s="276">
        <f>(SUMIF(Fonctionnement[Affectation matrice],$AB$3,Fonctionnement[Montant (€HT)])+SUMIF(Invest[Affectation matrice],$AB$3,Invest[Amortissement HT + intérêts]))*BP39</f>
        <v>0</v>
      </c>
      <c r="P39" s="276">
        <f>(SUMIF(Fonctionnement[Affectation matrice],$AB$3,Fonctionnement[Montant (€HT)])+SUMIF(Invest[Affectation matrice],$AB$3,Invest[Amortissement HT + intérêts]))*BQ39</f>
        <v>0</v>
      </c>
      <c r="Q39" s="276">
        <f>(SUMIF(Fonctionnement[Affectation matrice],$AB$3,Fonctionnement[Montant (€HT)])+SUMIF(Invest[Affectation matrice],$AB$3,Invest[Amortissement HT + intérêts]))*BR39</f>
        <v>0</v>
      </c>
      <c r="R39" s="276">
        <f>(SUMIF(Fonctionnement[Affectation matrice],$AB$3,Fonctionnement[Montant (€HT)])+SUMIF(Invest[Affectation matrice],$AB$3,Invest[Amortissement HT + intérêts]))*BS39</f>
        <v>0</v>
      </c>
      <c r="S39" s="276">
        <f>(SUMIF(Fonctionnement[Affectation matrice],$AB$3,Fonctionnement[Montant (€HT)])+SUMIF(Invest[Affectation matrice],$AB$3,Invest[Amortissement HT + intérêts]))*BT39</f>
        <v>0</v>
      </c>
      <c r="T39" s="276">
        <f>(SUMIF(Fonctionnement[Affectation matrice],$AB$3,Fonctionnement[Montant (€HT)])+SUMIF(Invest[Affectation matrice],$AB$3,Invest[Amortissement HT + intérêts]))*BU39</f>
        <v>0</v>
      </c>
      <c r="U39" s="276">
        <f>(SUMIF(Fonctionnement[Affectation matrice],$AB$3,Fonctionnement[Montant (€HT)])+SUMIF(Invest[Affectation matrice],$AB$3,Invest[Amortissement HT + intérêts]))*BV39</f>
        <v>0</v>
      </c>
      <c r="V39" s="276">
        <f>(SUMIF(Fonctionnement[Affectation matrice],$AB$3,Fonctionnement[Montant (€HT)])+SUMIF(Invest[Affectation matrice],$AB$3,Invest[Amortissement HT + intérêts]))*BW39</f>
        <v>0</v>
      </c>
      <c r="W39" s="276">
        <f>(SUMIF(Fonctionnement[Affectation matrice],$AB$3,Fonctionnement[Montant (€HT)])+SUMIF(Invest[Affectation matrice],$AB$3,Invest[Amortissement HT + intérêts]))*BX39</f>
        <v>0</v>
      </c>
      <c r="X39" s="276">
        <f>(SUMIF(Fonctionnement[Affectation matrice],$AB$3,Fonctionnement[Montant (€HT)])+SUMIF(Invest[Affectation matrice],$AB$3,Invest[Amortissement HT + intérêts]))*BY39</f>
        <v>0</v>
      </c>
      <c r="Y39" s="276">
        <f>(SUMIF(Fonctionnement[Affectation matrice],$AB$3,Fonctionnement[Montant (€HT)])+SUMIF(Invest[Affectation matrice],$AB$3,Invest[Amortissement HT + intérêts]))*BZ39</f>
        <v>0</v>
      </c>
      <c r="Z39" s="276">
        <f>(SUMIF(Fonctionnement[Affectation matrice],$AB$3,Fonctionnement[Montant (€HT)])+SUMIF(Invest[Affectation matrice],$AB$3,Invest[Amortissement HT + intérêts]))*CA39</f>
        <v>0</v>
      </c>
      <c r="AA39" s="199"/>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283">
        <f t="shared" si="4"/>
        <v>0</v>
      </c>
      <c r="BB39" s="7"/>
      <c r="BC39" s="61">
        <f t="shared" si="10"/>
        <v>0</v>
      </c>
      <c r="BD39" s="61">
        <f t="shared" si="10"/>
        <v>0</v>
      </c>
      <c r="BE39" s="61">
        <f t="shared" si="10"/>
        <v>0</v>
      </c>
      <c r="BF39" s="61">
        <f t="shared" si="10"/>
        <v>0</v>
      </c>
      <c r="BG39" s="61">
        <f t="shared" si="10"/>
        <v>0</v>
      </c>
      <c r="BH39" s="61">
        <f t="shared" si="10"/>
        <v>0</v>
      </c>
      <c r="BI39" s="61">
        <f t="shared" si="10"/>
        <v>0</v>
      </c>
      <c r="BJ39" s="61">
        <f t="shared" si="10"/>
        <v>0</v>
      </c>
      <c r="BK39" s="61">
        <f t="shared" si="10"/>
        <v>0</v>
      </c>
      <c r="BL39" s="61">
        <f t="shared" si="10"/>
        <v>0</v>
      </c>
      <c r="BM39" s="61">
        <f t="shared" si="11"/>
        <v>0</v>
      </c>
      <c r="BN39" s="61">
        <f t="shared" si="11"/>
        <v>0</v>
      </c>
      <c r="BO39" s="61">
        <f t="shared" si="11"/>
        <v>0</v>
      </c>
      <c r="BP39" s="61">
        <f t="shared" si="11"/>
        <v>0</v>
      </c>
      <c r="BQ39" s="61">
        <f t="shared" si="11"/>
        <v>0</v>
      </c>
      <c r="BR39" s="61">
        <f t="shared" si="11"/>
        <v>0</v>
      </c>
      <c r="BS39" s="61">
        <f t="shared" si="11"/>
        <v>0</v>
      </c>
      <c r="BT39" s="61">
        <f t="shared" si="11"/>
        <v>0</v>
      </c>
      <c r="BU39" s="61">
        <f t="shared" si="11"/>
        <v>0</v>
      </c>
      <c r="BV39" s="61">
        <f t="shared" si="11"/>
        <v>0</v>
      </c>
      <c r="BW39" s="61">
        <f t="shared" si="11"/>
        <v>0</v>
      </c>
      <c r="BX39" s="61">
        <f t="shared" si="11"/>
        <v>0</v>
      </c>
      <c r="BY39" s="61">
        <f t="shared" si="11"/>
        <v>0</v>
      </c>
      <c r="BZ39" s="61">
        <f t="shared" si="11"/>
        <v>0</v>
      </c>
      <c r="CA39" s="61">
        <f t="shared" si="11"/>
        <v>0</v>
      </c>
      <c r="CB39" s="61">
        <f t="shared" si="5"/>
        <v>0</v>
      </c>
      <c r="CD39" s="200">
        <f>(SUMIF(Fonctionnement[Affectation matrice],$AB$3,Fonctionnement[TVA acquittée])+SUMIF(Invest[Affectation matrice],$AB$3,Invest[TVA acquittée]))*BC39</f>
        <v>0</v>
      </c>
      <c r="CE39" s="200">
        <f>(SUMIF(Fonctionnement[Affectation matrice],$AB$3,Fonctionnement[TVA acquittée])+SUMIF(Invest[Affectation matrice],$AB$3,Invest[TVA acquittée]))*BD39</f>
        <v>0</v>
      </c>
      <c r="CF39" s="200">
        <f>(SUMIF(Fonctionnement[Affectation matrice],$AB$3,Fonctionnement[TVA acquittée])+SUMIF(Invest[Affectation matrice],$AB$3,Invest[TVA acquittée]))*BE39</f>
        <v>0</v>
      </c>
      <c r="CG39" s="200">
        <f>(SUMIF(Fonctionnement[Affectation matrice],$AB$3,Fonctionnement[TVA acquittée])+SUMIF(Invest[Affectation matrice],$AB$3,Invest[TVA acquittée]))*BF39</f>
        <v>0</v>
      </c>
      <c r="CH39" s="200">
        <f>(SUMIF(Fonctionnement[Affectation matrice],$AB$3,Fonctionnement[TVA acquittée])+SUMIF(Invest[Affectation matrice],$AB$3,Invest[TVA acquittée]))*BG39</f>
        <v>0</v>
      </c>
      <c r="CI39" s="200">
        <f>(SUMIF(Fonctionnement[Affectation matrice],$AB$3,Fonctionnement[TVA acquittée])+SUMIF(Invest[Affectation matrice],$AB$3,Invest[TVA acquittée]))*BH39</f>
        <v>0</v>
      </c>
      <c r="CJ39" s="200">
        <f>(SUMIF(Fonctionnement[Affectation matrice],$AB$3,Fonctionnement[TVA acquittée])+SUMIF(Invest[Affectation matrice],$AB$3,Invest[TVA acquittée]))*BI39</f>
        <v>0</v>
      </c>
      <c r="CK39" s="200">
        <f>(SUMIF(Fonctionnement[Affectation matrice],$AB$3,Fonctionnement[TVA acquittée])+SUMIF(Invest[Affectation matrice],$AB$3,Invest[TVA acquittée]))*BJ39</f>
        <v>0</v>
      </c>
      <c r="CL39" s="200">
        <f>(SUMIF(Fonctionnement[Affectation matrice],$AB$3,Fonctionnement[TVA acquittée])+SUMIF(Invest[Affectation matrice],$AB$3,Invest[TVA acquittée]))*BK39</f>
        <v>0</v>
      </c>
      <c r="CM39" s="200">
        <f>(SUMIF(Fonctionnement[Affectation matrice],$AB$3,Fonctionnement[TVA acquittée])+SUMIF(Invest[Affectation matrice],$AB$3,Invest[TVA acquittée]))*BL39</f>
        <v>0</v>
      </c>
      <c r="CN39" s="200">
        <f>(SUMIF(Fonctionnement[Affectation matrice],$AB$3,Fonctionnement[TVA acquittée])+SUMIF(Invest[Affectation matrice],$AB$3,Invest[TVA acquittée]))*BM39</f>
        <v>0</v>
      </c>
      <c r="CO39" s="200">
        <f>(SUMIF(Fonctionnement[Affectation matrice],$AB$3,Fonctionnement[TVA acquittée])+SUMIF(Invest[Affectation matrice],$AB$3,Invest[TVA acquittée]))*BN39</f>
        <v>0</v>
      </c>
      <c r="CP39" s="200">
        <f>(SUMIF(Fonctionnement[Affectation matrice],$AB$3,Fonctionnement[TVA acquittée])+SUMIF(Invest[Affectation matrice],$AB$3,Invest[TVA acquittée]))*BO39</f>
        <v>0</v>
      </c>
      <c r="CQ39" s="200">
        <f>(SUMIF(Fonctionnement[Affectation matrice],$AB$3,Fonctionnement[TVA acquittée])+SUMIF(Invest[Affectation matrice],$AB$3,Invest[TVA acquittée]))*BP39</f>
        <v>0</v>
      </c>
      <c r="CR39" s="200">
        <f>(SUMIF(Fonctionnement[Affectation matrice],$AB$3,Fonctionnement[TVA acquittée])+SUMIF(Invest[Affectation matrice],$AB$3,Invest[TVA acquittée]))*BQ39</f>
        <v>0</v>
      </c>
      <c r="CS39" s="200">
        <f>(SUMIF(Fonctionnement[Affectation matrice],$AB$3,Fonctionnement[TVA acquittée])+SUMIF(Invest[Affectation matrice],$AB$3,Invest[TVA acquittée]))*BR39</f>
        <v>0</v>
      </c>
      <c r="CT39" s="200">
        <f>(SUMIF(Fonctionnement[Affectation matrice],$AB$3,Fonctionnement[TVA acquittée])+SUMIF(Invest[Affectation matrice],$AB$3,Invest[TVA acquittée]))*BS39</f>
        <v>0</v>
      </c>
      <c r="CU39" s="200">
        <f>(SUMIF(Fonctionnement[Affectation matrice],$AB$3,Fonctionnement[TVA acquittée])+SUMIF(Invest[Affectation matrice],$AB$3,Invest[TVA acquittée]))*BT39</f>
        <v>0</v>
      </c>
      <c r="CV39" s="200">
        <f>(SUMIF(Fonctionnement[Affectation matrice],$AB$3,Fonctionnement[TVA acquittée])+SUMIF(Invest[Affectation matrice],$AB$3,Invest[TVA acquittée]))*BU39</f>
        <v>0</v>
      </c>
      <c r="CW39" s="200">
        <f>(SUMIF(Fonctionnement[Affectation matrice],$AB$3,Fonctionnement[TVA acquittée])+SUMIF(Invest[Affectation matrice],$AB$3,Invest[TVA acquittée]))*BV39</f>
        <v>0</v>
      </c>
      <c r="CX39" s="200">
        <f>(SUMIF(Fonctionnement[Affectation matrice],$AB$3,Fonctionnement[TVA acquittée])+SUMIF(Invest[Affectation matrice],$AB$3,Invest[TVA acquittée]))*BW39</f>
        <v>0</v>
      </c>
      <c r="CY39" s="200">
        <f>(SUMIF(Fonctionnement[Affectation matrice],$AB$3,Fonctionnement[TVA acquittée])+SUMIF(Invest[Affectation matrice],$AB$3,Invest[TVA acquittée]))*BX39</f>
        <v>0</v>
      </c>
      <c r="CZ39" s="200">
        <f>(SUMIF(Fonctionnement[Affectation matrice],$AB$3,Fonctionnement[TVA acquittée])+SUMIF(Invest[Affectation matrice],$AB$3,Invest[TVA acquittée]))*BY39</f>
        <v>0</v>
      </c>
      <c r="DA39" s="200">
        <f>(SUMIF(Fonctionnement[Affectation matrice],$AB$3,Fonctionnement[TVA acquittée])+SUMIF(Invest[Affectation matrice],$AB$3,Invest[TVA acquittée]))*BZ39</f>
        <v>0</v>
      </c>
      <c r="DB39" s="200">
        <f>(SUMIF(Fonctionnement[Affectation matrice],$AB$3,Fonctionnement[TVA acquittée])+SUMIF(Invest[Affectation matrice],$AB$3,Invest[TVA acquittée]))*CA39</f>
        <v>0</v>
      </c>
    </row>
    <row r="40" spans="1:106" s="22" customFormat="1" ht="12.75" hidden="1" customHeight="1" x14ac:dyDescent="0.25">
      <c r="A40" s="42" t="str">
        <f>Matrice[[#This Row],[Ligne de la matrice]]</f>
        <v>Facturation à l'usager</v>
      </c>
      <c r="B40" s="276">
        <f>(SUMIF(Fonctionnement[Affectation matrice],$AB$3,Fonctionnement[Montant (€HT)])+SUMIF(Invest[Affectation matrice],$AB$3,Invest[Amortissement HT + intérêts]))*BC40</f>
        <v>0</v>
      </c>
      <c r="C40" s="276">
        <f>(SUMIF(Fonctionnement[Affectation matrice],$AB$3,Fonctionnement[Montant (€HT)])+SUMIF(Invest[Affectation matrice],$AB$3,Invest[Amortissement HT + intérêts]))*BD40</f>
        <v>0</v>
      </c>
      <c r="D40" s="276">
        <f>(SUMIF(Fonctionnement[Affectation matrice],$AB$3,Fonctionnement[Montant (€HT)])+SUMIF(Invest[Affectation matrice],$AB$3,Invest[Amortissement HT + intérêts]))*BE40</f>
        <v>0</v>
      </c>
      <c r="E40" s="276">
        <f>(SUMIF(Fonctionnement[Affectation matrice],$AB$3,Fonctionnement[Montant (€HT)])+SUMIF(Invest[Affectation matrice],$AB$3,Invest[Amortissement HT + intérêts]))*BF40</f>
        <v>0</v>
      </c>
      <c r="F40" s="276">
        <f>(SUMIF(Fonctionnement[Affectation matrice],$AB$3,Fonctionnement[Montant (€HT)])+SUMIF(Invest[Affectation matrice],$AB$3,Invest[Amortissement HT + intérêts]))*BG40</f>
        <v>0</v>
      </c>
      <c r="G40" s="276">
        <f>(SUMIF(Fonctionnement[Affectation matrice],$AB$3,Fonctionnement[Montant (€HT)])+SUMIF(Invest[Affectation matrice],$AB$3,Invest[Amortissement HT + intérêts]))*BH40</f>
        <v>0</v>
      </c>
      <c r="H40" s="276">
        <f>(SUMIF(Fonctionnement[Affectation matrice],$AB$3,Fonctionnement[Montant (€HT)])+SUMIF(Invest[Affectation matrice],$AB$3,Invest[Amortissement HT + intérêts]))*BI40</f>
        <v>0</v>
      </c>
      <c r="I40" s="276">
        <f>(SUMIF(Fonctionnement[Affectation matrice],$AB$3,Fonctionnement[Montant (€HT)])+SUMIF(Invest[Affectation matrice],$AB$3,Invest[Amortissement HT + intérêts]))*BJ40</f>
        <v>0</v>
      </c>
      <c r="J40" s="276">
        <f>(SUMIF(Fonctionnement[Affectation matrice],$AB$3,Fonctionnement[Montant (€HT)])+SUMIF(Invest[Affectation matrice],$AB$3,Invest[Amortissement HT + intérêts]))*BK40</f>
        <v>0</v>
      </c>
      <c r="K40" s="276">
        <f>(SUMIF(Fonctionnement[Affectation matrice],$AB$3,Fonctionnement[Montant (€HT)])+SUMIF(Invest[Affectation matrice],$AB$3,Invest[Amortissement HT + intérêts]))*BL40</f>
        <v>0</v>
      </c>
      <c r="L40" s="276">
        <f>(SUMIF(Fonctionnement[Affectation matrice],$AB$3,Fonctionnement[Montant (€HT)])+SUMIF(Invest[Affectation matrice],$AB$3,Invest[Amortissement HT + intérêts]))*BM40</f>
        <v>0</v>
      </c>
      <c r="M40" s="276">
        <f>(SUMIF(Fonctionnement[Affectation matrice],$AB$3,Fonctionnement[Montant (€HT)])+SUMIF(Invest[Affectation matrice],$AB$3,Invest[Amortissement HT + intérêts]))*BN40</f>
        <v>0</v>
      </c>
      <c r="N40" s="276">
        <f>(SUMIF(Fonctionnement[Affectation matrice],$AB$3,Fonctionnement[Montant (€HT)])+SUMIF(Invest[Affectation matrice],$AB$3,Invest[Amortissement HT + intérêts]))*BO40</f>
        <v>0</v>
      </c>
      <c r="O40" s="276">
        <f>(SUMIF(Fonctionnement[Affectation matrice],$AB$3,Fonctionnement[Montant (€HT)])+SUMIF(Invest[Affectation matrice],$AB$3,Invest[Amortissement HT + intérêts]))*BP40</f>
        <v>0</v>
      </c>
      <c r="P40" s="276">
        <f>(SUMIF(Fonctionnement[Affectation matrice],$AB$3,Fonctionnement[Montant (€HT)])+SUMIF(Invest[Affectation matrice],$AB$3,Invest[Amortissement HT + intérêts]))*BQ40</f>
        <v>0</v>
      </c>
      <c r="Q40" s="276">
        <f>(SUMIF(Fonctionnement[Affectation matrice],$AB$3,Fonctionnement[Montant (€HT)])+SUMIF(Invest[Affectation matrice],$AB$3,Invest[Amortissement HT + intérêts]))*BR40</f>
        <v>0</v>
      </c>
      <c r="R40" s="276">
        <f>(SUMIF(Fonctionnement[Affectation matrice],$AB$3,Fonctionnement[Montant (€HT)])+SUMIF(Invest[Affectation matrice],$AB$3,Invest[Amortissement HT + intérêts]))*BS40</f>
        <v>0</v>
      </c>
      <c r="S40" s="276">
        <f>(SUMIF(Fonctionnement[Affectation matrice],$AB$3,Fonctionnement[Montant (€HT)])+SUMIF(Invest[Affectation matrice],$AB$3,Invest[Amortissement HT + intérêts]))*BT40</f>
        <v>0</v>
      </c>
      <c r="T40" s="276">
        <f>(SUMIF(Fonctionnement[Affectation matrice],$AB$3,Fonctionnement[Montant (€HT)])+SUMIF(Invest[Affectation matrice],$AB$3,Invest[Amortissement HT + intérêts]))*BU40</f>
        <v>0</v>
      </c>
      <c r="U40" s="276">
        <f>(SUMIF(Fonctionnement[Affectation matrice],$AB$3,Fonctionnement[Montant (€HT)])+SUMIF(Invest[Affectation matrice],$AB$3,Invest[Amortissement HT + intérêts]))*BV40</f>
        <v>0</v>
      </c>
      <c r="V40" s="276">
        <f>(SUMIF(Fonctionnement[Affectation matrice],$AB$3,Fonctionnement[Montant (€HT)])+SUMIF(Invest[Affectation matrice],$AB$3,Invest[Amortissement HT + intérêts]))*BW40</f>
        <v>0</v>
      </c>
      <c r="W40" s="276">
        <f>(SUMIF(Fonctionnement[Affectation matrice],$AB$3,Fonctionnement[Montant (€HT)])+SUMIF(Invest[Affectation matrice],$AB$3,Invest[Amortissement HT + intérêts]))*BX40</f>
        <v>0</v>
      </c>
      <c r="X40" s="276">
        <f>(SUMIF(Fonctionnement[Affectation matrice],$AB$3,Fonctionnement[Montant (€HT)])+SUMIF(Invest[Affectation matrice],$AB$3,Invest[Amortissement HT + intérêts]))*BY40</f>
        <v>0</v>
      </c>
      <c r="Y40" s="276">
        <f>(SUMIF(Fonctionnement[Affectation matrice],$AB$3,Fonctionnement[Montant (€HT)])+SUMIF(Invest[Affectation matrice],$AB$3,Invest[Amortissement HT + intérêts]))*BZ40</f>
        <v>0</v>
      </c>
      <c r="Z40" s="276">
        <f>(SUMIF(Fonctionnement[Affectation matrice],$AB$3,Fonctionnement[Montant (€HT)])+SUMIF(Invest[Affectation matrice],$AB$3,Invest[Amortissement HT + intérêts]))*CA40</f>
        <v>0</v>
      </c>
      <c r="AA40" s="199"/>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283">
        <f t="shared" si="4"/>
        <v>0</v>
      </c>
      <c r="BB40" s="7"/>
      <c r="BC40" s="61">
        <f t="shared" si="10"/>
        <v>0</v>
      </c>
      <c r="BD40" s="61">
        <f t="shared" si="10"/>
        <v>0</v>
      </c>
      <c r="BE40" s="61">
        <f t="shared" si="10"/>
        <v>0</v>
      </c>
      <c r="BF40" s="61">
        <f t="shared" si="10"/>
        <v>0</v>
      </c>
      <c r="BG40" s="61">
        <f t="shared" si="10"/>
        <v>0</v>
      </c>
      <c r="BH40" s="61">
        <f t="shared" si="10"/>
        <v>0</v>
      </c>
      <c r="BI40" s="61">
        <f t="shared" si="10"/>
        <v>0</v>
      </c>
      <c r="BJ40" s="61">
        <f t="shared" si="10"/>
        <v>0</v>
      </c>
      <c r="BK40" s="61">
        <f t="shared" si="10"/>
        <v>0</v>
      </c>
      <c r="BL40" s="61">
        <f t="shared" si="10"/>
        <v>0</v>
      </c>
      <c r="BM40" s="61">
        <f t="shared" si="11"/>
        <v>0</v>
      </c>
      <c r="BN40" s="61">
        <f t="shared" si="11"/>
        <v>0</v>
      </c>
      <c r="BO40" s="61">
        <f t="shared" si="11"/>
        <v>0</v>
      </c>
      <c r="BP40" s="61">
        <f t="shared" si="11"/>
        <v>0</v>
      </c>
      <c r="BQ40" s="61">
        <f t="shared" si="11"/>
        <v>0</v>
      </c>
      <c r="BR40" s="61">
        <f t="shared" si="11"/>
        <v>0</v>
      </c>
      <c r="BS40" s="61">
        <f t="shared" si="11"/>
        <v>0</v>
      </c>
      <c r="BT40" s="61">
        <f t="shared" si="11"/>
        <v>0</v>
      </c>
      <c r="BU40" s="61">
        <f t="shared" si="11"/>
        <v>0</v>
      </c>
      <c r="BV40" s="61">
        <f t="shared" si="11"/>
        <v>0</v>
      </c>
      <c r="BW40" s="61">
        <f t="shared" si="11"/>
        <v>0</v>
      </c>
      <c r="BX40" s="61">
        <f t="shared" si="11"/>
        <v>0</v>
      </c>
      <c r="BY40" s="61">
        <f t="shared" si="11"/>
        <v>0</v>
      </c>
      <c r="BZ40" s="61">
        <f t="shared" si="11"/>
        <v>0</v>
      </c>
      <c r="CA40" s="61">
        <f t="shared" si="11"/>
        <v>0</v>
      </c>
      <c r="CB40" s="61">
        <f t="shared" si="5"/>
        <v>0</v>
      </c>
      <c r="CD40" s="200">
        <f>(SUMIF(Fonctionnement[Affectation matrice],$AB$3,Fonctionnement[TVA acquittée])+SUMIF(Invest[Affectation matrice],$AB$3,Invest[TVA acquittée]))*BC40</f>
        <v>0</v>
      </c>
      <c r="CE40" s="200">
        <f>(SUMIF(Fonctionnement[Affectation matrice],$AB$3,Fonctionnement[TVA acquittée])+SUMIF(Invest[Affectation matrice],$AB$3,Invest[TVA acquittée]))*BD40</f>
        <v>0</v>
      </c>
      <c r="CF40" s="200">
        <f>(SUMIF(Fonctionnement[Affectation matrice],$AB$3,Fonctionnement[TVA acquittée])+SUMIF(Invest[Affectation matrice],$AB$3,Invest[TVA acquittée]))*BE40</f>
        <v>0</v>
      </c>
      <c r="CG40" s="200">
        <f>(SUMIF(Fonctionnement[Affectation matrice],$AB$3,Fonctionnement[TVA acquittée])+SUMIF(Invest[Affectation matrice],$AB$3,Invest[TVA acquittée]))*BF40</f>
        <v>0</v>
      </c>
      <c r="CH40" s="200">
        <f>(SUMIF(Fonctionnement[Affectation matrice],$AB$3,Fonctionnement[TVA acquittée])+SUMIF(Invest[Affectation matrice],$AB$3,Invest[TVA acquittée]))*BG40</f>
        <v>0</v>
      </c>
      <c r="CI40" s="200">
        <f>(SUMIF(Fonctionnement[Affectation matrice],$AB$3,Fonctionnement[TVA acquittée])+SUMIF(Invest[Affectation matrice],$AB$3,Invest[TVA acquittée]))*BH40</f>
        <v>0</v>
      </c>
      <c r="CJ40" s="200">
        <f>(SUMIF(Fonctionnement[Affectation matrice],$AB$3,Fonctionnement[TVA acquittée])+SUMIF(Invest[Affectation matrice],$AB$3,Invest[TVA acquittée]))*BI40</f>
        <v>0</v>
      </c>
      <c r="CK40" s="200">
        <f>(SUMIF(Fonctionnement[Affectation matrice],$AB$3,Fonctionnement[TVA acquittée])+SUMIF(Invest[Affectation matrice],$AB$3,Invest[TVA acquittée]))*BJ40</f>
        <v>0</v>
      </c>
      <c r="CL40" s="200">
        <f>(SUMIF(Fonctionnement[Affectation matrice],$AB$3,Fonctionnement[TVA acquittée])+SUMIF(Invest[Affectation matrice],$AB$3,Invest[TVA acquittée]))*BK40</f>
        <v>0</v>
      </c>
      <c r="CM40" s="200">
        <f>(SUMIF(Fonctionnement[Affectation matrice],$AB$3,Fonctionnement[TVA acquittée])+SUMIF(Invest[Affectation matrice],$AB$3,Invest[TVA acquittée]))*BL40</f>
        <v>0</v>
      </c>
      <c r="CN40" s="200">
        <f>(SUMIF(Fonctionnement[Affectation matrice],$AB$3,Fonctionnement[TVA acquittée])+SUMIF(Invest[Affectation matrice],$AB$3,Invest[TVA acquittée]))*BM40</f>
        <v>0</v>
      </c>
      <c r="CO40" s="200">
        <f>(SUMIF(Fonctionnement[Affectation matrice],$AB$3,Fonctionnement[TVA acquittée])+SUMIF(Invest[Affectation matrice],$AB$3,Invest[TVA acquittée]))*BN40</f>
        <v>0</v>
      </c>
      <c r="CP40" s="200">
        <f>(SUMIF(Fonctionnement[Affectation matrice],$AB$3,Fonctionnement[TVA acquittée])+SUMIF(Invest[Affectation matrice],$AB$3,Invest[TVA acquittée]))*BO40</f>
        <v>0</v>
      </c>
      <c r="CQ40" s="200">
        <f>(SUMIF(Fonctionnement[Affectation matrice],$AB$3,Fonctionnement[TVA acquittée])+SUMIF(Invest[Affectation matrice],$AB$3,Invest[TVA acquittée]))*BP40</f>
        <v>0</v>
      </c>
      <c r="CR40" s="200">
        <f>(SUMIF(Fonctionnement[Affectation matrice],$AB$3,Fonctionnement[TVA acquittée])+SUMIF(Invest[Affectation matrice],$AB$3,Invest[TVA acquittée]))*BQ40</f>
        <v>0</v>
      </c>
      <c r="CS40" s="200">
        <f>(SUMIF(Fonctionnement[Affectation matrice],$AB$3,Fonctionnement[TVA acquittée])+SUMIF(Invest[Affectation matrice],$AB$3,Invest[TVA acquittée]))*BR40</f>
        <v>0</v>
      </c>
      <c r="CT40" s="200">
        <f>(SUMIF(Fonctionnement[Affectation matrice],$AB$3,Fonctionnement[TVA acquittée])+SUMIF(Invest[Affectation matrice],$AB$3,Invest[TVA acquittée]))*BS40</f>
        <v>0</v>
      </c>
      <c r="CU40" s="200">
        <f>(SUMIF(Fonctionnement[Affectation matrice],$AB$3,Fonctionnement[TVA acquittée])+SUMIF(Invest[Affectation matrice],$AB$3,Invest[TVA acquittée]))*BT40</f>
        <v>0</v>
      </c>
      <c r="CV40" s="200">
        <f>(SUMIF(Fonctionnement[Affectation matrice],$AB$3,Fonctionnement[TVA acquittée])+SUMIF(Invest[Affectation matrice],$AB$3,Invest[TVA acquittée]))*BU40</f>
        <v>0</v>
      </c>
      <c r="CW40" s="200">
        <f>(SUMIF(Fonctionnement[Affectation matrice],$AB$3,Fonctionnement[TVA acquittée])+SUMIF(Invest[Affectation matrice],$AB$3,Invest[TVA acquittée]))*BV40</f>
        <v>0</v>
      </c>
      <c r="CX40" s="200">
        <f>(SUMIF(Fonctionnement[Affectation matrice],$AB$3,Fonctionnement[TVA acquittée])+SUMIF(Invest[Affectation matrice],$AB$3,Invest[TVA acquittée]))*BW40</f>
        <v>0</v>
      </c>
      <c r="CY40" s="200">
        <f>(SUMIF(Fonctionnement[Affectation matrice],$AB$3,Fonctionnement[TVA acquittée])+SUMIF(Invest[Affectation matrice],$AB$3,Invest[TVA acquittée]))*BX40</f>
        <v>0</v>
      </c>
      <c r="CZ40" s="200">
        <f>(SUMIF(Fonctionnement[Affectation matrice],$AB$3,Fonctionnement[TVA acquittée])+SUMIF(Invest[Affectation matrice],$AB$3,Invest[TVA acquittée]))*BY40</f>
        <v>0</v>
      </c>
      <c r="DA40" s="200">
        <f>(SUMIF(Fonctionnement[Affectation matrice],$AB$3,Fonctionnement[TVA acquittée])+SUMIF(Invest[Affectation matrice],$AB$3,Invest[TVA acquittée]))*BZ40</f>
        <v>0</v>
      </c>
      <c r="DB40" s="200">
        <f>(SUMIF(Fonctionnement[Affectation matrice],$AB$3,Fonctionnement[TVA acquittée])+SUMIF(Invest[Affectation matrice],$AB$3,Invest[TVA acquittée]))*CA40</f>
        <v>0</v>
      </c>
    </row>
    <row r="41" spans="1:106" s="22" customFormat="1" ht="12.75" hidden="1" customHeight="1" x14ac:dyDescent="0.25">
      <c r="A41" s="42" t="str">
        <f>Matrice[[#This Row],[Ligne de la matrice]]</f>
        <v>Contribution des collectivités</v>
      </c>
      <c r="B41" s="276">
        <f>(SUMIF(Fonctionnement[Affectation matrice],$AB$3,Fonctionnement[Montant (€HT)])+SUMIF(Invest[Affectation matrice],$AB$3,Invest[Amortissement HT + intérêts]))*BC41</f>
        <v>0</v>
      </c>
      <c r="C41" s="276">
        <f>(SUMIF(Fonctionnement[Affectation matrice],$AB$3,Fonctionnement[Montant (€HT)])+SUMIF(Invest[Affectation matrice],$AB$3,Invest[Amortissement HT + intérêts]))*BD41</f>
        <v>0</v>
      </c>
      <c r="D41" s="276">
        <f>(SUMIF(Fonctionnement[Affectation matrice],$AB$3,Fonctionnement[Montant (€HT)])+SUMIF(Invest[Affectation matrice],$AB$3,Invest[Amortissement HT + intérêts]))*BE41</f>
        <v>0</v>
      </c>
      <c r="E41" s="276">
        <f>(SUMIF(Fonctionnement[Affectation matrice],$AB$3,Fonctionnement[Montant (€HT)])+SUMIF(Invest[Affectation matrice],$AB$3,Invest[Amortissement HT + intérêts]))*BF41</f>
        <v>0</v>
      </c>
      <c r="F41" s="276">
        <f>(SUMIF(Fonctionnement[Affectation matrice],$AB$3,Fonctionnement[Montant (€HT)])+SUMIF(Invest[Affectation matrice],$AB$3,Invest[Amortissement HT + intérêts]))*BG41</f>
        <v>0</v>
      </c>
      <c r="G41" s="276">
        <f>(SUMIF(Fonctionnement[Affectation matrice],$AB$3,Fonctionnement[Montant (€HT)])+SUMIF(Invest[Affectation matrice],$AB$3,Invest[Amortissement HT + intérêts]))*BH41</f>
        <v>0</v>
      </c>
      <c r="H41" s="276">
        <f>(SUMIF(Fonctionnement[Affectation matrice],$AB$3,Fonctionnement[Montant (€HT)])+SUMIF(Invest[Affectation matrice],$AB$3,Invest[Amortissement HT + intérêts]))*BI41</f>
        <v>0</v>
      </c>
      <c r="I41" s="276">
        <f>(SUMIF(Fonctionnement[Affectation matrice],$AB$3,Fonctionnement[Montant (€HT)])+SUMIF(Invest[Affectation matrice],$AB$3,Invest[Amortissement HT + intérêts]))*BJ41</f>
        <v>0</v>
      </c>
      <c r="J41" s="276">
        <f>(SUMIF(Fonctionnement[Affectation matrice],$AB$3,Fonctionnement[Montant (€HT)])+SUMIF(Invest[Affectation matrice],$AB$3,Invest[Amortissement HT + intérêts]))*BK41</f>
        <v>0</v>
      </c>
      <c r="K41" s="276">
        <f>(SUMIF(Fonctionnement[Affectation matrice],$AB$3,Fonctionnement[Montant (€HT)])+SUMIF(Invest[Affectation matrice],$AB$3,Invest[Amortissement HT + intérêts]))*BL41</f>
        <v>0</v>
      </c>
      <c r="L41" s="276">
        <f>(SUMIF(Fonctionnement[Affectation matrice],$AB$3,Fonctionnement[Montant (€HT)])+SUMIF(Invest[Affectation matrice],$AB$3,Invest[Amortissement HT + intérêts]))*BM41</f>
        <v>0</v>
      </c>
      <c r="M41" s="276">
        <f>(SUMIF(Fonctionnement[Affectation matrice],$AB$3,Fonctionnement[Montant (€HT)])+SUMIF(Invest[Affectation matrice],$AB$3,Invest[Amortissement HT + intérêts]))*BN41</f>
        <v>0</v>
      </c>
      <c r="N41" s="276">
        <f>(SUMIF(Fonctionnement[Affectation matrice],$AB$3,Fonctionnement[Montant (€HT)])+SUMIF(Invest[Affectation matrice],$AB$3,Invest[Amortissement HT + intérêts]))*BO41</f>
        <v>0</v>
      </c>
      <c r="O41" s="276">
        <f>(SUMIF(Fonctionnement[Affectation matrice],$AB$3,Fonctionnement[Montant (€HT)])+SUMIF(Invest[Affectation matrice],$AB$3,Invest[Amortissement HT + intérêts]))*BP41</f>
        <v>0</v>
      </c>
      <c r="P41" s="276">
        <f>(SUMIF(Fonctionnement[Affectation matrice],$AB$3,Fonctionnement[Montant (€HT)])+SUMIF(Invest[Affectation matrice],$AB$3,Invest[Amortissement HT + intérêts]))*BQ41</f>
        <v>0</v>
      </c>
      <c r="Q41" s="276">
        <f>(SUMIF(Fonctionnement[Affectation matrice],$AB$3,Fonctionnement[Montant (€HT)])+SUMIF(Invest[Affectation matrice],$AB$3,Invest[Amortissement HT + intérêts]))*BR41</f>
        <v>0</v>
      </c>
      <c r="R41" s="276">
        <f>(SUMIF(Fonctionnement[Affectation matrice],$AB$3,Fonctionnement[Montant (€HT)])+SUMIF(Invest[Affectation matrice],$AB$3,Invest[Amortissement HT + intérêts]))*BS41</f>
        <v>0</v>
      </c>
      <c r="S41" s="276">
        <f>(SUMIF(Fonctionnement[Affectation matrice],$AB$3,Fonctionnement[Montant (€HT)])+SUMIF(Invest[Affectation matrice],$AB$3,Invest[Amortissement HT + intérêts]))*BT41</f>
        <v>0</v>
      </c>
      <c r="T41" s="276">
        <f>(SUMIF(Fonctionnement[Affectation matrice],$AB$3,Fonctionnement[Montant (€HT)])+SUMIF(Invest[Affectation matrice],$AB$3,Invest[Amortissement HT + intérêts]))*BU41</f>
        <v>0</v>
      </c>
      <c r="U41" s="276">
        <f>(SUMIF(Fonctionnement[Affectation matrice],$AB$3,Fonctionnement[Montant (€HT)])+SUMIF(Invest[Affectation matrice],$AB$3,Invest[Amortissement HT + intérêts]))*BV41</f>
        <v>0</v>
      </c>
      <c r="V41" s="276">
        <f>(SUMIF(Fonctionnement[Affectation matrice],$AB$3,Fonctionnement[Montant (€HT)])+SUMIF(Invest[Affectation matrice],$AB$3,Invest[Amortissement HT + intérêts]))*BW41</f>
        <v>0</v>
      </c>
      <c r="W41" s="276">
        <f>(SUMIF(Fonctionnement[Affectation matrice],$AB$3,Fonctionnement[Montant (€HT)])+SUMIF(Invest[Affectation matrice],$AB$3,Invest[Amortissement HT + intérêts]))*BX41</f>
        <v>0</v>
      </c>
      <c r="X41" s="276">
        <f>(SUMIF(Fonctionnement[Affectation matrice],$AB$3,Fonctionnement[Montant (€HT)])+SUMIF(Invest[Affectation matrice],$AB$3,Invest[Amortissement HT + intérêts]))*BY41</f>
        <v>0</v>
      </c>
      <c r="Y41" s="276">
        <f>(SUMIF(Fonctionnement[Affectation matrice],$AB$3,Fonctionnement[Montant (€HT)])+SUMIF(Invest[Affectation matrice],$AB$3,Invest[Amortissement HT + intérêts]))*BZ41</f>
        <v>0</v>
      </c>
      <c r="Z41" s="276">
        <f>(SUMIF(Fonctionnement[Affectation matrice],$AB$3,Fonctionnement[Montant (€HT)])+SUMIF(Invest[Affectation matrice],$AB$3,Invest[Amortissement HT + intérêts]))*CA41</f>
        <v>0</v>
      </c>
      <c r="AA41" s="199"/>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283">
        <f t="shared" si="4"/>
        <v>0</v>
      </c>
      <c r="BB41" s="7"/>
      <c r="BC41" s="61">
        <f t="shared" si="10"/>
        <v>0</v>
      </c>
      <c r="BD41" s="61">
        <f t="shared" si="10"/>
        <v>0</v>
      </c>
      <c r="BE41" s="61">
        <f t="shared" si="10"/>
        <v>0</v>
      </c>
      <c r="BF41" s="61">
        <f t="shared" si="10"/>
        <v>0</v>
      </c>
      <c r="BG41" s="61">
        <f t="shared" si="10"/>
        <v>0</v>
      </c>
      <c r="BH41" s="61">
        <f t="shared" si="10"/>
        <v>0</v>
      </c>
      <c r="BI41" s="61">
        <f t="shared" si="10"/>
        <v>0</v>
      </c>
      <c r="BJ41" s="61">
        <f t="shared" si="10"/>
        <v>0</v>
      </c>
      <c r="BK41" s="61">
        <f t="shared" si="10"/>
        <v>0</v>
      </c>
      <c r="BL41" s="61">
        <f t="shared" si="10"/>
        <v>0</v>
      </c>
      <c r="BM41" s="61">
        <f t="shared" si="11"/>
        <v>0</v>
      </c>
      <c r="BN41" s="61">
        <f t="shared" si="11"/>
        <v>0</v>
      </c>
      <c r="BO41" s="61">
        <f t="shared" si="11"/>
        <v>0</v>
      </c>
      <c r="BP41" s="61">
        <f t="shared" si="11"/>
        <v>0</v>
      </c>
      <c r="BQ41" s="61">
        <f t="shared" si="11"/>
        <v>0</v>
      </c>
      <c r="BR41" s="61">
        <f t="shared" si="11"/>
        <v>0</v>
      </c>
      <c r="BS41" s="61">
        <f t="shared" si="11"/>
        <v>0</v>
      </c>
      <c r="BT41" s="61">
        <f t="shared" si="11"/>
        <v>0</v>
      </c>
      <c r="BU41" s="61">
        <f t="shared" si="11"/>
        <v>0</v>
      </c>
      <c r="BV41" s="61">
        <f t="shared" si="11"/>
        <v>0</v>
      </c>
      <c r="BW41" s="61">
        <f t="shared" si="11"/>
        <v>0</v>
      </c>
      <c r="BX41" s="61">
        <f t="shared" si="11"/>
        <v>0</v>
      </c>
      <c r="BY41" s="61">
        <f t="shared" si="11"/>
        <v>0</v>
      </c>
      <c r="BZ41" s="61">
        <f t="shared" si="11"/>
        <v>0</v>
      </c>
      <c r="CA41" s="61">
        <f t="shared" si="11"/>
        <v>0</v>
      </c>
      <c r="CB41" s="61">
        <f t="shared" si="5"/>
        <v>0</v>
      </c>
      <c r="CD41" s="200">
        <f>(SUMIF(Fonctionnement[Affectation matrice],$AB$3,Fonctionnement[TVA acquittée])+SUMIF(Invest[Affectation matrice],$AB$3,Invest[TVA acquittée]))*BC41</f>
        <v>0</v>
      </c>
      <c r="CE41" s="200">
        <f>(SUMIF(Fonctionnement[Affectation matrice],$AB$3,Fonctionnement[TVA acquittée])+SUMIF(Invest[Affectation matrice],$AB$3,Invest[TVA acquittée]))*BD41</f>
        <v>0</v>
      </c>
      <c r="CF41" s="200">
        <f>(SUMIF(Fonctionnement[Affectation matrice],$AB$3,Fonctionnement[TVA acquittée])+SUMIF(Invest[Affectation matrice],$AB$3,Invest[TVA acquittée]))*BE41</f>
        <v>0</v>
      </c>
      <c r="CG41" s="200">
        <f>(SUMIF(Fonctionnement[Affectation matrice],$AB$3,Fonctionnement[TVA acquittée])+SUMIF(Invest[Affectation matrice],$AB$3,Invest[TVA acquittée]))*BF41</f>
        <v>0</v>
      </c>
      <c r="CH41" s="200">
        <f>(SUMIF(Fonctionnement[Affectation matrice],$AB$3,Fonctionnement[TVA acquittée])+SUMIF(Invest[Affectation matrice],$AB$3,Invest[TVA acquittée]))*BG41</f>
        <v>0</v>
      </c>
      <c r="CI41" s="200">
        <f>(SUMIF(Fonctionnement[Affectation matrice],$AB$3,Fonctionnement[TVA acquittée])+SUMIF(Invest[Affectation matrice],$AB$3,Invest[TVA acquittée]))*BH41</f>
        <v>0</v>
      </c>
      <c r="CJ41" s="200">
        <f>(SUMIF(Fonctionnement[Affectation matrice],$AB$3,Fonctionnement[TVA acquittée])+SUMIF(Invest[Affectation matrice],$AB$3,Invest[TVA acquittée]))*BI41</f>
        <v>0</v>
      </c>
      <c r="CK41" s="200">
        <f>(SUMIF(Fonctionnement[Affectation matrice],$AB$3,Fonctionnement[TVA acquittée])+SUMIF(Invest[Affectation matrice],$AB$3,Invest[TVA acquittée]))*BJ41</f>
        <v>0</v>
      </c>
      <c r="CL41" s="200">
        <f>(SUMIF(Fonctionnement[Affectation matrice],$AB$3,Fonctionnement[TVA acquittée])+SUMIF(Invest[Affectation matrice],$AB$3,Invest[TVA acquittée]))*BK41</f>
        <v>0</v>
      </c>
      <c r="CM41" s="200">
        <f>(SUMIF(Fonctionnement[Affectation matrice],$AB$3,Fonctionnement[TVA acquittée])+SUMIF(Invest[Affectation matrice],$AB$3,Invest[TVA acquittée]))*BL41</f>
        <v>0</v>
      </c>
      <c r="CN41" s="200">
        <f>(SUMIF(Fonctionnement[Affectation matrice],$AB$3,Fonctionnement[TVA acquittée])+SUMIF(Invest[Affectation matrice],$AB$3,Invest[TVA acquittée]))*BM41</f>
        <v>0</v>
      </c>
      <c r="CO41" s="200">
        <f>(SUMIF(Fonctionnement[Affectation matrice],$AB$3,Fonctionnement[TVA acquittée])+SUMIF(Invest[Affectation matrice],$AB$3,Invest[TVA acquittée]))*BN41</f>
        <v>0</v>
      </c>
      <c r="CP41" s="200">
        <f>(SUMIF(Fonctionnement[Affectation matrice],$AB$3,Fonctionnement[TVA acquittée])+SUMIF(Invest[Affectation matrice],$AB$3,Invest[TVA acquittée]))*BO41</f>
        <v>0</v>
      </c>
      <c r="CQ41" s="200">
        <f>(SUMIF(Fonctionnement[Affectation matrice],$AB$3,Fonctionnement[TVA acquittée])+SUMIF(Invest[Affectation matrice],$AB$3,Invest[TVA acquittée]))*BP41</f>
        <v>0</v>
      </c>
      <c r="CR41" s="200">
        <f>(SUMIF(Fonctionnement[Affectation matrice],$AB$3,Fonctionnement[TVA acquittée])+SUMIF(Invest[Affectation matrice],$AB$3,Invest[TVA acquittée]))*BQ41</f>
        <v>0</v>
      </c>
      <c r="CS41" s="200">
        <f>(SUMIF(Fonctionnement[Affectation matrice],$AB$3,Fonctionnement[TVA acquittée])+SUMIF(Invest[Affectation matrice],$AB$3,Invest[TVA acquittée]))*BR41</f>
        <v>0</v>
      </c>
      <c r="CT41" s="200">
        <f>(SUMIF(Fonctionnement[Affectation matrice],$AB$3,Fonctionnement[TVA acquittée])+SUMIF(Invest[Affectation matrice],$AB$3,Invest[TVA acquittée]))*BS41</f>
        <v>0</v>
      </c>
      <c r="CU41" s="200">
        <f>(SUMIF(Fonctionnement[Affectation matrice],$AB$3,Fonctionnement[TVA acquittée])+SUMIF(Invest[Affectation matrice],$AB$3,Invest[TVA acquittée]))*BT41</f>
        <v>0</v>
      </c>
      <c r="CV41" s="200">
        <f>(SUMIF(Fonctionnement[Affectation matrice],$AB$3,Fonctionnement[TVA acquittée])+SUMIF(Invest[Affectation matrice],$AB$3,Invest[TVA acquittée]))*BU41</f>
        <v>0</v>
      </c>
      <c r="CW41" s="200">
        <f>(SUMIF(Fonctionnement[Affectation matrice],$AB$3,Fonctionnement[TVA acquittée])+SUMIF(Invest[Affectation matrice],$AB$3,Invest[TVA acquittée]))*BV41</f>
        <v>0</v>
      </c>
      <c r="CX41" s="200">
        <f>(SUMIF(Fonctionnement[Affectation matrice],$AB$3,Fonctionnement[TVA acquittée])+SUMIF(Invest[Affectation matrice],$AB$3,Invest[TVA acquittée]))*BW41</f>
        <v>0</v>
      </c>
      <c r="CY41" s="200">
        <f>(SUMIF(Fonctionnement[Affectation matrice],$AB$3,Fonctionnement[TVA acquittée])+SUMIF(Invest[Affectation matrice],$AB$3,Invest[TVA acquittée]))*BX41</f>
        <v>0</v>
      </c>
      <c r="CZ41" s="200">
        <f>(SUMIF(Fonctionnement[Affectation matrice],$AB$3,Fonctionnement[TVA acquittée])+SUMIF(Invest[Affectation matrice],$AB$3,Invest[TVA acquittée]))*BY41</f>
        <v>0</v>
      </c>
      <c r="DA41" s="200">
        <f>(SUMIF(Fonctionnement[Affectation matrice],$AB$3,Fonctionnement[TVA acquittée])+SUMIF(Invest[Affectation matrice],$AB$3,Invest[TVA acquittée]))*BZ41</f>
        <v>0</v>
      </c>
      <c r="DB41" s="200">
        <f>(SUMIF(Fonctionnement[Affectation matrice],$AB$3,Fonctionnement[TVA acquittée])+SUMIF(Invest[Affectation matrice],$AB$3,Invest[TVA acquittée]))*CA41</f>
        <v>0</v>
      </c>
    </row>
    <row r="42" spans="1:106" s="204" customFormat="1" hidden="1" x14ac:dyDescent="0.25">
      <c r="A42" s="186"/>
      <c r="B42" s="277"/>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02"/>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row>
    <row r="43" spans="1:106" s="204" customFormat="1" ht="12.75" hidden="1" customHeight="1" x14ac:dyDescent="0.25">
      <c r="A43" s="186"/>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02"/>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row>
    <row r="44" spans="1:106" hidden="1" x14ac:dyDescent="0.25">
      <c r="A44" s="42" t="str">
        <f>Matrice[[#This Row],[Ligne de la matrice]]</f>
        <v>Exemple : REG incinération / énergie</v>
      </c>
      <c r="B44" s="276">
        <f>(SUMIF(Fonctionnement[Affectation matrice],$AB$3,Fonctionnement[Montant (€HT)])+SUMIF(Invest[Affectation matrice],$AB$3,Invest[Amortissement HT + intérêts]))*BC44</f>
        <v>0</v>
      </c>
      <c r="C44" s="276">
        <f>(SUMIF(Fonctionnement[Affectation matrice],$AB$3,Fonctionnement[Montant (€HT)])+SUMIF(Invest[Affectation matrice],$AB$3,Invest[Amortissement HT + intérêts]))*BD44</f>
        <v>0</v>
      </c>
      <c r="D44" s="276">
        <f>(SUMIF(Fonctionnement[Affectation matrice],$AB$3,Fonctionnement[Montant (€HT)])+SUMIF(Invest[Affectation matrice],$AB$3,Invest[Amortissement HT + intérêts]))*BE44</f>
        <v>0</v>
      </c>
      <c r="E44" s="276">
        <f>(SUMIF(Fonctionnement[Affectation matrice],$AB$3,Fonctionnement[Montant (€HT)])+SUMIF(Invest[Affectation matrice],$AB$3,Invest[Amortissement HT + intérêts]))*BF44</f>
        <v>0</v>
      </c>
      <c r="F44" s="276">
        <f>(SUMIF(Fonctionnement[Affectation matrice],$AB$3,Fonctionnement[Montant (€HT)])+SUMIF(Invest[Affectation matrice],$AB$3,Invest[Amortissement HT + intérêts]))*BG44</f>
        <v>0</v>
      </c>
      <c r="G44" s="276">
        <f>(SUMIF(Fonctionnement[Affectation matrice],$AB$3,Fonctionnement[Montant (€HT)])+SUMIF(Invest[Affectation matrice],$AB$3,Invest[Amortissement HT + intérêts]))*BH44</f>
        <v>0</v>
      </c>
      <c r="H44" s="276">
        <f>(SUMIF(Fonctionnement[Affectation matrice],$AB$3,Fonctionnement[Montant (€HT)])+SUMIF(Invest[Affectation matrice],$AB$3,Invest[Amortissement HT + intérêts]))*BI44</f>
        <v>0</v>
      </c>
      <c r="I44" s="276">
        <f>(SUMIF(Fonctionnement[Affectation matrice],$AB$3,Fonctionnement[Montant (€HT)])+SUMIF(Invest[Affectation matrice],$AB$3,Invest[Amortissement HT + intérêts]))*BJ44</f>
        <v>0</v>
      </c>
      <c r="J44" s="276">
        <f>(SUMIF(Fonctionnement[Affectation matrice],$AB$3,Fonctionnement[Montant (€HT)])+SUMIF(Invest[Affectation matrice],$AB$3,Invest[Amortissement HT + intérêts]))*BK44</f>
        <v>0</v>
      </c>
      <c r="K44" s="276">
        <f>(SUMIF(Fonctionnement[Affectation matrice],$AB$3,Fonctionnement[Montant (€HT)])+SUMIF(Invest[Affectation matrice],$AB$3,Invest[Amortissement HT + intérêts]))*BL44</f>
        <v>0</v>
      </c>
      <c r="L44" s="276">
        <f>(SUMIF(Fonctionnement[Affectation matrice],$AB$3,Fonctionnement[Montant (€HT)])+SUMIF(Invest[Affectation matrice],$AB$3,Invest[Amortissement HT + intérêts]))*BM44</f>
        <v>0</v>
      </c>
      <c r="M44" s="276">
        <f>(SUMIF(Fonctionnement[Affectation matrice],$AB$3,Fonctionnement[Montant (€HT)])+SUMIF(Invest[Affectation matrice],$AB$3,Invest[Amortissement HT + intérêts]))*BN44</f>
        <v>0</v>
      </c>
      <c r="N44" s="276">
        <f>(SUMIF(Fonctionnement[Affectation matrice],$AB$3,Fonctionnement[Montant (€HT)])+SUMIF(Invest[Affectation matrice],$AB$3,Invest[Amortissement HT + intérêts]))*BO44</f>
        <v>0</v>
      </c>
      <c r="O44" s="276">
        <f>(SUMIF(Fonctionnement[Affectation matrice],$AB$3,Fonctionnement[Montant (€HT)])+SUMIF(Invest[Affectation matrice],$AB$3,Invest[Amortissement HT + intérêts]))*BP44</f>
        <v>0</v>
      </c>
      <c r="P44" s="276">
        <f>(SUMIF(Fonctionnement[Affectation matrice],$AB$3,Fonctionnement[Montant (€HT)])+SUMIF(Invest[Affectation matrice],$AB$3,Invest[Amortissement HT + intérêts]))*BQ44</f>
        <v>0</v>
      </c>
      <c r="Q44" s="276">
        <f>(SUMIF(Fonctionnement[Affectation matrice],$AB$3,Fonctionnement[Montant (€HT)])+SUMIF(Invest[Affectation matrice],$AB$3,Invest[Amortissement HT + intérêts]))*BR44</f>
        <v>0</v>
      </c>
      <c r="R44" s="276">
        <f>(SUMIF(Fonctionnement[Affectation matrice],$AB$3,Fonctionnement[Montant (€HT)])+SUMIF(Invest[Affectation matrice],$AB$3,Invest[Amortissement HT + intérêts]))*BS44</f>
        <v>0</v>
      </c>
      <c r="S44" s="276">
        <f>(SUMIF(Fonctionnement[Affectation matrice],$AB$3,Fonctionnement[Montant (€HT)])+SUMIF(Invest[Affectation matrice],$AB$3,Invest[Amortissement HT + intérêts]))*BT44</f>
        <v>0</v>
      </c>
      <c r="T44" s="276">
        <f>(SUMIF(Fonctionnement[Affectation matrice],$AB$3,Fonctionnement[Montant (€HT)])+SUMIF(Invest[Affectation matrice],$AB$3,Invest[Amortissement HT + intérêts]))*BU44</f>
        <v>0</v>
      </c>
      <c r="U44" s="276">
        <f>(SUMIF(Fonctionnement[Affectation matrice],$AB$3,Fonctionnement[Montant (€HT)])+SUMIF(Invest[Affectation matrice],$AB$3,Invest[Amortissement HT + intérêts]))*BV44</f>
        <v>0</v>
      </c>
      <c r="V44" s="276">
        <f>(SUMIF(Fonctionnement[Affectation matrice],$AB$3,Fonctionnement[Montant (€HT)])+SUMIF(Invest[Affectation matrice],$AB$3,Invest[Amortissement HT + intérêts]))*BW44</f>
        <v>0</v>
      </c>
      <c r="W44" s="276">
        <f>(SUMIF(Fonctionnement[Affectation matrice],$AB$3,Fonctionnement[Montant (€HT)])+SUMIF(Invest[Affectation matrice],$AB$3,Invest[Amortissement HT + intérêts]))*BX44</f>
        <v>0</v>
      </c>
      <c r="X44" s="276">
        <f>(SUMIF(Fonctionnement[Affectation matrice],$AB$3,Fonctionnement[Montant (€HT)])+SUMIF(Invest[Affectation matrice],$AB$3,Invest[Amortissement HT + intérêts]))*BY44</f>
        <v>0</v>
      </c>
      <c r="Y44" s="276">
        <f>(SUMIF(Fonctionnement[Affectation matrice],$AB$3,Fonctionnement[Montant (€HT)])+SUMIF(Invest[Affectation matrice],$AB$3,Invest[Amortissement HT + intérêts]))*BZ44</f>
        <v>0</v>
      </c>
      <c r="Z44" s="276">
        <f>(SUMIF(Fonctionnement[Affectation matrice],$AB$3,Fonctionnement[Montant (€HT)])+SUMIF(Invest[Affectation matrice],$AB$3,Invest[Amortissement HT + intérêts]))*CA44</f>
        <v>0</v>
      </c>
      <c r="AA44" s="199"/>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283">
        <f t="shared" si="4"/>
        <v>0</v>
      </c>
      <c r="BC44" s="61">
        <f t="shared" ref="BC44:BR52" si="12">IF($BA$53=0,0,AB44/$BA$53)</f>
        <v>0</v>
      </c>
      <c r="BD44" s="61">
        <f t="shared" si="12"/>
        <v>0</v>
      </c>
      <c r="BE44" s="61">
        <f t="shared" si="12"/>
        <v>0</v>
      </c>
      <c r="BF44" s="61">
        <f t="shared" si="12"/>
        <v>0</v>
      </c>
      <c r="BG44" s="61">
        <f t="shared" si="12"/>
        <v>0</v>
      </c>
      <c r="BH44" s="61">
        <f t="shared" si="12"/>
        <v>0</v>
      </c>
      <c r="BI44" s="61">
        <f t="shared" si="12"/>
        <v>0</v>
      </c>
      <c r="BJ44" s="61">
        <f t="shared" si="12"/>
        <v>0</v>
      </c>
      <c r="BK44" s="61">
        <f t="shared" si="12"/>
        <v>0</v>
      </c>
      <c r="BL44" s="61">
        <f t="shared" si="12"/>
        <v>0</v>
      </c>
      <c r="BM44" s="61">
        <f t="shared" si="12"/>
        <v>0</v>
      </c>
      <c r="BN44" s="61">
        <f t="shared" si="12"/>
        <v>0</v>
      </c>
      <c r="BO44" s="61">
        <f t="shared" si="12"/>
        <v>0</v>
      </c>
      <c r="BP44" s="61">
        <f t="shared" si="12"/>
        <v>0</v>
      </c>
      <c r="BQ44" s="61">
        <f t="shared" si="12"/>
        <v>0</v>
      </c>
      <c r="BR44" s="61">
        <f t="shared" si="12"/>
        <v>0</v>
      </c>
      <c r="BS44" s="61">
        <f t="shared" ref="BS44:CA52" si="13">IF($BA$53=0,0,AR44/$BA$53)</f>
        <v>0</v>
      </c>
      <c r="BT44" s="61">
        <f t="shared" si="13"/>
        <v>0</v>
      </c>
      <c r="BU44" s="61">
        <f t="shared" si="13"/>
        <v>0</v>
      </c>
      <c r="BV44" s="61">
        <f t="shared" si="13"/>
        <v>0</v>
      </c>
      <c r="BW44" s="61">
        <f t="shared" si="13"/>
        <v>0</v>
      </c>
      <c r="BX44" s="61">
        <f t="shared" si="13"/>
        <v>0</v>
      </c>
      <c r="BY44" s="61">
        <f t="shared" si="13"/>
        <v>0</v>
      </c>
      <c r="BZ44" s="61">
        <f t="shared" si="13"/>
        <v>0</v>
      </c>
      <c r="CA44" s="61">
        <f t="shared" si="13"/>
        <v>0</v>
      </c>
      <c r="CB44" s="61">
        <f t="shared" si="5"/>
        <v>0</v>
      </c>
      <c r="CD44" s="200">
        <f>(SUMIF(Fonctionnement[Affectation matrice],$AB$3,Fonctionnement[TVA acquittée])+SUMIF(Invest[Affectation matrice],$AB$3,Invest[TVA acquittée]))*BC44</f>
        <v>0</v>
      </c>
      <c r="CE44" s="200">
        <f>(SUMIF(Fonctionnement[Affectation matrice],$AB$3,Fonctionnement[TVA acquittée])+SUMIF(Invest[Affectation matrice],$AB$3,Invest[TVA acquittée]))*BD44</f>
        <v>0</v>
      </c>
      <c r="CF44" s="200">
        <f>(SUMIF(Fonctionnement[Affectation matrice],$AB$3,Fonctionnement[TVA acquittée])+SUMIF(Invest[Affectation matrice],$AB$3,Invest[TVA acquittée]))*BE44</f>
        <v>0</v>
      </c>
      <c r="CG44" s="200">
        <f>(SUMIF(Fonctionnement[Affectation matrice],$AB$3,Fonctionnement[TVA acquittée])+SUMIF(Invest[Affectation matrice],$AB$3,Invest[TVA acquittée]))*BF44</f>
        <v>0</v>
      </c>
      <c r="CH44" s="200">
        <f>(SUMIF(Fonctionnement[Affectation matrice],$AB$3,Fonctionnement[TVA acquittée])+SUMIF(Invest[Affectation matrice],$AB$3,Invest[TVA acquittée]))*BG44</f>
        <v>0</v>
      </c>
      <c r="CI44" s="200">
        <f>(SUMIF(Fonctionnement[Affectation matrice],$AB$3,Fonctionnement[TVA acquittée])+SUMIF(Invest[Affectation matrice],$AB$3,Invest[TVA acquittée]))*BH44</f>
        <v>0</v>
      </c>
      <c r="CJ44" s="200">
        <f>(SUMIF(Fonctionnement[Affectation matrice],$AB$3,Fonctionnement[TVA acquittée])+SUMIF(Invest[Affectation matrice],$AB$3,Invest[TVA acquittée]))*BI44</f>
        <v>0</v>
      </c>
      <c r="CK44" s="200">
        <f>(SUMIF(Fonctionnement[Affectation matrice],$AB$3,Fonctionnement[TVA acquittée])+SUMIF(Invest[Affectation matrice],$AB$3,Invest[TVA acquittée]))*BJ44</f>
        <v>0</v>
      </c>
      <c r="CL44" s="200">
        <f>(SUMIF(Fonctionnement[Affectation matrice],$AB$3,Fonctionnement[TVA acquittée])+SUMIF(Invest[Affectation matrice],$AB$3,Invest[TVA acquittée]))*BK44</f>
        <v>0</v>
      </c>
      <c r="CM44" s="200">
        <f>(SUMIF(Fonctionnement[Affectation matrice],$AB$3,Fonctionnement[TVA acquittée])+SUMIF(Invest[Affectation matrice],$AB$3,Invest[TVA acquittée]))*BL44</f>
        <v>0</v>
      </c>
      <c r="CN44" s="200">
        <f>(SUMIF(Fonctionnement[Affectation matrice],$AB$3,Fonctionnement[TVA acquittée])+SUMIF(Invest[Affectation matrice],$AB$3,Invest[TVA acquittée]))*BM44</f>
        <v>0</v>
      </c>
      <c r="CO44" s="200">
        <f>(SUMIF(Fonctionnement[Affectation matrice],$AB$3,Fonctionnement[TVA acquittée])+SUMIF(Invest[Affectation matrice],$AB$3,Invest[TVA acquittée]))*BN44</f>
        <v>0</v>
      </c>
      <c r="CP44" s="200">
        <f>(SUMIF(Fonctionnement[Affectation matrice],$AB$3,Fonctionnement[TVA acquittée])+SUMIF(Invest[Affectation matrice],$AB$3,Invest[TVA acquittée]))*BO44</f>
        <v>0</v>
      </c>
      <c r="CQ44" s="200">
        <f>(SUMIF(Fonctionnement[Affectation matrice],$AB$3,Fonctionnement[TVA acquittée])+SUMIF(Invest[Affectation matrice],$AB$3,Invest[TVA acquittée]))*BP44</f>
        <v>0</v>
      </c>
      <c r="CR44" s="200">
        <f>(SUMIF(Fonctionnement[Affectation matrice],$AB$3,Fonctionnement[TVA acquittée])+SUMIF(Invest[Affectation matrice],$AB$3,Invest[TVA acquittée]))*BQ44</f>
        <v>0</v>
      </c>
      <c r="CS44" s="200">
        <f>(SUMIF(Fonctionnement[Affectation matrice],$AB$3,Fonctionnement[TVA acquittée])+SUMIF(Invest[Affectation matrice],$AB$3,Invest[TVA acquittée]))*BR44</f>
        <v>0</v>
      </c>
      <c r="CT44" s="200">
        <f>(SUMIF(Fonctionnement[Affectation matrice],$AB$3,Fonctionnement[TVA acquittée])+SUMIF(Invest[Affectation matrice],$AB$3,Invest[TVA acquittée]))*BS44</f>
        <v>0</v>
      </c>
      <c r="CU44" s="200">
        <f>(SUMIF(Fonctionnement[Affectation matrice],$AB$3,Fonctionnement[TVA acquittée])+SUMIF(Invest[Affectation matrice],$AB$3,Invest[TVA acquittée]))*BT44</f>
        <v>0</v>
      </c>
      <c r="CV44" s="200">
        <f>(SUMIF(Fonctionnement[Affectation matrice],$AB$3,Fonctionnement[TVA acquittée])+SUMIF(Invest[Affectation matrice],$AB$3,Invest[TVA acquittée]))*BU44</f>
        <v>0</v>
      </c>
      <c r="CW44" s="200">
        <f>(SUMIF(Fonctionnement[Affectation matrice],$AB$3,Fonctionnement[TVA acquittée])+SUMIF(Invest[Affectation matrice],$AB$3,Invest[TVA acquittée]))*BV44</f>
        <v>0</v>
      </c>
      <c r="CX44" s="200">
        <f>(SUMIF(Fonctionnement[Affectation matrice],$AB$3,Fonctionnement[TVA acquittée])+SUMIF(Invest[Affectation matrice],$AB$3,Invest[TVA acquittée]))*BW44</f>
        <v>0</v>
      </c>
      <c r="CY44" s="200">
        <f>(SUMIF(Fonctionnement[Affectation matrice],$AB$3,Fonctionnement[TVA acquittée])+SUMIF(Invest[Affectation matrice],$AB$3,Invest[TVA acquittée]))*BX44</f>
        <v>0</v>
      </c>
      <c r="CZ44" s="200">
        <f>(SUMIF(Fonctionnement[Affectation matrice],$AB$3,Fonctionnement[TVA acquittée])+SUMIF(Invest[Affectation matrice],$AB$3,Invest[TVA acquittée]))*BY44</f>
        <v>0</v>
      </c>
      <c r="DA44" s="200">
        <f>(SUMIF(Fonctionnement[Affectation matrice],$AB$3,Fonctionnement[TVA acquittée])+SUMIF(Invest[Affectation matrice],$AB$3,Invest[TVA acquittée]))*BZ44</f>
        <v>0</v>
      </c>
      <c r="DB44" s="200">
        <f>(SUMIF(Fonctionnement[Affectation matrice],$AB$3,Fonctionnement[TVA acquittée])+SUMIF(Invest[Affectation matrice],$AB$3,Invest[TVA acquittée]))*CA44</f>
        <v>0</v>
      </c>
    </row>
    <row r="45" spans="1:106" hidden="1" x14ac:dyDescent="0.25">
      <c r="A45" s="42">
        <f>Matrice[[#This Row],[Ligne de la matrice]]</f>
        <v>0</v>
      </c>
      <c r="B45" s="276">
        <f>(SUMIF(Fonctionnement[Affectation matrice],$AB$3,Fonctionnement[Montant (€HT)])+SUMIF(Invest[Affectation matrice],$AB$3,Invest[Amortissement HT + intérêts]))*BC45</f>
        <v>0</v>
      </c>
      <c r="C45" s="276">
        <f>(SUMIF(Fonctionnement[Affectation matrice],$AB$3,Fonctionnement[Montant (€HT)])+SUMIF(Invest[Affectation matrice],$AB$3,Invest[Amortissement HT + intérêts]))*BD45</f>
        <v>0</v>
      </c>
      <c r="D45" s="276">
        <f>(SUMIF(Fonctionnement[Affectation matrice],$AB$3,Fonctionnement[Montant (€HT)])+SUMIF(Invest[Affectation matrice],$AB$3,Invest[Amortissement HT + intérêts]))*BE45</f>
        <v>0</v>
      </c>
      <c r="E45" s="276">
        <f>(SUMIF(Fonctionnement[Affectation matrice],$AB$3,Fonctionnement[Montant (€HT)])+SUMIF(Invest[Affectation matrice],$AB$3,Invest[Amortissement HT + intérêts]))*BF45</f>
        <v>0</v>
      </c>
      <c r="F45" s="276">
        <f>(SUMIF(Fonctionnement[Affectation matrice],$AB$3,Fonctionnement[Montant (€HT)])+SUMIF(Invest[Affectation matrice],$AB$3,Invest[Amortissement HT + intérêts]))*BG45</f>
        <v>0</v>
      </c>
      <c r="G45" s="276">
        <f>(SUMIF(Fonctionnement[Affectation matrice],$AB$3,Fonctionnement[Montant (€HT)])+SUMIF(Invest[Affectation matrice],$AB$3,Invest[Amortissement HT + intérêts]))*BH45</f>
        <v>0</v>
      </c>
      <c r="H45" s="276">
        <f>(SUMIF(Fonctionnement[Affectation matrice],$AB$3,Fonctionnement[Montant (€HT)])+SUMIF(Invest[Affectation matrice],$AB$3,Invest[Amortissement HT + intérêts]))*BI45</f>
        <v>0</v>
      </c>
      <c r="I45" s="276">
        <f>(SUMIF(Fonctionnement[Affectation matrice],$AB$3,Fonctionnement[Montant (€HT)])+SUMIF(Invest[Affectation matrice],$AB$3,Invest[Amortissement HT + intérêts]))*BJ45</f>
        <v>0</v>
      </c>
      <c r="J45" s="276">
        <f>(SUMIF(Fonctionnement[Affectation matrice],$AB$3,Fonctionnement[Montant (€HT)])+SUMIF(Invest[Affectation matrice],$AB$3,Invest[Amortissement HT + intérêts]))*BK45</f>
        <v>0</v>
      </c>
      <c r="K45" s="276">
        <f>(SUMIF(Fonctionnement[Affectation matrice],$AB$3,Fonctionnement[Montant (€HT)])+SUMIF(Invest[Affectation matrice],$AB$3,Invest[Amortissement HT + intérêts]))*BL45</f>
        <v>0</v>
      </c>
      <c r="L45" s="276">
        <f>(SUMIF(Fonctionnement[Affectation matrice],$AB$3,Fonctionnement[Montant (€HT)])+SUMIF(Invest[Affectation matrice],$AB$3,Invest[Amortissement HT + intérêts]))*BM45</f>
        <v>0</v>
      </c>
      <c r="M45" s="276">
        <f>(SUMIF(Fonctionnement[Affectation matrice],$AB$3,Fonctionnement[Montant (€HT)])+SUMIF(Invest[Affectation matrice],$AB$3,Invest[Amortissement HT + intérêts]))*BN45</f>
        <v>0</v>
      </c>
      <c r="N45" s="276">
        <f>(SUMIF(Fonctionnement[Affectation matrice],$AB$3,Fonctionnement[Montant (€HT)])+SUMIF(Invest[Affectation matrice],$AB$3,Invest[Amortissement HT + intérêts]))*BO45</f>
        <v>0</v>
      </c>
      <c r="O45" s="276">
        <f>(SUMIF(Fonctionnement[Affectation matrice],$AB$3,Fonctionnement[Montant (€HT)])+SUMIF(Invest[Affectation matrice],$AB$3,Invest[Amortissement HT + intérêts]))*BP45</f>
        <v>0</v>
      </c>
      <c r="P45" s="276">
        <f>(SUMIF(Fonctionnement[Affectation matrice],$AB$3,Fonctionnement[Montant (€HT)])+SUMIF(Invest[Affectation matrice],$AB$3,Invest[Amortissement HT + intérêts]))*BQ45</f>
        <v>0</v>
      </c>
      <c r="Q45" s="276">
        <f>(SUMIF(Fonctionnement[Affectation matrice],$AB$3,Fonctionnement[Montant (€HT)])+SUMIF(Invest[Affectation matrice],$AB$3,Invest[Amortissement HT + intérêts]))*BR45</f>
        <v>0</v>
      </c>
      <c r="R45" s="276">
        <f>(SUMIF(Fonctionnement[Affectation matrice],$AB$3,Fonctionnement[Montant (€HT)])+SUMIF(Invest[Affectation matrice],$AB$3,Invest[Amortissement HT + intérêts]))*BS45</f>
        <v>0</v>
      </c>
      <c r="S45" s="276">
        <f>(SUMIF(Fonctionnement[Affectation matrice],$AB$3,Fonctionnement[Montant (€HT)])+SUMIF(Invest[Affectation matrice],$AB$3,Invest[Amortissement HT + intérêts]))*BT45</f>
        <v>0</v>
      </c>
      <c r="T45" s="276">
        <f>(SUMIF(Fonctionnement[Affectation matrice],$AB$3,Fonctionnement[Montant (€HT)])+SUMIF(Invest[Affectation matrice],$AB$3,Invest[Amortissement HT + intérêts]))*BU45</f>
        <v>0</v>
      </c>
      <c r="U45" s="276">
        <f>(SUMIF(Fonctionnement[Affectation matrice],$AB$3,Fonctionnement[Montant (€HT)])+SUMIF(Invest[Affectation matrice],$AB$3,Invest[Amortissement HT + intérêts]))*BV45</f>
        <v>0</v>
      </c>
      <c r="V45" s="276">
        <f>(SUMIF(Fonctionnement[Affectation matrice],$AB$3,Fonctionnement[Montant (€HT)])+SUMIF(Invest[Affectation matrice],$AB$3,Invest[Amortissement HT + intérêts]))*BW45</f>
        <v>0</v>
      </c>
      <c r="W45" s="276">
        <f>(SUMIF(Fonctionnement[Affectation matrice],$AB$3,Fonctionnement[Montant (€HT)])+SUMIF(Invest[Affectation matrice],$AB$3,Invest[Amortissement HT + intérêts]))*BX45</f>
        <v>0</v>
      </c>
      <c r="X45" s="276">
        <f>(SUMIF(Fonctionnement[Affectation matrice],$AB$3,Fonctionnement[Montant (€HT)])+SUMIF(Invest[Affectation matrice],$AB$3,Invest[Amortissement HT + intérêts]))*BY45</f>
        <v>0</v>
      </c>
      <c r="Y45" s="276">
        <f>(SUMIF(Fonctionnement[Affectation matrice],$AB$3,Fonctionnement[Montant (€HT)])+SUMIF(Invest[Affectation matrice],$AB$3,Invest[Amortissement HT + intérêts]))*BZ45</f>
        <v>0</v>
      </c>
      <c r="Z45" s="276">
        <f>(SUMIF(Fonctionnement[Affectation matrice],$AB$3,Fonctionnement[Montant (€HT)])+SUMIF(Invest[Affectation matrice],$AB$3,Invest[Amortissement HT + intérêts]))*CA45</f>
        <v>0</v>
      </c>
      <c r="AA45" s="199"/>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283">
        <f t="shared" si="4"/>
        <v>0</v>
      </c>
      <c r="BC45" s="61">
        <f t="shared" si="12"/>
        <v>0</v>
      </c>
      <c r="BD45" s="61">
        <f t="shared" si="12"/>
        <v>0</v>
      </c>
      <c r="BE45" s="61">
        <f t="shared" si="12"/>
        <v>0</v>
      </c>
      <c r="BF45" s="61">
        <f t="shared" si="12"/>
        <v>0</v>
      </c>
      <c r="BG45" s="61">
        <f t="shared" si="12"/>
        <v>0</v>
      </c>
      <c r="BH45" s="61">
        <f t="shared" si="12"/>
        <v>0</v>
      </c>
      <c r="BI45" s="61">
        <f t="shared" si="12"/>
        <v>0</v>
      </c>
      <c r="BJ45" s="61">
        <f t="shared" si="12"/>
        <v>0</v>
      </c>
      <c r="BK45" s="61">
        <f t="shared" si="12"/>
        <v>0</v>
      </c>
      <c r="BL45" s="61">
        <f t="shared" si="12"/>
        <v>0</v>
      </c>
      <c r="BM45" s="61">
        <f t="shared" si="12"/>
        <v>0</v>
      </c>
      <c r="BN45" s="61">
        <f t="shared" si="12"/>
        <v>0</v>
      </c>
      <c r="BO45" s="61">
        <f t="shared" si="12"/>
        <v>0</v>
      </c>
      <c r="BP45" s="61">
        <f t="shared" si="12"/>
        <v>0</v>
      </c>
      <c r="BQ45" s="61">
        <f t="shared" si="12"/>
        <v>0</v>
      </c>
      <c r="BR45" s="61">
        <f t="shared" si="12"/>
        <v>0</v>
      </c>
      <c r="BS45" s="61">
        <f t="shared" si="13"/>
        <v>0</v>
      </c>
      <c r="BT45" s="61">
        <f t="shared" si="13"/>
        <v>0</v>
      </c>
      <c r="BU45" s="61">
        <f t="shared" si="13"/>
        <v>0</v>
      </c>
      <c r="BV45" s="61">
        <f t="shared" si="13"/>
        <v>0</v>
      </c>
      <c r="BW45" s="61">
        <f t="shared" si="13"/>
        <v>0</v>
      </c>
      <c r="BX45" s="61">
        <f t="shared" si="13"/>
        <v>0</v>
      </c>
      <c r="BY45" s="61">
        <f t="shared" si="13"/>
        <v>0</v>
      </c>
      <c r="BZ45" s="61">
        <f t="shared" si="13"/>
        <v>0</v>
      </c>
      <c r="CA45" s="61">
        <f t="shared" si="13"/>
        <v>0</v>
      </c>
      <c r="CB45" s="61">
        <f t="shared" si="5"/>
        <v>0</v>
      </c>
      <c r="CD45" s="200">
        <f>(SUMIF(Fonctionnement[Affectation matrice],$AB$3,Fonctionnement[TVA acquittée])+SUMIF(Invest[Affectation matrice],$AB$3,Invest[TVA acquittée]))*BC45</f>
        <v>0</v>
      </c>
      <c r="CE45" s="200">
        <f>(SUMIF(Fonctionnement[Affectation matrice],$AB$3,Fonctionnement[TVA acquittée])+SUMIF(Invest[Affectation matrice],$AB$3,Invest[TVA acquittée]))*BD45</f>
        <v>0</v>
      </c>
      <c r="CF45" s="200">
        <f>(SUMIF(Fonctionnement[Affectation matrice],$AB$3,Fonctionnement[TVA acquittée])+SUMIF(Invest[Affectation matrice],$AB$3,Invest[TVA acquittée]))*BE45</f>
        <v>0</v>
      </c>
      <c r="CG45" s="200">
        <f>(SUMIF(Fonctionnement[Affectation matrice],$AB$3,Fonctionnement[TVA acquittée])+SUMIF(Invest[Affectation matrice],$AB$3,Invest[TVA acquittée]))*BF45</f>
        <v>0</v>
      </c>
      <c r="CH45" s="200">
        <f>(SUMIF(Fonctionnement[Affectation matrice],$AB$3,Fonctionnement[TVA acquittée])+SUMIF(Invest[Affectation matrice],$AB$3,Invest[TVA acquittée]))*BG45</f>
        <v>0</v>
      </c>
      <c r="CI45" s="200">
        <f>(SUMIF(Fonctionnement[Affectation matrice],$AB$3,Fonctionnement[TVA acquittée])+SUMIF(Invest[Affectation matrice],$AB$3,Invest[TVA acquittée]))*BH45</f>
        <v>0</v>
      </c>
      <c r="CJ45" s="200">
        <f>(SUMIF(Fonctionnement[Affectation matrice],$AB$3,Fonctionnement[TVA acquittée])+SUMIF(Invest[Affectation matrice],$AB$3,Invest[TVA acquittée]))*BI45</f>
        <v>0</v>
      </c>
      <c r="CK45" s="200">
        <f>(SUMIF(Fonctionnement[Affectation matrice],$AB$3,Fonctionnement[TVA acquittée])+SUMIF(Invest[Affectation matrice],$AB$3,Invest[TVA acquittée]))*BJ45</f>
        <v>0</v>
      </c>
      <c r="CL45" s="200">
        <f>(SUMIF(Fonctionnement[Affectation matrice],$AB$3,Fonctionnement[TVA acquittée])+SUMIF(Invest[Affectation matrice],$AB$3,Invest[TVA acquittée]))*BK45</f>
        <v>0</v>
      </c>
      <c r="CM45" s="200">
        <f>(SUMIF(Fonctionnement[Affectation matrice],$AB$3,Fonctionnement[TVA acquittée])+SUMIF(Invest[Affectation matrice],$AB$3,Invest[TVA acquittée]))*BL45</f>
        <v>0</v>
      </c>
      <c r="CN45" s="200">
        <f>(SUMIF(Fonctionnement[Affectation matrice],$AB$3,Fonctionnement[TVA acquittée])+SUMIF(Invest[Affectation matrice],$AB$3,Invest[TVA acquittée]))*BM45</f>
        <v>0</v>
      </c>
      <c r="CO45" s="200">
        <f>(SUMIF(Fonctionnement[Affectation matrice],$AB$3,Fonctionnement[TVA acquittée])+SUMIF(Invest[Affectation matrice],$AB$3,Invest[TVA acquittée]))*BN45</f>
        <v>0</v>
      </c>
      <c r="CP45" s="200">
        <f>(SUMIF(Fonctionnement[Affectation matrice],$AB$3,Fonctionnement[TVA acquittée])+SUMIF(Invest[Affectation matrice],$AB$3,Invest[TVA acquittée]))*BO45</f>
        <v>0</v>
      </c>
      <c r="CQ45" s="200">
        <f>(SUMIF(Fonctionnement[Affectation matrice],$AB$3,Fonctionnement[TVA acquittée])+SUMIF(Invest[Affectation matrice],$AB$3,Invest[TVA acquittée]))*BP45</f>
        <v>0</v>
      </c>
      <c r="CR45" s="200">
        <f>(SUMIF(Fonctionnement[Affectation matrice],$AB$3,Fonctionnement[TVA acquittée])+SUMIF(Invest[Affectation matrice],$AB$3,Invest[TVA acquittée]))*BQ45</f>
        <v>0</v>
      </c>
      <c r="CS45" s="200">
        <f>(SUMIF(Fonctionnement[Affectation matrice],$AB$3,Fonctionnement[TVA acquittée])+SUMIF(Invest[Affectation matrice],$AB$3,Invest[TVA acquittée]))*BR45</f>
        <v>0</v>
      </c>
      <c r="CT45" s="200">
        <f>(SUMIF(Fonctionnement[Affectation matrice],$AB$3,Fonctionnement[TVA acquittée])+SUMIF(Invest[Affectation matrice],$AB$3,Invest[TVA acquittée]))*BS45</f>
        <v>0</v>
      </c>
      <c r="CU45" s="200">
        <f>(SUMIF(Fonctionnement[Affectation matrice],$AB$3,Fonctionnement[TVA acquittée])+SUMIF(Invest[Affectation matrice],$AB$3,Invest[TVA acquittée]))*BT45</f>
        <v>0</v>
      </c>
      <c r="CV45" s="200">
        <f>(SUMIF(Fonctionnement[Affectation matrice],$AB$3,Fonctionnement[TVA acquittée])+SUMIF(Invest[Affectation matrice],$AB$3,Invest[TVA acquittée]))*BU45</f>
        <v>0</v>
      </c>
      <c r="CW45" s="200">
        <f>(SUMIF(Fonctionnement[Affectation matrice],$AB$3,Fonctionnement[TVA acquittée])+SUMIF(Invest[Affectation matrice],$AB$3,Invest[TVA acquittée]))*BV45</f>
        <v>0</v>
      </c>
      <c r="CX45" s="200">
        <f>(SUMIF(Fonctionnement[Affectation matrice],$AB$3,Fonctionnement[TVA acquittée])+SUMIF(Invest[Affectation matrice],$AB$3,Invest[TVA acquittée]))*BW45</f>
        <v>0</v>
      </c>
      <c r="CY45" s="200">
        <f>(SUMIF(Fonctionnement[Affectation matrice],$AB$3,Fonctionnement[TVA acquittée])+SUMIF(Invest[Affectation matrice],$AB$3,Invest[TVA acquittée]))*BX45</f>
        <v>0</v>
      </c>
      <c r="CZ45" s="200">
        <f>(SUMIF(Fonctionnement[Affectation matrice],$AB$3,Fonctionnement[TVA acquittée])+SUMIF(Invest[Affectation matrice],$AB$3,Invest[TVA acquittée]))*BY45</f>
        <v>0</v>
      </c>
      <c r="DA45" s="200">
        <f>(SUMIF(Fonctionnement[Affectation matrice],$AB$3,Fonctionnement[TVA acquittée])+SUMIF(Invest[Affectation matrice],$AB$3,Invest[TVA acquittée]))*BZ45</f>
        <v>0</v>
      </c>
      <c r="DB45" s="200">
        <f>(SUMIF(Fonctionnement[Affectation matrice],$AB$3,Fonctionnement[TVA acquittée])+SUMIF(Invest[Affectation matrice],$AB$3,Invest[TVA acquittée]))*CA45</f>
        <v>0</v>
      </c>
    </row>
    <row r="46" spans="1:106" ht="12.75" hidden="1" customHeight="1" x14ac:dyDescent="0.25">
      <c r="A46" s="42">
        <f>Matrice[[#This Row],[Ligne de la matrice]]</f>
        <v>0</v>
      </c>
      <c r="B46" s="276">
        <f>(SUMIF(Fonctionnement[Affectation matrice],$AB$3,Fonctionnement[Montant (€HT)])+SUMIF(Invest[Affectation matrice],$AB$3,Invest[Amortissement HT + intérêts]))*BC46</f>
        <v>0</v>
      </c>
      <c r="C46" s="276">
        <f>(SUMIF(Fonctionnement[Affectation matrice],$AB$3,Fonctionnement[Montant (€HT)])+SUMIF(Invest[Affectation matrice],$AB$3,Invest[Amortissement HT + intérêts]))*BD46</f>
        <v>0</v>
      </c>
      <c r="D46" s="276">
        <f>(SUMIF(Fonctionnement[Affectation matrice],$AB$3,Fonctionnement[Montant (€HT)])+SUMIF(Invest[Affectation matrice],$AB$3,Invest[Amortissement HT + intérêts]))*BE46</f>
        <v>0</v>
      </c>
      <c r="E46" s="276">
        <f>(SUMIF(Fonctionnement[Affectation matrice],$AB$3,Fonctionnement[Montant (€HT)])+SUMIF(Invest[Affectation matrice],$AB$3,Invest[Amortissement HT + intérêts]))*BF46</f>
        <v>0</v>
      </c>
      <c r="F46" s="276">
        <f>(SUMIF(Fonctionnement[Affectation matrice],$AB$3,Fonctionnement[Montant (€HT)])+SUMIF(Invest[Affectation matrice],$AB$3,Invest[Amortissement HT + intérêts]))*BG46</f>
        <v>0</v>
      </c>
      <c r="G46" s="276">
        <f>(SUMIF(Fonctionnement[Affectation matrice],$AB$3,Fonctionnement[Montant (€HT)])+SUMIF(Invest[Affectation matrice],$AB$3,Invest[Amortissement HT + intérêts]))*BH46</f>
        <v>0</v>
      </c>
      <c r="H46" s="276">
        <f>(SUMIF(Fonctionnement[Affectation matrice],$AB$3,Fonctionnement[Montant (€HT)])+SUMIF(Invest[Affectation matrice],$AB$3,Invest[Amortissement HT + intérêts]))*BI46</f>
        <v>0</v>
      </c>
      <c r="I46" s="276">
        <f>(SUMIF(Fonctionnement[Affectation matrice],$AB$3,Fonctionnement[Montant (€HT)])+SUMIF(Invest[Affectation matrice],$AB$3,Invest[Amortissement HT + intérêts]))*BJ46</f>
        <v>0</v>
      </c>
      <c r="J46" s="276">
        <f>(SUMIF(Fonctionnement[Affectation matrice],$AB$3,Fonctionnement[Montant (€HT)])+SUMIF(Invest[Affectation matrice],$AB$3,Invest[Amortissement HT + intérêts]))*BK46</f>
        <v>0</v>
      </c>
      <c r="K46" s="276">
        <f>(SUMIF(Fonctionnement[Affectation matrice],$AB$3,Fonctionnement[Montant (€HT)])+SUMIF(Invest[Affectation matrice],$AB$3,Invest[Amortissement HT + intérêts]))*BL46</f>
        <v>0</v>
      </c>
      <c r="L46" s="276">
        <f>(SUMIF(Fonctionnement[Affectation matrice],$AB$3,Fonctionnement[Montant (€HT)])+SUMIF(Invest[Affectation matrice],$AB$3,Invest[Amortissement HT + intérêts]))*BM46</f>
        <v>0</v>
      </c>
      <c r="M46" s="276">
        <f>(SUMIF(Fonctionnement[Affectation matrice],$AB$3,Fonctionnement[Montant (€HT)])+SUMIF(Invest[Affectation matrice],$AB$3,Invest[Amortissement HT + intérêts]))*BN46</f>
        <v>0</v>
      </c>
      <c r="N46" s="276">
        <f>(SUMIF(Fonctionnement[Affectation matrice],$AB$3,Fonctionnement[Montant (€HT)])+SUMIF(Invest[Affectation matrice],$AB$3,Invest[Amortissement HT + intérêts]))*BO46</f>
        <v>0</v>
      </c>
      <c r="O46" s="276">
        <f>(SUMIF(Fonctionnement[Affectation matrice],$AB$3,Fonctionnement[Montant (€HT)])+SUMIF(Invest[Affectation matrice],$AB$3,Invest[Amortissement HT + intérêts]))*BP46</f>
        <v>0</v>
      </c>
      <c r="P46" s="276">
        <f>(SUMIF(Fonctionnement[Affectation matrice],$AB$3,Fonctionnement[Montant (€HT)])+SUMIF(Invest[Affectation matrice],$AB$3,Invest[Amortissement HT + intérêts]))*BQ46</f>
        <v>0</v>
      </c>
      <c r="Q46" s="276">
        <f>(SUMIF(Fonctionnement[Affectation matrice],$AB$3,Fonctionnement[Montant (€HT)])+SUMIF(Invest[Affectation matrice],$AB$3,Invest[Amortissement HT + intérêts]))*BR46</f>
        <v>0</v>
      </c>
      <c r="R46" s="276">
        <f>(SUMIF(Fonctionnement[Affectation matrice],$AB$3,Fonctionnement[Montant (€HT)])+SUMIF(Invest[Affectation matrice],$AB$3,Invest[Amortissement HT + intérêts]))*BS46</f>
        <v>0</v>
      </c>
      <c r="S46" s="276">
        <f>(SUMIF(Fonctionnement[Affectation matrice],$AB$3,Fonctionnement[Montant (€HT)])+SUMIF(Invest[Affectation matrice],$AB$3,Invest[Amortissement HT + intérêts]))*BT46</f>
        <v>0</v>
      </c>
      <c r="T46" s="276">
        <f>(SUMIF(Fonctionnement[Affectation matrice],$AB$3,Fonctionnement[Montant (€HT)])+SUMIF(Invest[Affectation matrice],$AB$3,Invest[Amortissement HT + intérêts]))*BU46</f>
        <v>0</v>
      </c>
      <c r="U46" s="276">
        <f>(SUMIF(Fonctionnement[Affectation matrice],$AB$3,Fonctionnement[Montant (€HT)])+SUMIF(Invest[Affectation matrice],$AB$3,Invest[Amortissement HT + intérêts]))*BV46</f>
        <v>0</v>
      </c>
      <c r="V46" s="276">
        <f>(SUMIF(Fonctionnement[Affectation matrice],$AB$3,Fonctionnement[Montant (€HT)])+SUMIF(Invest[Affectation matrice],$AB$3,Invest[Amortissement HT + intérêts]))*BW46</f>
        <v>0</v>
      </c>
      <c r="W46" s="276">
        <f>(SUMIF(Fonctionnement[Affectation matrice],$AB$3,Fonctionnement[Montant (€HT)])+SUMIF(Invest[Affectation matrice],$AB$3,Invest[Amortissement HT + intérêts]))*BX46</f>
        <v>0</v>
      </c>
      <c r="X46" s="276">
        <f>(SUMIF(Fonctionnement[Affectation matrice],$AB$3,Fonctionnement[Montant (€HT)])+SUMIF(Invest[Affectation matrice],$AB$3,Invest[Amortissement HT + intérêts]))*BY46</f>
        <v>0</v>
      </c>
      <c r="Y46" s="276">
        <f>(SUMIF(Fonctionnement[Affectation matrice],$AB$3,Fonctionnement[Montant (€HT)])+SUMIF(Invest[Affectation matrice],$AB$3,Invest[Amortissement HT + intérêts]))*BZ46</f>
        <v>0</v>
      </c>
      <c r="Z46" s="276">
        <f>(SUMIF(Fonctionnement[Affectation matrice],$AB$3,Fonctionnement[Montant (€HT)])+SUMIF(Invest[Affectation matrice],$AB$3,Invest[Amortissement HT + intérêts]))*CA46</f>
        <v>0</v>
      </c>
      <c r="AA46" s="199"/>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283">
        <f t="shared" si="4"/>
        <v>0</v>
      </c>
      <c r="BC46" s="61">
        <f t="shared" si="12"/>
        <v>0</v>
      </c>
      <c r="BD46" s="61">
        <f t="shared" si="12"/>
        <v>0</v>
      </c>
      <c r="BE46" s="61">
        <f t="shared" si="12"/>
        <v>0</v>
      </c>
      <c r="BF46" s="61">
        <f t="shared" si="12"/>
        <v>0</v>
      </c>
      <c r="BG46" s="61">
        <f t="shared" si="12"/>
        <v>0</v>
      </c>
      <c r="BH46" s="61">
        <f t="shared" si="12"/>
        <v>0</v>
      </c>
      <c r="BI46" s="61">
        <f t="shared" si="12"/>
        <v>0</v>
      </c>
      <c r="BJ46" s="61">
        <f t="shared" si="12"/>
        <v>0</v>
      </c>
      <c r="BK46" s="61">
        <f t="shared" si="12"/>
        <v>0</v>
      </c>
      <c r="BL46" s="61">
        <f t="shared" si="12"/>
        <v>0</v>
      </c>
      <c r="BM46" s="61">
        <f t="shared" si="12"/>
        <v>0</v>
      </c>
      <c r="BN46" s="61">
        <f t="shared" si="12"/>
        <v>0</v>
      </c>
      <c r="BO46" s="61">
        <f t="shared" si="12"/>
        <v>0</v>
      </c>
      <c r="BP46" s="61">
        <f t="shared" si="12"/>
        <v>0</v>
      </c>
      <c r="BQ46" s="61">
        <f t="shared" si="12"/>
        <v>0</v>
      </c>
      <c r="BR46" s="61">
        <f t="shared" si="12"/>
        <v>0</v>
      </c>
      <c r="BS46" s="61">
        <f t="shared" si="13"/>
        <v>0</v>
      </c>
      <c r="BT46" s="61">
        <f t="shared" si="13"/>
        <v>0</v>
      </c>
      <c r="BU46" s="61">
        <f t="shared" si="13"/>
        <v>0</v>
      </c>
      <c r="BV46" s="61">
        <f t="shared" si="13"/>
        <v>0</v>
      </c>
      <c r="BW46" s="61">
        <f t="shared" si="13"/>
        <v>0</v>
      </c>
      <c r="BX46" s="61">
        <f t="shared" si="13"/>
        <v>0</v>
      </c>
      <c r="BY46" s="61">
        <f t="shared" si="13"/>
        <v>0</v>
      </c>
      <c r="BZ46" s="61">
        <f t="shared" si="13"/>
        <v>0</v>
      </c>
      <c r="CA46" s="61">
        <f t="shared" si="13"/>
        <v>0</v>
      </c>
      <c r="CB46" s="61">
        <f t="shared" si="5"/>
        <v>0</v>
      </c>
      <c r="CD46" s="200">
        <f>(SUMIF(Fonctionnement[Affectation matrice],$AB$3,Fonctionnement[TVA acquittée])+SUMIF(Invest[Affectation matrice],$AB$3,Invest[TVA acquittée]))*BC46</f>
        <v>0</v>
      </c>
      <c r="CE46" s="200">
        <f>(SUMIF(Fonctionnement[Affectation matrice],$AB$3,Fonctionnement[TVA acquittée])+SUMIF(Invest[Affectation matrice],$AB$3,Invest[TVA acquittée]))*BD46</f>
        <v>0</v>
      </c>
      <c r="CF46" s="200">
        <f>(SUMIF(Fonctionnement[Affectation matrice],$AB$3,Fonctionnement[TVA acquittée])+SUMIF(Invest[Affectation matrice],$AB$3,Invest[TVA acquittée]))*BE46</f>
        <v>0</v>
      </c>
      <c r="CG46" s="200">
        <f>(SUMIF(Fonctionnement[Affectation matrice],$AB$3,Fonctionnement[TVA acquittée])+SUMIF(Invest[Affectation matrice],$AB$3,Invest[TVA acquittée]))*BF46</f>
        <v>0</v>
      </c>
      <c r="CH46" s="200">
        <f>(SUMIF(Fonctionnement[Affectation matrice],$AB$3,Fonctionnement[TVA acquittée])+SUMIF(Invest[Affectation matrice],$AB$3,Invest[TVA acquittée]))*BG46</f>
        <v>0</v>
      </c>
      <c r="CI46" s="200">
        <f>(SUMIF(Fonctionnement[Affectation matrice],$AB$3,Fonctionnement[TVA acquittée])+SUMIF(Invest[Affectation matrice],$AB$3,Invest[TVA acquittée]))*BH46</f>
        <v>0</v>
      </c>
      <c r="CJ46" s="200">
        <f>(SUMIF(Fonctionnement[Affectation matrice],$AB$3,Fonctionnement[TVA acquittée])+SUMIF(Invest[Affectation matrice],$AB$3,Invest[TVA acquittée]))*BI46</f>
        <v>0</v>
      </c>
      <c r="CK46" s="200">
        <f>(SUMIF(Fonctionnement[Affectation matrice],$AB$3,Fonctionnement[TVA acquittée])+SUMIF(Invest[Affectation matrice],$AB$3,Invest[TVA acquittée]))*BJ46</f>
        <v>0</v>
      </c>
      <c r="CL46" s="200">
        <f>(SUMIF(Fonctionnement[Affectation matrice],$AB$3,Fonctionnement[TVA acquittée])+SUMIF(Invest[Affectation matrice],$AB$3,Invest[TVA acquittée]))*BK46</f>
        <v>0</v>
      </c>
      <c r="CM46" s="200">
        <f>(SUMIF(Fonctionnement[Affectation matrice],$AB$3,Fonctionnement[TVA acquittée])+SUMIF(Invest[Affectation matrice],$AB$3,Invest[TVA acquittée]))*BL46</f>
        <v>0</v>
      </c>
      <c r="CN46" s="200">
        <f>(SUMIF(Fonctionnement[Affectation matrice],$AB$3,Fonctionnement[TVA acquittée])+SUMIF(Invest[Affectation matrice],$AB$3,Invest[TVA acquittée]))*BM46</f>
        <v>0</v>
      </c>
      <c r="CO46" s="200">
        <f>(SUMIF(Fonctionnement[Affectation matrice],$AB$3,Fonctionnement[TVA acquittée])+SUMIF(Invest[Affectation matrice],$AB$3,Invest[TVA acquittée]))*BN46</f>
        <v>0</v>
      </c>
      <c r="CP46" s="200">
        <f>(SUMIF(Fonctionnement[Affectation matrice],$AB$3,Fonctionnement[TVA acquittée])+SUMIF(Invest[Affectation matrice],$AB$3,Invest[TVA acquittée]))*BO46</f>
        <v>0</v>
      </c>
      <c r="CQ46" s="200">
        <f>(SUMIF(Fonctionnement[Affectation matrice],$AB$3,Fonctionnement[TVA acquittée])+SUMIF(Invest[Affectation matrice],$AB$3,Invest[TVA acquittée]))*BP46</f>
        <v>0</v>
      </c>
      <c r="CR46" s="200">
        <f>(SUMIF(Fonctionnement[Affectation matrice],$AB$3,Fonctionnement[TVA acquittée])+SUMIF(Invest[Affectation matrice],$AB$3,Invest[TVA acquittée]))*BQ46</f>
        <v>0</v>
      </c>
      <c r="CS46" s="200">
        <f>(SUMIF(Fonctionnement[Affectation matrice],$AB$3,Fonctionnement[TVA acquittée])+SUMIF(Invest[Affectation matrice],$AB$3,Invest[TVA acquittée]))*BR46</f>
        <v>0</v>
      </c>
      <c r="CT46" s="200">
        <f>(SUMIF(Fonctionnement[Affectation matrice],$AB$3,Fonctionnement[TVA acquittée])+SUMIF(Invest[Affectation matrice],$AB$3,Invest[TVA acquittée]))*BS46</f>
        <v>0</v>
      </c>
      <c r="CU46" s="200">
        <f>(SUMIF(Fonctionnement[Affectation matrice],$AB$3,Fonctionnement[TVA acquittée])+SUMIF(Invest[Affectation matrice],$AB$3,Invest[TVA acquittée]))*BT46</f>
        <v>0</v>
      </c>
      <c r="CV46" s="200">
        <f>(SUMIF(Fonctionnement[Affectation matrice],$AB$3,Fonctionnement[TVA acquittée])+SUMIF(Invest[Affectation matrice],$AB$3,Invest[TVA acquittée]))*BU46</f>
        <v>0</v>
      </c>
      <c r="CW46" s="200">
        <f>(SUMIF(Fonctionnement[Affectation matrice],$AB$3,Fonctionnement[TVA acquittée])+SUMIF(Invest[Affectation matrice],$AB$3,Invest[TVA acquittée]))*BV46</f>
        <v>0</v>
      </c>
      <c r="CX46" s="200">
        <f>(SUMIF(Fonctionnement[Affectation matrice],$AB$3,Fonctionnement[TVA acquittée])+SUMIF(Invest[Affectation matrice],$AB$3,Invest[TVA acquittée]))*BW46</f>
        <v>0</v>
      </c>
      <c r="CY46" s="200">
        <f>(SUMIF(Fonctionnement[Affectation matrice],$AB$3,Fonctionnement[TVA acquittée])+SUMIF(Invest[Affectation matrice],$AB$3,Invest[TVA acquittée]))*BX46</f>
        <v>0</v>
      </c>
      <c r="CZ46" s="200">
        <f>(SUMIF(Fonctionnement[Affectation matrice],$AB$3,Fonctionnement[TVA acquittée])+SUMIF(Invest[Affectation matrice],$AB$3,Invest[TVA acquittée]))*BY46</f>
        <v>0</v>
      </c>
      <c r="DA46" s="200">
        <f>(SUMIF(Fonctionnement[Affectation matrice],$AB$3,Fonctionnement[TVA acquittée])+SUMIF(Invest[Affectation matrice],$AB$3,Invest[TVA acquittée]))*BZ46</f>
        <v>0</v>
      </c>
      <c r="DB46" s="200">
        <f>(SUMIF(Fonctionnement[Affectation matrice],$AB$3,Fonctionnement[TVA acquittée])+SUMIF(Invest[Affectation matrice],$AB$3,Invest[TVA acquittée]))*CA46</f>
        <v>0</v>
      </c>
    </row>
    <row r="47" spans="1:106" ht="12.75" hidden="1" customHeight="1" x14ac:dyDescent="0.25">
      <c r="A47" s="42">
        <f>Matrice[[#This Row],[Ligne de la matrice]]</f>
        <v>0</v>
      </c>
      <c r="B47" s="276">
        <f>(SUMIF(Fonctionnement[Affectation matrice],$AB$3,Fonctionnement[Montant (€HT)])+SUMIF(Invest[Affectation matrice],$AB$3,Invest[Amortissement HT + intérêts]))*BC47</f>
        <v>0</v>
      </c>
      <c r="C47" s="276">
        <f>(SUMIF(Fonctionnement[Affectation matrice],$AB$3,Fonctionnement[Montant (€HT)])+SUMIF(Invest[Affectation matrice],$AB$3,Invest[Amortissement HT + intérêts]))*BD47</f>
        <v>0</v>
      </c>
      <c r="D47" s="276">
        <f>(SUMIF(Fonctionnement[Affectation matrice],$AB$3,Fonctionnement[Montant (€HT)])+SUMIF(Invest[Affectation matrice],$AB$3,Invest[Amortissement HT + intérêts]))*BE47</f>
        <v>0</v>
      </c>
      <c r="E47" s="276">
        <f>(SUMIF(Fonctionnement[Affectation matrice],$AB$3,Fonctionnement[Montant (€HT)])+SUMIF(Invest[Affectation matrice],$AB$3,Invest[Amortissement HT + intérêts]))*BF47</f>
        <v>0</v>
      </c>
      <c r="F47" s="276">
        <f>(SUMIF(Fonctionnement[Affectation matrice],$AB$3,Fonctionnement[Montant (€HT)])+SUMIF(Invest[Affectation matrice],$AB$3,Invest[Amortissement HT + intérêts]))*BG47</f>
        <v>0</v>
      </c>
      <c r="G47" s="276">
        <f>(SUMIF(Fonctionnement[Affectation matrice],$AB$3,Fonctionnement[Montant (€HT)])+SUMIF(Invest[Affectation matrice],$AB$3,Invest[Amortissement HT + intérêts]))*BH47</f>
        <v>0</v>
      </c>
      <c r="H47" s="276">
        <f>(SUMIF(Fonctionnement[Affectation matrice],$AB$3,Fonctionnement[Montant (€HT)])+SUMIF(Invest[Affectation matrice],$AB$3,Invest[Amortissement HT + intérêts]))*BI47</f>
        <v>0</v>
      </c>
      <c r="I47" s="276">
        <f>(SUMIF(Fonctionnement[Affectation matrice],$AB$3,Fonctionnement[Montant (€HT)])+SUMIF(Invest[Affectation matrice],$AB$3,Invest[Amortissement HT + intérêts]))*BJ47</f>
        <v>0</v>
      </c>
      <c r="J47" s="276">
        <f>(SUMIF(Fonctionnement[Affectation matrice],$AB$3,Fonctionnement[Montant (€HT)])+SUMIF(Invest[Affectation matrice],$AB$3,Invest[Amortissement HT + intérêts]))*BK47</f>
        <v>0</v>
      </c>
      <c r="K47" s="276">
        <f>(SUMIF(Fonctionnement[Affectation matrice],$AB$3,Fonctionnement[Montant (€HT)])+SUMIF(Invest[Affectation matrice],$AB$3,Invest[Amortissement HT + intérêts]))*BL47</f>
        <v>0</v>
      </c>
      <c r="L47" s="276">
        <f>(SUMIF(Fonctionnement[Affectation matrice],$AB$3,Fonctionnement[Montant (€HT)])+SUMIF(Invest[Affectation matrice],$AB$3,Invest[Amortissement HT + intérêts]))*BM47</f>
        <v>0</v>
      </c>
      <c r="M47" s="276">
        <f>(SUMIF(Fonctionnement[Affectation matrice],$AB$3,Fonctionnement[Montant (€HT)])+SUMIF(Invest[Affectation matrice],$AB$3,Invest[Amortissement HT + intérêts]))*BN47</f>
        <v>0</v>
      </c>
      <c r="N47" s="276">
        <f>(SUMIF(Fonctionnement[Affectation matrice],$AB$3,Fonctionnement[Montant (€HT)])+SUMIF(Invest[Affectation matrice],$AB$3,Invest[Amortissement HT + intérêts]))*BO47</f>
        <v>0</v>
      </c>
      <c r="O47" s="276">
        <f>(SUMIF(Fonctionnement[Affectation matrice],$AB$3,Fonctionnement[Montant (€HT)])+SUMIF(Invest[Affectation matrice],$AB$3,Invest[Amortissement HT + intérêts]))*BP47</f>
        <v>0</v>
      </c>
      <c r="P47" s="276">
        <f>(SUMIF(Fonctionnement[Affectation matrice],$AB$3,Fonctionnement[Montant (€HT)])+SUMIF(Invest[Affectation matrice],$AB$3,Invest[Amortissement HT + intérêts]))*BQ47</f>
        <v>0</v>
      </c>
      <c r="Q47" s="276">
        <f>(SUMIF(Fonctionnement[Affectation matrice],$AB$3,Fonctionnement[Montant (€HT)])+SUMIF(Invest[Affectation matrice],$AB$3,Invest[Amortissement HT + intérêts]))*BR47</f>
        <v>0</v>
      </c>
      <c r="R47" s="276">
        <f>(SUMIF(Fonctionnement[Affectation matrice],$AB$3,Fonctionnement[Montant (€HT)])+SUMIF(Invest[Affectation matrice],$AB$3,Invest[Amortissement HT + intérêts]))*BS47</f>
        <v>0</v>
      </c>
      <c r="S47" s="276">
        <f>(SUMIF(Fonctionnement[Affectation matrice],$AB$3,Fonctionnement[Montant (€HT)])+SUMIF(Invest[Affectation matrice],$AB$3,Invest[Amortissement HT + intérêts]))*BT47</f>
        <v>0</v>
      </c>
      <c r="T47" s="276">
        <f>(SUMIF(Fonctionnement[Affectation matrice],$AB$3,Fonctionnement[Montant (€HT)])+SUMIF(Invest[Affectation matrice],$AB$3,Invest[Amortissement HT + intérêts]))*BU47</f>
        <v>0</v>
      </c>
      <c r="U47" s="276">
        <f>(SUMIF(Fonctionnement[Affectation matrice],$AB$3,Fonctionnement[Montant (€HT)])+SUMIF(Invest[Affectation matrice],$AB$3,Invest[Amortissement HT + intérêts]))*BV47</f>
        <v>0</v>
      </c>
      <c r="V47" s="276">
        <f>(SUMIF(Fonctionnement[Affectation matrice],$AB$3,Fonctionnement[Montant (€HT)])+SUMIF(Invest[Affectation matrice],$AB$3,Invest[Amortissement HT + intérêts]))*BW47</f>
        <v>0</v>
      </c>
      <c r="W47" s="276">
        <f>(SUMIF(Fonctionnement[Affectation matrice],$AB$3,Fonctionnement[Montant (€HT)])+SUMIF(Invest[Affectation matrice],$AB$3,Invest[Amortissement HT + intérêts]))*BX47</f>
        <v>0</v>
      </c>
      <c r="X47" s="276">
        <f>(SUMIF(Fonctionnement[Affectation matrice],$AB$3,Fonctionnement[Montant (€HT)])+SUMIF(Invest[Affectation matrice],$AB$3,Invest[Amortissement HT + intérêts]))*BY47</f>
        <v>0</v>
      </c>
      <c r="Y47" s="276">
        <f>(SUMIF(Fonctionnement[Affectation matrice],$AB$3,Fonctionnement[Montant (€HT)])+SUMIF(Invest[Affectation matrice],$AB$3,Invest[Amortissement HT + intérêts]))*BZ47</f>
        <v>0</v>
      </c>
      <c r="Z47" s="276">
        <f>(SUMIF(Fonctionnement[Affectation matrice],$AB$3,Fonctionnement[Montant (€HT)])+SUMIF(Invest[Affectation matrice],$AB$3,Invest[Amortissement HT + intérêts]))*CA47</f>
        <v>0</v>
      </c>
      <c r="AA47" s="199"/>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283">
        <f t="shared" si="4"/>
        <v>0</v>
      </c>
      <c r="BC47" s="61">
        <f t="shared" si="12"/>
        <v>0</v>
      </c>
      <c r="BD47" s="61">
        <f t="shared" si="12"/>
        <v>0</v>
      </c>
      <c r="BE47" s="61">
        <f t="shared" si="12"/>
        <v>0</v>
      </c>
      <c r="BF47" s="61">
        <f t="shared" si="12"/>
        <v>0</v>
      </c>
      <c r="BG47" s="61">
        <f t="shared" si="12"/>
        <v>0</v>
      </c>
      <c r="BH47" s="61">
        <f t="shared" si="12"/>
        <v>0</v>
      </c>
      <c r="BI47" s="61">
        <f t="shared" si="12"/>
        <v>0</v>
      </c>
      <c r="BJ47" s="61">
        <f t="shared" si="12"/>
        <v>0</v>
      </c>
      <c r="BK47" s="61">
        <f t="shared" si="12"/>
        <v>0</v>
      </c>
      <c r="BL47" s="61">
        <f t="shared" si="12"/>
        <v>0</v>
      </c>
      <c r="BM47" s="61">
        <f t="shared" si="12"/>
        <v>0</v>
      </c>
      <c r="BN47" s="61">
        <f t="shared" si="12"/>
        <v>0</v>
      </c>
      <c r="BO47" s="61">
        <f t="shared" si="12"/>
        <v>0</v>
      </c>
      <c r="BP47" s="61">
        <f t="shared" si="12"/>
        <v>0</v>
      </c>
      <c r="BQ47" s="61">
        <f t="shared" si="12"/>
        <v>0</v>
      </c>
      <c r="BR47" s="61">
        <f t="shared" si="12"/>
        <v>0</v>
      </c>
      <c r="BS47" s="61">
        <f t="shared" si="13"/>
        <v>0</v>
      </c>
      <c r="BT47" s="61">
        <f t="shared" si="13"/>
        <v>0</v>
      </c>
      <c r="BU47" s="61">
        <f t="shared" si="13"/>
        <v>0</v>
      </c>
      <c r="BV47" s="61">
        <f t="shared" si="13"/>
        <v>0</v>
      </c>
      <c r="BW47" s="61">
        <f t="shared" si="13"/>
        <v>0</v>
      </c>
      <c r="BX47" s="61">
        <f t="shared" si="13"/>
        <v>0</v>
      </c>
      <c r="BY47" s="61">
        <f t="shared" si="13"/>
        <v>0</v>
      </c>
      <c r="BZ47" s="61">
        <f t="shared" si="13"/>
        <v>0</v>
      </c>
      <c r="CA47" s="61">
        <f t="shared" si="13"/>
        <v>0</v>
      </c>
      <c r="CB47" s="61">
        <f t="shared" si="5"/>
        <v>0</v>
      </c>
      <c r="CD47" s="200">
        <f>(SUMIF(Fonctionnement[Affectation matrice],$AB$3,Fonctionnement[TVA acquittée])+SUMIF(Invest[Affectation matrice],$AB$3,Invest[TVA acquittée]))*BC47</f>
        <v>0</v>
      </c>
      <c r="CE47" s="200">
        <f>(SUMIF(Fonctionnement[Affectation matrice],$AB$3,Fonctionnement[TVA acquittée])+SUMIF(Invest[Affectation matrice],$AB$3,Invest[TVA acquittée]))*BD47</f>
        <v>0</v>
      </c>
      <c r="CF47" s="200">
        <f>(SUMIF(Fonctionnement[Affectation matrice],$AB$3,Fonctionnement[TVA acquittée])+SUMIF(Invest[Affectation matrice],$AB$3,Invest[TVA acquittée]))*BE47</f>
        <v>0</v>
      </c>
      <c r="CG47" s="200">
        <f>(SUMIF(Fonctionnement[Affectation matrice],$AB$3,Fonctionnement[TVA acquittée])+SUMIF(Invest[Affectation matrice],$AB$3,Invest[TVA acquittée]))*BF47</f>
        <v>0</v>
      </c>
      <c r="CH47" s="200">
        <f>(SUMIF(Fonctionnement[Affectation matrice],$AB$3,Fonctionnement[TVA acquittée])+SUMIF(Invest[Affectation matrice],$AB$3,Invest[TVA acquittée]))*BG47</f>
        <v>0</v>
      </c>
      <c r="CI47" s="200">
        <f>(SUMIF(Fonctionnement[Affectation matrice],$AB$3,Fonctionnement[TVA acquittée])+SUMIF(Invest[Affectation matrice],$AB$3,Invest[TVA acquittée]))*BH47</f>
        <v>0</v>
      </c>
      <c r="CJ47" s="200">
        <f>(SUMIF(Fonctionnement[Affectation matrice],$AB$3,Fonctionnement[TVA acquittée])+SUMIF(Invest[Affectation matrice],$AB$3,Invest[TVA acquittée]))*BI47</f>
        <v>0</v>
      </c>
      <c r="CK47" s="200">
        <f>(SUMIF(Fonctionnement[Affectation matrice],$AB$3,Fonctionnement[TVA acquittée])+SUMIF(Invest[Affectation matrice],$AB$3,Invest[TVA acquittée]))*BJ47</f>
        <v>0</v>
      </c>
      <c r="CL47" s="200">
        <f>(SUMIF(Fonctionnement[Affectation matrice],$AB$3,Fonctionnement[TVA acquittée])+SUMIF(Invest[Affectation matrice],$AB$3,Invest[TVA acquittée]))*BK47</f>
        <v>0</v>
      </c>
      <c r="CM47" s="200">
        <f>(SUMIF(Fonctionnement[Affectation matrice],$AB$3,Fonctionnement[TVA acquittée])+SUMIF(Invest[Affectation matrice],$AB$3,Invest[TVA acquittée]))*BL47</f>
        <v>0</v>
      </c>
      <c r="CN47" s="200">
        <f>(SUMIF(Fonctionnement[Affectation matrice],$AB$3,Fonctionnement[TVA acquittée])+SUMIF(Invest[Affectation matrice],$AB$3,Invest[TVA acquittée]))*BM47</f>
        <v>0</v>
      </c>
      <c r="CO47" s="200">
        <f>(SUMIF(Fonctionnement[Affectation matrice],$AB$3,Fonctionnement[TVA acquittée])+SUMIF(Invest[Affectation matrice],$AB$3,Invest[TVA acquittée]))*BN47</f>
        <v>0</v>
      </c>
      <c r="CP47" s="200">
        <f>(SUMIF(Fonctionnement[Affectation matrice],$AB$3,Fonctionnement[TVA acquittée])+SUMIF(Invest[Affectation matrice],$AB$3,Invest[TVA acquittée]))*BO47</f>
        <v>0</v>
      </c>
      <c r="CQ47" s="200">
        <f>(SUMIF(Fonctionnement[Affectation matrice],$AB$3,Fonctionnement[TVA acquittée])+SUMIF(Invest[Affectation matrice],$AB$3,Invest[TVA acquittée]))*BP47</f>
        <v>0</v>
      </c>
      <c r="CR47" s="200">
        <f>(SUMIF(Fonctionnement[Affectation matrice],$AB$3,Fonctionnement[TVA acquittée])+SUMIF(Invest[Affectation matrice],$AB$3,Invest[TVA acquittée]))*BQ47</f>
        <v>0</v>
      </c>
      <c r="CS47" s="200">
        <f>(SUMIF(Fonctionnement[Affectation matrice],$AB$3,Fonctionnement[TVA acquittée])+SUMIF(Invest[Affectation matrice],$AB$3,Invest[TVA acquittée]))*BR47</f>
        <v>0</v>
      </c>
      <c r="CT47" s="200">
        <f>(SUMIF(Fonctionnement[Affectation matrice],$AB$3,Fonctionnement[TVA acquittée])+SUMIF(Invest[Affectation matrice],$AB$3,Invest[TVA acquittée]))*BS47</f>
        <v>0</v>
      </c>
      <c r="CU47" s="200">
        <f>(SUMIF(Fonctionnement[Affectation matrice],$AB$3,Fonctionnement[TVA acquittée])+SUMIF(Invest[Affectation matrice],$AB$3,Invest[TVA acquittée]))*BT47</f>
        <v>0</v>
      </c>
      <c r="CV47" s="200">
        <f>(SUMIF(Fonctionnement[Affectation matrice],$AB$3,Fonctionnement[TVA acquittée])+SUMIF(Invest[Affectation matrice],$AB$3,Invest[TVA acquittée]))*BU47</f>
        <v>0</v>
      </c>
      <c r="CW47" s="200">
        <f>(SUMIF(Fonctionnement[Affectation matrice],$AB$3,Fonctionnement[TVA acquittée])+SUMIF(Invest[Affectation matrice],$AB$3,Invest[TVA acquittée]))*BV47</f>
        <v>0</v>
      </c>
      <c r="CX47" s="200">
        <f>(SUMIF(Fonctionnement[Affectation matrice],$AB$3,Fonctionnement[TVA acquittée])+SUMIF(Invest[Affectation matrice],$AB$3,Invest[TVA acquittée]))*BW47</f>
        <v>0</v>
      </c>
      <c r="CY47" s="200">
        <f>(SUMIF(Fonctionnement[Affectation matrice],$AB$3,Fonctionnement[TVA acquittée])+SUMIF(Invest[Affectation matrice],$AB$3,Invest[TVA acquittée]))*BX47</f>
        <v>0</v>
      </c>
      <c r="CZ47" s="200">
        <f>(SUMIF(Fonctionnement[Affectation matrice],$AB$3,Fonctionnement[TVA acquittée])+SUMIF(Invest[Affectation matrice],$AB$3,Invest[TVA acquittée]))*BY47</f>
        <v>0</v>
      </c>
      <c r="DA47" s="200">
        <f>(SUMIF(Fonctionnement[Affectation matrice],$AB$3,Fonctionnement[TVA acquittée])+SUMIF(Invest[Affectation matrice],$AB$3,Invest[TVA acquittée]))*BZ47</f>
        <v>0</v>
      </c>
      <c r="DB47" s="200">
        <f>(SUMIF(Fonctionnement[Affectation matrice],$AB$3,Fonctionnement[TVA acquittée])+SUMIF(Invest[Affectation matrice],$AB$3,Invest[TVA acquittée]))*CA47</f>
        <v>0</v>
      </c>
    </row>
    <row r="48" spans="1:106" ht="12.75" hidden="1" customHeight="1" x14ac:dyDescent="0.25">
      <c r="A48" s="42">
        <f>Matrice[[#This Row],[Ligne de la matrice]]</f>
        <v>0</v>
      </c>
      <c r="B48" s="276">
        <f>(SUMIF(Fonctionnement[Affectation matrice],$AB$3,Fonctionnement[Montant (€HT)])+SUMIF(Invest[Affectation matrice],$AB$3,Invest[Amortissement HT + intérêts]))*BC48</f>
        <v>0</v>
      </c>
      <c r="C48" s="276">
        <f>(SUMIF(Fonctionnement[Affectation matrice],$AB$3,Fonctionnement[Montant (€HT)])+SUMIF(Invest[Affectation matrice],$AB$3,Invest[Amortissement HT + intérêts]))*BD48</f>
        <v>0</v>
      </c>
      <c r="D48" s="276">
        <f>(SUMIF(Fonctionnement[Affectation matrice],$AB$3,Fonctionnement[Montant (€HT)])+SUMIF(Invest[Affectation matrice],$AB$3,Invest[Amortissement HT + intérêts]))*BE48</f>
        <v>0</v>
      </c>
      <c r="E48" s="276">
        <f>(SUMIF(Fonctionnement[Affectation matrice],$AB$3,Fonctionnement[Montant (€HT)])+SUMIF(Invest[Affectation matrice],$AB$3,Invest[Amortissement HT + intérêts]))*BF48</f>
        <v>0</v>
      </c>
      <c r="F48" s="276">
        <f>(SUMIF(Fonctionnement[Affectation matrice],$AB$3,Fonctionnement[Montant (€HT)])+SUMIF(Invest[Affectation matrice],$AB$3,Invest[Amortissement HT + intérêts]))*BG48</f>
        <v>0</v>
      </c>
      <c r="G48" s="276">
        <f>(SUMIF(Fonctionnement[Affectation matrice],$AB$3,Fonctionnement[Montant (€HT)])+SUMIF(Invest[Affectation matrice],$AB$3,Invest[Amortissement HT + intérêts]))*BH48</f>
        <v>0</v>
      </c>
      <c r="H48" s="276">
        <f>(SUMIF(Fonctionnement[Affectation matrice],$AB$3,Fonctionnement[Montant (€HT)])+SUMIF(Invest[Affectation matrice],$AB$3,Invest[Amortissement HT + intérêts]))*BI48</f>
        <v>0</v>
      </c>
      <c r="I48" s="276">
        <f>(SUMIF(Fonctionnement[Affectation matrice],$AB$3,Fonctionnement[Montant (€HT)])+SUMIF(Invest[Affectation matrice],$AB$3,Invest[Amortissement HT + intérêts]))*BJ48</f>
        <v>0</v>
      </c>
      <c r="J48" s="276">
        <f>(SUMIF(Fonctionnement[Affectation matrice],$AB$3,Fonctionnement[Montant (€HT)])+SUMIF(Invest[Affectation matrice],$AB$3,Invest[Amortissement HT + intérêts]))*BK48</f>
        <v>0</v>
      </c>
      <c r="K48" s="276">
        <f>(SUMIF(Fonctionnement[Affectation matrice],$AB$3,Fonctionnement[Montant (€HT)])+SUMIF(Invest[Affectation matrice],$AB$3,Invest[Amortissement HT + intérêts]))*BL48</f>
        <v>0</v>
      </c>
      <c r="L48" s="276">
        <f>(SUMIF(Fonctionnement[Affectation matrice],$AB$3,Fonctionnement[Montant (€HT)])+SUMIF(Invest[Affectation matrice],$AB$3,Invest[Amortissement HT + intérêts]))*BM48</f>
        <v>0</v>
      </c>
      <c r="M48" s="276">
        <f>(SUMIF(Fonctionnement[Affectation matrice],$AB$3,Fonctionnement[Montant (€HT)])+SUMIF(Invest[Affectation matrice],$AB$3,Invest[Amortissement HT + intérêts]))*BN48</f>
        <v>0</v>
      </c>
      <c r="N48" s="276">
        <f>(SUMIF(Fonctionnement[Affectation matrice],$AB$3,Fonctionnement[Montant (€HT)])+SUMIF(Invest[Affectation matrice],$AB$3,Invest[Amortissement HT + intérêts]))*BO48</f>
        <v>0</v>
      </c>
      <c r="O48" s="276">
        <f>(SUMIF(Fonctionnement[Affectation matrice],$AB$3,Fonctionnement[Montant (€HT)])+SUMIF(Invest[Affectation matrice],$AB$3,Invest[Amortissement HT + intérêts]))*BP48</f>
        <v>0</v>
      </c>
      <c r="P48" s="276">
        <f>(SUMIF(Fonctionnement[Affectation matrice],$AB$3,Fonctionnement[Montant (€HT)])+SUMIF(Invest[Affectation matrice],$AB$3,Invest[Amortissement HT + intérêts]))*BQ48</f>
        <v>0</v>
      </c>
      <c r="Q48" s="276">
        <f>(SUMIF(Fonctionnement[Affectation matrice],$AB$3,Fonctionnement[Montant (€HT)])+SUMIF(Invest[Affectation matrice],$AB$3,Invest[Amortissement HT + intérêts]))*BR48</f>
        <v>0</v>
      </c>
      <c r="R48" s="276">
        <f>(SUMIF(Fonctionnement[Affectation matrice],$AB$3,Fonctionnement[Montant (€HT)])+SUMIF(Invest[Affectation matrice],$AB$3,Invest[Amortissement HT + intérêts]))*BS48</f>
        <v>0</v>
      </c>
      <c r="S48" s="276">
        <f>(SUMIF(Fonctionnement[Affectation matrice],$AB$3,Fonctionnement[Montant (€HT)])+SUMIF(Invest[Affectation matrice],$AB$3,Invest[Amortissement HT + intérêts]))*BT48</f>
        <v>0</v>
      </c>
      <c r="T48" s="276">
        <f>(SUMIF(Fonctionnement[Affectation matrice],$AB$3,Fonctionnement[Montant (€HT)])+SUMIF(Invest[Affectation matrice],$AB$3,Invest[Amortissement HT + intérêts]))*BU48</f>
        <v>0</v>
      </c>
      <c r="U48" s="276">
        <f>(SUMIF(Fonctionnement[Affectation matrice],$AB$3,Fonctionnement[Montant (€HT)])+SUMIF(Invest[Affectation matrice],$AB$3,Invest[Amortissement HT + intérêts]))*BV48</f>
        <v>0</v>
      </c>
      <c r="V48" s="276">
        <f>(SUMIF(Fonctionnement[Affectation matrice],$AB$3,Fonctionnement[Montant (€HT)])+SUMIF(Invest[Affectation matrice],$AB$3,Invest[Amortissement HT + intérêts]))*BW48</f>
        <v>0</v>
      </c>
      <c r="W48" s="276">
        <f>(SUMIF(Fonctionnement[Affectation matrice],$AB$3,Fonctionnement[Montant (€HT)])+SUMIF(Invest[Affectation matrice],$AB$3,Invest[Amortissement HT + intérêts]))*BX48</f>
        <v>0</v>
      </c>
      <c r="X48" s="276">
        <f>(SUMIF(Fonctionnement[Affectation matrice],$AB$3,Fonctionnement[Montant (€HT)])+SUMIF(Invest[Affectation matrice],$AB$3,Invest[Amortissement HT + intérêts]))*BY48</f>
        <v>0</v>
      </c>
      <c r="Y48" s="276">
        <f>(SUMIF(Fonctionnement[Affectation matrice],$AB$3,Fonctionnement[Montant (€HT)])+SUMIF(Invest[Affectation matrice],$AB$3,Invest[Amortissement HT + intérêts]))*BZ48</f>
        <v>0</v>
      </c>
      <c r="Z48" s="276">
        <f>(SUMIF(Fonctionnement[Affectation matrice],$AB$3,Fonctionnement[Montant (€HT)])+SUMIF(Invest[Affectation matrice],$AB$3,Invest[Amortissement HT + intérêts]))*CA48</f>
        <v>0</v>
      </c>
      <c r="AA48" s="199"/>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283">
        <f t="shared" si="4"/>
        <v>0</v>
      </c>
      <c r="BC48" s="61">
        <f t="shared" si="12"/>
        <v>0</v>
      </c>
      <c r="BD48" s="61">
        <f t="shared" si="12"/>
        <v>0</v>
      </c>
      <c r="BE48" s="61">
        <f t="shared" si="12"/>
        <v>0</v>
      </c>
      <c r="BF48" s="61">
        <f t="shared" si="12"/>
        <v>0</v>
      </c>
      <c r="BG48" s="61">
        <f t="shared" si="12"/>
        <v>0</v>
      </c>
      <c r="BH48" s="61">
        <f t="shared" si="12"/>
        <v>0</v>
      </c>
      <c r="BI48" s="61">
        <f t="shared" si="12"/>
        <v>0</v>
      </c>
      <c r="BJ48" s="61">
        <f t="shared" si="12"/>
        <v>0</v>
      </c>
      <c r="BK48" s="61">
        <f t="shared" si="12"/>
        <v>0</v>
      </c>
      <c r="BL48" s="61">
        <f t="shared" si="12"/>
        <v>0</v>
      </c>
      <c r="BM48" s="61">
        <f t="shared" si="12"/>
        <v>0</v>
      </c>
      <c r="BN48" s="61">
        <f t="shared" si="12"/>
        <v>0</v>
      </c>
      <c r="BO48" s="61">
        <f t="shared" si="12"/>
        <v>0</v>
      </c>
      <c r="BP48" s="61">
        <f t="shared" si="12"/>
        <v>0</v>
      </c>
      <c r="BQ48" s="61">
        <f t="shared" si="12"/>
        <v>0</v>
      </c>
      <c r="BR48" s="61">
        <f t="shared" si="12"/>
        <v>0</v>
      </c>
      <c r="BS48" s="61">
        <f t="shared" si="13"/>
        <v>0</v>
      </c>
      <c r="BT48" s="61">
        <f t="shared" si="13"/>
        <v>0</v>
      </c>
      <c r="BU48" s="61">
        <f t="shared" si="13"/>
        <v>0</v>
      </c>
      <c r="BV48" s="61">
        <f t="shared" si="13"/>
        <v>0</v>
      </c>
      <c r="BW48" s="61">
        <f t="shared" si="13"/>
        <v>0</v>
      </c>
      <c r="BX48" s="61">
        <f t="shared" si="13"/>
        <v>0</v>
      </c>
      <c r="BY48" s="61">
        <f t="shared" si="13"/>
        <v>0</v>
      </c>
      <c r="BZ48" s="61">
        <f t="shared" si="13"/>
        <v>0</v>
      </c>
      <c r="CA48" s="61">
        <f t="shared" si="13"/>
        <v>0</v>
      </c>
      <c r="CB48" s="61">
        <f t="shared" si="5"/>
        <v>0</v>
      </c>
      <c r="CD48" s="200">
        <f>(SUMIF(Fonctionnement[Affectation matrice],$AB$3,Fonctionnement[TVA acquittée])+SUMIF(Invest[Affectation matrice],$AB$3,Invest[TVA acquittée]))*BC48</f>
        <v>0</v>
      </c>
      <c r="CE48" s="200">
        <f>(SUMIF(Fonctionnement[Affectation matrice],$AB$3,Fonctionnement[TVA acquittée])+SUMIF(Invest[Affectation matrice],$AB$3,Invest[TVA acquittée]))*BD48</f>
        <v>0</v>
      </c>
      <c r="CF48" s="200">
        <f>(SUMIF(Fonctionnement[Affectation matrice],$AB$3,Fonctionnement[TVA acquittée])+SUMIF(Invest[Affectation matrice],$AB$3,Invest[TVA acquittée]))*BE48</f>
        <v>0</v>
      </c>
      <c r="CG48" s="200">
        <f>(SUMIF(Fonctionnement[Affectation matrice],$AB$3,Fonctionnement[TVA acquittée])+SUMIF(Invest[Affectation matrice],$AB$3,Invest[TVA acquittée]))*BF48</f>
        <v>0</v>
      </c>
      <c r="CH48" s="200">
        <f>(SUMIF(Fonctionnement[Affectation matrice],$AB$3,Fonctionnement[TVA acquittée])+SUMIF(Invest[Affectation matrice],$AB$3,Invest[TVA acquittée]))*BG48</f>
        <v>0</v>
      </c>
      <c r="CI48" s="200">
        <f>(SUMIF(Fonctionnement[Affectation matrice],$AB$3,Fonctionnement[TVA acquittée])+SUMIF(Invest[Affectation matrice],$AB$3,Invest[TVA acquittée]))*BH48</f>
        <v>0</v>
      </c>
      <c r="CJ48" s="200">
        <f>(SUMIF(Fonctionnement[Affectation matrice],$AB$3,Fonctionnement[TVA acquittée])+SUMIF(Invest[Affectation matrice],$AB$3,Invest[TVA acquittée]))*BI48</f>
        <v>0</v>
      </c>
      <c r="CK48" s="200">
        <f>(SUMIF(Fonctionnement[Affectation matrice],$AB$3,Fonctionnement[TVA acquittée])+SUMIF(Invest[Affectation matrice],$AB$3,Invest[TVA acquittée]))*BJ48</f>
        <v>0</v>
      </c>
      <c r="CL48" s="200">
        <f>(SUMIF(Fonctionnement[Affectation matrice],$AB$3,Fonctionnement[TVA acquittée])+SUMIF(Invest[Affectation matrice],$AB$3,Invest[TVA acquittée]))*BK48</f>
        <v>0</v>
      </c>
      <c r="CM48" s="200">
        <f>(SUMIF(Fonctionnement[Affectation matrice],$AB$3,Fonctionnement[TVA acquittée])+SUMIF(Invest[Affectation matrice],$AB$3,Invest[TVA acquittée]))*BL48</f>
        <v>0</v>
      </c>
      <c r="CN48" s="200">
        <f>(SUMIF(Fonctionnement[Affectation matrice],$AB$3,Fonctionnement[TVA acquittée])+SUMIF(Invest[Affectation matrice],$AB$3,Invest[TVA acquittée]))*BM48</f>
        <v>0</v>
      </c>
      <c r="CO48" s="200">
        <f>(SUMIF(Fonctionnement[Affectation matrice],$AB$3,Fonctionnement[TVA acquittée])+SUMIF(Invest[Affectation matrice],$AB$3,Invest[TVA acquittée]))*BN48</f>
        <v>0</v>
      </c>
      <c r="CP48" s="200">
        <f>(SUMIF(Fonctionnement[Affectation matrice],$AB$3,Fonctionnement[TVA acquittée])+SUMIF(Invest[Affectation matrice],$AB$3,Invest[TVA acquittée]))*BO48</f>
        <v>0</v>
      </c>
      <c r="CQ48" s="200">
        <f>(SUMIF(Fonctionnement[Affectation matrice],$AB$3,Fonctionnement[TVA acquittée])+SUMIF(Invest[Affectation matrice],$AB$3,Invest[TVA acquittée]))*BP48</f>
        <v>0</v>
      </c>
      <c r="CR48" s="200">
        <f>(SUMIF(Fonctionnement[Affectation matrice],$AB$3,Fonctionnement[TVA acquittée])+SUMIF(Invest[Affectation matrice],$AB$3,Invest[TVA acquittée]))*BQ48</f>
        <v>0</v>
      </c>
      <c r="CS48" s="200">
        <f>(SUMIF(Fonctionnement[Affectation matrice],$AB$3,Fonctionnement[TVA acquittée])+SUMIF(Invest[Affectation matrice],$AB$3,Invest[TVA acquittée]))*BR48</f>
        <v>0</v>
      </c>
      <c r="CT48" s="200">
        <f>(SUMIF(Fonctionnement[Affectation matrice],$AB$3,Fonctionnement[TVA acquittée])+SUMIF(Invest[Affectation matrice],$AB$3,Invest[TVA acquittée]))*BS48</f>
        <v>0</v>
      </c>
      <c r="CU48" s="200">
        <f>(SUMIF(Fonctionnement[Affectation matrice],$AB$3,Fonctionnement[TVA acquittée])+SUMIF(Invest[Affectation matrice],$AB$3,Invest[TVA acquittée]))*BT48</f>
        <v>0</v>
      </c>
      <c r="CV48" s="200">
        <f>(SUMIF(Fonctionnement[Affectation matrice],$AB$3,Fonctionnement[TVA acquittée])+SUMIF(Invest[Affectation matrice],$AB$3,Invest[TVA acquittée]))*BU48</f>
        <v>0</v>
      </c>
      <c r="CW48" s="200">
        <f>(SUMIF(Fonctionnement[Affectation matrice],$AB$3,Fonctionnement[TVA acquittée])+SUMIF(Invest[Affectation matrice],$AB$3,Invest[TVA acquittée]))*BV48</f>
        <v>0</v>
      </c>
      <c r="CX48" s="200">
        <f>(SUMIF(Fonctionnement[Affectation matrice],$AB$3,Fonctionnement[TVA acquittée])+SUMIF(Invest[Affectation matrice],$AB$3,Invest[TVA acquittée]))*BW48</f>
        <v>0</v>
      </c>
      <c r="CY48" s="200">
        <f>(SUMIF(Fonctionnement[Affectation matrice],$AB$3,Fonctionnement[TVA acquittée])+SUMIF(Invest[Affectation matrice],$AB$3,Invest[TVA acquittée]))*BX48</f>
        <v>0</v>
      </c>
      <c r="CZ48" s="200">
        <f>(SUMIF(Fonctionnement[Affectation matrice],$AB$3,Fonctionnement[TVA acquittée])+SUMIF(Invest[Affectation matrice],$AB$3,Invest[TVA acquittée]))*BY48</f>
        <v>0</v>
      </c>
      <c r="DA48" s="200">
        <f>(SUMIF(Fonctionnement[Affectation matrice],$AB$3,Fonctionnement[TVA acquittée])+SUMIF(Invest[Affectation matrice],$AB$3,Invest[TVA acquittée]))*BZ48</f>
        <v>0</v>
      </c>
      <c r="DB48" s="200">
        <f>(SUMIF(Fonctionnement[Affectation matrice],$AB$3,Fonctionnement[TVA acquittée])+SUMIF(Invest[Affectation matrice],$AB$3,Invest[TVA acquittée]))*CA48</f>
        <v>0</v>
      </c>
    </row>
    <row r="49" spans="1:107" ht="12.75" hidden="1" customHeight="1" x14ac:dyDescent="0.25">
      <c r="A49" s="42">
        <f>Matrice[[#This Row],[Ligne de la matrice]]</f>
        <v>0</v>
      </c>
      <c r="B49" s="276">
        <f>(SUMIF(Fonctionnement[Affectation matrice],$AB$3,Fonctionnement[Montant (€HT)])+SUMIF(Invest[Affectation matrice],$AB$3,Invest[Amortissement HT + intérêts]))*BC49</f>
        <v>0</v>
      </c>
      <c r="C49" s="276">
        <f>(SUMIF(Fonctionnement[Affectation matrice],$AB$3,Fonctionnement[Montant (€HT)])+SUMIF(Invest[Affectation matrice],$AB$3,Invest[Amortissement HT + intérêts]))*BD49</f>
        <v>0</v>
      </c>
      <c r="D49" s="276">
        <f>(SUMIF(Fonctionnement[Affectation matrice],$AB$3,Fonctionnement[Montant (€HT)])+SUMIF(Invest[Affectation matrice],$AB$3,Invest[Amortissement HT + intérêts]))*BE49</f>
        <v>0</v>
      </c>
      <c r="E49" s="276">
        <f>(SUMIF(Fonctionnement[Affectation matrice],$AB$3,Fonctionnement[Montant (€HT)])+SUMIF(Invest[Affectation matrice],$AB$3,Invest[Amortissement HT + intérêts]))*BF49</f>
        <v>0</v>
      </c>
      <c r="F49" s="276">
        <f>(SUMIF(Fonctionnement[Affectation matrice],$AB$3,Fonctionnement[Montant (€HT)])+SUMIF(Invest[Affectation matrice],$AB$3,Invest[Amortissement HT + intérêts]))*BG49</f>
        <v>0</v>
      </c>
      <c r="G49" s="276">
        <f>(SUMIF(Fonctionnement[Affectation matrice],$AB$3,Fonctionnement[Montant (€HT)])+SUMIF(Invest[Affectation matrice],$AB$3,Invest[Amortissement HT + intérêts]))*BH49</f>
        <v>0</v>
      </c>
      <c r="H49" s="276">
        <f>(SUMIF(Fonctionnement[Affectation matrice],$AB$3,Fonctionnement[Montant (€HT)])+SUMIF(Invest[Affectation matrice],$AB$3,Invest[Amortissement HT + intérêts]))*BI49</f>
        <v>0</v>
      </c>
      <c r="I49" s="276">
        <f>(SUMIF(Fonctionnement[Affectation matrice],$AB$3,Fonctionnement[Montant (€HT)])+SUMIF(Invest[Affectation matrice],$AB$3,Invest[Amortissement HT + intérêts]))*BJ49</f>
        <v>0</v>
      </c>
      <c r="J49" s="276">
        <f>(SUMIF(Fonctionnement[Affectation matrice],$AB$3,Fonctionnement[Montant (€HT)])+SUMIF(Invest[Affectation matrice],$AB$3,Invest[Amortissement HT + intérêts]))*BK49</f>
        <v>0</v>
      </c>
      <c r="K49" s="276">
        <f>(SUMIF(Fonctionnement[Affectation matrice],$AB$3,Fonctionnement[Montant (€HT)])+SUMIF(Invest[Affectation matrice],$AB$3,Invest[Amortissement HT + intérêts]))*BL49</f>
        <v>0</v>
      </c>
      <c r="L49" s="276">
        <f>(SUMIF(Fonctionnement[Affectation matrice],$AB$3,Fonctionnement[Montant (€HT)])+SUMIF(Invest[Affectation matrice],$AB$3,Invest[Amortissement HT + intérêts]))*BM49</f>
        <v>0</v>
      </c>
      <c r="M49" s="276">
        <f>(SUMIF(Fonctionnement[Affectation matrice],$AB$3,Fonctionnement[Montant (€HT)])+SUMIF(Invest[Affectation matrice],$AB$3,Invest[Amortissement HT + intérêts]))*BN49</f>
        <v>0</v>
      </c>
      <c r="N49" s="276">
        <f>(SUMIF(Fonctionnement[Affectation matrice],$AB$3,Fonctionnement[Montant (€HT)])+SUMIF(Invest[Affectation matrice],$AB$3,Invest[Amortissement HT + intérêts]))*BO49</f>
        <v>0</v>
      </c>
      <c r="O49" s="276">
        <f>(SUMIF(Fonctionnement[Affectation matrice],$AB$3,Fonctionnement[Montant (€HT)])+SUMIF(Invest[Affectation matrice],$AB$3,Invest[Amortissement HT + intérêts]))*BP49</f>
        <v>0</v>
      </c>
      <c r="P49" s="276">
        <f>(SUMIF(Fonctionnement[Affectation matrice],$AB$3,Fonctionnement[Montant (€HT)])+SUMIF(Invest[Affectation matrice],$AB$3,Invest[Amortissement HT + intérêts]))*BQ49</f>
        <v>0</v>
      </c>
      <c r="Q49" s="276">
        <f>(SUMIF(Fonctionnement[Affectation matrice],$AB$3,Fonctionnement[Montant (€HT)])+SUMIF(Invest[Affectation matrice],$AB$3,Invest[Amortissement HT + intérêts]))*BR49</f>
        <v>0</v>
      </c>
      <c r="R49" s="276">
        <f>(SUMIF(Fonctionnement[Affectation matrice],$AB$3,Fonctionnement[Montant (€HT)])+SUMIF(Invest[Affectation matrice],$AB$3,Invest[Amortissement HT + intérêts]))*BS49</f>
        <v>0</v>
      </c>
      <c r="S49" s="276">
        <f>(SUMIF(Fonctionnement[Affectation matrice],$AB$3,Fonctionnement[Montant (€HT)])+SUMIF(Invest[Affectation matrice],$AB$3,Invest[Amortissement HT + intérêts]))*BT49</f>
        <v>0</v>
      </c>
      <c r="T49" s="276">
        <f>(SUMIF(Fonctionnement[Affectation matrice],$AB$3,Fonctionnement[Montant (€HT)])+SUMIF(Invest[Affectation matrice],$AB$3,Invest[Amortissement HT + intérêts]))*BU49</f>
        <v>0</v>
      </c>
      <c r="U49" s="276">
        <f>(SUMIF(Fonctionnement[Affectation matrice],$AB$3,Fonctionnement[Montant (€HT)])+SUMIF(Invest[Affectation matrice],$AB$3,Invest[Amortissement HT + intérêts]))*BV49</f>
        <v>0</v>
      </c>
      <c r="V49" s="276">
        <f>(SUMIF(Fonctionnement[Affectation matrice],$AB$3,Fonctionnement[Montant (€HT)])+SUMIF(Invest[Affectation matrice],$AB$3,Invest[Amortissement HT + intérêts]))*BW49</f>
        <v>0</v>
      </c>
      <c r="W49" s="276">
        <f>(SUMIF(Fonctionnement[Affectation matrice],$AB$3,Fonctionnement[Montant (€HT)])+SUMIF(Invest[Affectation matrice],$AB$3,Invest[Amortissement HT + intérêts]))*BX49</f>
        <v>0</v>
      </c>
      <c r="X49" s="276">
        <f>(SUMIF(Fonctionnement[Affectation matrice],$AB$3,Fonctionnement[Montant (€HT)])+SUMIF(Invest[Affectation matrice],$AB$3,Invest[Amortissement HT + intérêts]))*BY49</f>
        <v>0</v>
      </c>
      <c r="Y49" s="276">
        <f>(SUMIF(Fonctionnement[Affectation matrice],$AB$3,Fonctionnement[Montant (€HT)])+SUMIF(Invest[Affectation matrice],$AB$3,Invest[Amortissement HT + intérêts]))*BZ49</f>
        <v>0</v>
      </c>
      <c r="Z49" s="276">
        <f>(SUMIF(Fonctionnement[Affectation matrice],$AB$3,Fonctionnement[Montant (€HT)])+SUMIF(Invest[Affectation matrice],$AB$3,Invest[Amortissement HT + intérêts]))*CA49</f>
        <v>0</v>
      </c>
      <c r="AA49" s="199"/>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283">
        <f t="shared" si="4"/>
        <v>0</v>
      </c>
      <c r="BC49" s="61">
        <f t="shared" si="12"/>
        <v>0</v>
      </c>
      <c r="BD49" s="61">
        <f t="shared" si="12"/>
        <v>0</v>
      </c>
      <c r="BE49" s="61">
        <f t="shared" si="12"/>
        <v>0</v>
      </c>
      <c r="BF49" s="61">
        <f t="shared" si="12"/>
        <v>0</v>
      </c>
      <c r="BG49" s="61">
        <f t="shared" si="12"/>
        <v>0</v>
      </c>
      <c r="BH49" s="61">
        <f t="shared" si="12"/>
        <v>0</v>
      </c>
      <c r="BI49" s="61">
        <f t="shared" si="12"/>
        <v>0</v>
      </c>
      <c r="BJ49" s="61">
        <f t="shared" si="12"/>
        <v>0</v>
      </c>
      <c r="BK49" s="61">
        <f t="shared" si="12"/>
        <v>0</v>
      </c>
      <c r="BL49" s="61">
        <f t="shared" si="12"/>
        <v>0</v>
      </c>
      <c r="BM49" s="61">
        <f t="shared" si="12"/>
        <v>0</v>
      </c>
      <c r="BN49" s="61">
        <f t="shared" si="12"/>
        <v>0</v>
      </c>
      <c r="BO49" s="61">
        <f t="shared" si="12"/>
        <v>0</v>
      </c>
      <c r="BP49" s="61">
        <f t="shared" si="12"/>
        <v>0</v>
      </c>
      <c r="BQ49" s="61">
        <f t="shared" si="12"/>
        <v>0</v>
      </c>
      <c r="BR49" s="61">
        <f t="shared" si="12"/>
        <v>0</v>
      </c>
      <c r="BS49" s="61">
        <f t="shared" si="13"/>
        <v>0</v>
      </c>
      <c r="BT49" s="61">
        <f t="shared" si="13"/>
        <v>0</v>
      </c>
      <c r="BU49" s="61">
        <f t="shared" si="13"/>
        <v>0</v>
      </c>
      <c r="BV49" s="61">
        <f t="shared" si="13"/>
        <v>0</v>
      </c>
      <c r="BW49" s="61">
        <f t="shared" si="13"/>
        <v>0</v>
      </c>
      <c r="BX49" s="61">
        <f t="shared" si="13"/>
        <v>0</v>
      </c>
      <c r="BY49" s="61">
        <f t="shared" si="13"/>
        <v>0</v>
      </c>
      <c r="BZ49" s="61">
        <f t="shared" si="13"/>
        <v>0</v>
      </c>
      <c r="CA49" s="61">
        <f t="shared" si="13"/>
        <v>0</v>
      </c>
      <c r="CB49" s="61">
        <f t="shared" si="5"/>
        <v>0</v>
      </c>
      <c r="CD49" s="200">
        <f>(SUMIF(Fonctionnement[Affectation matrice],$AB$3,Fonctionnement[TVA acquittée])+SUMIF(Invest[Affectation matrice],$AB$3,Invest[TVA acquittée]))*BC49</f>
        <v>0</v>
      </c>
      <c r="CE49" s="200">
        <f>(SUMIF(Fonctionnement[Affectation matrice],$AB$3,Fonctionnement[TVA acquittée])+SUMIF(Invest[Affectation matrice],$AB$3,Invest[TVA acquittée]))*BD49</f>
        <v>0</v>
      </c>
      <c r="CF49" s="200">
        <f>(SUMIF(Fonctionnement[Affectation matrice],$AB$3,Fonctionnement[TVA acquittée])+SUMIF(Invest[Affectation matrice],$AB$3,Invest[TVA acquittée]))*BE49</f>
        <v>0</v>
      </c>
      <c r="CG49" s="200">
        <f>(SUMIF(Fonctionnement[Affectation matrice],$AB$3,Fonctionnement[TVA acquittée])+SUMIF(Invest[Affectation matrice],$AB$3,Invest[TVA acquittée]))*BF49</f>
        <v>0</v>
      </c>
      <c r="CH49" s="200">
        <f>(SUMIF(Fonctionnement[Affectation matrice],$AB$3,Fonctionnement[TVA acquittée])+SUMIF(Invest[Affectation matrice],$AB$3,Invest[TVA acquittée]))*BG49</f>
        <v>0</v>
      </c>
      <c r="CI49" s="200">
        <f>(SUMIF(Fonctionnement[Affectation matrice],$AB$3,Fonctionnement[TVA acquittée])+SUMIF(Invest[Affectation matrice],$AB$3,Invest[TVA acquittée]))*BH49</f>
        <v>0</v>
      </c>
      <c r="CJ49" s="200">
        <f>(SUMIF(Fonctionnement[Affectation matrice],$AB$3,Fonctionnement[TVA acquittée])+SUMIF(Invest[Affectation matrice],$AB$3,Invest[TVA acquittée]))*BI49</f>
        <v>0</v>
      </c>
      <c r="CK49" s="200">
        <f>(SUMIF(Fonctionnement[Affectation matrice],$AB$3,Fonctionnement[TVA acquittée])+SUMIF(Invest[Affectation matrice],$AB$3,Invest[TVA acquittée]))*BJ49</f>
        <v>0</v>
      </c>
      <c r="CL49" s="200">
        <f>(SUMIF(Fonctionnement[Affectation matrice],$AB$3,Fonctionnement[TVA acquittée])+SUMIF(Invest[Affectation matrice],$AB$3,Invest[TVA acquittée]))*BK49</f>
        <v>0</v>
      </c>
      <c r="CM49" s="200">
        <f>(SUMIF(Fonctionnement[Affectation matrice],$AB$3,Fonctionnement[TVA acquittée])+SUMIF(Invest[Affectation matrice],$AB$3,Invest[TVA acquittée]))*BL49</f>
        <v>0</v>
      </c>
      <c r="CN49" s="200">
        <f>(SUMIF(Fonctionnement[Affectation matrice],$AB$3,Fonctionnement[TVA acquittée])+SUMIF(Invest[Affectation matrice],$AB$3,Invest[TVA acquittée]))*BM49</f>
        <v>0</v>
      </c>
      <c r="CO49" s="200">
        <f>(SUMIF(Fonctionnement[Affectation matrice],$AB$3,Fonctionnement[TVA acquittée])+SUMIF(Invest[Affectation matrice],$AB$3,Invest[TVA acquittée]))*BN49</f>
        <v>0</v>
      </c>
      <c r="CP49" s="200">
        <f>(SUMIF(Fonctionnement[Affectation matrice],$AB$3,Fonctionnement[TVA acquittée])+SUMIF(Invest[Affectation matrice],$AB$3,Invest[TVA acquittée]))*BO49</f>
        <v>0</v>
      </c>
      <c r="CQ49" s="200">
        <f>(SUMIF(Fonctionnement[Affectation matrice],$AB$3,Fonctionnement[TVA acquittée])+SUMIF(Invest[Affectation matrice],$AB$3,Invest[TVA acquittée]))*BP49</f>
        <v>0</v>
      </c>
      <c r="CR49" s="200">
        <f>(SUMIF(Fonctionnement[Affectation matrice],$AB$3,Fonctionnement[TVA acquittée])+SUMIF(Invest[Affectation matrice],$AB$3,Invest[TVA acquittée]))*BQ49</f>
        <v>0</v>
      </c>
      <c r="CS49" s="200">
        <f>(SUMIF(Fonctionnement[Affectation matrice],$AB$3,Fonctionnement[TVA acquittée])+SUMIF(Invest[Affectation matrice],$AB$3,Invest[TVA acquittée]))*BR49</f>
        <v>0</v>
      </c>
      <c r="CT49" s="200">
        <f>(SUMIF(Fonctionnement[Affectation matrice],$AB$3,Fonctionnement[TVA acquittée])+SUMIF(Invest[Affectation matrice],$AB$3,Invest[TVA acquittée]))*BS49</f>
        <v>0</v>
      </c>
      <c r="CU49" s="200">
        <f>(SUMIF(Fonctionnement[Affectation matrice],$AB$3,Fonctionnement[TVA acquittée])+SUMIF(Invest[Affectation matrice],$AB$3,Invest[TVA acquittée]))*BT49</f>
        <v>0</v>
      </c>
      <c r="CV49" s="200">
        <f>(SUMIF(Fonctionnement[Affectation matrice],$AB$3,Fonctionnement[TVA acquittée])+SUMIF(Invest[Affectation matrice],$AB$3,Invest[TVA acquittée]))*BU49</f>
        <v>0</v>
      </c>
      <c r="CW49" s="200">
        <f>(SUMIF(Fonctionnement[Affectation matrice],$AB$3,Fonctionnement[TVA acquittée])+SUMIF(Invest[Affectation matrice],$AB$3,Invest[TVA acquittée]))*BV49</f>
        <v>0</v>
      </c>
      <c r="CX49" s="200">
        <f>(SUMIF(Fonctionnement[Affectation matrice],$AB$3,Fonctionnement[TVA acquittée])+SUMIF(Invest[Affectation matrice],$AB$3,Invest[TVA acquittée]))*BW49</f>
        <v>0</v>
      </c>
      <c r="CY49" s="200">
        <f>(SUMIF(Fonctionnement[Affectation matrice],$AB$3,Fonctionnement[TVA acquittée])+SUMIF(Invest[Affectation matrice],$AB$3,Invest[TVA acquittée]))*BX49</f>
        <v>0</v>
      </c>
      <c r="CZ49" s="200">
        <f>(SUMIF(Fonctionnement[Affectation matrice],$AB$3,Fonctionnement[TVA acquittée])+SUMIF(Invest[Affectation matrice],$AB$3,Invest[TVA acquittée]))*BY49</f>
        <v>0</v>
      </c>
      <c r="DA49" s="200">
        <f>(SUMIF(Fonctionnement[Affectation matrice],$AB$3,Fonctionnement[TVA acquittée])+SUMIF(Invest[Affectation matrice],$AB$3,Invest[TVA acquittée]))*BZ49</f>
        <v>0</v>
      </c>
      <c r="DB49" s="200">
        <f>(SUMIF(Fonctionnement[Affectation matrice],$AB$3,Fonctionnement[TVA acquittée])+SUMIF(Invest[Affectation matrice],$AB$3,Invest[TVA acquittée]))*CA49</f>
        <v>0</v>
      </c>
    </row>
    <row r="50" spans="1:107" ht="12.75" hidden="1" customHeight="1" x14ac:dyDescent="0.25">
      <c r="A50" s="42">
        <f>Matrice[[#This Row],[Ligne de la matrice]]</f>
        <v>0</v>
      </c>
      <c r="B50" s="276">
        <f>(SUMIF(Fonctionnement[Affectation matrice],$AB$3,Fonctionnement[Montant (€HT)])+SUMIF(Invest[Affectation matrice],$AB$3,Invest[Amortissement HT + intérêts]))*BC50</f>
        <v>0</v>
      </c>
      <c r="C50" s="276">
        <f>(SUMIF(Fonctionnement[Affectation matrice],$AB$3,Fonctionnement[Montant (€HT)])+SUMIF(Invest[Affectation matrice],$AB$3,Invest[Amortissement HT + intérêts]))*BD50</f>
        <v>0</v>
      </c>
      <c r="D50" s="276">
        <f>(SUMIF(Fonctionnement[Affectation matrice],$AB$3,Fonctionnement[Montant (€HT)])+SUMIF(Invest[Affectation matrice],$AB$3,Invest[Amortissement HT + intérêts]))*BE50</f>
        <v>0</v>
      </c>
      <c r="E50" s="276">
        <f>(SUMIF(Fonctionnement[Affectation matrice],$AB$3,Fonctionnement[Montant (€HT)])+SUMIF(Invest[Affectation matrice],$AB$3,Invest[Amortissement HT + intérêts]))*BF50</f>
        <v>0</v>
      </c>
      <c r="F50" s="276">
        <f>(SUMIF(Fonctionnement[Affectation matrice],$AB$3,Fonctionnement[Montant (€HT)])+SUMIF(Invest[Affectation matrice],$AB$3,Invest[Amortissement HT + intérêts]))*BG50</f>
        <v>0</v>
      </c>
      <c r="G50" s="276">
        <f>(SUMIF(Fonctionnement[Affectation matrice],$AB$3,Fonctionnement[Montant (€HT)])+SUMIF(Invest[Affectation matrice],$AB$3,Invest[Amortissement HT + intérêts]))*BH50</f>
        <v>0</v>
      </c>
      <c r="H50" s="276">
        <f>(SUMIF(Fonctionnement[Affectation matrice],$AB$3,Fonctionnement[Montant (€HT)])+SUMIF(Invest[Affectation matrice],$AB$3,Invest[Amortissement HT + intérêts]))*BI50</f>
        <v>0</v>
      </c>
      <c r="I50" s="276">
        <f>(SUMIF(Fonctionnement[Affectation matrice],$AB$3,Fonctionnement[Montant (€HT)])+SUMIF(Invest[Affectation matrice],$AB$3,Invest[Amortissement HT + intérêts]))*BJ50</f>
        <v>0</v>
      </c>
      <c r="J50" s="276">
        <f>(SUMIF(Fonctionnement[Affectation matrice],$AB$3,Fonctionnement[Montant (€HT)])+SUMIF(Invest[Affectation matrice],$AB$3,Invest[Amortissement HT + intérêts]))*BK50</f>
        <v>0</v>
      </c>
      <c r="K50" s="276">
        <f>(SUMIF(Fonctionnement[Affectation matrice],$AB$3,Fonctionnement[Montant (€HT)])+SUMIF(Invest[Affectation matrice],$AB$3,Invest[Amortissement HT + intérêts]))*BL50</f>
        <v>0</v>
      </c>
      <c r="L50" s="276">
        <f>(SUMIF(Fonctionnement[Affectation matrice],$AB$3,Fonctionnement[Montant (€HT)])+SUMIF(Invest[Affectation matrice],$AB$3,Invest[Amortissement HT + intérêts]))*BM50</f>
        <v>0</v>
      </c>
      <c r="M50" s="276">
        <f>(SUMIF(Fonctionnement[Affectation matrice],$AB$3,Fonctionnement[Montant (€HT)])+SUMIF(Invest[Affectation matrice],$AB$3,Invest[Amortissement HT + intérêts]))*BN50</f>
        <v>0</v>
      </c>
      <c r="N50" s="276">
        <f>(SUMIF(Fonctionnement[Affectation matrice],$AB$3,Fonctionnement[Montant (€HT)])+SUMIF(Invest[Affectation matrice],$AB$3,Invest[Amortissement HT + intérêts]))*BO50</f>
        <v>0</v>
      </c>
      <c r="O50" s="276">
        <f>(SUMIF(Fonctionnement[Affectation matrice],$AB$3,Fonctionnement[Montant (€HT)])+SUMIF(Invest[Affectation matrice],$AB$3,Invest[Amortissement HT + intérêts]))*BP50</f>
        <v>0</v>
      </c>
      <c r="P50" s="276">
        <f>(SUMIF(Fonctionnement[Affectation matrice],$AB$3,Fonctionnement[Montant (€HT)])+SUMIF(Invest[Affectation matrice],$AB$3,Invest[Amortissement HT + intérêts]))*BQ50</f>
        <v>0</v>
      </c>
      <c r="Q50" s="276">
        <f>(SUMIF(Fonctionnement[Affectation matrice],$AB$3,Fonctionnement[Montant (€HT)])+SUMIF(Invest[Affectation matrice],$AB$3,Invest[Amortissement HT + intérêts]))*BR50</f>
        <v>0</v>
      </c>
      <c r="R50" s="276">
        <f>(SUMIF(Fonctionnement[Affectation matrice],$AB$3,Fonctionnement[Montant (€HT)])+SUMIF(Invest[Affectation matrice],$AB$3,Invest[Amortissement HT + intérêts]))*BS50</f>
        <v>0</v>
      </c>
      <c r="S50" s="276">
        <f>(SUMIF(Fonctionnement[Affectation matrice],$AB$3,Fonctionnement[Montant (€HT)])+SUMIF(Invest[Affectation matrice],$AB$3,Invest[Amortissement HT + intérêts]))*BT50</f>
        <v>0</v>
      </c>
      <c r="T50" s="276">
        <f>(SUMIF(Fonctionnement[Affectation matrice],$AB$3,Fonctionnement[Montant (€HT)])+SUMIF(Invest[Affectation matrice],$AB$3,Invest[Amortissement HT + intérêts]))*BU50</f>
        <v>0</v>
      </c>
      <c r="U50" s="276">
        <f>(SUMIF(Fonctionnement[Affectation matrice],$AB$3,Fonctionnement[Montant (€HT)])+SUMIF(Invest[Affectation matrice],$AB$3,Invest[Amortissement HT + intérêts]))*BV50</f>
        <v>0</v>
      </c>
      <c r="V50" s="276">
        <f>(SUMIF(Fonctionnement[Affectation matrice],$AB$3,Fonctionnement[Montant (€HT)])+SUMIF(Invest[Affectation matrice],$AB$3,Invest[Amortissement HT + intérêts]))*BW50</f>
        <v>0</v>
      </c>
      <c r="W50" s="276">
        <f>(SUMIF(Fonctionnement[Affectation matrice],$AB$3,Fonctionnement[Montant (€HT)])+SUMIF(Invest[Affectation matrice],$AB$3,Invest[Amortissement HT + intérêts]))*BX50</f>
        <v>0</v>
      </c>
      <c r="X50" s="276">
        <f>(SUMIF(Fonctionnement[Affectation matrice],$AB$3,Fonctionnement[Montant (€HT)])+SUMIF(Invest[Affectation matrice],$AB$3,Invest[Amortissement HT + intérêts]))*BY50</f>
        <v>0</v>
      </c>
      <c r="Y50" s="276">
        <f>(SUMIF(Fonctionnement[Affectation matrice],$AB$3,Fonctionnement[Montant (€HT)])+SUMIF(Invest[Affectation matrice],$AB$3,Invest[Amortissement HT + intérêts]))*BZ50</f>
        <v>0</v>
      </c>
      <c r="Z50" s="276">
        <f>(SUMIF(Fonctionnement[Affectation matrice],$AB$3,Fonctionnement[Montant (€HT)])+SUMIF(Invest[Affectation matrice],$AB$3,Invest[Amortissement HT + intérêts]))*CA50</f>
        <v>0</v>
      </c>
      <c r="AA50" s="199"/>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283">
        <f t="shared" si="4"/>
        <v>0</v>
      </c>
      <c r="BC50" s="61">
        <f t="shared" si="12"/>
        <v>0</v>
      </c>
      <c r="BD50" s="61">
        <f t="shared" si="12"/>
        <v>0</v>
      </c>
      <c r="BE50" s="61">
        <f t="shared" si="12"/>
        <v>0</v>
      </c>
      <c r="BF50" s="61">
        <f t="shared" si="12"/>
        <v>0</v>
      </c>
      <c r="BG50" s="61">
        <f t="shared" si="12"/>
        <v>0</v>
      </c>
      <c r="BH50" s="61">
        <f t="shared" si="12"/>
        <v>0</v>
      </c>
      <c r="BI50" s="61">
        <f t="shared" si="12"/>
        <v>0</v>
      </c>
      <c r="BJ50" s="61">
        <f t="shared" si="12"/>
        <v>0</v>
      </c>
      <c r="BK50" s="61">
        <f t="shared" si="12"/>
        <v>0</v>
      </c>
      <c r="BL50" s="61">
        <f t="shared" si="12"/>
        <v>0</v>
      </c>
      <c r="BM50" s="61">
        <f t="shared" si="12"/>
        <v>0</v>
      </c>
      <c r="BN50" s="61">
        <f t="shared" si="12"/>
        <v>0</v>
      </c>
      <c r="BO50" s="61">
        <f t="shared" si="12"/>
        <v>0</v>
      </c>
      <c r="BP50" s="61">
        <f t="shared" si="12"/>
        <v>0</v>
      </c>
      <c r="BQ50" s="61">
        <f t="shared" si="12"/>
        <v>0</v>
      </c>
      <c r="BR50" s="61">
        <f t="shared" si="12"/>
        <v>0</v>
      </c>
      <c r="BS50" s="61">
        <f t="shared" si="13"/>
        <v>0</v>
      </c>
      <c r="BT50" s="61">
        <f t="shared" si="13"/>
        <v>0</v>
      </c>
      <c r="BU50" s="61">
        <f t="shared" si="13"/>
        <v>0</v>
      </c>
      <c r="BV50" s="61">
        <f t="shared" si="13"/>
        <v>0</v>
      </c>
      <c r="BW50" s="61">
        <f t="shared" si="13"/>
        <v>0</v>
      </c>
      <c r="BX50" s="61">
        <f t="shared" si="13"/>
        <v>0</v>
      </c>
      <c r="BY50" s="61">
        <f t="shared" si="13"/>
        <v>0</v>
      </c>
      <c r="BZ50" s="61">
        <f t="shared" si="13"/>
        <v>0</v>
      </c>
      <c r="CA50" s="61">
        <f t="shared" si="13"/>
        <v>0</v>
      </c>
      <c r="CB50" s="61">
        <f t="shared" si="5"/>
        <v>0</v>
      </c>
      <c r="CD50" s="200">
        <f>(SUMIF(Fonctionnement[Affectation matrice],$AB$3,Fonctionnement[TVA acquittée])+SUMIF(Invest[Affectation matrice],$AB$3,Invest[TVA acquittée]))*BC50</f>
        <v>0</v>
      </c>
      <c r="CE50" s="200">
        <f>(SUMIF(Fonctionnement[Affectation matrice],$AB$3,Fonctionnement[TVA acquittée])+SUMIF(Invest[Affectation matrice],$AB$3,Invest[TVA acquittée]))*BD50</f>
        <v>0</v>
      </c>
      <c r="CF50" s="200">
        <f>(SUMIF(Fonctionnement[Affectation matrice],$AB$3,Fonctionnement[TVA acquittée])+SUMIF(Invest[Affectation matrice],$AB$3,Invest[TVA acquittée]))*BE50</f>
        <v>0</v>
      </c>
      <c r="CG50" s="200">
        <f>(SUMIF(Fonctionnement[Affectation matrice],$AB$3,Fonctionnement[TVA acquittée])+SUMIF(Invest[Affectation matrice],$AB$3,Invest[TVA acquittée]))*BF50</f>
        <v>0</v>
      </c>
      <c r="CH50" s="200">
        <f>(SUMIF(Fonctionnement[Affectation matrice],$AB$3,Fonctionnement[TVA acquittée])+SUMIF(Invest[Affectation matrice],$AB$3,Invest[TVA acquittée]))*BG50</f>
        <v>0</v>
      </c>
      <c r="CI50" s="200">
        <f>(SUMIF(Fonctionnement[Affectation matrice],$AB$3,Fonctionnement[TVA acquittée])+SUMIF(Invest[Affectation matrice],$AB$3,Invest[TVA acquittée]))*BH50</f>
        <v>0</v>
      </c>
      <c r="CJ50" s="200">
        <f>(SUMIF(Fonctionnement[Affectation matrice],$AB$3,Fonctionnement[TVA acquittée])+SUMIF(Invest[Affectation matrice],$AB$3,Invest[TVA acquittée]))*BI50</f>
        <v>0</v>
      </c>
      <c r="CK50" s="200">
        <f>(SUMIF(Fonctionnement[Affectation matrice],$AB$3,Fonctionnement[TVA acquittée])+SUMIF(Invest[Affectation matrice],$AB$3,Invest[TVA acquittée]))*BJ50</f>
        <v>0</v>
      </c>
      <c r="CL50" s="200">
        <f>(SUMIF(Fonctionnement[Affectation matrice],$AB$3,Fonctionnement[TVA acquittée])+SUMIF(Invest[Affectation matrice],$AB$3,Invest[TVA acquittée]))*BK50</f>
        <v>0</v>
      </c>
      <c r="CM50" s="200">
        <f>(SUMIF(Fonctionnement[Affectation matrice],$AB$3,Fonctionnement[TVA acquittée])+SUMIF(Invest[Affectation matrice],$AB$3,Invest[TVA acquittée]))*BL50</f>
        <v>0</v>
      </c>
      <c r="CN50" s="200">
        <f>(SUMIF(Fonctionnement[Affectation matrice],$AB$3,Fonctionnement[TVA acquittée])+SUMIF(Invest[Affectation matrice],$AB$3,Invest[TVA acquittée]))*BM50</f>
        <v>0</v>
      </c>
      <c r="CO50" s="200">
        <f>(SUMIF(Fonctionnement[Affectation matrice],$AB$3,Fonctionnement[TVA acquittée])+SUMIF(Invest[Affectation matrice],$AB$3,Invest[TVA acquittée]))*BN50</f>
        <v>0</v>
      </c>
      <c r="CP50" s="200">
        <f>(SUMIF(Fonctionnement[Affectation matrice],$AB$3,Fonctionnement[TVA acquittée])+SUMIF(Invest[Affectation matrice],$AB$3,Invest[TVA acquittée]))*BO50</f>
        <v>0</v>
      </c>
      <c r="CQ50" s="200">
        <f>(SUMIF(Fonctionnement[Affectation matrice],$AB$3,Fonctionnement[TVA acquittée])+SUMIF(Invest[Affectation matrice],$AB$3,Invest[TVA acquittée]))*BP50</f>
        <v>0</v>
      </c>
      <c r="CR50" s="200">
        <f>(SUMIF(Fonctionnement[Affectation matrice],$AB$3,Fonctionnement[TVA acquittée])+SUMIF(Invest[Affectation matrice],$AB$3,Invest[TVA acquittée]))*BQ50</f>
        <v>0</v>
      </c>
      <c r="CS50" s="200">
        <f>(SUMIF(Fonctionnement[Affectation matrice],$AB$3,Fonctionnement[TVA acquittée])+SUMIF(Invest[Affectation matrice],$AB$3,Invest[TVA acquittée]))*BR50</f>
        <v>0</v>
      </c>
      <c r="CT50" s="200">
        <f>(SUMIF(Fonctionnement[Affectation matrice],$AB$3,Fonctionnement[TVA acquittée])+SUMIF(Invest[Affectation matrice],$AB$3,Invest[TVA acquittée]))*BS50</f>
        <v>0</v>
      </c>
      <c r="CU50" s="200">
        <f>(SUMIF(Fonctionnement[Affectation matrice],$AB$3,Fonctionnement[TVA acquittée])+SUMIF(Invest[Affectation matrice],$AB$3,Invest[TVA acquittée]))*BT50</f>
        <v>0</v>
      </c>
      <c r="CV50" s="200">
        <f>(SUMIF(Fonctionnement[Affectation matrice],$AB$3,Fonctionnement[TVA acquittée])+SUMIF(Invest[Affectation matrice],$AB$3,Invest[TVA acquittée]))*BU50</f>
        <v>0</v>
      </c>
      <c r="CW50" s="200">
        <f>(SUMIF(Fonctionnement[Affectation matrice],$AB$3,Fonctionnement[TVA acquittée])+SUMIF(Invest[Affectation matrice],$AB$3,Invest[TVA acquittée]))*BV50</f>
        <v>0</v>
      </c>
      <c r="CX50" s="200">
        <f>(SUMIF(Fonctionnement[Affectation matrice],$AB$3,Fonctionnement[TVA acquittée])+SUMIF(Invest[Affectation matrice],$AB$3,Invest[TVA acquittée]))*BW50</f>
        <v>0</v>
      </c>
      <c r="CY50" s="200">
        <f>(SUMIF(Fonctionnement[Affectation matrice],$AB$3,Fonctionnement[TVA acquittée])+SUMIF(Invest[Affectation matrice],$AB$3,Invest[TVA acquittée]))*BX50</f>
        <v>0</v>
      </c>
      <c r="CZ50" s="200">
        <f>(SUMIF(Fonctionnement[Affectation matrice],$AB$3,Fonctionnement[TVA acquittée])+SUMIF(Invest[Affectation matrice],$AB$3,Invest[TVA acquittée]))*BY50</f>
        <v>0</v>
      </c>
      <c r="DA50" s="200">
        <f>(SUMIF(Fonctionnement[Affectation matrice],$AB$3,Fonctionnement[TVA acquittée])+SUMIF(Invest[Affectation matrice],$AB$3,Invest[TVA acquittée]))*BZ50</f>
        <v>0</v>
      </c>
      <c r="DB50" s="200">
        <f>(SUMIF(Fonctionnement[Affectation matrice],$AB$3,Fonctionnement[TVA acquittée])+SUMIF(Invest[Affectation matrice],$AB$3,Invest[TVA acquittée]))*CA50</f>
        <v>0</v>
      </c>
    </row>
    <row r="51" spans="1:107" ht="12.75" hidden="1" customHeight="1" x14ac:dyDescent="0.25">
      <c r="A51" s="42">
        <f>Matrice[[#This Row],[Ligne de la matrice]]</f>
        <v>0</v>
      </c>
      <c r="B51" s="276">
        <f>(SUMIF(Fonctionnement[Affectation matrice],$AB$3,Fonctionnement[Montant (€HT)])+SUMIF(Invest[Affectation matrice],$AB$3,Invest[Amortissement HT + intérêts]))*BC51</f>
        <v>0</v>
      </c>
      <c r="C51" s="276">
        <f>(SUMIF(Fonctionnement[Affectation matrice],$AB$3,Fonctionnement[Montant (€HT)])+SUMIF(Invest[Affectation matrice],$AB$3,Invest[Amortissement HT + intérêts]))*BD51</f>
        <v>0</v>
      </c>
      <c r="D51" s="276">
        <f>(SUMIF(Fonctionnement[Affectation matrice],$AB$3,Fonctionnement[Montant (€HT)])+SUMIF(Invest[Affectation matrice],$AB$3,Invest[Amortissement HT + intérêts]))*BE51</f>
        <v>0</v>
      </c>
      <c r="E51" s="276">
        <f>(SUMIF(Fonctionnement[Affectation matrice],$AB$3,Fonctionnement[Montant (€HT)])+SUMIF(Invest[Affectation matrice],$AB$3,Invest[Amortissement HT + intérêts]))*BF51</f>
        <v>0</v>
      </c>
      <c r="F51" s="276">
        <f>(SUMIF(Fonctionnement[Affectation matrice],$AB$3,Fonctionnement[Montant (€HT)])+SUMIF(Invest[Affectation matrice],$AB$3,Invest[Amortissement HT + intérêts]))*BG51</f>
        <v>0</v>
      </c>
      <c r="G51" s="276">
        <f>(SUMIF(Fonctionnement[Affectation matrice],$AB$3,Fonctionnement[Montant (€HT)])+SUMIF(Invest[Affectation matrice],$AB$3,Invest[Amortissement HT + intérêts]))*BH51</f>
        <v>0</v>
      </c>
      <c r="H51" s="276">
        <f>(SUMIF(Fonctionnement[Affectation matrice],$AB$3,Fonctionnement[Montant (€HT)])+SUMIF(Invest[Affectation matrice],$AB$3,Invest[Amortissement HT + intérêts]))*BI51</f>
        <v>0</v>
      </c>
      <c r="I51" s="276">
        <f>(SUMIF(Fonctionnement[Affectation matrice],$AB$3,Fonctionnement[Montant (€HT)])+SUMIF(Invest[Affectation matrice],$AB$3,Invest[Amortissement HT + intérêts]))*BJ51</f>
        <v>0</v>
      </c>
      <c r="J51" s="276">
        <f>(SUMIF(Fonctionnement[Affectation matrice],$AB$3,Fonctionnement[Montant (€HT)])+SUMIF(Invest[Affectation matrice],$AB$3,Invest[Amortissement HT + intérêts]))*BK51</f>
        <v>0</v>
      </c>
      <c r="K51" s="276">
        <f>(SUMIF(Fonctionnement[Affectation matrice],$AB$3,Fonctionnement[Montant (€HT)])+SUMIF(Invest[Affectation matrice],$AB$3,Invest[Amortissement HT + intérêts]))*BL51</f>
        <v>0</v>
      </c>
      <c r="L51" s="276">
        <f>(SUMIF(Fonctionnement[Affectation matrice],$AB$3,Fonctionnement[Montant (€HT)])+SUMIF(Invest[Affectation matrice],$AB$3,Invest[Amortissement HT + intérêts]))*BM51</f>
        <v>0</v>
      </c>
      <c r="M51" s="276">
        <f>(SUMIF(Fonctionnement[Affectation matrice],$AB$3,Fonctionnement[Montant (€HT)])+SUMIF(Invest[Affectation matrice],$AB$3,Invest[Amortissement HT + intérêts]))*BN51</f>
        <v>0</v>
      </c>
      <c r="N51" s="276">
        <f>(SUMIF(Fonctionnement[Affectation matrice],$AB$3,Fonctionnement[Montant (€HT)])+SUMIF(Invest[Affectation matrice],$AB$3,Invest[Amortissement HT + intérêts]))*BO51</f>
        <v>0</v>
      </c>
      <c r="O51" s="276">
        <f>(SUMIF(Fonctionnement[Affectation matrice],$AB$3,Fonctionnement[Montant (€HT)])+SUMIF(Invest[Affectation matrice],$AB$3,Invest[Amortissement HT + intérêts]))*BP51</f>
        <v>0</v>
      </c>
      <c r="P51" s="276">
        <f>(SUMIF(Fonctionnement[Affectation matrice],$AB$3,Fonctionnement[Montant (€HT)])+SUMIF(Invest[Affectation matrice],$AB$3,Invest[Amortissement HT + intérêts]))*BQ51</f>
        <v>0</v>
      </c>
      <c r="Q51" s="276">
        <f>(SUMIF(Fonctionnement[Affectation matrice],$AB$3,Fonctionnement[Montant (€HT)])+SUMIF(Invest[Affectation matrice],$AB$3,Invest[Amortissement HT + intérêts]))*BR51</f>
        <v>0</v>
      </c>
      <c r="R51" s="276">
        <f>(SUMIF(Fonctionnement[Affectation matrice],$AB$3,Fonctionnement[Montant (€HT)])+SUMIF(Invest[Affectation matrice],$AB$3,Invest[Amortissement HT + intérêts]))*BS51</f>
        <v>0</v>
      </c>
      <c r="S51" s="276">
        <f>(SUMIF(Fonctionnement[Affectation matrice],$AB$3,Fonctionnement[Montant (€HT)])+SUMIF(Invest[Affectation matrice],$AB$3,Invest[Amortissement HT + intérêts]))*BT51</f>
        <v>0</v>
      </c>
      <c r="T51" s="276">
        <f>(SUMIF(Fonctionnement[Affectation matrice],$AB$3,Fonctionnement[Montant (€HT)])+SUMIF(Invest[Affectation matrice],$AB$3,Invest[Amortissement HT + intérêts]))*BU51</f>
        <v>0</v>
      </c>
      <c r="U51" s="276">
        <f>(SUMIF(Fonctionnement[Affectation matrice],$AB$3,Fonctionnement[Montant (€HT)])+SUMIF(Invest[Affectation matrice],$AB$3,Invest[Amortissement HT + intérêts]))*BV51</f>
        <v>0</v>
      </c>
      <c r="V51" s="276">
        <f>(SUMIF(Fonctionnement[Affectation matrice],$AB$3,Fonctionnement[Montant (€HT)])+SUMIF(Invest[Affectation matrice],$AB$3,Invest[Amortissement HT + intérêts]))*BW51</f>
        <v>0</v>
      </c>
      <c r="W51" s="276">
        <f>(SUMIF(Fonctionnement[Affectation matrice],$AB$3,Fonctionnement[Montant (€HT)])+SUMIF(Invest[Affectation matrice],$AB$3,Invest[Amortissement HT + intérêts]))*BX51</f>
        <v>0</v>
      </c>
      <c r="X51" s="276">
        <f>(SUMIF(Fonctionnement[Affectation matrice],$AB$3,Fonctionnement[Montant (€HT)])+SUMIF(Invest[Affectation matrice],$AB$3,Invest[Amortissement HT + intérêts]))*BY51</f>
        <v>0</v>
      </c>
      <c r="Y51" s="276">
        <f>(SUMIF(Fonctionnement[Affectation matrice],$AB$3,Fonctionnement[Montant (€HT)])+SUMIF(Invest[Affectation matrice],$AB$3,Invest[Amortissement HT + intérêts]))*BZ51</f>
        <v>0</v>
      </c>
      <c r="Z51" s="276">
        <f>(SUMIF(Fonctionnement[Affectation matrice],$AB$3,Fonctionnement[Montant (€HT)])+SUMIF(Invest[Affectation matrice],$AB$3,Invest[Amortissement HT + intérêts]))*CA51</f>
        <v>0</v>
      </c>
      <c r="AA51" s="199"/>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283">
        <f t="shared" si="4"/>
        <v>0</v>
      </c>
      <c r="BC51" s="61">
        <f t="shared" si="12"/>
        <v>0</v>
      </c>
      <c r="BD51" s="61">
        <f t="shared" si="12"/>
        <v>0</v>
      </c>
      <c r="BE51" s="61">
        <f t="shared" si="12"/>
        <v>0</v>
      </c>
      <c r="BF51" s="61">
        <f t="shared" si="12"/>
        <v>0</v>
      </c>
      <c r="BG51" s="61">
        <f t="shared" si="12"/>
        <v>0</v>
      </c>
      <c r="BH51" s="61">
        <f t="shared" si="12"/>
        <v>0</v>
      </c>
      <c r="BI51" s="61">
        <f t="shared" si="12"/>
        <v>0</v>
      </c>
      <c r="BJ51" s="61">
        <f t="shared" si="12"/>
        <v>0</v>
      </c>
      <c r="BK51" s="61">
        <f t="shared" si="12"/>
        <v>0</v>
      </c>
      <c r="BL51" s="61">
        <f t="shared" si="12"/>
        <v>0</v>
      </c>
      <c r="BM51" s="61">
        <f t="shared" si="12"/>
        <v>0</v>
      </c>
      <c r="BN51" s="61">
        <f t="shared" si="12"/>
        <v>0</v>
      </c>
      <c r="BO51" s="61">
        <f t="shared" si="12"/>
        <v>0</v>
      </c>
      <c r="BP51" s="61">
        <f t="shared" si="12"/>
        <v>0</v>
      </c>
      <c r="BQ51" s="61">
        <f t="shared" si="12"/>
        <v>0</v>
      </c>
      <c r="BR51" s="61">
        <f t="shared" si="12"/>
        <v>0</v>
      </c>
      <c r="BS51" s="61">
        <f t="shared" si="13"/>
        <v>0</v>
      </c>
      <c r="BT51" s="61">
        <f t="shared" si="13"/>
        <v>0</v>
      </c>
      <c r="BU51" s="61">
        <f t="shared" si="13"/>
        <v>0</v>
      </c>
      <c r="BV51" s="61">
        <f t="shared" si="13"/>
        <v>0</v>
      </c>
      <c r="BW51" s="61">
        <f t="shared" si="13"/>
        <v>0</v>
      </c>
      <c r="BX51" s="61">
        <f t="shared" si="13"/>
        <v>0</v>
      </c>
      <c r="BY51" s="61">
        <f t="shared" si="13"/>
        <v>0</v>
      </c>
      <c r="BZ51" s="61">
        <f t="shared" si="13"/>
        <v>0</v>
      </c>
      <c r="CA51" s="61">
        <f t="shared" si="13"/>
        <v>0</v>
      </c>
      <c r="CB51" s="61">
        <f t="shared" si="5"/>
        <v>0</v>
      </c>
      <c r="CD51" s="200">
        <f>(SUMIF(Fonctionnement[Affectation matrice],$AB$3,Fonctionnement[TVA acquittée])+SUMIF(Invest[Affectation matrice],$AB$3,Invest[TVA acquittée]))*BC51</f>
        <v>0</v>
      </c>
      <c r="CE51" s="200">
        <f>(SUMIF(Fonctionnement[Affectation matrice],$AB$3,Fonctionnement[TVA acquittée])+SUMIF(Invest[Affectation matrice],$AB$3,Invest[TVA acquittée]))*BD51</f>
        <v>0</v>
      </c>
      <c r="CF51" s="200">
        <f>(SUMIF(Fonctionnement[Affectation matrice],$AB$3,Fonctionnement[TVA acquittée])+SUMIF(Invest[Affectation matrice],$AB$3,Invest[TVA acquittée]))*BE51</f>
        <v>0</v>
      </c>
      <c r="CG51" s="200">
        <f>(SUMIF(Fonctionnement[Affectation matrice],$AB$3,Fonctionnement[TVA acquittée])+SUMIF(Invest[Affectation matrice],$AB$3,Invest[TVA acquittée]))*BF51</f>
        <v>0</v>
      </c>
      <c r="CH51" s="200">
        <f>(SUMIF(Fonctionnement[Affectation matrice],$AB$3,Fonctionnement[TVA acquittée])+SUMIF(Invest[Affectation matrice],$AB$3,Invest[TVA acquittée]))*BG51</f>
        <v>0</v>
      </c>
      <c r="CI51" s="200">
        <f>(SUMIF(Fonctionnement[Affectation matrice],$AB$3,Fonctionnement[TVA acquittée])+SUMIF(Invest[Affectation matrice],$AB$3,Invest[TVA acquittée]))*BH51</f>
        <v>0</v>
      </c>
      <c r="CJ51" s="200">
        <f>(SUMIF(Fonctionnement[Affectation matrice],$AB$3,Fonctionnement[TVA acquittée])+SUMIF(Invest[Affectation matrice],$AB$3,Invest[TVA acquittée]))*BI51</f>
        <v>0</v>
      </c>
      <c r="CK51" s="200">
        <f>(SUMIF(Fonctionnement[Affectation matrice],$AB$3,Fonctionnement[TVA acquittée])+SUMIF(Invest[Affectation matrice],$AB$3,Invest[TVA acquittée]))*BJ51</f>
        <v>0</v>
      </c>
      <c r="CL51" s="200">
        <f>(SUMIF(Fonctionnement[Affectation matrice],$AB$3,Fonctionnement[TVA acquittée])+SUMIF(Invest[Affectation matrice],$AB$3,Invest[TVA acquittée]))*BK51</f>
        <v>0</v>
      </c>
      <c r="CM51" s="200">
        <f>(SUMIF(Fonctionnement[Affectation matrice],$AB$3,Fonctionnement[TVA acquittée])+SUMIF(Invest[Affectation matrice],$AB$3,Invest[TVA acquittée]))*BL51</f>
        <v>0</v>
      </c>
      <c r="CN51" s="200">
        <f>(SUMIF(Fonctionnement[Affectation matrice],$AB$3,Fonctionnement[TVA acquittée])+SUMIF(Invest[Affectation matrice],$AB$3,Invest[TVA acquittée]))*BM51</f>
        <v>0</v>
      </c>
      <c r="CO51" s="200">
        <f>(SUMIF(Fonctionnement[Affectation matrice],$AB$3,Fonctionnement[TVA acquittée])+SUMIF(Invest[Affectation matrice],$AB$3,Invest[TVA acquittée]))*BN51</f>
        <v>0</v>
      </c>
      <c r="CP51" s="200">
        <f>(SUMIF(Fonctionnement[Affectation matrice],$AB$3,Fonctionnement[TVA acquittée])+SUMIF(Invest[Affectation matrice],$AB$3,Invest[TVA acquittée]))*BO51</f>
        <v>0</v>
      </c>
      <c r="CQ51" s="200">
        <f>(SUMIF(Fonctionnement[Affectation matrice],$AB$3,Fonctionnement[TVA acquittée])+SUMIF(Invest[Affectation matrice],$AB$3,Invest[TVA acquittée]))*BP51</f>
        <v>0</v>
      </c>
      <c r="CR51" s="200">
        <f>(SUMIF(Fonctionnement[Affectation matrice],$AB$3,Fonctionnement[TVA acquittée])+SUMIF(Invest[Affectation matrice],$AB$3,Invest[TVA acquittée]))*BQ51</f>
        <v>0</v>
      </c>
      <c r="CS51" s="200">
        <f>(SUMIF(Fonctionnement[Affectation matrice],$AB$3,Fonctionnement[TVA acquittée])+SUMIF(Invest[Affectation matrice],$AB$3,Invest[TVA acquittée]))*BR51</f>
        <v>0</v>
      </c>
      <c r="CT51" s="200">
        <f>(SUMIF(Fonctionnement[Affectation matrice],$AB$3,Fonctionnement[TVA acquittée])+SUMIF(Invest[Affectation matrice],$AB$3,Invest[TVA acquittée]))*BS51</f>
        <v>0</v>
      </c>
      <c r="CU51" s="200">
        <f>(SUMIF(Fonctionnement[Affectation matrice],$AB$3,Fonctionnement[TVA acquittée])+SUMIF(Invest[Affectation matrice],$AB$3,Invest[TVA acquittée]))*BT51</f>
        <v>0</v>
      </c>
      <c r="CV51" s="200">
        <f>(SUMIF(Fonctionnement[Affectation matrice],$AB$3,Fonctionnement[TVA acquittée])+SUMIF(Invest[Affectation matrice],$AB$3,Invest[TVA acquittée]))*BU51</f>
        <v>0</v>
      </c>
      <c r="CW51" s="200">
        <f>(SUMIF(Fonctionnement[Affectation matrice],$AB$3,Fonctionnement[TVA acquittée])+SUMIF(Invest[Affectation matrice],$AB$3,Invest[TVA acquittée]))*BV51</f>
        <v>0</v>
      </c>
      <c r="CX51" s="200">
        <f>(SUMIF(Fonctionnement[Affectation matrice],$AB$3,Fonctionnement[TVA acquittée])+SUMIF(Invest[Affectation matrice],$AB$3,Invest[TVA acquittée]))*BW51</f>
        <v>0</v>
      </c>
      <c r="CY51" s="200">
        <f>(SUMIF(Fonctionnement[Affectation matrice],$AB$3,Fonctionnement[TVA acquittée])+SUMIF(Invest[Affectation matrice],$AB$3,Invest[TVA acquittée]))*BX51</f>
        <v>0</v>
      </c>
      <c r="CZ51" s="200">
        <f>(SUMIF(Fonctionnement[Affectation matrice],$AB$3,Fonctionnement[TVA acquittée])+SUMIF(Invest[Affectation matrice],$AB$3,Invest[TVA acquittée]))*BY51</f>
        <v>0</v>
      </c>
      <c r="DA51" s="200">
        <f>(SUMIF(Fonctionnement[Affectation matrice],$AB$3,Fonctionnement[TVA acquittée])+SUMIF(Invest[Affectation matrice],$AB$3,Invest[TVA acquittée]))*BZ51</f>
        <v>0</v>
      </c>
      <c r="DB51" s="200">
        <f>(SUMIF(Fonctionnement[Affectation matrice],$AB$3,Fonctionnement[TVA acquittée])+SUMIF(Invest[Affectation matrice],$AB$3,Invest[TVA acquittée]))*CA51</f>
        <v>0</v>
      </c>
    </row>
    <row r="52" spans="1:107" hidden="1" x14ac:dyDescent="0.25">
      <c r="A52" s="42">
        <f>Matrice[[#This Row],[Ligne de la matrice]]</f>
        <v>0</v>
      </c>
      <c r="B52" s="276">
        <f>(SUMIF(Fonctionnement[Affectation matrice],$AB$3,Fonctionnement[Montant (€HT)])+SUMIF(Invest[Affectation matrice],$AB$3,Invest[Amortissement HT + intérêts]))*BC52</f>
        <v>0</v>
      </c>
      <c r="C52" s="276">
        <f>(SUMIF(Fonctionnement[Affectation matrice],$AB$3,Fonctionnement[Montant (€HT)])+SUMIF(Invest[Affectation matrice],$AB$3,Invest[Amortissement HT + intérêts]))*BD52</f>
        <v>0</v>
      </c>
      <c r="D52" s="276">
        <f>(SUMIF(Fonctionnement[Affectation matrice],$AB$3,Fonctionnement[Montant (€HT)])+SUMIF(Invest[Affectation matrice],$AB$3,Invest[Amortissement HT + intérêts]))*BE52</f>
        <v>0</v>
      </c>
      <c r="E52" s="276">
        <f>(SUMIF(Fonctionnement[Affectation matrice],$AB$3,Fonctionnement[Montant (€HT)])+SUMIF(Invest[Affectation matrice],$AB$3,Invest[Amortissement HT + intérêts]))*BF52</f>
        <v>0</v>
      </c>
      <c r="F52" s="276">
        <f>(SUMIF(Fonctionnement[Affectation matrice],$AB$3,Fonctionnement[Montant (€HT)])+SUMIF(Invest[Affectation matrice],$AB$3,Invest[Amortissement HT + intérêts]))*BG52</f>
        <v>0</v>
      </c>
      <c r="G52" s="276">
        <f>(SUMIF(Fonctionnement[Affectation matrice],$AB$3,Fonctionnement[Montant (€HT)])+SUMIF(Invest[Affectation matrice],$AB$3,Invest[Amortissement HT + intérêts]))*BH52</f>
        <v>0</v>
      </c>
      <c r="H52" s="276">
        <f>(SUMIF(Fonctionnement[Affectation matrice],$AB$3,Fonctionnement[Montant (€HT)])+SUMIF(Invest[Affectation matrice],$AB$3,Invest[Amortissement HT + intérêts]))*BI52</f>
        <v>0</v>
      </c>
      <c r="I52" s="276">
        <f>(SUMIF(Fonctionnement[Affectation matrice],$AB$3,Fonctionnement[Montant (€HT)])+SUMIF(Invest[Affectation matrice],$AB$3,Invest[Amortissement HT + intérêts]))*BJ52</f>
        <v>0</v>
      </c>
      <c r="J52" s="276">
        <f>(SUMIF(Fonctionnement[Affectation matrice],$AB$3,Fonctionnement[Montant (€HT)])+SUMIF(Invest[Affectation matrice],$AB$3,Invest[Amortissement HT + intérêts]))*BK52</f>
        <v>0</v>
      </c>
      <c r="K52" s="276">
        <f>(SUMIF(Fonctionnement[Affectation matrice],$AB$3,Fonctionnement[Montant (€HT)])+SUMIF(Invest[Affectation matrice],$AB$3,Invest[Amortissement HT + intérêts]))*BL52</f>
        <v>0</v>
      </c>
      <c r="L52" s="276">
        <f>(SUMIF(Fonctionnement[Affectation matrice],$AB$3,Fonctionnement[Montant (€HT)])+SUMIF(Invest[Affectation matrice],$AB$3,Invest[Amortissement HT + intérêts]))*BM52</f>
        <v>0</v>
      </c>
      <c r="M52" s="276">
        <f>(SUMIF(Fonctionnement[Affectation matrice],$AB$3,Fonctionnement[Montant (€HT)])+SUMIF(Invest[Affectation matrice],$AB$3,Invest[Amortissement HT + intérêts]))*BN52</f>
        <v>0</v>
      </c>
      <c r="N52" s="276">
        <f>(SUMIF(Fonctionnement[Affectation matrice],$AB$3,Fonctionnement[Montant (€HT)])+SUMIF(Invest[Affectation matrice],$AB$3,Invest[Amortissement HT + intérêts]))*BO52</f>
        <v>0</v>
      </c>
      <c r="O52" s="276">
        <f>(SUMIF(Fonctionnement[Affectation matrice],$AB$3,Fonctionnement[Montant (€HT)])+SUMIF(Invest[Affectation matrice],$AB$3,Invest[Amortissement HT + intérêts]))*BP52</f>
        <v>0</v>
      </c>
      <c r="P52" s="276">
        <f>(SUMIF(Fonctionnement[Affectation matrice],$AB$3,Fonctionnement[Montant (€HT)])+SUMIF(Invest[Affectation matrice],$AB$3,Invest[Amortissement HT + intérêts]))*BQ52</f>
        <v>0</v>
      </c>
      <c r="Q52" s="276">
        <f>(SUMIF(Fonctionnement[Affectation matrice],$AB$3,Fonctionnement[Montant (€HT)])+SUMIF(Invest[Affectation matrice],$AB$3,Invest[Amortissement HT + intérêts]))*BR52</f>
        <v>0</v>
      </c>
      <c r="R52" s="276">
        <f>(SUMIF(Fonctionnement[Affectation matrice],$AB$3,Fonctionnement[Montant (€HT)])+SUMIF(Invest[Affectation matrice],$AB$3,Invest[Amortissement HT + intérêts]))*BS52</f>
        <v>0</v>
      </c>
      <c r="S52" s="276">
        <f>(SUMIF(Fonctionnement[Affectation matrice],$AB$3,Fonctionnement[Montant (€HT)])+SUMIF(Invest[Affectation matrice],$AB$3,Invest[Amortissement HT + intérêts]))*BT52</f>
        <v>0</v>
      </c>
      <c r="T52" s="276">
        <f>(SUMIF(Fonctionnement[Affectation matrice],$AB$3,Fonctionnement[Montant (€HT)])+SUMIF(Invest[Affectation matrice],$AB$3,Invest[Amortissement HT + intérêts]))*BU52</f>
        <v>0</v>
      </c>
      <c r="U52" s="276">
        <f>(SUMIF(Fonctionnement[Affectation matrice],$AB$3,Fonctionnement[Montant (€HT)])+SUMIF(Invest[Affectation matrice],$AB$3,Invest[Amortissement HT + intérêts]))*BV52</f>
        <v>0</v>
      </c>
      <c r="V52" s="276">
        <f>(SUMIF(Fonctionnement[Affectation matrice],$AB$3,Fonctionnement[Montant (€HT)])+SUMIF(Invest[Affectation matrice],$AB$3,Invest[Amortissement HT + intérêts]))*BW52</f>
        <v>0</v>
      </c>
      <c r="W52" s="276">
        <f>(SUMIF(Fonctionnement[Affectation matrice],$AB$3,Fonctionnement[Montant (€HT)])+SUMIF(Invest[Affectation matrice],$AB$3,Invest[Amortissement HT + intérêts]))*BX52</f>
        <v>0</v>
      </c>
      <c r="X52" s="276">
        <f>(SUMIF(Fonctionnement[Affectation matrice],$AB$3,Fonctionnement[Montant (€HT)])+SUMIF(Invest[Affectation matrice],$AB$3,Invest[Amortissement HT + intérêts]))*BY52</f>
        <v>0</v>
      </c>
      <c r="Y52" s="276">
        <f>(SUMIF(Fonctionnement[Affectation matrice],$AB$3,Fonctionnement[Montant (€HT)])+SUMIF(Invest[Affectation matrice],$AB$3,Invest[Amortissement HT + intérêts]))*BZ52</f>
        <v>0</v>
      </c>
      <c r="Z52" s="276">
        <f>(SUMIF(Fonctionnement[Affectation matrice],$AB$3,Fonctionnement[Montant (€HT)])+SUMIF(Invest[Affectation matrice],$AB$3,Invest[Amortissement HT + intérêts]))*CA52</f>
        <v>0</v>
      </c>
      <c r="AA52" s="199"/>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283">
        <f t="shared" si="4"/>
        <v>0</v>
      </c>
      <c r="BC52" s="61">
        <f t="shared" si="12"/>
        <v>0</v>
      </c>
      <c r="BD52" s="61">
        <f t="shared" si="12"/>
        <v>0</v>
      </c>
      <c r="BE52" s="61">
        <f t="shared" si="12"/>
        <v>0</v>
      </c>
      <c r="BF52" s="61">
        <f t="shared" si="12"/>
        <v>0</v>
      </c>
      <c r="BG52" s="61">
        <f t="shared" si="12"/>
        <v>0</v>
      </c>
      <c r="BH52" s="61">
        <f t="shared" si="12"/>
        <v>0</v>
      </c>
      <c r="BI52" s="61">
        <f t="shared" si="12"/>
        <v>0</v>
      </c>
      <c r="BJ52" s="61">
        <f t="shared" si="12"/>
        <v>0</v>
      </c>
      <c r="BK52" s="61">
        <f t="shared" si="12"/>
        <v>0</v>
      </c>
      <c r="BL52" s="61">
        <f t="shared" si="12"/>
        <v>0</v>
      </c>
      <c r="BM52" s="61">
        <f t="shared" si="12"/>
        <v>0</v>
      </c>
      <c r="BN52" s="61">
        <f t="shared" si="12"/>
        <v>0</v>
      </c>
      <c r="BO52" s="61">
        <f t="shared" si="12"/>
        <v>0</v>
      </c>
      <c r="BP52" s="61">
        <f t="shared" si="12"/>
        <v>0</v>
      </c>
      <c r="BQ52" s="61">
        <f t="shared" si="12"/>
        <v>0</v>
      </c>
      <c r="BR52" s="61">
        <f t="shared" si="12"/>
        <v>0</v>
      </c>
      <c r="BS52" s="61">
        <f t="shared" si="13"/>
        <v>0</v>
      </c>
      <c r="BT52" s="61">
        <f t="shared" si="13"/>
        <v>0</v>
      </c>
      <c r="BU52" s="61">
        <f t="shared" si="13"/>
        <v>0</v>
      </c>
      <c r="BV52" s="61">
        <f t="shared" si="13"/>
        <v>0</v>
      </c>
      <c r="BW52" s="61">
        <f t="shared" si="13"/>
        <v>0</v>
      </c>
      <c r="BX52" s="61">
        <f t="shared" si="13"/>
        <v>0</v>
      </c>
      <c r="BY52" s="61">
        <f t="shared" si="13"/>
        <v>0</v>
      </c>
      <c r="BZ52" s="61">
        <f t="shared" si="13"/>
        <v>0</v>
      </c>
      <c r="CA52" s="61">
        <f t="shared" si="13"/>
        <v>0</v>
      </c>
      <c r="CB52" s="61">
        <f t="shared" si="5"/>
        <v>0</v>
      </c>
      <c r="CD52" s="200">
        <f>(SUMIF(Fonctionnement[Affectation matrice],$AB$3,Fonctionnement[TVA acquittée])+SUMIF(Invest[Affectation matrice],$AB$3,Invest[TVA acquittée]))*BC52</f>
        <v>0</v>
      </c>
      <c r="CE52" s="200">
        <f>(SUMIF(Fonctionnement[Affectation matrice],$AB$3,Fonctionnement[TVA acquittée])+SUMIF(Invest[Affectation matrice],$AB$3,Invest[TVA acquittée]))*BD52</f>
        <v>0</v>
      </c>
      <c r="CF52" s="200">
        <f>(SUMIF(Fonctionnement[Affectation matrice],$AB$3,Fonctionnement[TVA acquittée])+SUMIF(Invest[Affectation matrice],$AB$3,Invest[TVA acquittée]))*BE52</f>
        <v>0</v>
      </c>
      <c r="CG52" s="200">
        <f>(SUMIF(Fonctionnement[Affectation matrice],$AB$3,Fonctionnement[TVA acquittée])+SUMIF(Invest[Affectation matrice],$AB$3,Invest[TVA acquittée]))*BF52</f>
        <v>0</v>
      </c>
      <c r="CH52" s="200">
        <f>(SUMIF(Fonctionnement[Affectation matrice],$AB$3,Fonctionnement[TVA acquittée])+SUMIF(Invest[Affectation matrice],$AB$3,Invest[TVA acquittée]))*BG52</f>
        <v>0</v>
      </c>
      <c r="CI52" s="200">
        <f>(SUMIF(Fonctionnement[Affectation matrice],$AB$3,Fonctionnement[TVA acquittée])+SUMIF(Invest[Affectation matrice],$AB$3,Invest[TVA acquittée]))*BH52</f>
        <v>0</v>
      </c>
      <c r="CJ52" s="200">
        <f>(SUMIF(Fonctionnement[Affectation matrice],$AB$3,Fonctionnement[TVA acquittée])+SUMIF(Invest[Affectation matrice],$AB$3,Invest[TVA acquittée]))*BI52</f>
        <v>0</v>
      </c>
      <c r="CK52" s="200">
        <f>(SUMIF(Fonctionnement[Affectation matrice],$AB$3,Fonctionnement[TVA acquittée])+SUMIF(Invest[Affectation matrice],$AB$3,Invest[TVA acquittée]))*BJ52</f>
        <v>0</v>
      </c>
      <c r="CL52" s="200">
        <f>(SUMIF(Fonctionnement[Affectation matrice],$AB$3,Fonctionnement[TVA acquittée])+SUMIF(Invest[Affectation matrice],$AB$3,Invest[TVA acquittée]))*BK52</f>
        <v>0</v>
      </c>
      <c r="CM52" s="200">
        <f>(SUMIF(Fonctionnement[Affectation matrice],$AB$3,Fonctionnement[TVA acquittée])+SUMIF(Invest[Affectation matrice],$AB$3,Invest[TVA acquittée]))*BL52</f>
        <v>0</v>
      </c>
      <c r="CN52" s="200">
        <f>(SUMIF(Fonctionnement[Affectation matrice],$AB$3,Fonctionnement[TVA acquittée])+SUMIF(Invest[Affectation matrice],$AB$3,Invest[TVA acquittée]))*BM52</f>
        <v>0</v>
      </c>
      <c r="CO52" s="200">
        <f>(SUMIF(Fonctionnement[Affectation matrice],$AB$3,Fonctionnement[TVA acquittée])+SUMIF(Invest[Affectation matrice],$AB$3,Invest[TVA acquittée]))*BN52</f>
        <v>0</v>
      </c>
      <c r="CP52" s="200">
        <f>(SUMIF(Fonctionnement[Affectation matrice],$AB$3,Fonctionnement[TVA acquittée])+SUMIF(Invest[Affectation matrice],$AB$3,Invest[TVA acquittée]))*BO52</f>
        <v>0</v>
      </c>
      <c r="CQ52" s="200">
        <f>(SUMIF(Fonctionnement[Affectation matrice],$AB$3,Fonctionnement[TVA acquittée])+SUMIF(Invest[Affectation matrice],$AB$3,Invest[TVA acquittée]))*BP52</f>
        <v>0</v>
      </c>
      <c r="CR52" s="200">
        <f>(SUMIF(Fonctionnement[Affectation matrice],$AB$3,Fonctionnement[TVA acquittée])+SUMIF(Invest[Affectation matrice],$AB$3,Invest[TVA acquittée]))*BQ52</f>
        <v>0</v>
      </c>
      <c r="CS52" s="200">
        <f>(SUMIF(Fonctionnement[Affectation matrice],$AB$3,Fonctionnement[TVA acquittée])+SUMIF(Invest[Affectation matrice],$AB$3,Invest[TVA acquittée]))*BR52</f>
        <v>0</v>
      </c>
      <c r="CT52" s="200">
        <f>(SUMIF(Fonctionnement[Affectation matrice],$AB$3,Fonctionnement[TVA acquittée])+SUMIF(Invest[Affectation matrice],$AB$3,Invest[TVA acquittée]))*BS52</f>
        <v>0</v>
      </c>
      <c r="CU52" s="200">
        <f>(SUMIF(Fonctionnement[Affectation matrice],$AB$3,Fonctionnement[TVA acquittée])+SUMIF(Invest[Affectation matrice],$AB$3,Invest[TVA acquittée]))*BT52</f>
        <v>0</v>
      </c>
      <c r="CV52" s="200">
        <f>(SUMIF(Fonctionnement[Affectation matrice],$AB$3,Fonctionnement[TVA acquittée])+SUMIF(Invest[Affectation matrice],$AB$3,Invest[TVA acquittée]))*BU52</f>
        <v>0</v>
      </c>
      <c r="CW52" s="200">
        <f>(SUMIF(Fonctionnement[Affectation matrice],$AB$3,Fonctionnement[TVA acquittée])+SUMIF(Invest[Affectation matrice],$AB$3,Invest[TVA acquittée]))*BV52</f>
        <v>0</v>
      </c>
      <c r="CX52" s="200">
        <f>(SUMIF(Fonctionnement[Affectation matrice],$AB$3,Fonctionnement[TVA acquittée])+SUMIF(Invest[Affectation matrice],$AB$3,Invest[TVA acquittée]))*BW52</f>
        <v>0</v>
      </c>
      <c r="CY52" s="200">
        <f>(SUMIF(Fonctionnement[Affectation matrice],$AB$3,Fonctionnement[TVA acquittée])+SUMIF(Invest[Affectation matrice],$AB$3,Invest[TVA acquittée]))*BX52</f>
        <v>0</v>
      </c>
      <c r="CZ52" s="200">
        <f>(SUMIF(Fonctionnement[Affectation matrice],$AB$3,Fonctionnement[TVA acquittée])+SUMIF(Invest[Affectation matrice],$AB$3,Invest[TVA acquittée]))*BY52</f>
        <v>0</v>
      </c>
      <c r="DA52" s="200">
        <f>(SUMIF(Fonctionnement[Affectation matrice],$AB$3,Fonctionnement[TVA acquittée])+SUMIF(Invest[Affectation matrice],$AB$3,Invest[TVA acquittée]))*BZ52</f>
        <v>0</v>
      </c>
      <c r="DB52" s="200">
        <f>(SUMIF(Fonctionnement[Affectation matrice],$AB$3,Fonctionnement[TVA acquittée])+SUMIF(Invest[Affectation matrice],$AB$3,Invest[TVA acquittée]))*CA52</f>
        <v>0</v>
      </c>
    </row>
    <row r="53" spans="1:107" x14ac:dyDescent="0.25">
      <c r="A53" s="206" t="s">
        <v>1101</v>
      </c>
      <c r="B53" s="279">
        <f>SUM(B5:B52)</f>
        <v>0</v>
      </c>
      <c r="C53" s="279">
        <f t="shared" ref="C53:Z53" si="14">SUM(C5:C52)</f>
        <v>0</v>
      </c>
      <c r="D53" s="279">
        <f t="shared" si="14"/>
        <v>0</v>
      </c>
      <c r="E53" s="279">
        <f t="shared" si="14"/>
        <v>0</v>
      </c>
      <c r="F53" s="279">
        <f t="shared" si="14"/>
        <v>0</v>
      </c>
      <c r="G53" s="279">
        <f t="shared" si="14"/>
        <v>0</v>
      </c>
      <c r="H53" s="279">
        <f t="shared" si="14"/>
        <v>0</v>
      </c>
      <c r="I53" s="279">
        <f t="shared" si="14"/>
        <v>0</v>
      </c>
      <c r="J53" s="279">
        <f t="shared" si="14"/>
        <v>0</v>
      </c>
      <c r="K53" s="279">
        <f t="shared" si="14"/>
        <v>0</v>
      </c>
      <c r="L53" s="279">
        <f t="shared" si="14"/>
        <v>0</v>
      </c>
      <c r="M53" s="279">
        <f t="shared" si="14"/>
        <v>0</v>
      </c>
      <c r="N53" s="279">
        <f t="shared" si="14"/>
        <v>0</v>
      </c>
      <c r="O53" s="279">
        <f t="shared" si="14"/>
        <v>0</v>
      </c>
      <c r="P53" s="279">
        <f t="shared" si="14"/>
        <v>0</v>
      </c>
      <c r="Q53" s="279">
        <f t="shared" si="14"/>
        <v>0</v>
      </c>
      <c r="R53" s="279">
        <f t="shared" si="14"/>
        <v>0</v>
      </c>
      <c r="S53" s="279">
        <f t="shared" si="14"/>
        <v>0</v>
      </c>
      <c r="T53" s="279">
        <f t="shared" si="14"/>
        <v>0</v>
      </c>
      <c r="U53" s="279">
        <f t="shared" si="14"/>
        <v>0</v>
      </c>
      <c r="V53" s="279">
        <f t="shared" si="14"/>
        <v>0</v>
      </c>
      <c r="W53" s="279">
        <f t="shared" si="14"/>
        <v>0</v>
      </c>
      <c r="X53" s="279">
        <f t="shared" si="14"/>
        <v>0</v>
      </c>
      <c r="Y53" s="279">
        <f t="shared" si="14"/>
        <v>0</v>
      </c>
      <c r="Z53" s="279">
        <f t="shared" si="14"/>
        <v>0</v>
      </c>
      <c r="AA53" s="199"/>
      <c r="AB53" s="61">
        <f>SUM(AB5:AB52)</f>
        <v>0</v>
      </c>
      <c r="AC53" s="61">
        <f t="shared" ref="AC53:BA53" si="15">SUM(AC5:AC52)</f>
        <v>0</v>
      </c>
      <c r="AD53" s="61">
        <f t="shared" si="15"/>
        <v>0</v>
      </c>
      <c r="AE53" s="61">
        <f t="shared" si="15"/>
        <v>0</v>
      </c>
      <c r="AF53" s="61">
        <f t="shared" si="15"/>
        <v>0</v>
      </c>
      <c r="AG53" s="61">
        <f t="shared" si="15"/>
        <v>0</v>
      </c>
      <c r="AH53" s="61">
        <f t="shared" si="15"/>
        <v>0</v>
      </c>
      <c r="AI53" s="61">
        <f t="shared" si="15"/>
        <v>0</v>
      </c>
      <c r="AJ53" s="61">
        <f t="shared" si="15"/>
        <v>0</v>
      </c>
      <c r="AK53" s="61">
        <f t="shared" si="15"/>
        <v>0</v>
      </c>
      <c r="AL53" s="61">
        <f t="shared" si="15"/>
        <v>0</v>
      </c>
      <c r="AM53" s="61">
        <f t="shared" si="15"/>
        <v>0</v>
      </c>
      <c r="AN53" s="61">
        <f t="shared" si="15"/>
        <v>0</v>
      </c>
      <c r="AO53" s="61">
        <f t="shared" si="15"/>
        <v>0</v>
      </c>
      <c r="AP53" s="61">
        <f t="shared" si="15"/>
        <v>0</v>
      </c>
      <c r="AQ53" s="61">
        <f t="shared" si="15"/>
        <v>0</v>
      </c>
      <c r="AR53" s="61">
        <f t="shared" si="15"/>
        <v>0</v>
      </c>
      <c r="AS53" s="61">
        <f t="shared" si="15"/>
        <v>0</v>
      </c>
      <c r="AT53" s="61">
        <f t="shared" si="15"/>
        <v>0</v>
      </c>
      <c r="AU53" s="61">
        <f t="shared" si="15"/>
        <v>0</v>
      </c>
      <c r="AV53" s="61">
        <f t="shared" si="15"/>
        <v>0</v>
      </c>
      <c r="AW53" s="61">
        <f t="shared" si="15"/>
        <v>0</v>
      </c>
      <c r="AX53" s="61">
        <f t="shared" si="15"/>
        <v>0</v>
      </c>
      <c r="AY53" s="61">
        <f t="shared" si="15"/>
        <v>0</v>
      </c>
      <c r="AZ53" s="61">
        <f t="shared" si="15"/>
        <v>0</v>
      </c>
      <c r="BA53" s="61">
        <f t="shared" si="15"/>
        <v>0</v>
      </c>
      <c r="BC53" s="61">
        <f t="shared" ref="BC53:CB53" si="16">SUM(BC5:BC52)</f>
        <v>0</v>
      </c>
      <c r="BD53" s="61">
        <f t="shared" si="16"/>
        <v>0</v>
      </c>
      <c r="BE53" s="61">
        <f t="shared" si="16"/>
        <v>0</v>
      </c>
      <c r="BF53" s="61">
        <f t="shared" si="16"/>
        <v>0</v>
      </c>
      <c r="BG53" s="61">
        <f t="shared" si="16"/>
        <v>0</v>
      </c>
      <c r="BH53" s="61">
        <f t="shared" si="16"/>
        <v>0</v>
      </c>
      <c r="BI53" s="61">
        <f t="shared" si="16"/>
        <v>0</v>
      </c>
      <c r="BJ53" s="61">
        <f t="shared" si="16"/>
        <v>0</v>
      </c>
      <c r="BK53" s="61">
        <f t="shared" si="16"/>
        <v>0</v>
      </c>
      <c r="BL53" s="61">
        <f t="shared" si="16"/>
        <v>0</v>
      </c>
      <c r="BM53" s="61">
        <f t="shared" si="16"/>
        <v>0</v>
      </c>
      <c r="BN53" s="61">
        <f t="shared" si="16"/>
        <v>0</v>
      </c>
      <c r="BO53" s="61">
        <f t="shared" si="16"/>
        <v>0</v>
      </c>
      <c r="BP53" s="61">
        <f t="shared" si="16"/>
        <v>0</v>
      </c>
      <c r="BQ53" s="61">
        <f t="shared" si="16"/>
        <v>0</v>
      </c>
      <c r="BR53" s="61">
        <f t="shared" si="16"/>
        <v>0</v>
      </c>
      <c r="BS53" s="61">
        <f t="shared" si="16"/>
        <v>0</v>
      </c>
      <c r="BT53" s="61">
        <f t="shared" si="16"/>
        <v>0</v>
      </c>
      <c r="BU53" s="61">
        <f t="shared" si="16"/>
        <v>0</v>
      </c>
      <c r="BV53" s="61">
        <f t="shared" si="16"/>
        <v>0</v>
      </c>
      <c r="BW53" s="61">
        <f t="shared" si="16"/>
        <v>0</v>
      </c>
      <c r="BX53" s="61">
        <f t="shared" si="16"/>
        <v>0</v>
      </c>
      <c r="BY53" s="61">
        <f t="shared" si="16"/>
        <v>0</v>
      </c>
      <c r="BZ53" s="61">
        <f t="shared" si="16"/>
        <v>0</v>
      </c>
      <c r="CA53" s="61">
        <f t="shared" si="16"/>
        <v>0</v>
      </c>
      <c r="CB53" s="207">
        <f t="shared" si="16"/>
        <v>0</v>
      </c>
      <c r="CD53" s="208">
        <f>(SUMIF(Fonctionnement[Affectation matrice],$AB$3,Fonctionnement[TVA acquittée])+SUMIF(Invest[Affectation matrice],$AB$3,Invest[TVA acquittée]))*BC53</f>
        <v>0</v>
      </c>
      <c r="CE53" s="208">
        <f>(SUMIF(Fonctionnement[Affectation matrice],$AB$3,Fonctionnement[TVA acquittée])+SUMIF(Invest[Affectation matrice],$AB$3,Invest[TVA acquittée]))*BD53</f>
        <v>0</v>
      </c>
      <c r="CF53" s="208">
        <f>(SUMIF(Fonctionnement[Affectation matrice],$AB$3,Fonctionnement[TVA acquittée])+SUMIF(Invest[Affectation matrice],$AB$3,Invest[TVA acquittée]))*BE53</f>
        <v>0</v>
      </c>
      <c r="CG53" s="208">
        <f>(SUMIF(Fonctionnement[Affectation matrice],$AB$3,Fonctionnement[TVA acquittée])+SUMIF(Invest[Affectation matrice],$AB$3,Invest[TVA acquittée]))*BF53</f>
        <v>0</v>
      </c>
      <c r="CH53" s="208">
        <f>(SUMIF(Fonctionnement[Affectation matrice],$AB$3,Fonctionnement[TVA acquittée])+SUMIF(Invest[Affectation matrice],$AB$3,Invest[TVA acquittée]))*BG53</f>
        <v>0</v>
      </c>
      <c r="CI53" s="208">
        <f>(SUMIF(Fonctionnement[Affectation matrice],$AB$3,Fonctionnement[TVA acquittée])+SUMIF(Invest[Affectation matrice],$AB$3,Invest[TVA acquittée]))*BH53</f>
        <v>0</v>
      </c>
      <c r="CJ53" s="208">
        <f>(SUMIF(Fonctionnement[Affectation matrice],$AB$3,Fonctionnement[TVA acquittée])+SUMIF(Invest[Affectation matrice],$AB$3,Invest[TVA acquittée]))*BI53</f>
        <v>0</v>
      </c>
      <c r="CK53" s="208">
        <f>(SUMIF(Fonctionnement[Affectation matrice],$AB$3,Fonctionnement[TVA acquittée])+SUMIF(Invest[Affectation matrice],$AB$3,Invest[TVA acquittée]))*BJ53</f>
        <v>0</v>
      </c>
      <c r="CL53" s="208">
        <f>(SUMIF(Fonctionnement[Affectation matrice],$AB$3,Fonctionnement[TVA acquittée])+SUMIF(Invest[Affectation matrice],$AB$3,Invest[TVA acquittée]))*BK53</f>
        <v>0</v>
      </c>
      <c r="CM53" s="208">
        <f>(SUMIF(Fonctionnement[Affectation matrice],$AB$3,Fonctionnement[TVA acquittée])+SUMIF(Invest[Affectation matrice],$AB$3,Invest[TVA acquittée]))*BL53</f>
        <v>0</v>
      </c>
      <c r="CN53" s="208">
        <f>(SUMIF(Fonctionnement[Affectation matrice],$AB$3,Fonctionnement[TVA acquittée])+SUMIF(Invest[Affectation matrice],$AB$3,Invest[TVA acquittée]))*BM53</f>
        <v>0</v>
      </c>
      <c r="CO53" s="208">
        <f>(SUMIF(Fonctionnement[Affectation matrice],$AB$3,Fonctionnement[TVA acquittée])+SUMIF(Invest[Affectation matrice],$AB$3,Invest[TVA acquittée]))*BN53</f>
        <v>0</v>
      </c>
      <c r="CP53" s="208">
        <f>(SUMIF(Fonctionnement[Affectation matrice],$AB$3,Fonctionnement[TVA acquittée])+SUMIF(Invest[Affectation matrice],$AB$3,Invest[TVA acquittée]))*BO53</f>
        <v>0</v>
      </c>
      <c r="CQ53" s="208">
        <f>(SUMIF(Fonctionnement[Affectation matrice],$AB$3,Fonctionnement[TVA acquittée])+SUMIF(Invest[Affectation matrice],$AB$3,Invest[TVA acquittée]))*BP53</f>
        <v>0</v>
      </c>
      <c r="CR53" s="208">
        <f>(SUMIF(Fonctionnement[Affectation matrice],$AB$3,Fonctionnement[TVA acquittée])+SUMIF(Invest[Affectation matrice],$AB$3,Invest[TVA acquittée]))*BQ53</f>
        <v>0</v>
      </c>
      <c r="CS53" s="208">
        <f>(SUMIF(Fonctionnement[Affectation matrice],$AB$3,Fonctionnement[TVA acquittée])+SUMIF(Invest[Affectation matrice],$AB$3,Invest[TVA acquittée]))*BR53</f>
        <v>0</v>
      </c>
      <c r="CT53" s="208">
        <f>(SUMIF(Fonctionnement[Affectation matrice],$AB$3,Fonctionnement[TVA acquittée])+SUMIF(Invest[Affectation matrice],$AB$3,Invest[TVA acquittée]))*BS53</f>
        <v>0</v>
      </c>
      <c r="CU53" s="208">
        <f>(SUMIF(Fonctionnement[Affectation matrice],$AB$3,Fonctionnement[TVA acquittée])+SUMIF(Invest[Affectation matrice],$AB$3,Invest[TVA acquittée]))*BT53</f>
        <v>0</v>
      </c>
      <c r="CV53" s="208">
        <f>(SUMIF(Fonctionnement[Affectation matrice],$AB$3,Fonctionnement[TVA acquittée])+SUMIF(Invest[Affectation matrice],$AB$3,Invest[TVA acquittée]))*BU53</f>
        <v>0</v>
      </c>
      <c r="CW53" s="208">
        <f>(SUMIF(Fonctionnement[Affectation matrice],$AB$3,Fonctionnement[TVA acquittée])+SUMIF(Invest[Affectation matrice],$AB$3,Invest[TVA acquittée]))*BV53</f>
        <v>0</v>
      </c>
      <c r="CX53" s="208">
        <f>(SUMIF(Fonctionnement[Affectation matrice],$AB$3,Fonctionnement[TVA acquittée])+SUMIF(Invest[Affectation matrice],$AB$3,Invest[TVA acquittée]))*BW53</f>
        <v>0</v>
      </c>
      <c r="CY53" s="208">
        <f>(SUMIF(Fonctionnement[Affectation matrice],$AB$3,Fonctionnement[TVA acquittée])+SUMIF(Invest[Affectation matrice],$AB$3,Invest[TVA acquittée]))*BX53</f>
        <v>0</v>
      </c>
      <c r="CZ53" s="208">
        <f>(SUMIF(Fonctionnement[Affectation matrice],$AB$3,Fonctionnement[TVA acquittée])+SUMIF(Invest[Affectation matrice],$AB$3,Invest[TVA acquittée]))*BY53</f>
        <v>0</v>
      </c>
      <c r="DA53" s="208">
        <f>(SUMIF(Fonctionnement[Affectation matrice],$AB$3,Fonctionnement[TVA acquittée])+SUMIF(Invest[Affectation matrice],$AB$3,Invest[TVA acquittée]))*BZ53</f>
        <v>0</v>
      </c>
      <c r="DB53" s="208">
        <f>(SUMIF(Fonctionnement[Affectation matrice],$AB$3,Fonctionnement[TVA acquittée])+SUMIF(Invest[Affectation matrice],$AB$3,Invest[TVA acquittée]))*CA53</f>
        <v>0</v>
      </c>
    </row>
    <row r="55" spans="1:107" x14ac:dyDescent="0.25">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C55" s="209"/>
      <c r="BD55" s="209"/>
      <c r="BE55" s="209"/>
      <c r="BF55" s="209"/>
      <c r="BG55" s="209"/>
      <c r="BH55" s="209"/>
      <c r="BI55" s="209"/>
      <c r="BJ55" s="209"/>
      <c r="BK55" s="209"/>
      <c r="BL55" s="209"/>
      <c r="BM55" s="209"/>
      <c r="BN55" s="209"/>
      <c r="BO55" s="209"/>
      <c r="BP55" s="209"/>
      <c r="BQ55" s="209"/>
      <c r="BR55" s="209"/>
      <c r="BS55" s="209"/>
      <c r="BT55" s="209"/>
      <c r="BU55" s="209"/>
      <c r="BV55" s="209"/>
      <c r="BW55" s="209"/>
      <c r="BX55" s="209"/>
      <c r="BY55" s="209"/>
      <c r="BZ55" s="209"/>
      <c r="CA55" s="209"/>
      <c r="CB55" s="209"/>
    </row>
    <row r="56" spans="1:107" ht="21" x14ac:dyDescent="0.4">
      <c r="A56" s="257" t="s">
        <v>1102</v>
      </c>
    </row>
    <row r="58" spans="1:107" x14ac:dyDescent="0.25">
      <c r="A58" s="301"/>
      <c r="B58"/>
      <c r="C58"/>
      <c r="D58"/>
      <c r="E58"/>
      <c r="F58"/>
      <c r="G58"/>
      <c r="H58"/>
      <c r="I58"/>
      <c r="J58"/>
      <c r="K58"/>
      <c r="L58"/>
      <c r="M58"/>
      <c r="N58"/>
      <c r="O58"/>
      <c r="P58"/>
      <c r="Q58"/>
      <c r="R58"/>
      <c r="S58"/>
      <c r="T58"/>
      <c r="U58"/>
      <c r="V58"/>
      <c r="W58"/>
      <c r="X58"/>
      <c r="Y58"/>
      <c r="Z58"/>
      <c r="AA58"/>
      <c r="AB58" s="61">
        <f>SUMIF(CODE,$A58,'4 - Codes matrice'!CF$4:CF$99)</f>
        <v>0</v>
      </c>
      <c r="AC58" s="61">
        <f>SUMIF(CODE,$A58,'4 - Codes matrice'!CG$4:CG$99)</f>
        <v>0</v>
      </c>
      <c r="AD58" s="61">
        <f>SUMIF(CODE,$A58,'4 - Codes matrice'!CH$4:CH$99)</f>
        <v>0</v>
      </c>
      <c r="AE58" s="61">
        <f>SUMIF(CODE,$A58,'4 - Codes matrice'!CI$4:CI$99)</f>
        <v>0</v>
      </c>
      <c r="AF58" s="61">
        <f>SUMIF(CODE,$A58,'4 - Codes matrice'!CJ$4:CJ$99)</f>
        <v>0</v>
      </c>
      <c r="AG58" s="61">
        <f>SUMIF(CODE,$A58,'4 - Codes matrice'!CK$4:CK$99)</f>
        <v>0</v>
      </c>
      <c r="AH58" s="61">
        <f>SUMIF(CODE,$A58,'4 - Codes matrice'!CL$4:CL$99)</f>
        <v>0</v>
      </c>
      <c r="AI58" s="61">
        <f>SUMIF(CODE,$A58,'4 - Codes matrice'!CM$4:CM$99)</f>
        <v>0</v>
      </c>
      <c r="AJ58" s="61">
        <f>SUMIF(CODE,$A58,'4 - Codes matrice'!CN$4:CN$99)</f>
        <v>0</v>
      </c>
      <c r="AK58" s="61">
        <f>SUMIF(CODE,$A58,'4 - Codes matrice'!CO$4:CO$99)</f>
        <v>0</v>
      </c>
      <c r="AL58" s="61">
        <f>SUMIF(CODE,$A58,'4 - Codes matrice'!CP$4:CP$99)</f>
        <v>0</v>
      </c>
      <c r="AM58" s="61">
        <f>SUMIF(CODE,$A58,'4 - Codes matrice'!CQ$4:CQ$99)</f>
        <v>0</v>
      </c>
      <c r="AN58" s="61">
        <f>SUMIF(CODE,$A58,'4 - Codes matrice'!CR$4:CR$99)</f>
        <v>0</v>
      </c>
      <c r="AO58" s="61">
        <f>SUMIF(CODE,$A58,'4 - Codes matrice'!CS$4:CS$99)</f>
        <v>0</v>
      </c>
      <c r="AP58" s="61">
        <f>SUMIF(CODE,$A58,'4 - Codes matrice'!CT$4:CT$99)</f>
        <v>0</v>
      </c>
      <c r="AQ58" s="61">
        <f>SUMIF(CODE,$A58,'4 - Codes matrice'!CU$4:CU$99)</f>
        <v>0</v>
      </c>
      <c r="AR58" s="61">
        <f>SUMIF(CODE,$A58,'4 - Codes matrice'!CV$4:CV$99)</f>
        <v>0</v>
      </c>
      <c r="AS58" s="61">
        <f>SUMIF(CODE,$A58,'4 - Codes matrice'!CW$4:CW$99)</f>
        <v>0</v>
      </c>
      <c r="AT58" s="61">
        <f>SUMIF(CODE,$A58,'4 - Codes matrice'!CX$4:CX$99)</f>
        <v>0</v>
      </c>
      <c r="AU58" s="61">
        <f>SUMIF(CODE,$A58,'4 - Codes matrice'!CY$4:CY$99)</f>
        <v>0</v>
      </c>
      <c r="AV58" s="61">
        <f>SUMIF(CODE,$A58,'4 - Codes matrice'!CZ$4:CZ$99)</f>
        <v>0</v>
      </c>
      <c r="AW58" s="61">
        <f>SUMIF(CODE,$A58,'4 - Codes matrice'!DA$4:DA$99)</f>
        <v>0</v>
      </c>
      <c r="AX58" s="61">
        <f>SUMIF(CODE,$A58,'4 - Codes matrice'!DB$4:DB$99)</f>
        <v>0</v>
      </c>
      <c r="AY58" s="61">
        <f>SUMIF(CODE,$A58,'4 - Codes matrice'!DC$4:DC$99)</f>
        <v>0</v>
      </c>
      <c r="AZ58" s="61">
        <f>SUMIF(CODE,$A58,'4 - Codes matrice'!DD$4:DD$99)</f>
        <v>0</v>
      </c>
      <c r="BA58" s="284">
        <f>SUM(AB58:AZ58)</f>
        <v>0</v>
      </c>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row>
    <row r="59" spans="1:107" x14ac:dyDescent="0.25">
      <c r="A59" s="301"/>
      <c r="B59"/>
      <c r="C59"/>
      <c r="D59"/>
      <c r="E59"/>
      <c r="F59"/>
      <c r="G59"/>
      <c r="H59"/>
      <c r="I59"/>
      <c r="J59"/>
      <c r="K59"/>
      <c r="L59"/>
      <c r="M59"/>
      <c r="N59"/>
      <c r="O59"/>
      <c r="P59"/>
      <c r="Q59"/>
      <c r="R59"/>
      <c r="S59"/>
      <c r="T59"/>
      <c r="U59"/>
      <c r="V59"/>
      <c r="W59"/>
      <c r="X59"/>
      <c r="Y59"/>
      <c r="Z59"/>
      <c r="AA59"/>
      <c r="AB59" s="61">
        <f>SUMIF(CODE,$A59,'4 - Codes matrice'!CF$4:CF$99)</f>
        <v>0</v>
      </c>
      <c r="AC59" s="61">
        <f>SUMIF(CODE,$A59,'4 - Codes matrice'!CG$4:CG$99)</f>
        <v>0</v>
      </c>
      <c r="AD59" s="61">
        <f>SUMIF(CODE,$A59,'4 - Codes matrice'!CH$4:CH$99)</f>
        <v>0</v>
      </c>
      <c r="AE59" s="61">
        <f>SUMIF(CODE,$A59,'4 - Codes matrice'!CI$4:CI$99)</f>
        <v>0</v>
      </c>
      <c r="AF59" s="61">
        <f>SUMIF(CODE,$A59,'4 - Codes matrice'!CJ$4:CJ$99)</f>
        <v>0</v>
      </c>
      <c r="AG59" s="61">
        <f>SUMIF(CODE,$A59,'4 - Codes matrice'!CK$4:CK$99)</f>
        <v>0</v>
      </c>
      <c r="AH59" s="61">
        <f>SUMIF(CODE,$A59,'4 - Codes matrice'!CL$4:CL$99)</f>
        <v>0</v>
      </c>
      <c r="AI59" s="61">
        <f>SUMIF(CODE,$A59,'4 - Codes matrice'!CM$4:CM$99)</f>
        <v>0</v>
      </c>
      <c r="AJ59" s="61">
        <f>SUMIF(CODE,$A59,'4 - Codes matrice'!CN$4:CN$99)</f>
        <v>0</v>
      </c>
      <c r="AK59" s="61">
        <f>SUMIF(CODE,$A59,'4 - Codes matrice'!CO$4:CO$99)</f>
        <v>0</v>
      </c>
      <c r="AL59" s="61">
        <f>SUMIF(CODE,$A59,'4 - Codes matrice'!CP$4:CP$99)</f>
        <v>0</v>
      </c>
      <c r="AM59" s="61">
        <f>SUMIF(CODE,$A59,'4 - Codes matrice'!CQ$4:CQ$99)</f>
        <v>0</v>
      </c>
      <c r="AN59" s="61">
        <f>SUMIF(CODE,$A59,'4 - Codes matrice'!CR$4:CR$99)</f>
        <v>0</v>
      </c>
      <c r="AO59" s="61">
        <f>SUMIF(CODE,$A59,'4 - Codes matrice'!CS$4:CS$99)</f>
        <v>0</v>
      </c>
      <c r="AP59" s="61">
        <f>SUMIF(CODE,$A59,'4 - Codes matrice'!CT$4:CT$99)</f>
        <v>0</v>
      </c>
      <c r="AQ59" s="61">
        <f>SUMIF(CODE,$A59,'4 - Codes matrice'!CU$4:CU$99)</f>
        <v>0</v>
      </c>
      <c r="AR59" s="61">
        <f>SUMIF(CODE,$A59,'4 - Codes matrice'!CV$4:CV$99)</f>
        <v>0</v>
      </c>
      <c r="AS59" s="61">
        <f>SUMIF(CODE,$A59,'4 - Codes matrice'!CW$4:CW$99)</f>
        <v>0</v>
      </c>
      <c r="AT59" s="61">
        <f>SUMIF(CODE,$A59,'4 - Codes matrice'!CX$4:CX$99)</f>
        <v>0</v>
      </c>
      <c r="AU59" s="61">
        <f>SUMIF(CODE,$A59,'4 - Codes matrice'!CY$4:CY$99)</f>
        <v>0</v>
      </c>
      <c r="AV59" s="61">
        <f>SUMIF(CODE,$A59,'4 - Codes matrice'!CZ$4:CZ$99)</f>
        <v>0</v>
      </c>
      <c r="AW59" s="61">
        <f>SUMIF(CODE,$A59,'4 - Codes matrice'!DA$4:DA$99)</f>
        <v>0</v>
      </c>
      <c r="AX59" s="61">
        <f>SUMIF(CODE,$A59,'4 - Codes matrice'!DB$4:DB$99)</f>
        <v>0</v>
      </c>
      <c r="AY59" s="61">
        <f>SUMIF(CODE,$A59,'4 - Codes matrice'!DC$4:DC$99)</f>
        <v>0</v>
      </c>
      <c r="AZ59" s="61">
        <f>SUMIF(CODE,$A59,'4 - Codes matrice'!DD$4:DD$99)</f>
        <v>0</v>
      </c>
      <c r="BA59" s="284">
        <f t="shared" ref="BA59:BA64" si="17">SUM(AB59:AZ59)</f>
        <v>0</v>
      </c>
    </row>
    <row r="60" spans="1:107" x14ac:dyDescent="0.25">
      <c r="A60" s="301"/>
      <c r="B60"/>
      <c r="C60"/>
      <c r="D60"/>
      <c r="E60"/>
      <c r="F60"/>
      <c r="G60"/>
      <c r="H60"/>
      <c r="I60"/>
      <c r="J60"/>
      <c r="K60"/>
      <c r="L60"/>
      <c r="M60"/>
      <c r="N60"/>
      <c r="O60"/>
      <c r="P60"/>
      <c r="Q60"/>
      <c r="R60"/>
      <c r="S60"/>
      <c r="T60"/>
      <c r="U60"/>
      <c r="V60"/>
      <c r="W60"/>
      <c r="X60"/>
      <c r="Y60"/>
      <c r="Z60"/>
      <c r="AA60"/>
      <c r="AB60" s="61">
        <f>SUMIF(CODE,$A60,'4 - Codes matrice'!CF$4:CF$99)</f>
        <v>0</v>
      </c>
      <c r="AC60" s="61">
        <f>SUMIF(CODE,$A60,'4 - Codes matrice'!CG$4:CG$99)</f>
        <v>0</v>
      </c>
      <c r="AD60" s="61">
        <f>SUMIF(CODE,$A60,'4 - Codes matrice'!CH$4:CH$99)</f>
        <v>0</v>
      </c>
      <c r="AE60" s="61">
        <f>SUMIF(CODE,$A60,'4 - Codes matrice'!CI$4:CI$99)</f>
        <v>0</v>
      </c>
      <c r="AF60" s="61">
        <f>SUMIF(CODE,$A60,'4 - Codes matrice'!CJ$4:CJ$99)</f>
        <v>0</v>
      </c>
      <c r="AG60" s="61">
        <f>SUMIF(CODE,$A60,'4 - Codes matrice'!CK$4:CK$99)</f>
        <v>0</v>
      </c>
      <c r="AH60" s="61">
        <f>SUMIF(CODE,$A60,'4 - Codes matrice'!CL$4:CL$99)</f>
        <v>0</v>
      </c>
      <c r="AI60" s="61">
        <f>SUMIF(CODE,$A60,'4 - Codes matrice'!CM$4:CM$99)</f>
        <v>0</v>
      </c>
      <c r="AJ60" s="61">
        <f>SUMIF(CODE,$A60,'4 - Codes matrice'!CN$4:CN$99)</f>
        <v>0</v>
      </c>
      <c r="AK60" s="61">
        <f>SUMIF(CODE,$A60,'4 - Codes matrice'!CO$4:CO$99)</f>
        <v>0</v>
      </c>
      <c r="AL60" s="61">
        <f>SUMIF(CODE,$A60,'4 - Codes matrice'!CP$4:CP$99)</f>
        <v>0</v>
      </c>
      <c r="AM60" s="61">
        <f>SUMIF(CODE,$A60,'4 - Codes matrice'!CQ$4:CQ$99)</f>
        <v>0</v>
      </c>
      <c r="AN60" s="61">
        <f>SUMIF(CODE,$A60,'4 - Codes matrice'!CR$4:CR$99)</f>
        <v>0</v>
      </c>
      <c r="AO60" s="61">
        <f>SUMIF(CODE,$A60,'4 - Codes matrice'!CS$4:CS$99)</f>
        <v>0</v>
      </c>
      <c r="AP60" s="61">
        <f>SUMIF(CODE,$A60,'4 - Codes matrice'!CT$4:CT$99)</f>
        <v>0</v>
      </c>
      <c r="AQ60" s="61">
        <f>SUMIF(CODE,$A60,'4 - Codes matrice'!CU$4:CU$99)</f>
        <v>0</v>
      </c>
      <c r="AR60" s="61">
        <f>SUMIF(CODE,$A60,'4 - Codes matrice'!CV$4:CV$99)</f>
        <v>0</v>
      </c>
      <c r="AS60" s="61">
        <f>SUMIF(CODE,$A60,'4 - Codes matrice'!CW$4:CW$99)</f>
        <v>0</v>
      </c>
      <c r="AT60" s="61">
        <f>SUMIF(CODE,$A60,'4 - Codes matrice'!CX$4:CX$99)</f>
        <v>0</v>
      </c>
      <c r="AU60" s="61">
        <f>SUMIF(CODE,$A60,'4 - Codes matrice'!CY$4:CY$99)</f>
        <v>0</v>
      </c>
      <c r="AV60" s="61">
        <f>SUMIF(CODE,$A60,'4 - Codes matrice'!CZ$4:CZ$99)</f>
        <v>0</v>
      </c>
      <c r="AW60" s="61">
        <f>SUMIF(CODE,$A60,'4 - Codes matrice'!DA$4:DA$99)</f>
        <v>0</v>
      </c>
      <c r="AX60" s="61">
        <f>SUMIF(CODE,$A60,'4 - Codes matrice'!DB$4:DB$99)</f>
        <v>0</v>
      </c>
      <c r="AY60" s="61">
        <f>SUMIF(CODE,$A60,'4 - Codes matrice'!DC$4:DC$99)</f>
        <v>0</v>
      </c>
      <c r="AZ60" s="61">
        <f>SUMIF(CODE,$A60,'4 - Codes matrice'!DD$4:DD$99)</f>
        <v>0</v>
      </c>
      <c r="BA60" s="284">
        <f t="shared" si="17"/>
        <v>0</v>
      </c>
    </row>
    <row r="61" spans="1:107" x14ac:dyDescent="0.25">
      <c r="A61" s="301"/>
      <c r="B61"/>
      <c r="C61"/>
      <c r="D61"/>
      <c r="E61"/>
      <c r="F61"/>
      <c r="G61"/>
      <c r="H61"/>
      <c r="I61"/>
      <c r="J61"/>
      <c r="K61"/>
      <c r="L61"/>
      <c r="M61"/>
      <c r="N61"/>
      <c r="O61"/>
      <c r="P61"/>
      <c r="Q61"/>
      <c r="R61"/>
      <c r="S61"/>
      <c r="T61"/>
      <c r="U61"/>
      <c r="V61"/>
      <c r="W61"/>
      <c r="X61"/>
      <c r="Y61"/>
      <c r="Z61"/>
      <c r="AA61"/>
      <c r="AB61" s="61">
        <f>SUMIF(CODE,$A61,'4 - Codes matrice'!CF$4:CF$99)</f>
        <v>0</v>
      </c>
      <c r="AC61" s="61">
        <f>SUMIF(CODE,$A61,'4 - Codes matrice'!CG$4:CG$99)</f>
        <v>0</v>
      </c>
      <c r="AD61" s="61">
        <f>SUMIF(CODE,$A61,'4 - Codes matrice'!CH$4:CH$99)</f>
        <v>0</v>
      </c>
      <c r="AE61" s="61">
        <f>SUMIF(CODE,$A61,'4 - Codes matrice'!CI$4:CI$99)</f>
        <v>0</v>
      </c>
      <c r="AF61" s="61">
        <f>SUMIF(CODE,$A61,'4 - Codes matrice'!CJ$4:CJ$99)</f>
        <v>0</v>
      </c>
      <c r="AG61" s="61">
        <f>SUMIF(CODE,$A61,'4 - Codes matrice'!CK$4:CK$99)</f>
        <v>0</v>
      </c>
      <c r="AH61" s="61">
        <f>SUMIF(CODE,$A61,'4 - Codes matrice'!CL$4:CL$99)</f>
        <v>0</v>
      </c>
      <c r="AI61" s="61">
        <f>SUMIF(CODE,$A61,'4 - Codes matrice'!CM$4:CM$99)</f>
        <v>0</v>
      </c>
      <c r="AJ61" s="61">
        <f>SUMIF(CODE,$A61,'4 - Codes matrice'!CN$4:CN$99)</f>
        <v>0</v>
      </c>
      <c r="AK61" s="61">
        <f>SUMIF(CODE,$A61,'4 - Codes matrice'!CO$4:CO$99)</f>
        <v>0</v>
      </c>
      <c r="AL61" s="61">
        <f>SUMIF(CODE,$A61,'4 - Codes matrice'!CP$4:CP$99)</f>
        <v>0</v>
      </c>
      <c r="AM61" s="61">
        <f>SUMIF(CODE,$A61,'4 - Codes matrice'!CQ$4:CQ$99)</f>
        <v>0</v>
      </c>
      <c r="AN61" s="61">
        <f>SUMIF(CODE,$A61,'4 - Codes matrice'!CR$4:CR$99)</f>
        <v>0</v>
      </c>
      <c r="AO61" s="61">
        <f>SUMIF(CODE,$A61,'4 - Codes matrice'!CS$4:CS$99)</f>
        <v>0</v>
      </c>
      <c r="AP61" s="61">
        <f>SUMIF(CODE,$A61,'4 - Codes matrice'!CT$4:CT$99)</f>
        <v>0</v>
      </c>
      <c r="AQ61" s="61">
        <f>SUMIF(CODE,$A61,'4 - Codes matrice'!CU$4:CU$99)</f>
        <v>0</v>
      </c>
      <c r="AR61" s="61">
        <f>SUMIF(CODE,$A61,'4 - Codes matrice'!CV$4:CV$99)</f>
        <v>0</v>
      </c>
      <c r="AS61" s="61">
        <f>SUMIF(CODE,$A61,'4 - Codes matrice'!CW$4:CW$99)</f>
        <v>0</v>
      </c>
      <c r="AT61" s="61">
        <f>SUMIF(CODE,$A61,'4 - Codes matrice'!CX$4:CX$99)</f>
        <v>0</v>
      </c>
      <c r="AU61" s="61">
        <f>SUMIF(CODE,$A61,'4 - Codes matrice'!CY$4:CY$99)</f>
        <v>0</v>
      </c>
      <c r="AV61" s="61">
        <f>SUMIF(CODE,$A61,'4 - Codes matrice'!CZ$4:CZ$99)</f>
        <v>0</v>
      </c>
      <c r="AW61" s="61">
        <f>SUMIF(CODE,$A61,'4 - Codes matrice'!DA$4:DA$99)</f>
        <v>0</v>
      </c>
      <c r="AX61" s="61">
        <f>SUMIF(CODE,$A61,'4 - Codes matrice'!DB$4:DB$99)</f>
        <v>0</v>
      </c>
      <c r="AY61" s="61">
        <f>SUMIF(CODE,$A61,'4 - Codes matrice'!DC$4:DC$99)</f>
        <v>0</v>
      </c>
      <c r="AZ61" s="61">
        <f>SUMIF(CODE,$A61,'4 - Codes matrice'!DD$4:DD$99)</f>
        <v>0</v>
      </c>
      <c r="BA61" s="284">
        <f t="shared" si="17"/>
        <v>0</v>
      </c>
    </row>
    <row r="62" spans="1:107" x14ac:dyDescent="0.25">
      <c r="A62" s="301"/>
      <c r="B62"/>
      <c r="C62"/>
      <c r="D62"/>
      <c r="E62"/>
      <c r="F62"/>
      <c r="G62"/>
      <c r="H62"/>
      <c r="I62"/>
      <c r="J62"/>
      <c r="K62"/>
      <c r="L62"/>
      <c r="M62"/>
      <c r="N62"/>
      <c r="O62"/>
      <c r="P62"/>
      <c r="Q62"/>
      <c r="R62"/>
      <c r="S62"/>
      <c r="T62"/>
      <c r="U62"/>
      <c r="V62"/>
      <c r="W62"/>
      <c r="X62"/>
      <c r="Y62"/>
      <c r="Z62"/>
      <c r="AA62"/>
      <c r="AB62" s="61">
        <f>SUMIF(CODE,$A62,'4 - Codes matrice'!CF$4:CF$99)</f>
        <v>0</v>
      </c>
      <c r="AC62" s="61">
        <f>SUMIF(CODE,$A62,'4 - Codes matrice'!CG$4:CG$99)</f>
        <v>0</v>
      </c>
      <c r="AD62" s="61">
        <f>SUMIF(CODE,$A62,'4 - Codes matrice'!CH$4:CH$99)</f>
        <v>0</v>
      </c>
      <c r="AE62" s="61">
        <f>SUMIF(CODE,$A62,'4 - Codes matrice'!CI$4:CI$99)</f>
        <v>0</v>
      </c>
      <c r="AF62" s="61">
        <f>SUMIF(CODE,$A62,'4 - Codes matrice'!CJ$4:CJ$99)</f>
        <v>0</v>
      </c>
      <c r="AG62" s="61">
        <f>SUMIF(CODE,$A62,'4 - Codes matrice'!CK$4:CK$99)</f>
        <v>0</v>
      </c>
      <c r="AH62" s="61">
        <f>SUMIF(CODE,$A62,'4 - Codes matrice'!CL$4:CL$99)</f>
        <v>0</v>
      </c>
      <c r="AI62" s="61">
        <f>SUMIF(CODE,$A62,'4 - Codes matrice'!CM$4:CM$99)</f>
        <v>0</v>
      </c>
      <c r="AJ62" s="61">
        <f>SUMIF(CODE,$A62,'4 - Codes matrice'!CN$4:CN$99)</f>
        <v>0</v>
      </c>
      <c r="AK62" s="61">
        <f>SUMIF(CODE,$A62,'4 - Codes matrice'!CO$4:CO$99)</f>
        <v>0</v>
      </c>
      <c r="AL62" s="61">
        <f>SUMIF(CODE,$A62,'4 - Codes matrice'!CP$4:CP$99)</f>
        <v>0</v>
      </c>
      <c r="AM62" s="61">
        <f>SUMIF(CODE,$A62,'4 - Codes matrice'!CQ$4:CQ$99)</f>
        <v>0</v>
      </c>
      <c r="AN62" s="61">
        <f>SUMIF(CODE,$A62,'4 - Codes matrice'!CR$4:CR$99)</f>
        <v>0</v>
      </c>
      <c r="AO62" s="61">
        <f>SUMIF(CODE,$A62,'4 - Codes matrice'!CS$4:CS$99)</f>
        <v>0</v>
      </c>
      <c r="AP62" s="61">
        <f>SUMIF(CODE,$A62,'4 - Codes matrice'!CT$4:CT$99)</f>
        <v>0</v>
      </c>
      <c r="AQ62" s="61">
        <f>SUMIF(CODE,$A62,'4 - Codes matrice'!CU$4:CU$99)</f>
        <v>0</v>
      </c>
      <c r="AR62" s="61">
        <f>SUMIF(CODE,$A62,'4 - Codes matrice'!CV$4:CV$99)</f>
        <v>0</v>
      </c>
      <c r="AS62" s="61">
        <f>SUMIF(CODE,$A62,'4 - Codes matrice'!CW$4:CW$99)</f>
        <v>0</v>
      </c>
      <c r="AT62" s="61">
        <f>SUMIF(CODE,$A62,'4 - Codes matrice'!CX$4:CX$99)</f>
        <v>0</v>
      </c>
      <c r="AU62" s="61">
        <f>SUMIF(CODE,$A62,'4 - Codes matrice'!CY$4:CY$99)</f>
        <v>0</v>
      </c>
      <c r="AV62" s="61">
        <f>SUMIF(CODE,$A62,'4 - Codes matrice'!CZ$4:CZ$99)</f>
        <v>0</v>
      </c>
      <c r="AW62" s="61">
        <f>SUMIF(CODE,$A62,'4 - Codes matrice'!DA$4:DA$99)</f>
        <v>0</v>
      </c>
      <c r="AX62" s="61">
        <f>SUMIF(CODE,$A62,'4 - Codes matrice'!DB$4:DB$99)</f>
        <v>0</v>
      </c>
      <c r="AY62" s="61">
        <f>SUMIF(CODE,$A62,'4 - Codes matrice'!DC$4:DC$99)</f>
        <v>0</v>
      </c>
      <c r="AZ62" s="61">
        <f>SUMIF(CODE,$A62,'4 - Codes matrice'!DD$4:DD$99)</f>
        <v>0</v>
      </c>
      <c r="BA62" s="284">
        <f t="shared" si="17"/>
        <v>0</v>
      </c>
    </row>
    <row r="63" spans="1:107" x14ac:dyDescent="0.25">
      <c r="A63" s="301"/>
      <c r="B63"/>
      <c r="C63"/>
      <c r="D63"/>
      <c r="E63"/>
      <c r="F63"/>
      <c r="G63"/>
      <c r="H63"/>
      <c r="I63"/>
      <c r="J63"/>
      <c r="K63"/>
      <c r="L63"/>
      <c r="M63"/>
      <c r="N63"/>
      <c r="O63"/>
      <c r="P63"/>
      <c r="Q63"/>
      <c r="R63"/>
      <c r="S63"/>
      <c r="T63"/>
      <c r="U63"/>
      <c r="V63"/>
      <c r="W63"/>
      <c r="X63"/>
      <c r="Y63"/>
      <c r="Z63"/>
      <c r="AA63"/>
      <c r="AB63" s="61">
        <f>SUMIF(CODE,$A63,'4 - Codes matrice'!CF$4:CF$99)</f>
        <v>0</v>
      </c>
      <c r="AC63" s="61">
        <f>SUMIF(CODE,$A63,'4 - Codes matrice'!CG$4:CG$99)</f>
        <v>0</v>
      </c>
      <c r="AD63" s="61">
        <f>SUMIF(CODE,$A63,'4 - Codes matrice'!CH$4:CH$99)</f>
        <v>0</v>
      </c>
      <c r="AE63" s="61">
        <f>SUMIF(CODE,$A63,'4 - Codes matrice'!CI$4:CI$99)</f>
        <v>0</v>
      </c>
      <c r="AF63" s="61">
        <f>SUMIF(CODE,$A63,'4 - Codes matrice'!CJ$4:CJ$99)</f>
        <v>0</v>
      </c>
      <c r="AG63" s="61">
        <f>SUMIF(CODE,$A63,'4 - Codes matrice'!CK$4:CK$99)</f>
        <v>0</v>
      </c>
      <c r="AH63" s="61">
        <f>SUMIF(CODE,$A63,'4 - Codes matrice'!CL$4:CL$99)</f>
        <v>0</v>
      </c>
      <c r="AI63" s="61">
        <f>SUMIF(CODE,$A63,'4 - Codes matrice'!CM$4:CM$99)</f>
        <v>0</v>
      </c>
      <c r="AJ63" s="61">
        <f>SUMIF(CODE,$A63,'4 - Codes matrice'!CN$4:CN$99)</f>
        <v>0</v>
      </c>
      <c r="AK63" s="61">
        <f>SUMIF(CODE,$A63,'4 - Codes matrice'!CO$4:CO$99)</f>
        <v>0</v>
      </c>
      <c r="AL63" s="61">
        <f>SUMIF(CODE,$A63,'4 - Codes matrice'!CP$4:CP$99)</f>
        <v>0</v>
      </c>
      <c r="AM63" s="61">
        <f>SUMIF(CODE,$A63,'4 - Codes matrice'!CQ$4:CQ$99)</f>
        <v>0</v>
      </c>
      <c r="AN63" s="61">
        <f>SUMIF(CODE,$A63,'4 - Codes matrice'!CR$4:CR$99)</f>
        <v>0</v>
      </c>
      <c r="AO63" s="61">
        <f>SUMIF(CODE,$A63,'4 - Codes matrice'!CS$4:CS$99)</f>
        <v>0</v>
      </c>
      <c r="AP63" s="61">
        <f>SUMIF(CODE,$A63,'4 - Codes matrice'!CT$4:CT$99)</f>
        <v>0</v>
      </c>
      <c r="AQ63" s="61">
        <f>SUMIF(CODE,$A63,'4 - Codes matrice'!CU$4:CU$99)</f>
        <v>0</v>
      </c>
      <c r="AR63" s="61">
        <f>SUMIF(CODE,$A63,'4 - Codes matrice'!CV$4:CV$99)</f>
        <v>0</v>
      </c>
      <c r="AS63" s="61">
        <f>SUMIF(CODE,$A63,'4 - Codes matrice'!CW$4:CW$99)</f>
        <v>0</v>
      </c>
      <c r="AT63" s="61">
        <f>SUMIF(CODE,$A63,'4 - Codes matrice'!CX$4:CX$99)</f>
        <v>0</v>
      </c>
      <c r="AU63" s="61">
        <f>SUMIF(CODE,$A63,'4 - Codes matrice'!CY$4:CY$99)</f>
        <v>0</v>
      </c>
      <c r="AV63" s="61">
        <f>SUMIF(CODE,$A63,'4 - Codes matrice'!CZ$4:CZ$99)</f>
        <v>0</v>
      </c>
      <c r="AW63" s="61">
        <f>SUMIF(CODE,$A63,'4 - Codes matrice'!DA$4:DA$99)</f>
        <v>0</v>
      </c>
      <c r="AX63" s="61">
        <f>SUMIF(CODE,$A63,'4 - Codes matrice'!DB$4:DB$99)</f>
        <v>0</v>
      </c>
      <c r="AY63" s="61">
        <f>SUMIF(CODE,$A63,'4 - Codes matrice'!DC$4:DC$99)</f>
        <v>0</v>
      </c>
      <c r="AZ63" s="61">
        <f>SUMIF(CODE,$A63,'4 - Codes matrice'!DD$4:DD$99)</f>
        <v>0</v>
      </c>
      <c r="BA63" s="284">
        <f t="shared" si="17"/>
        <v>0</v>
      </c>
    </row>
    <row r="64" spans="1:107" x14ac:dyDescent="0.25">
      <c r="A64" s="301"/>
      <c r="B64"/>
      <c r="C64"/>
      <c r="D64"/>
      <c r="E64"/>
      <c r="F64"/>
      <c r="G64"/>
      <c r="H64"/>
      <c r="I64"/>
      <c r="J64"/>
      <c r="K64"/>
      <c r="L64"/>
      <c r="M64"/>
      <c r="N64"/>
      <c r="O64"/>
      <c r="P64"/>
      <c r="Q64"/>
      <c r="R64"/>
      <c r="S64"/>
      <c r="T64"/>
      <c r="U64"/>
      <c r="V64"/>
      <c r="W64"/>
      <c r="X64"/>
      <c r="Y64"/>
      <c r="Z64"/>
      <c r="AA64"/>
      <c r="AB64" s="61">
        <f>SUMIF(CODE,$A64,'4 - Codes matrice'!CF$4:CF$99)</f>
        <v>0</v>
      </c>
      <c r="AC64" s="61">
        <f>SUMIF(CODE,$A64,'4 - Codes matrice'!CG$4:CG$99)</f>
        <v>0</v>
      </c>
      <c r="AD64" s="61">
        <f>SUMIF(CODE,$A64,'4 - Codes matrice'!CH$4:CH$99)</f>
        <v>0</v>
      </c>
      <c r="AE64" s="61">
        <f>SUMIF(CODE,$A64,'4 - Codes matrice'!CI$4:CI$99)</f>
        <v>0</v>
      </c>
      <c r="AF64" s="61">
        <f>SUMIF(CODE,$A64,'4 - Codes matrice'!CJ$4:CJ$99)</f>
        <v>0</v>
      </c>
      <c r="AG64" s="61">
        <f>SUMIF(CODE,$A64,'4 - Codes matrice'!CK$4:CK$99)</f>
        <v>0</v>
      </c>
      <c r="AH64" s="61">
        <f>SUMIF(CODE,$A64,'4 - Codes matrice'!CL$4:CL$99)</f>
        <v>0</v>
      </c>
      <c r="AI64" s="61">
        <f>SUMIF(CODE,$A64,'4 - Codes matrice'!CM$4:CM$99)</f>
        <v>0</v>
      </c>
      <c r="AJ64" s="61">
        <f>SUMIF(CODE,$A64,'4 - Codes matrice'!CN$4:CN$99)</f>
        <v>0</v>
      </c>
      <c r="AK64" s="61">
        <f>SUMIF(CODE,$A64,'4 - Codes matrice'!CO$4:CO$99)</f>
        <v>0</v>
      </c>
      <c r="AL64" s="61">
        <f>SUMIF(CODE,$A64,'4 - Codes matrice'!CP$4:CP$99)</f>
        <v>0</v>
      </c>
      <c r="AM64" s="61">
        <f>SUMIF(CODE,$A64,'4 - Codes matrice'!CQ$4:CQ$99)</f>
        <v>0</v>
      </c>
      <c r="AN64" s="61">
        <f>SUMIF(CODE,$A64,'4 - Codes matrice'!CR$4:CR$99)</f>
        <v>0</v>
      </c>
      <c r="AO64" s="61">
        <f>SUMIF(CODE,$A64,'4 - Codes matrice'!CS$4:CS$99)</f>
        <v>0</v>
      </c>
      <c r="AP64" s="61">
        <f>SUMIF(CODE,$A64,'4 - Codes matrice'!CT$4:CT$99)</f>
        <v>0</v>
      </c>
      <c r="AQ64" s="61">
        <f>SUMIF(CODE,$A64,'4 - Codes matrice'!CU$4:CU$99)</f>
        <v>0</v>
      </c>
      <c r="AR64" s="61">
        <f>SUMIF(CODE,$A64,'4 - Codes matrice'!CV$4:CV$99)</f>
        <v>0</v>
      </c>
      <c r="AS64" s="61">
        <f>SUMIF(CODE,$A64,'4 - Codes matrice'!CW$4:CW$99)</f>
        <v>0</v>
      </c>
      <c r="AT64" s="61">
        <f>SUMIF(CODE,$A64,'4 - Codes matrice'!CX$4:CX$99)</f>
        <v>0</v>
      </c>
      <c r="AU64" s="61">
        <f>SUMIF(CODE,$A64,'4 - Codes matrice'!CY$4:CY$99)</f>
        <v>0</v>
      </c>
      <c r="AV64" s="61">
        <f>SUMIF(CODE,$A64,'4 - Codes matrice'!CZ$4:CZ$99)</f>
        <v>0</v>
      </c>
      <c r="AW64" s="61">
        <f>SUMIF(CODE,$A64,'4 - Codes matrice'!DA$4:DA$99)</f>
        <v>0</v>
      </c>
      <c r="AX64" s="61">
        <f>SUMIF(CODE,$A64,'4 - Codes matrice'!DB$4:DB$99)</f>
        <v>0</v>
      </c>
      <c r="AY64" s="61">
        <f>SUMIF(CODE,$A64,'4 - Codes matrice'!DC$4:DC$99)</f>
        <v>0</v>
      </c>
      <c r="AZ64" s="61">
        <f>SUMIF(CODE,$A64,'4 - Codes matrice'!DD$4:DD$99)</f>
        <v>0</v>
      </c>
      <c r="BA64" s="284">
        <f t="shared" si="17"/>
        <v>0</v>
      </c>
    </row>
    <row r="66" spans="1:107" ht="21" x14ac:dyDescent="0.4">
      <c r="A66" s="257" t="s">
        <v>1103</v>
      </c>
    </row>
    <row r="68" spans="1:107" x14ac:dyDescent="0.25">
      <c r="A68" s="253" t="s">
        <v>219</v>
      </c>
      <c r="B68"/>
      <c r="C68"/>
      <c r="D68"/>
      <c r="E68"/>
      <c r="F68"/>
      <c r="G68"/>
      <c r="H68"/>
      <c r="I68"/>
      <c r="J68"/>
      <c r="K68"/>
      <c r="L68"/>
      <c r="M68"/>
      <c r="N68"/>
      <c r="O68"/>
      <c r="P68"/>
      <c r="Q68"/>
      <c r="R68"/>
      <c r="S68"/>
      <c r="T68"/>
      <c r="U68"/>
      <c r="V68"/>
      <c r="W68"/>
      <c r="X68"/>
      <c r="Y68"/>
      <c r="Z68"/>
      <c r="AA68"/>
      <c r="AB68" s="282">
        <f>'2 - Matrice finale'!B58</f>
        <v>0</v>
      </c>
      <c r="AC68" s="282">
        <f>'2 - Matrice finale'!C58</f>
        <v>0</v>
      </c>
      <c r="AD68" s="282">
        <f>'2 - Matrice finale'!D58</f>
        <v>0</v>
      </c>
      <c r="AE68" s="282">
        <f>'2 - Matrice finale'!E58</f>
        <v>0</v>
      </c>
      <c r="AF68" s="282">
        <f>'2 - Matrice finale'!F58</f>
        <v>0</v>
      </c>
      <c r="AG68" s="282">
        <f>'2 - Matrice finale'!G58</f>
        <v>0</v>
      </c>
      <c r="AH68" s="282">
        <f>'2 - Matrice finale'!H58</f>
        <v>0</v>
      </c>
      <c r="AI68" s="282">
        <f>'2 - Matrice finale'!I58</f>
        <v>0</v>
      </c>
      <c r="AJ68" s="282">
        <f>'2 - Matrice finale'!J58</f>
        <v>0</v>
      </c>
      <c r="AK68" s="282">
        <f>'2 - Matrice finale'!K58</f>
        <v>0</v>
      </c>
      <c r="AL68" s="282">
        <f>'2 - Matrice finale'!L58</f>
        <v>0</v>
      </c>
      <c r="AM68" s="282">
        <f>'2 - Matrice finale'!M58</f>
        <v>0</v>
      </c>
      <c r="AN68" s="282">
        <f>'2 - Matrice finale'!N58</f>
        <v>0</v>
      </c>
      <c r="AO68" s="282">
        <f>'2 - Matrice finale'!O58</f>
        <v>0</v>
      </c>
      <c r="AP68" s="282">
        <f>'2 - Matrice finale'!P58</f>
        <v>0</v>
      </c>
      <c r="AQ68" s="282">
        <f>'2 - Matrice finale'!Q58</f>
        <v>0</v>
      </c>
      <c r="AR68" s="282">
        <f>'2 - Matrice finale'!R58</f>
        <v>0</v>
      </c>
      <c r="AS68" s="282">
        <f>'2 - Matrice finale'!S58</f>
        <v>0</v>
      </c>
      <c r="AT68" s="282">
        <f>'2 - Matrice finale'!T58</f>
        <v>0</v>
      </c>
      <c r="AU68" s="282">
        <f>'2 - Matrice finale'!U58</f>
        <v>0</v>
      </c>
      <c r="AV68" s="282">
        <f>'2 - Matrice finale'!V58</f>
        <v>0</v>
      </c>
      <c r="AW68" s="282">
        <f>'2 - Matrice finale'!W58</f>
        <v>0</v>
      </c>
      <c r="AX68" s="282">
        <f>'2 - Matrice finale'!X58</f>
        <v>0</v>
      </c>
      <c r="AY68" s="282">
        <f>'2 - Matrice finale'!Y58</f>
        <v>0</v>
      </c>
      <c r="AZ68" s="282">
        <f>'2 - Matrice finale'!Z58</f>
        <v>0</v>
      </c>
      <c r="BA68" s="285"/>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row>
  </sheetData>
  <sheetProtection sheet="1" objects="1" scenarios="1" formatCells="0" formatColumns="0" formatRows="0"/>
  <mergeCells count="7">
    <mergeCell ref="CB3:CB4"/>
    <mergeCell ref="CD3:DB3"/>
    <mergeCell ref="AC2:AE2"/>
    <mergeCell ref="B3:Z3"/>
    <mergeCell ref="AC3:AZ3"/>
    <mergeCell ref="BA3:BA4"/>
    <mergeCell ref="BC3:CA3"/>
  </mergeCells>
  <conditionalFormatting sqref="A58:A64">
    <cfRule type="expression" dxfId="62" priority="2">
      <formula>OR(XFD58="Amortissement extra-comptable",XFD58="Reprise extra-comptable",XFD58="Non incorporable")</formula>
    </cfRule>
    <cfRule type="expression" dxfId="61" priority="3">
      <formula>AND(A58=0,OR(XFD58="Incorporable",XFD58="Supplétif",XFD58="Reprise",XFD58="Amortissement",XFD58="Atténuation de produit",XFD58="atténuation de charge"))</formula>
    </cfRule>
  </conditionalFormatting>
  <conditionalFormatting sqref="A68">
    <cfRule type="duplicateValues" dxfId="60" priority="1"/>
  </conditionalFormatting>
  <dataValidations count="1">
    <dataValidation type="list" showInputMessage="1" showErrorMessage="1" sqref="AB3 A58:A64" xr:uid="{00000000-0002-0000-0E00-000000000000}">
      <formula1>OFFSET(CODE_1,0,0,COUNTA(CODE),1)</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DC68"/>
  <sheetViews>
    <sheetView showGridLines="0" zoomScaleNormal="100" workbookViewId="0">
      <pane xSplit="27" ySplit="4" topLeftCell="AB5" activePane="bottomRight" state="frozen"/>
      <selection pane="topRight" activeCell="AB55" sqref="AB55"/>
      <selection pane="bottomLeft" activeCell="AB55" sqref="AB55"/>
      <selection pane="bottomRight" activeCell="AE8" sqref="AE8"/>
    </sheetView>
  </sheetViews>
  <sheetFormatPr baseColWidth="10" defaultColWidth="11.44140625" defaultRowHeight="13.2" x14ac:dyDescent="0.25"/>
  <cols>
    <col min="1" max="1" width="36" style="20" customWidth="1"/>
    <col min="2" max="2" width="10.33203125" style="20" hidden="1" customWidth="1"/>
    <col min="3" max="26" width="8.5546875" style="20" hidden="1" customWidth="1"/>
    <col min="27" max="27" width="3.6640625" style="7" hidden="1" customWidth="1"/>
    <col min="28" max="32" width="13.44140625" style="7" customWidth="1"/>
    <col min="33" max="35" width="13.44140625" style="7" hidden="1" customWidth="1"/>
    <col min="36" max="52" width="2.44140625" style="7" hidden="1" customWidth="1"/>
    <col min="53" max="53" width="12.88671875" style="7" customWidth="1"/>
    <col min="54" max="54" width="2.44140625" style="7" customWidth="1"/>
    <col min="55" max="59" width="13.44140625" style="7" customWidth="1"/>
    <col min="60" max="62" width="13.44140625" style="7" hidden="1" customWidth="1"/>
    <col min="63" max="79" width="2.44140625" style="7" hidden="1" customWidth="1"/>
    <col min="80" max="80" width="12.88671875" style="7" customWidth="1"/>
    <col min="81" max="81" width="2.44140625" style="7" customWidth="1"/>
    <col min="82" max="106" width="11.44140625" style="7" hidden="1" customWidth="1"/>
    <col min="107" max="16384" width="11.44140625" style="7"/>
  </cols>
  <sheetData>
    <row r="1" spans="1:106" ht="21" x14ac:dyDescent="0.4">
      <c r="A1" s="19" t="s">
        <v>1106</v>
      </c>
    </row>
    <row r="2" spans="1:106" ht="16.2" thickBot="1" x14ac:dyDescent="0.35">
      <c r="A2" s="7"/>
      <c r="AA2" s="196"/>
      <c r="AC2" s="740" t="s">
        <v>245</v>
      </c>
      <c r="AD2" s="741"/>
      <c r="AE2" s="741"/>
      <c r="BA2" s="53" t="str">
        <f ca="1">IF(AND(CELL("format",BA53)="%0",BA53&lt;&gt;1,BA53&gt;0),"Le total ne fait pas 100%","")</f>
        <v/>
      </c>
      <c r="BC2" s="196"/>
      <c r="BD2" s="196"/>
      <c r="BE2" s="196"/>
      <c r="BF2" s="196"/>
      <c r="BG2" s="196"/>
      <c r="BH2" s="196"/>
      <c r="BI2" s="196"/>
      <c r="BJ2" s="196"/>
      <c r="BK2" s="196"/>
      <c r="BL2" s="196"/>
      <c r="BM2" s="196"/>
      <c r="BN2" s="196"/>
      <c r="BO2" s="196"/>
      <c r="BP2" s="196"/>
      <c r="BQ2" s="196"/>
      <c r="BR2" s="196"/>
      <c r="BS2" s="196"/>
      <c r="BT2" s="196"/>
      <c r="BU2" s="196"/>
      <c r="BV2" s="196"/>
      <c r="BW2" s="196"/>
      <c r="BX2" s="196"/>
      <c r="BY2" s="196"/>
      <c r="BZ2" s="196"/>
      <c r="CA2" s="196"/>
      <c r="CB2" s="196"/>
    </row>
    <row r="3" spans="1:106" ht="39" customHeight="1" thickBot="1" x14ac:dyDescent="0.3">
      <c r="A3" s="184"/>
      <c r="B3" s="742" t="s">
        <v>1098</v>
      </c>
      <c r="C3" s="743"/>
      <c r="D3" s="743"/>
      <c r="E3" s="743"/>
      <c r="F3" s="743"/>
      <c r="G3" s="743"/>
      <c r="H3" s="743"/>
      <c r="I3" s="743"/>
      <c r="J3" s="743"/>
      <c r="K3" s="743"/>
      <c r="L3" s="743"/>
      <c r="M3" s="743"/>
      <c r="N3" s="743"/>
      <c r="O3" s="743"/>
      <c r="P3" s="743"/>
      <c r="Q3" s="743"/>
      <c r="R3" s="743"/>
      <c r="S3" s="743"/>
      <c r="T3" s="743"/>
      <c r="U3" s="743"/>
      <c r="V3" s="743"/>
      <c r="W3" s="743"/>
      <c r="X3" s="743"/>
      <c r="Y3" s="743"/>
      <c r="Z3" s="744"/>
      <c r="AB3" s="190"/>
      <c r="AC3" s="745"/>
      <c r="AD3" s="746"/>
      <c r="AE3" s="746"/>
      <c r="AF3" s="746"/>
      <c r="AG3" s="746"/>
      <c r="AH3" s="746"/>
      <c r="AI3" s="746"/>
      <c r="AJ3" s="746"/>
      <c r="AK3" s="746"/>
      <c r="AL3" s="746"/>
      <c r="AM3" s="746"/>
      <c r="AN3" s="746"/>
      <c r="AO3" s="746"/>
      <c r="AP3" s="746"/>
      <c r="AQ3" s="746"/>
      <c r="AR3" s="746"/>
      <c r="AS3" s="746"/>
      <c r="AT3" s="746"/>
      <c r="AU3" s="746"/>
      <c r="AV3" s="746"/>
      <c r="AW3" s="746"/>
      <c r="AX3" s="746"/>
      <c r="AY3" s="746"/>
      <c r="AZ3" s="747"/>
      <c r="BA3" s="748" t="s">
        <v>172</v>
      </c>
      <c r="BC3" s="674" t="s">
        <v>1099</v>
      </c>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t="s">
        <v>172</v>
      </c>
      <c r="CD3" s="737" t="s">
        <v>1100</v>
      </c>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9"/>
    </row>
    <row r="4" spans="1:106" ht="42" customHeight="1" x14ac:dyDescent="0.25">
      <c r="A4" s="44" t="s">
        <v>173</v>
      </c>
      <c r="B4" s="640" t="str">
        <f>Matrice[[#Headers],[OMR]]</f>
        <v>OMR</v>
      </c>
      <c r="C4" s="640" t="str">
        <f>Matrice[[#Headers],[Verre]]</f>
        <v>Verre</v>
      </c>
      <c r="D4" s="640" t="str">
        <f>Matrice[[#Headers],[RSOM hors verre]]</f>
        <v>RSOM hors verre</v>
      </c>
      <c r="E4" s="640" t="str">
        <f>Matrice[[#Headers],[Déchets des déchèteries]]</f>
        <v>Déchets des déchèteries</v>
      </c>
      <c r="F4" s="640" t="str">
        <f>Matrice[[#Headers],[Flux 5]]</f>
        <v>Flux 5</v>
      </c>
      <c r="G4" s="640" t="str">
        <f>Matrice[[#Headers],[Flux 6]]</f>
        <v>Flux 6</v>
      </c>
      <c r="H4" s="640" t="str">
        <f>Matrice[[#Headers],[Flux 7]]</f>
        <v>Flux 7</v>
      </c>
      <c r="I4" s="640" t="str">
        <f>Matrice[[#Headers],[Flux 8]]</f>
        <v>Flux 8</v>
      </c>
      <c r="J4" s="640" t="str">
        <f>Matrice[[#Headers],[Flux 9]]</f>
        <v>Flux 9</v>
      </c>
      <c r="K4" s="640" t="str">
        <f>Matrice[[#Headers],[Flux 10]]</f>
        <v>Flux 10</v>
      </c>
      <c r="L4" s="640" t="str">
        <f>Matrice[[#Headers],[Flux 11]]</f>
        <v>Flux 11</v>
      </c>
      <c r="M4" s="640" t="str">
        <f>Matrice[[#Headers],[Flux 12]]</f>
        <v>Flux 12</v>
      </c>
      <c r="N4" s="640" t="str">
        <f>Matrice[[#Headers],[Flux 13]]</f>
        <v>Flux 13</v>
      </c>
      <c r="O4" s="640" t="str">
        <f>Matrice[[#Headers],[Flux 14]]</f>
        <v>Flux 14</v>
      </c>
      <c r="P4" s="640" t="str">
        <f>Matrice[[#Headers],[Flux 15]]</f>
        <v>Flux 15</v>
      </c>
      <c r="Q4" s="640" t="str">
        <f>Matrice[[#Headers],[Flux 16]]</f>
        <v>Flux 16</v>
      </c>
      <c r="R4" s="640" t="str">
        <f>Matrice[[#Headers],[Flux 17]]</f>
        <v>Flux 17</v>
      </c>
      <c r="S4" s="640" t="str">
        <f>Matrice[[#Headers],[Flux 18]]</f>
        <v>Flux 18</v>
      </c>
      <c r="T4" s="640" t="str">
        <f>Matrice[[#Headers],[Flux 19]]</f>
        <v>Flux 19</v>
      </c>
      <c r="U4" s="640" t="str">
        <f>Matrice[[#Headers],[Flux 20]]</f>
        <v>Flux 20</v>
      </c>
      <c r="V4" s="640" t="str">
        <f>Matrice[[#Headers],[Flux 21]]</f>
        <v>Flux 21</v>
      </c>
      <c r="W4" s="640" t="str">
        <f>Matrice[[#Headers],[Flux 22]]</f>
        <v>Flux 22</v>
      </c>
      <c r="X4" s="640" t="str">
        <f>Matrice[[#Headers],[Flux 23]]</f>
        <v>Flux 23</v>
      </c>
      <c r="Y4" s="640" t="str">
        <f>Matrice[[#Headers],[Flux 24]]</f>
        <v>Flux 24</v>
      </c>
      <c r="Z4" s="640" t="str">
        <f>Matrice[[#Headers],[Flux 25]]</f>
        <v>Flux 25</v>
      </c>
      <c r="AA4" s="197"/>
      <c r="AB4" s="640" t="str">
        <f t="shared" ref="AB4:AZ4" si="0">B4</f>
        <v>OMR</v>
      </c>
      <c r="AC4" s="187" t="str">
        <f t="shared" si="0"/>
        <v>Verre</v>
      </c>
      <c r="AD4" s="187" t="str">
        <f t="shared" si="0"/>
        <v>RSOM hors verre</v>
      </c>
      <c r="AE4" s="187" t="str">
        <f t="shared" si="0"/>
        <v>Déchets des déchèteries</v>
      </c>
      <c r="AF4" s="187" t="str">
        <f t="shared" si="0"/>
        <v>Flux 5</v>
      </c>
      <c r="AG4" s="187" t="str">
        <f t="shared" si="0"/>
        <v>Flux 6</v>
      </c>
      <c r="AH4" s="187" t="str">
        <f t="shared" si="0"/>
        <v>Flux 7</v>
      </c>
      <c r="AI4" s="187" t="str">
        <f t="shared" si="0"/>
        <v>Flux 8</v>
      </c>
      <c r="AJ4" s="187" t="str">
        <f t="shared" si="0"/>
        <v>Flux 9</v>
      </c>
      <c r="AK4" s="187" t="str">
        <f t="shared" si="0"/>
        <v>Flux 10</v>
      </c>
      <c r="AL4" s="187" t="str">
        <f t="shared" si="0"/>
        <v>Flux 11</v>
      </c>
      <c r="AM4" s="187" t="str">
        <f t="shared" si="0"/>
        <v>Flux 12</v>
      </c>
      <c r="AN4" s="187" t="str">
        <f t="shared" si="0"/>
        <v>Flux 13</v>
      </c>
      <c r="AO4" s="187" t="str">
        <f t="shared" si="0"/>
        <v>Flux 14</v>
      </c>
      <c r="AP4" s="187" t="str">
        <f t="shared" si="0"/>
        <v>Flux 15</v>
      </c>
      <c r="AQ4" s="187" t="str">
        <f t="shared" si="0"/>
        <v>Flux 16</v>
      </c>
      <c r="AR4" s="187" t="str">
        <f t="shared" si="0"/>
        <v>Flux 17</v>
      </c>
      <c r="AS4" s="187" t="str">
        <f t="shared" si="0"/>
        <v>Flux 18</v>
      </c>
      <c r="AT4" s="187" t="str">
        <f t="shared" si="0"/>
        <v>Flux 19</v>
      </c>
      <c r="AU4" s="187" t="str">
        <f t="shared" si="0"/>
        <v>Flux 20</v>
      </c>
      <c r="AV4" s="187" t="str">
        <f t="shared" si="0"/>
        <v>Flux 21</v>
      </c>
      <c r="AW4" s="187" t="str">
        <f t="shared" si="0"/>
        <v>Flux 22</v>
      </c>
      <c r="AX4" s="187" t="str">
        <f t="shared" si="0"/>
        <v>Flux 23</v>
      </c>
      <c r="AY4" s="187" t="str">
        <f t="shared" si="0"/>
        <v>Flux 24</v>
      </c>
      <c r="AZ4" s="187" t="str">
        <f t="shared" si="0"/>
        <v>Flux 25</v>
      </c>
      <c r="BA4" s="675"/>
      <c r="BC4" s="640" t="str">
        <f>AB4</f>
        <v>OMR</v>
      </c>
      <c r="BD4" s="640" t="str">
        <f t="shared" ref="BD4:CA4" si="1">AC4</f>
        <v>Verre</v>
      </c>
      <c r="BE4" s="640" t="str">
        <f t="shared" si="1"/>
        <v>RSOM hors verre</v>
      </c>
      <c r="BF4" s="640" t="str">
        <f t="shared" si="1"/>
        <v>Déchets des déchèteries</v>
      </c>
      <c r="BG4" s="640" t="str">
        <f t="shared" si="1"/>
        <v>Flux 5</v>
      </c>
      <c r="BH4" s="640" t="str">
        <f t="shared" si="1"/>
        <v>Flux 6</v>
      </c>
      <c r="BI4" s="640" t="str">
        <f t="shared" si="1"/>
        <v>Flux 7</v>
      </c>
      <c r="BJ4" s="640" t="str">
        <f t="shared" si="1"/>
        <v>Flux 8</v>
      </c>
      <c r="BK4" s="640" t="str">
        <f t="shared" si="1"/>
        <v>Flux 9</v>
      </c>
      <c r="BL4" s="640" t="str">
        <f t="shared" si="1"/>
        <v>Flux 10</v>
      </c>
      <c r="BM4" s="640" t="str">
        <f t="shared" si="1"/>
        <v>Flux 11</v>
      </c>
      <c r="BN4" s="640" t="str">
        <f t="shared" si="1"/>
        <v>Flux 12</v>
      </c>
      <c r="BO4" s="640" t="str">
        <f t="shared" si="1"/>
        <v>Flux 13</v>
      </c>
      <c r="BP4" s="640" t="str">
        <f t="shared" si="1"/>
        <v>Flux 14</v>
      </c>
      <c r="BQ4" s="640" t="str">
        <f t="shared" si="1"/>
        <v>Flux 15</v>
      </c>
      <c r="BR4" s="640" t="str">
        <f t="shared" si="1"/>
        <v>Flux 16</v>
      </c>
      <c r="BS4" s="640" t="str">
        <f t="shared" si="1"/>
        <v>Flux 17</v>
      </c>
      <c r="BT4" s="640" t="str">
        <f t="shared" si="1"/>
        <v>Flux 18</v>
      </c>
      <c r="BU4" s="640" t="str">
        <f t="shared" si="1"/>
        <v>Flux 19</v>
      </c>
      <c r="BV4" s="640" t="str">
        <f t="shared" si="1"/>
        <v>Flux 20</v>
      </c>
      <c r="BW4" s="640" t="str">
        <f t="shared" si="1"/>
        <v>Flux 21</v>
      </c>
      <c r="BX4" s="640" t="str">
        <f t="shared" si="1"/>
        <v>Flux 22</v>
      </c>
      <c r="BY4" s="640" t="str">
        <f t="shared" si="1"/>
        <v>Flux 23</v>
      </c>
      <c r="BZ4" s="640" t="str">
        <f t="shared" si="1"/>
        <v>Flux 24</v>
      </c>
      <c r="CA4" s="640" t="str">
        <f t="shared" si="1"/>
        <v>Flux 25</v>
      </c>
      <c r="CB4" s="675"/>
      <c r="CD4" s="185" t="str">
        <f>Matrice[[#Headers],[OMR]]</f>
        <v>OMR</v>
      </c>
      <c r="CE4" s="185" t="str">
        <f>Matrice[[#Headers],[Verre]]</f>
        <v>Verre</v>
      </c>
      <c r="CF4" s="185" t="str">
        <f>Matrice[[#Headers],[RSOM hors verre]]</f>
        <v>RSOM hors verre</v>
      </c>
      <c r="CG4" s="185" t="str">
        <f>Matrice[[#Headers],[Déchets des déchèteries]]</f>
        <v>Déchets des déchèteries</v>
      </c>
      <c r="CH4" s="185" t="str">
        <f>Matrice[[#Headers],[Flux 5]]</f>
        <v>Flux 5</v>
      </c>
      <c r="CI4" s="185" t="str">
        <f>Matrice[[#Headers],[Flux 6]]</f>
        <v>Flux 6</v>
      </c>
      <c r="CJ4" s="185" t="str">
        <f>Matrice[[#Headers],[Flux 7]]</f>
        <v>Flux 7</v>
      </c>
      <c r="CK4" s="185" t="str">
        <f>Matrice[[#Headers],[Flux 8]]</f>
        <v>Flux 8</v>
      </c>
      <c r="CL4" s="185" t="str">
        <f>Matrice[[#Headers],[Flux 9]]</f>
        <v>Flux 9</v>
      </c>
      <c r="CM4" s="185" t="str">
        <f>Matrice[[#Headers],[Flux 10]]</f>
        <v>Flux 10</v>
      </c>
      <c r="CN4" s="185" t="str">
        <f>Matrice[[#Headers],[Flux 11]]</f>
        <v>Flux 11</v>
      </c>
      <c r="CO4" s="185" t="str">
        <f>Matrice[[#Headers],[Flux 12]]</f>
        <v>Flux 12</v>
      </c>
      <c r="CP4" s="185" t="str">
        <f>Matrice[[#Headers],[Flux 13]]</f>
        <v>Flux 13</v>
      </c>
      <c r="CQ4" s="185" t="str">
        <f>Matrice[[#Headers],[Flux 14]]</f>
        <v>Flux 14</v>
      </c>
      <c r="CR4" s="185" t="str">
        <f>Matrice[[#Headers],[Flux 15]]</f>
        <v>Flux 15</v>
      </c>
      <c r="CS4" s="185" t="str">
        <f>Matrice[[#Headers],[Flux 16]]</f>
        <v>Flux 16</v>
      </c>
      <c r="CT4" s="185" t="str">
        <f>Matrice[[#Headers],[Flux 17]]</f>
        <v>Flux 17</v>
      </c>
      <c r="CU4" s="185" t="str">
        <f>Matrice[[#Headers],[Flux 18]]</f>
        <v>Flux 18</v>
      </c>
      <c r="CV4" s="185" t="str">
        <f>Matrice[[#Headers],[Flux 19]]</f>
        <v>Flux 19</v>
      </c>
      <c r="CW4" s="185" t="str">
        <f>Matrice[[#Headers],[Flux 20]]</f>
        <v>Flux 20</v>
      </c>
      <c r="CX4" s="185" t="str">
        <f>Matrice[[#Headers],[Flux 21]]</f>
        <v>Flux 21</v>
      </c>
      <c r="CY4" s="185" t="str">
        <f>Matrice[[#Headers],[Flux 22]]</f>
        <v>Flux 22</v>
      </c>
      <c r="CZ4" s="185" t="str">
        <f>Matrice[[#Headers],[Flux 23]]</f>
        <v>Flux 23</v>
      </c>
      <c r="DA4" s="185" t="str">
        <f>Matrice[[#Headers],[Flux 24]]</f>
        <v>Flux 24</v>
      </c>
      <c r="DB4" s="185" t="str">
        <f>Matrice[[#Headers],[Flux 25]]</f>
        <v>Flux 25</v>
      </c>
    </row>
    <row r="5" spans="1:106" x14ac:dyDescent="0.25">
      <c r="A5" s="42" t="str">
        <f>Matrice[[#This Row],[Ligne de la matrice]]</f>
        <v>Charges de structure</v>
      </c>
      <c r="B5" s="276">
        <f>(SUMIF(Fonctionnement[Affectation matrice],$AB$3,Fonctionnement[Montant (€HT)])+SUMIF(Invest[Affectation matrice],$AB$3,Invest[Amortissement HT + intérêts]))*BC5</f>
        <v>0</v>
      </c>
      <c r="C5" s="276">
        <f>(SUMIF(Fonctionnement[Affectation matrice],$AB$3,Fonctionnement[Montant (€HT)])+SUMIF(Invest[Affectation matrice],$AB$3,Invest[Amortissement HT + intérêts]))*BD5</f>
        <v>0</v>
      </c>
      <c r="D5" s="276">
        <f>(SUMIF(Fonctionnement[Affectation matrice],$AB$3,Fonctionnement[Montant (€HT)])+SUMIF(Invest[Affectation matrice],$AB$3,Invest[Amortissement HT + intérêts]))*BE5</f>
        <v>0</v>
      </c>
      <c r="E5" s="276">
        <f>(SUMIF(Fonctionnement[Affectation matrice],$AB$3,Fonctionnement[Montant (€HT)])+SUMIF(Invest[Affectation matrice],$AB$3,Invest[Amortissement HT + intérêts]))*BF5</f>
        <v>0</v>
      </c>
      <c r="F5" s="276">
        <f>(SUMIF(Fonctionnement[Affectation matrice],$AB$3,Fonctionnement[Montant (€HT)])+SUMIF(Invest[Affectation matrice],$AB$3,Invest[Amortissement HT + intérêts]))*BG5</f>
        <v>0</v>
      </c>
      <c r="G5" s="276">
        <f>(SUMIF(Fonctionnement[Affectation matrice],$AB$3,Fonctionnement[Montant (€HT)])+SUMIF(Invest[Affectation matrice],$AB$3,Invest[Amortissement HT + intérêts]))*BH5</f>
        <v>0</v>
      </c>
      <c r="H5" s="276">
        <f>(SUMIF(Fonctionnement[Affectation matrice],$AB$3,Fonctionnement[Montant (€HT)])+SUMIF(Invest[Affectation matrice],$AB$3,Invest[Amortissement HT + intérêts]))*BI5</f>
        <v>0</v>
      </c>
      <c r="I5" s="276">
        <f>(SUMIF(Fonctionnement[Affectation matrice],$AB$3,Fonctionnement[Montant (€HT)])+SUMIF(Invest[Affectation matrice],$AB$3,Invest[Amortissement HT + intérêts]))*BJ5</f>
        <v>0</v>
      </c>
      <c r="J5" s="276">
        <f>(SUMIF(Fonctionnement[Affectation matrice],$AB$3,Fonctionnement[Montant (€HT)])+SUMIF(Invest[Affectation matrice],$AB$3,Invest[Amortissement HT + intérêts]))*BK5</f>
        <v>0</v>
      </c>
      <c r="K5" s="276">
        <f>(SUMIF(Fonctionnement[Affectation matrice],$AB$3,Fonctionnement[Montant (€HT)])+SUMIF(Invest[Affectation matrice],$AB$3,Invest[Amortissement HT + intérêts]))*BL5</f>
        <v>0</v>
      </c>
      <c r="L5" s="276">
        <f>(SUMIF(Fonctionnement[Affectation matrice],$AB$3,Fonctionnement[Montant (€HT)])+SUMIF(Invest[Affectation matrice],$AB$3,Invest[Amortissement HT + intérêts]))*BM5</f>
        <v>0</v>
      </c>
      <c r="M5" s="276">
        <f>(SUMIF(Fonctionnement[Affectation matrice],$AB$3,Fonctionnement[Montant (€HT)])+SUMIF(Invest[Affectation matrice],$AB$3,Invest[Amortissement HT + intérêts]))*BN5</f>
        <v>0</v>
      </c>
      <c r="N5" s="276">
        <f>(SUMIF(Fonctionnement[Affectation matrice],$AB$3,Fonctionnement[Montant (€HT)])+SUMIF(Invest[Affectation matrice],$AB$3,Invest[Amortissement HT + intérêts]))*BO5</f>
        <v>0</v>
      </c>
      <c r="O5" s="276">
        <f>(SUMIF(Fonctionnement[Affectation matrice],$AB$3,Fonctionnement[Montant (€HT)])+SUMIF(Invest[Affectation matrice],$AB$3,Invest[Amortissement HT + intérêts]))*BP5</f>
        <v>0</v>
      </c>
      <c r="P5" s="276">
        <f>(SUMIF(Fonctionnement[Affectation matrice],$AB$3,Fonctionnement[Montant (€HT)])+SUMIF(Invest[Affectation matrice],$AB$3,Invest[Amortissement HT + intérêts]))*BQ5</f>
        <v>0</v>
      </c>
      <c r="Q5" s="276">
        <f>(SUMIF(Fonctionnement[Affectation matrice],$AB$3,Fonctionnement[Montant (€HT)])+SUMIF(Invest[Affectation matrice],$AB$3,Invest[Amortissement HT + intérêts]))*BR5</f>
        <v>0</v>
      </c>
      <c r="R5" s="276">
        <f>(SUMIF(Fonctionnement[Affectation matrice],$AB$3,Fonctionnement[Montant (€HT)])+SUMIF(Invest[Affectation matrice],$AB$3,Invest[Amortissement HT + intérêts]))*BS5</f>
        <v>0</v>
      </c>
      <c r="S5" s="276">
        <f>(SUMIF(Fonctionnement[Affectation matrice],$AB$3,Fonctionnement[Montant (€HT)])+SUMIF(Invest[Affectation matrice],$AB$3,Invest[Amortissement HT + intérêts]))*BT5</f>
        <v>0</v>
      </c>
      <c r="T5" s="276">
        <f>(SUMIF(Fonctionnement[Affectation matrice],$AB$3,Fonctionnement[Montant (€HT)])+SUMIF(Invest[Affectation matrice],$AB$3,Invest[Amortissement HT + intérêts]))*BU5</f>
        <v>0</v>
      </c>
      <c r="U5" s="276">
        <f>(SUMIF(Fonctionnement[Affectation matrice],$AB$3,Fonctionnement[Montant (€HT)])+SUMIF(Invest[Affectation matrice],$AB$3,Invest[Amortissement HT + intérêts]))*BV5</f>
        <v>0</v>
      </c>
      <c r="V5" s="276">
        <f>(SUMIF(Fonctionnement[Affectation matrice],$AB$3,Fonctionnement[Montant (€HT)])+SUMIF(Invest[Affectation matrice],$AB$3,Invest[Amortissement HT + intérêts]))*BW5</f>
        <v>0</v>
      </c>
      <c r="W5" s="276">
        <f>(SUMIF(Fonctionnement[Affectation matrice],$AB$3,Fonctionnement[Montant (€HT)])+SUMIF(Invest[Affectation matrice],$AB$3,Invest[Amortissement HT + intérêts]))*BX5</f>
        <v>0</v>
      </c>
      <c r="X5" s="276">
        <f>(SUMIF(Fonctionnement[Affectation matrice],$AB$3,Fonctionnement[Montant (€HT)])+SUMIF(Invest[Affectation matrice],$AB$3,Invest[Amortissement HT + intérêts]))*BY5</f>
        <v>0</v>
      </c>
      <c r="Y5" s="276">
        <f>(SUMIF(Fonctionnement[Affectation matrice],$AB$3,Fonctionnement[Montant (€HT)])+SUMIF(Invest[Affectation matrice],$AB$3,Invest[Amortissement HT + intérêts]))*BZ5</f>
        <v>0</v>
      </c>
      <c r="Z5" s="276">
        <f>(SUMIF(Fonctionnement[Affectation matrice],$AB$3,Fonctionnement[Montant (€HT)])+SUMIF(Invest[Affectation matrice],$AB$3,Invest[Amortissement HT + intérêts]))*CA5</f>
        <v>0</v>
      </c>
      <c r="AA5" s="199"/>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83">
        <f>SUM(AB5:AZ5)</f>
        <v>0</v>
      </c>
      <c r="BC5" s="61">
        <f t="shared" ref="BC5:BR20" si="2">IF($BA$53=0,0,AB5/$BA$53)</f>
        <v>0</v>
      </c>
      <c r="BD5" s="61">
        <f t="shared" si="2"/>
        <v>0</v>
      </c>
      <c r="BE5" s="61">
        <f t="shared" si="2"/>
        <v>0</v>
      </c>
      <c r="BF5" s="61">
        <f t="shared" si="2"/>
        <v>0</v>
      </c>
      <c r="BG5" s="61">
        <f t="shared" si="2"/>
        <v>0</v>
      </c>
      <c r="BH5" s="61">
        <f t="shared" si="2"/>
        <v>0</v>
      </c>
      <c r="BI5" s="61">
        <f t="shared" si="2"/>
        <v>0</v>
      </c>
      <c r="BJ5" s="61">
        <f t="shared" si="2"/>
        <v>0</v>
      </c>
      <c r="BK5" s="61">
        <f t="shared" si="2"/>
        <v>0</v>
      </c>
      <c r="BL5" s="61">
        <f t="shared" si="2"/>
        <v>0</v>
      </c>
      <c r="BM5" s="61">
        <f t="shared" si="2"/>
        <v>0</v>
      </c>
      <c r="BN5" s="61">
        <f t="shared" si="2"/>
        <v>0</v>
      </c>
      <c r="BO5" s="61">
        <f t="shared" si="2"/>
        <v>0</v>
      </c>
      <c r="BP5" s="61">
        <f t="shared" si="2"/>
        <v>0</v>
      </c>
      <c r="BQ5" s="61">
        <f t="shared" si="2"/>
        <v>0</v>
      </c>
      <c r="BR5" s="61">
        <f t="shared" si="2"/>
        <v>0</v>
      </c>
      <c r="BS5" s="61">
        <f t="shared" ref="BS5:CA22" si="3">IF($BA$53=0,0,AR5/$BA$53)</f>
        <v>0</v>
      </c>
      <c r="BT5" s="61">
        <f t="shared" si="3"/>
        <v>0</v>
      </c>
      <c r="BU5" s="61">
        <f t="shared" si="3"/>
        <v>0</v>
      </c>
      <c r="BV5" s="61">
        <f t="shared" si="3"/>
        <v>0</v>
      </c>
      <c r="BW5" s="61">
        <f t="shared" si="3"/>
        <v>0</v>
      </c>
      <c r="BX5" s="61">
        <f t="shared" si="3"/>
        <v>0</v>
      </c>
      <c r="BY5" s="61">
        <f t="shared" si="3"/>
        <v>0</v>
      </c>
      <c r="BZ5" s="61">
        <f t="shared" si="3"/>
        <v>0</v>
      </c>
      <c r="CA5" s="61">
        <f t="shared" si="3"/>
        <v>0</v>
      </c>
      <c r="CB5" s="61">
        <f>SUM(BC5:CA5)</f>
        <v>0</v>
      </c>
      <c r="CD5" s="200">
        <f>(SUMIF(Fonctionnement[Affectation matrice],$AB$3,Fonctionnement[TVA acquittée])+SUMIF(Invest[Affectation matrice],$AB$3,Invest[TVA acquittée]))*BC5</f>
        <v>0</v>
      </c>
      <c r="CE5" s="200">
        <f>(SUMIF(Fonctionnement[Affectation matrice],$AB$3,Fonctionnement[TVA acquittée])+SUMIF(Invest[Affectation matrice],$AB$3,Invest[TVA acquittée]))*BD5</f>
        <v>0</v>
      </c>
      <c r="CF5" s="200">
        <f>(SUMIF(Fonctionnement[Affectation matrice],$AB$3,Fonctionnement[TVA acquittée])+SUMIF(Invest[Affectation matrice],$AB$3,Invest[TVA acquittée]))*BE5</f>
        <v>0</v>
      </c>
      <c r="CG5" s="200">
        <f>(SUMIF(Fonctionnement[Affectation matrice],$AB$3,Fonctionnement[TVA acquittée])+SUMIF(Invest[Affectation matrice],$AB$3,Invest[TVA acquittée]))*BF5</f>
        <v>0</v>
      </c>
      <c r="CH5" s="200">
        <f>(SUMIF(Fonctionnement[Affectation matrice],$AB$3,Fonctionnement[TVA acquittée])+SUMIF(Invest[Affectation matrice],$AB$3,Invest[TVA acquittée]))*BG5</f>
        <v>0</v>
      </c>
      <c r="CI5" s="200">
        <f>(SUMIF(Fonctionnement[Affectation matrice],$AB$3,Fonctionnement[TVA acquittée])+SUMIF(Invest[Affectation matrice],$AB$3,Invest[TVA acquittée]))*BH5</f>
        <v>0</v>
      </c>
      <c r="CJ5" s="200">
        <f>(SUMIF(Fonctionnement[Affectation matrice],$AB$3,Fonctionnement[TVA acquittée])+SUMIF(Invest[Affectation matrice],$AB$3,Invest[TVA acquittée]))*BI5</f>
        <v>0</v>
      </c>
      <c r="CK5" s="200">
        <f>(SUMIF(Fonctionnement[Affectation matrice],$AB$3,Fonctionnement[TVA acquittée])+SUMIF(Invest[Affectation matrice],$AB$3,Invest[TVA acquittée]))*BJ5</f>
        <v>0</v>
      </c>
      <c r="CL5" s="200">
        <f>(SUMIF(Fonctionnement[Affectation matrice],$AB$3,Fonctionnement[TVA acquittée])+SUMIF(Invest[Affectation matrice],$AB$3,Invest[TVA acquittée]))*BK5</f>
        <v>0</v>
      </c>
      <c r="CM5" s="200">
        <f>(SUMIF(Fonctionnement[Affectation matrice],$AB$3,Fonctionnement[TVA acquittée])+SUMIF(Invest[Affectation matrice],$AB$3,Invest[TVA acquittée]))*BL5</f>
        <v>0</v>
      </c>
      <c r="CN5" s="200">
        <f>(SUMIF(Fonctionnement[Affectation matrice],$AB$3,Fonctionnement[TVA acquittée])+SUMIF(Invest[Affectation matrice],$AB$3,Invest[TVA acquittée]))*BM5</f>
        <v>0</v>
      </c>
      <c r="CO5" s="200">
        <f>(SUMIF(Fonctionnement[Affectation matrice],$AB$3,Fonctionnement[TVA acquittée])+SUMIF(Invest[Affectation matrice],$AB$3,Invest[TVA acquittée]))*BN5</f>
        <v>0</v>
      </c>
      <c r="CP5" s="200">
        <f>(SUMIF(Fonctionnement[Affectation matrice],$AB$3,Fonctionnement[TVA acquittée])+SUMIF(Invest[Affectation matrice],$AB$3,Invest[TVA acquittée]))*BO5</f>
        <v>0</v>
      </c>
      <c r="CQ5" s="200">
        <f>(SUMIF(Fonctionnement[Affectation matrice],$AB$3,Fonctionnement[TVA acquittée])+SUMIF(Invest[Affectation matrice],$AB$3,Invest[TVA acquittée]))*BP5</f>
        <v>0</v>
      </c>
      <c r="CR5" s="200">
        <f>(SUMIF(Fonctionnement[Affectation matrice],$AB$3,Fonctionnement[TVA acquittée])+SUMIF(Invest[Affectation matrice],$AB$3,Invest[TVA acquittée]))*BQ5</f>
        <v>0</v>
      </c>
      <c r="CS5" s="200">
        <f>(SUMIF(Fonctionnement[Affectation matrice],$AB$3,Fonctionnement[TVA acquittée])+SUMIF(Invest[Affectation matrice],$AB$3,Invest[TVA acquittée]))*BR5</f>
        <v>0</v>
      </c>
      <c r="CT5" s="200">
        <f>(SUMIF(Fonctionnement[Affectation matrice],$AB$3,Fonctionnement[TVA acquittée])+SUMIF(Invest[Affectation matrice],$AB$3,Invest[TVA acquittée]))*BS5</f>
        <v>0</v>
      </c>
      <c r="CU5" s="200">
        <f>(SUMIF(Fonctionnement[Affectation matrice],$AB$3,Fonctionnement[TVA acquittée])+SUMIF(Invest[Affectation matrice],$AB$3,Invest[TVA acquittée]))*BT5</f>
        <v>0</v>
      </c>
      <c r="CV5" s="200">
        <f>(SUMIF(Fonctionnement[Affectation matrice],$AB$3,Fonctionnement[TVA acquittée])+SUMIF(Invest[Affectation matrice],$AB$3,Invest[TVA acquittée]))*BU5</f>
        <v>0</v>
      </c>
      <c r="CW5" s="200">
        <f>(SUMIF(Fonctionnement[Affectation matrice],$AB$3,Fonctionnement[TVA acquittée])+SUMIF(Invest[Affectation matrice],$AB$3,Invest[TVA acquittée]))*BV5</f>
        <v>0</v>
      </c>
      <c r="CX5" s="200">
        <f>(SUMIF(Fonctionnement[Affectation matrice],$AB$3,Fonctionnement[TVA acquittée])+SUMIF(Invest[Affectation matrice],$AB$3,Invest[TVA acquittée]))*BW5</f>
        <v>0</v>
      </c>
      <c r="CY5" s="200">
        <f>(SUMIF(Fonctionnement[Affectation matrice],$AB$3,Fonctionnement[TVA acquittée])+SUMIF(Invest[Affectation matrice],$AB$3,Invest[TVA acquittée]))*BX5</f>
        <v>0</v>
      </c>
      <c r="CZ5" s="200">
        <f>(SUMIF(Fonctionnement[Affectation matrice],$AB$3,Fonctionnement[TVA acquittée])+SUMIF(Invest[Affectation matrice],$AB$3,Invest[TVA acquittée]))*BY5</f>
        <v>0</v>
      </c>
      <c r="DA5" s="200">
        <f>(SUMIF(Fonctionnement[Affectation matrice],$AB$3,Fonctionnement[TVA acquittée])+SUMIF(Invest[Affectation matrice],$AB$3,Invest[TVA acquittée]))*BZ5</f>
        <v>0</v>
      </c>
      <c r="DB5" s="200">
        <f>(SUMIF(Fonctionnement[Affectation matrice],$AB$3,Fonctionnement[TVA acquittée])+SUMIF(Invest[Affectation matrice],$AB$3,Invest[TVA acquittée]))*CA5</f>
        <v>0</v>
      </c>
    </row>
    <row r="6" spans="1:106" ht="15" customHeight="1" x14ac:dyDescent="0.25">
      <c r="A6" s="42" t="str">
        <f>Matrice[[#This Row],[Ligne de la matrice]]</f>
        <v>Communication</v>
      </c>
      <c r="B6" s="276">
        <f>(SUMIF(Fonctionnement[Affectation matrice],$AB$3,Fonctionnement[Montant (€HT)])+SUMIF(Invest[Affectation matrice],$AB$3,Invest[Amortissement HT + intérêts]))*BC6</f>
        <v>0</v>
      </c>
      <c r="C6" s="276">
        <f>(SUMIF(Fonctionnement[Affectation matrice],$AB$3,Fonctionnement[Montant (€HT)])+SUMIF(Invest[Affectation matrice],$AB$3,Invest[Amortissement HT + intérêts]))*BD6</f>
        <v>0</v>
      </c>
      <c r="D6" s="276">
        <f>(SUMIF(Fonctionnement[Affectation matrice],$AB$3,Fonctionnement[Montant (€HT)])+SUMIF(Invest[Affectation matrice],$AB$3,Invest[Amortissement HT + intérêts]))*BE6</f>
        <v>0</v>
      </c>
      <c r="E6" s="276">
        <f>(SUMIF(Fonctionnement[Affectation matrice],$AB$3,Fonctionnement[Montant (€HT)])+SUMIF(Invest[Affectation matrice],$AB$3,Invest[Amortissement HT + intérêts]))*BF6</f>
        <v>0</v>
      </c>
      <c r="F6" s="276">
        <f>(SUMIF(Fonctionnement[Affectation matrice],$AB$3,Fonctionnement[Montant (€HT)])+SUMIF(Invest[Affectation matrice],$AB$3,Invest[Amortissement HT + intérêts]))*BG6</f>
        <v>0</v>
      </c>
      <c r="G6" s="276">
        <f>(SUMIF(Fonctionnement[Affectation matrice],$AB$3,Fonctionnement[Montant (€HT)])+SUMIF(Invest[Affectation matrice],$AB$3,Invest[Amortissement HT + intérêts]))*BH6</f>
        <v>0</v>
      </c>
      <c r="H6" s="276">
        <f>(SUMIF(Fonctionnement[Affectation matrice],$AB$3,Fonctionnement[Montant (€HT)])+SUMIF(Invest[Affectation matrice],$AB$3,Invest[Amortissement HT + intérêts]))*BI6</f>
        <v>0</v>
      </c>
      <c r="I6" s="276">
        <f>(SUMIF(Fonctionnement[Affectation matrice],$AB$3,Fonctionnement[Montant (€HT)])+SUMIF(Invest[Affectation matrice],$AB$3,Invest[Amortissement HT + intérêts]))*BJ6</f>
        <v>0</v>
      </c>
      <c r="J6" s="276">
        <f>(SUMIF(Fonctionnement[Affectation matrice],$AB$3,Fonctionnement[Montant (€HT)])+SUMIF(Invest[Affectation matrice],$AB$3,Invest[Amortissement HT + intérêts]))*BK6</f>
        <v>0</v>
      </c>
      <c r="K6" s="276">
        <f>(SUMIF(Fonctionnement[Affectation matrice],$AB$3,Fonctionnement[Montant (€HT)])+SUMIF(Invest[Affectation matrice],$AB$3,Invest[Amortissement HT + intérêts]))*BL6</f>
        <v>0</v>
      </c>
      <c r="L6" s="276">
        <f>(SUMIF(Fonctionnement[Affectation matrice],$AB$3,Fonctionnement[Montant (€HT)])+SUMIF(Invest[Affectation matrice],$AB$3,Invest[Amortissement HT + intérêts]))*BM6</f>
        <v>0</v>
      </c>
      <c r="M6" s="276">
        <f>(SUMIF(Fonctionnement[Affectation matrice],$AB$3,Fonctionnement[Montant (€HT)])+SUMIF(Invest[Affectation matrice],$AB$3,Invest[Amortissement HT + intérêts]))*BN6</f>
        <v>0</v>
      </c>
      <c r="N6" s="276">
        <f>(SUMIF(Fonctionnement[Affectation matrice],$AB$3,Fonctionnement[Montant (€HT)])+SUMIF(Invest[Affectation matrice],$AB$3,Invest[Amortissement HT + intérêts]))*BO6</f>
        <v>0</v>
      </c>
      <c r="O6" s="276">
        <f>(SUMIF(Fonctionnement[Affectation matrice],$AB$3,Fonctionnement[Montant (€HT)])+SUMIF(Invest[Affectation matrice],$AB$3,Invest[Amortissement HT + intérêts]))*BP6</f>
        <v>0</v>
      </c>
      <c r="P6" s="276">
        <f>(SUMIF(Fonctionnement[Affectation matrice],$AB$3,Fonctionnement[Montant (€HT)])+SUMIF(Invest[Affectation matrice],$AB$3,Invest[Amortissement HT + intérêts]))*BQ6</f>
        <v>0</v>
      </c>
      <c r="Q6" s="276">
        <f>(SUMIF(Fonctionnement[Affectation matrice],$AB$3,Fonctionnement[Montant (€HT)])+SUMIF(Invest[Affectation matrice],$AB$3,Invest[Amortissement HT + intérêts]))*BR6</f>
        <v>0</v>
      </c>
      <c r="R6" s="276">
        <f>(SUMIF(Fonctionnement[Affectation matrice],$AB$3,Fonctionnement[Montant (€HT)])+SUMIF(Invest[Affectation matrice],$AB$3,Invest[Amortissement HT + intérêts]))*BS6</f>
        <v>0</v>
      </c>
      <c r="S6" s="276">
        <f>(SUMIF(Fonctionnement[Affectation matrice],$AB$3,Fonctionnement[Montant (€HT)])+SUMIF(Invest[Affectation matrice],$AB$3,Invest[Amortissement HT + intérêts]))*BT6</f>
        <v>0</v>
      </c>
      <c r="T6" s="276">
        <f>(SUMIF(Fonctionnement[Affectation matrice],$AB$3,Fonctionnement[Montant (€HT)])+SUMIF(Invest[Affectation matrice],$AB$3,Invest[Amortissement HT + intérêts]))*BU6</f>
        <v>0</v>
      </c>
      <c r="U6" s="276">
        <f>(SUMIF(Fonctionnement[Affectation matrice],$AB$3,Fonctionnement[Montant (€HT)])+SUMIF(Invest[Affectation matrice],$AB$3,Invest[Amortissement HT + intérêts]))*BV6</f>
        <v>0</v>
      </c>
      <c r="V6" s="276">
        <f>(SUMIF(Fonctionnement[Affectation matrice],$AB$3,Fonctionnement[Montant (€HT)])+SUMIF(Invest[Affectation matrice],$AB$3,Invest[Amortissement HT + intérêts]))*BW6</f>
        <v>0</v>
      </c>
      <c r="W6" s="276">
        <f>(SUMIF(Fonctionnement[Affectation matrice],$AB$3,Fonctionnement[Montant (€HT)])+SUMIF(Invest[Affectation matrice],$AB$3,Invest[Amortissement HT + intérêts]))*BX6</f>
        <v>0</v>
      </c>
      <c r="X6" s="276">
        <f>(SUMIF(Fonctionnement[Affectation matrice],$AB$3,Fonctionnement[Montant (€HT)])+SUMIF(Invest[Affectation matrice],$AB$3,Invest[Amortissement HT + intérêts]))*BY6</f>
        <v>0</v>
      </c>
      <c r="Y6" s="276">
        <f>(SUMIF(Fonctionnement[Affectation matrice],$AB$3,Fonctionnement[Montant (€HT)])+SUMIF(Invest[Affectation matrice],$AB$3,Invest[Amortissement HT + intérêts]))*BZ6</f>
        <v>0</v>
      </c>
      <c r="Z6" s="276">
        <f>(SUMIF(Fonctionnement[Affectation matrice],$AB$3,Fonctionnement[Montant (€HT)])+SUMIF(Invest[Affectation matrice],$AB$3,Invest[Amortissement HT + intérêts]))*CA6</f>
        <v>0</v>
      </c>
      <c r="AA6" s="199"/>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283">
        <f>SUM(AB6:AZ6)</f>
        <v>0</v>
      </c>
      <c r="BC6" s="61">
        <f t="shared" si="2"/>
        <v>0</v>
      </c>
      <c r="BD6" s="61">
        <f t="shared" si="2"/>
        <v>0</v>
      </c>
      <c r="BE6" s="61">
        <f t="shared" si="2"/>
        <v>0</v>
      </c>
      <c r="BF6" s="61">
        <f t="shared" si="2"/>
        <v>0</v>
      </c>
      <c r="BG6" s="61">
        <f t="shared" si="2"/>
        <v>0</v>
      </c>
      <c r="BH6" s="61">
        <f t="shared" si="2"/>
        <v>0</v>
      </c>
      <c r="BI6" s="61">
        <f t="shared" si="2"/>
        <v>0</v>
      </c>
      <c r="BJ6" s="61">
        <f t="shared" si="2"/>
        <v>0</v>
      </c>
      <c r="BK6" s="61">
        <f t="shared" si="2"/>
        <v>0</v>
      </c>
      <c r="BL6" s="61">
        <f t="shared" si="2"/>
        <v>0</v>
      </c>
      <c r="BM6" s="61">
        <f t="shared" si="2"/>
        <v>0</v>
      </c>
      <c r="BN6" s="61">
        <f t="shared" si="2"/>
        <v>0</v>
      </c>
      <c r="BO6" s="61">
        <f t="shared" si="2"/>
        <v>0</v>
      </c>
      <c r="BP6" s="61">
        <f t="shared" si="2"/>
        <v>0</v>
      </c>
      <c r="BQ6" s="61">
        <f t="shared" si="2"/>
        <v>0</v>
      </c>
      <c r="BR6" s="61">
        <f t="shared" si="2"/>
        <v>0</v>
      </c>
      <c r="BS6" s="61">
        <f t="shared" si="3"/>
        <v>0</v>
      </c>
      <c r="BT6" s="61">
        <f t="shared" si="3"/>
        <v>0</v>
      </c>
      <c r="BU6" s="61">
        <f t="shared" si="3"/>
        <v>0</v>
      </c>
      <c r="BV6" s="61">
        <f t="shared" si="3"/>
        <v>0</v>
      </c>
      <c r="BW6" s="61">
        <f t="shared" si="3"/>
        <v>0</v>
      </c>
      <c r="BX6" s="61">
        <f t="shared" si="3"/>
        <v>0</v>
      </c>
      <c r="BY6" s="61">
        <f t="shared" si="3"/>
        <v>0</v>
      </c>
      <c r="BZ6" s="61">
        <f t="shared" si="3"/>
        <v>0</v>
      </c>
      <c r="CA6" s="61">
        <f t="shared" si="3"/>
        <v>0</v>
      </c>
      <c r="CB6" s="61">
        <f>SUM(BC6:CA6)</f>
        <v>0</v>
      </c>
      <c r="CD6" s="200">
        <f>(SUMIF(Fonctionnement[Affectation matrice],$AB$3,Fonctionnement[TVA acquittée])+SUMIF(Invest[Affectation matrice],$AB$3,Invest[TVA acquittée]))*BC6</f>
        <v>0</v>
      </c>
      <c r="CE6" s="200">
        <f>(SUMIF(Fonctionnement[Affectation matrice],$AB$3,Fonctionnement[TVA acquittée])+SUMIF(Invest[Affectation matrice],$AB$3,Invest[TVA acquittée]))*BD6</f>
        <v>0</v>
      </c>
      <c r="CF6" s="200">
        <f>(SUMIF(Fonctionnement[Affectation matrice],$AB$3,Fonctionnement[TVA acquittée])+SUMIF(Invest[Affectation matrice],$AB$3,Invest[TVA acquittée]))*BE6</f>
        <v>0</v>
      </c>
      <c r="CG6" s="200">
        <f>(SUMIF(Fonctionnement[Affectation matrice],$AB$3,Fonctionnement[TVA acquittée])+SUMIF(Invest[Affectation matrice],$AB$3,Invest[TVA acquittée]))*BF6</f>
        <v>0</v>
      </c>
      <c r="CH6" s="200">
        <f>(SUMIF(Fonctionnement[Affectation matrice],$AB$3,Fonctionnement[TVA acquittée])+SUMIF(Invest[Affectation matrice],$AB$3,Invest[TVA acquittée]))*BG6</f>
        <v>0</v>
      </c>
      <c r="CI6" s="200">
        <f>(SUMIF(Fonctionnement[Affectation matrice],$AB$3,Fonctionnement[TVA acquittée])+SUMIF(Invest[Affectation matrice],$AB$3,Invest[TVA acquittée]))*BH6</f>
        <v>0</v>
      </c>
      <c r="CJ6" s="200">
        <f>(SUMIF(Fonctionnement[Affectation matrice],$AB$3,Fonctionnement[TVA acquittée])+SUMIF(Invest[Affectation matrice],$AB$3,Invest[TVA acquittée]))*BI6</f>
        <v>0</v>
      </c>
      <c r="CK6" s="200">
        <f>(SUMIF(Fonctionnement[Affectation matrice],$AB$3,Fonctionnement[TVA acquittée])+SUMIF(Invest[Affectation matrice],$AB$3,Invest[TVA acquittée]))*BJ6</f>
        <v>0</v>
      </c>
      <c r="CL6" s="200">
        <f>(SUMIF(Fonctionnement[Affectation matrice],$AB$3,Fonctionnement[TVA acquittée])+SUMIF(Invest[Affectation matrice],$AB$3,Invest[TVA acquittée]))*BK6</f>
        <v>0</v>
      </c>
      <c r="CM6" s="200">
        <f>(SUMIF(Fonctionnement[Affectation matrice],$AB$3,Fonctionnement[TVA acquittée])+SUMIF(Invest[Affectation matrice],$AB$3,Invest[TVA acquittée]))*BL6</f>
        <v>0</v>
      </c>
      <c r="CN6" s="200">
        <f>(SUMIF(Fonctionnement[Affectation matrice],$AB$3,Fonctionnement[TVA acquittée])+SUMIF(Invest[Affectation matrice],$AB$3,Invest[TVA acquittée]))*BM6</f>
        <v>0</v>
      </c>
      <c r="CO6" s="200">
        <f>(SUMIF(Fonctionnement[Affectation matrice],$AB$3,Fonctionnement[TVA acquittée])+SUMIF(Invest[Affectation matrice],$AB$3,Invest[TVA acquittée]))*BN6</f>
        <v>0</v>
      </c>
      <c r="CP6" s="200">
        <f>(SUMIF(Fonctionnement[Affectation matrice],$AB$3,Fonctionnement[TVA acquittée])+SUMIF(Invest[Affectation matrice],$AB$3,Invest[TVA acquittée]))*BO6</f>
        <v>0</v>
      </c>
      <c r="CQ6" s="200">
        <f>(SUMIF(Fonctionnement[Affectation matrice],$AB$3,Fonctionnement[TVA acquittée])+SUMIF(Invest[Affectation matrice],$AB$3,Invest[TVA acquittée]))*BP6</f>
        <v>0</v>
      </c>
      <c r="CR6" s="200">
        <f>(SUMIF(Fonctionnement[Affectation matrice],$AB$3,Fonctionnement[TVA acquittée])+SUMIF(Invest[Affectation matrice],$AB$3,Invest[TVA acquittée]))*BQ6</f>
        <v>0</v>
      </c>
      <c r="CS6" s="200">
        <f>(SUMIF(Fonctionnement[Affectation matrice],$AB$3,Fonctionnement[TVA acquittée])+SUMIF(Invest[Affectation matrice],$AB$3,Invest[TVA acquittée]))*BR6</f>
        <v>0</v>
      </c>
      <c r="CT6" s="200">
        <f>(SUMIF(Fonctionnement[Affectation matrice],$AB$3,Fonctionnement[TVA acquittée])+SUMIF(Invest[Affectation matrice],$AB$3,Invest[TVA acquittée]))*BS6</f>
        <v>0</v>
      </c>
      <c r="CU6" s="200">
        <f>(SUMIF(Fonctionnement[Affectation matrice],$AB$3,Fonctionnement[TVA acquittée])+SUMIF(Invest[Affectation matrice],$AB$3,Invest[TVA acquittée]))*BT6</f>
        <v>0</v>
      </c>
      <c r="CV6" s="200">
        <f>(SUMIF(Fonctionnement[Affectation matrice],$AB$3,Fonctionnement[TVA acquittée])+SUMIF(Invest[Affectation matrice],$AB$3,Invest[TVA acquittée]))*BU6</f>
        <v>0</v>
      </c>
      <c r="CW6" s="200">
        <f>(SUMIF(Fonctionnement[Affectation matrice],$AB$3,Fonctionnement[TVA acquittée])+SUMIF(Invest[Affectation matrice],$AB$3,Invest[TVA acquittée]))*BV6</f>
        <v>0</v>
      </c>
      <c r="CX6" s="200">
        <f>(SUMIF(Fonctionnement[Affectation matrice],$AB$3,Fonctionnement[TVA acquittée])+SUMIF(Invest[Affectation matrice],$AB$3,Invest[TVA acquittée]))*BW6</f>
        <v>0</v>
      </c>
      <c r="CY6" s="200">
        <f>(SUMIF(Fonctionnement[Affectation matrice],$AB$3,Fonctionnement[TVA acquittée])+SUMIF(Invest[Affectation matrice],$AB$3,Invest[TVA acquittée]))*BX6</f>
        <v>0</v>
      </c>
      <c r="CZ6" s="200">
        <f>(SUMIF(Fonctionnement[Affectation matrice],$AB$3,Fonctionnement[TVA acquittée])+SUMIF(Invest[Affectation matrice],$AB$3,Invest[TVA acquittée]))*BY6</f>
        <v>0</v>
      </c>
      <c r="DA6" s="200">
        <f>(SUMIF(Fonctionnement[Affectation matrice],$AB$3,Fonctionnement[TVA acquittée])+SUMIF(Invest[Affectation matrice],$AB$3,Invest[TVA acquittée]))*BZ6</f>
        <v>0</v>
      </c>
      <c r="DB6" s="200">
        <f>(SUMIF(Fonctionnement[Affectation matrice],$AB$3,Fonctionnement[TVA acquittée])+SUMIF(Invest[Affectation matrice],$AB$3,Invest[TVA acquittée]))*CA6</f>
        <v>0</v>
      </c>
    </row>
    <row r="7" spans="1:106" ht="15" customHeight="1" x14ac:dyDescent="0.25">
      <c r="A7" s="42" t="str">
        <f>Matrice[[#This Row],[Ligne de la matrice]]</f>
        <v>Prévention</v>
      </c>
      <c r="B7" s="276">
        <f>(SUMIF(Fonctionnement[Affectation matrice],$AB$3,Fonctionnement[Montant (€HT)])+SUMIF(Invest[Affectation matrice],$AB$3,Invest[Amortissement HT + intérêts]))*BC7</f>
        <v>0</v>
      </c>
      <c r="C7" s="276">
        <f>(SUMIF(Fonctionnement[Affectation matrice],$AB$3,Fonctionnement[Montant (€HT)])+SUMIF(Invest[Affectation matrice],$AB$3,Invest[Amortissement HT + intérêts]))*BD7</f>
        <v>0</v>
      </c>
      <c r="D7" s="276">
        <f>(SUMIF(Fonctionnement[Affectation matrice],$AB$3,Fonctionnement[Montant (€HT)])+SUMIF(Invest[Affectation matrice],$AB$3,Invest[Amortissement HT + intérêts]))*BE7</f>
        <v>0</v>
      </c>
      <c r="E7" s="276">
        <f>(SUMIF(Fonctionnement[Affectation matrice],$AB$3,Fonctionnement[Montant (€HT)])+SUMIF(Invest[Affectation matrice],$AB$3,Invest[Amortissement HT + intérêts]))*BF7</f>
        <v>0</v>
      </c>
      <c r="F7" s="276">
        <f>(SUMIF(Fonctionnement[Affectation matrice],$AB$3,Fonctionnement[Montant (€HT)])+SUMIF(Invest[Affectation matrice],$AB$3,Invest[Amortissement HT + intérêts]))*BG7</f>
        <v>0</v>
      </c>
      <c r="G7" s="276">
        <f>(SUMIF(Fonctionnement[Affectation matrice],$AB$3,Fonctionnement[Montant (€HT)])+SUMIF(Invest[Affectation matrice],$AB$3,Invest[Amortissement HT + intérêts]))*BH7</f>
        <v>0</v>
      </c>
      <c r="H7" s="276">
        <f>(SUMIF(Fonctionnement[Affectation matrice],$AB$3,Fonctionnement[Montant (€HT)])+SUMIF(Invest[Affectation matrice],$AB$3,Invest[Amortissement HT + intérêts]))*BI7</f>
        <v>0</v>
      </c>
      <c r="I7" s="276">
        <f>(SUMIF(Fonctionnement[Affectation matrice],$AB$3,Fonctionnement[Montant (€HT)])+SUMIF(Invest[Affectation matrice],$AB$3,Invest[Amortissement HT + intérêts]))*BJ7</f>
        <v>0</v>
      </c>
      <c r="J7" s="276">
        <f>(SUMIF(Fonctionnement[Affectation matrice],$AB$3,Fonctionnement[Montant (€HT)])+SUMIF(Invest[Affectation matrice],$AB$3,Invest[Amortissement HT + intérêts]))*BK7</f>
        <v>0</v>
      </c>
      <c r="K7" s="276">
        <f>(SUMIF(Fonctionnement[Affectation matrice],$AB$3,Fonctionnement[Montant (€HT)])+SUMIF(Invest[Affectation matrice],$AB$3,Invest[Amortissement HT + intérêts]))*BL7</f>
        <v>0</v>
      </c>
      <c r="L7" s="276">
        <f>(SUMIF(Fonctionnement[Affectation matrice],$AB$3,Fonctionnement[Montant (€HT)])+SUMIF(Invest[Affectation matrice],$AB$3,Invest[Amortissement HT + intérêts]))*BM7</f>
        <v>0</v>
      </c>
      <c r="M7" s="276">
        <f>(SUMIF(Fonctionnement[Affectation matrice],$AB$3,Fonctionnement[Montant (€HT)])+SUMIF(Invest[Affectation matrice],$AB$3,Invest[Amortissement HT + intérêts]))*BN7</f>
        <v>0</v>
      </c>
      <c r="N7" s="276">
        <f>(SUMIF(Fonctionnement[Affectation matrice],$AB$3,Fonctionnement[Montant (€HT)])+SUMIF(Invest[Affectation matrice],$AB$3,Invest[Amortissement HT + intérêts]))*BO7</f>
        <v>0</v>
      </c>
      <c r="O7" s="276">
        <f>(SUMIF(Fonctionnement[Affectation matrice],$AB$3,Fonctionnement[Montant (€HT)])+SUMIF(Invest[Affectation matrice],$AB$3,Invest[Amortissement HT + intérêts]))*BP7</f>
        <v>0</v>
      </c>
      <c r="P7" s="276">
        <f>(SUMIF(Fonctionnement[Affectation matrice],$AB$3,Fonctionnement[Montant (€HT)])+SUMIF(Invest[Affectation matrice],$AB$3,Invest[Amortissement HT + intérêts]))*BQ7</f>
        <v>0</v>
      </c>
      <c r="Q7" s="276">
        <f>(SUMIF(Fonctionnement[Affectation matrice],$AB$3,Fonctionnement[Montant (€HT)])+SUMIF(Invest[Affectation matrice],$AB$3,Invest[Amortissement HT + intérêts]))*BR7</f>
        <v>0</v>
      </c>
      <c r="R7" s="276">
        <f>(SUMIF(Fonctionnement[Affectation matrice],$AB$3,Fonctionnement[Montant (€HT)])+SUMIF(Invest[Affectation matrice],$AB$3,Invest[Amortissement HT + intérêts]))*BS7</f>
        <v>0</v>
      </c>
      <c r="S7" s="276">
        <f>(SUMIF(Fonctionnement[Affectation matrice],$AB$3,Fonctionnement[Montant (€HT)])+SUMIF(Invest[Affectation matrice],$AB$3,Invest[Amortissement HT + intérêts]))*BT7</f>
        <v>0</v>
      </c>
      <c r="T7" s="276">
        <f>(SUMIF(Fonctionnement[Affectation matrice],$AB$3,Fonctionnement[Montant (€HT)])+SUMIF(Invest[Affectation matrice],$AB$3,Invest[Amortissement HT + intérêts]))*BU7</f>
        <v>0</v>
      </c>
      <c r="U7" s="276">
        <f>(SUMIF(Fonctionnement[Affectation matrice],$AB$3,Fonctionnement[Montant (€HT)])+SUMIF(Invest[Affectation matrice],$AB$3,Invest[Amortissement HT + intérêts]))*BV7</f>
        <v>0</v>
      </c>
      <c r="V7" s="276">
        <f>(SUMIF(Fonctionnement[Affectation matrice],$AB$3,Fonctionnement[Montant (€HT)])+SUMIF(Invest[Affectation matrice],$AB$3,Invest[Amortissement HT + intérêts]))*BW7</f>
        <v>0</v>
      </c>
      <c r="W7" s="276">
        <f>(SUMIF(Fonctionnement[Affectation matrice],$AB$3,Fonctionnement[Montant (€HT)])+SUMIF(Invest[Affectation matrice],$AB$3,Invest[Amortissement HT + intérêts]))*BX7</f>
        <v>0</v>
      </c>
      <c r="X7" s="276">
        <f>(SUMIF(Fonctionnement[Affectation matrice],$AB$3,Fonctionnement[Montant (€HT)])+SUMIF(Invest[Affectation matrice],$AB$3,Invest[Amortissement HT + intérêts]))*BY7</f>
        <v>0</v>
      </c>
      <c r="Y7" s="276">
        <f>(SUMIF(Fonctionnement[Affectation matrice],$AB$3,Fonctionnement[Montant (€HT)])+SUMIF(Invest[Affectation matrice],$AB$3,Invest[Amortissement HT + intérêts]))*BZ7</f>
        <v>0</v>
      </c>
      <c r="Z7" s="276">
        <f>(SUMIF(Fonctionnement[Affectation matrice],$AB$3,Fonctionnement[Montant (€HT)])+SUMIF(Invest[Affectation matrice],$AB$3,Invest[Amortissement HT + intérêts]))*CA7</f>
        <v>0</v>
      </c>
      <c r="AA7" s="199"/>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283">
        <f t="shared" ref="BA7:BA52" si="4">SUM(AB7:AZ7)</f>
        <v>0</v>
      </c>
      <c r="BC7" s="61">
        <f t="shared" si="2"/>
        <v>0</v>
      </c>
      <c r="BD7" s="61">
        <f t="shared" si="2"/>
        <v>0</v>
      </c>
      <c r="BE7" s="61">
        <f t="shared" si="2"/>
        <v>0</v>
      </c>
      <c r="BF7" s="61">
        <f t="shared" si="2"/>
        <v>0</v>
      </c>
      <c r="BG7" s="61">
        <f t="shared" si="2"/>
        <v>0</v>
      </c>
      <c r="BH7" s="61">
        <f t="shared" si="2"/>
        <v>0</v>
      </c>
      <c r="BI7" s="61">
        <f t="shared" si="2"/>
        <v>0</v>
      </c>
      <c r="BJ7" s="61">
        <f t="shared" si="2"/>
        <v>0</v>
      </c>
      <c r="BK7" s="61">
        <f t="shared" si="2"/>
        <v>0</v>
      </c>
      <c r="BL7" s="61">
        <f t="shared" si="2"/>
        <v>0</v>
      </c>
      <c r="BM7" s="61">
        <f t="shared" si="2"/>
        <v>0</v>
      </c>
      <c r="BN7" s="61">
        <f t="shared" si="2"/>
        <v>0</v>
      </c>
      <c r="BO7" s="61">
        <f t="shared" si="2"/>
        <v>0</v>
      </c>
      <c r="BP7" s="61">
        <f t="shared" si="2"/>
        <v>0</v>
      </c>
      <c r="BQ7" s="61">
        <f t="shared" si="2"/>
        <v>0</v>
      </c>
      <c r="BR7" s="61">
        <f t="shared" si="2"/>
        <v>0</v>
      </c>
      <c r="BS7" s="61">
        <f t="shared" si="3"/>
        <v>0</v>
      </c>
      <c r="BT7" s="61">
        <f t="shared" si="3"/>
        <v>0</v>
      </c>
      <c r="BU7" s="61">
        <f t="shared" si="3"/>
        <v>0</v>
      </c>
      <c r="BV7" s="61">
        <f t="shared" si="3"/>
        <v>0</v>
      </c>
      <c r="BW7" s="61">
        <f t="shared" si="3"/>
        <v>0</v>
      </c>
      <c r="BX7" s="61">
        <f t="shared" si="3"/>
        <v>0</v>
      </c>
      <c r="BY7" s="61">
        <f t="shared" si="3"/>
        <v>0</v>
      </c>
      <c r="BZ7" s="61">
        <f t="shared" si="3"/>
        <v>0</v>
      </c>
      <c r="CA7" s="61">
        <f t="shared" si="3"/>
        <v>0</v>
      </c>
      <c r="CB7" s="61">
        <f t="shared" ref="CB7:CB52" si="5">SUM(BC7:CA7)</f>
        <v>0</v>
      </c>
      <c r="CD7" s="200">
        <f>(SUMIF(Fonctionnement[Affectation matrice],$AB$3,Fonctionnement[TVA acquittée])+SUMIF(Invest[Affectation matrice],$AB$3,Invest[TVA acquittée]))*BC7</f>
        <v>0</v>
      </c>
      <c r="CE7" s="200">
        <f>(SUMIF(Fonctionnement[Affectation matrice],$AB$3,Fonctionnement[TVA acquittée])+SUMIF(Invest[Affectation matrice],$AB$3,Invest[TVA acquittée]))*BD7</f>
        <v>0</v>
      </c>
      <c r="CF7" s="200">
        <f>(SUMIF(Fonctionnement[Affectation matrice],$AB$3,Fonctionnement[TVA acquittée])+SUMIF(Invest[Affectation matrice],$AB$3,Invest[TVA acquittée]))*BE7</f>
        <v>0</v>
      </c>
      <c r="CG7" s="200">
        <f>(SUMIF(Fonctionnement[Affectation matrice],$AB$3,Fonctionnement[TVA acquittée])+SUMIF(Invest[Affectation matrice],$AB$3,Invest[TVA acquittée]))*BF7</f>
        <v>0</v>
      </c>
      <c r="CH7" s="200">
        <f>(SUMIF(Fonctionnement[Affectation matrice],$AB$3,Fonctionnement[TVA acquittée])+SUMIF(Invest[Affectation matrice],$AB$3,Invest[TVA acquittée]))*BG7</f>
        <v>0</v>
      </c>
      <c r="CI7" s="200">
        <f>(SUMIF(Fonctionnement[Affectation matrice],$AB$3,Fonctionnement[TVA acquittée])+SUMIF(Invest[Affectation matrice],$AB$3,Invest[TVA acquittée]))*BH7</f>
        <v>0</v>
      </c>
      <c r="CJ7" s="200">
        <f>(SUMIF(Fonctionnement[Affectation matrice],$AB$3,Fonctionnement[TVA acquittée])+SUMIF(Invest[Affectation matrice],$AB$3,Invest[TVA acquittée]))*BI7</f>
        <v>0</v>
      </c>
      <c r="CK7" s="200">
        <f>(SUMIF(Fonctionnement[Affectation matrice],$AB$3,Fonctionnement[TVA acquittée])+SUMIF(Invest[Affectation matrice],$AB$3,Invest[TVA acquittée]))*BJ7</f>
        <v>0</v>
      </c>
      <c r="CL7" s="200">
        <f>(SUMIF(Fonctionnement[Affectation matrice],$AB$3,Fonctionnement[TVA acquittée])+SUMIF(Invest[Affectation matrice],$AB$3,Invest[TVA acquittée]))*BK7</f>
        <v>0</v>
      </c>
      <c r="CM7" s="200">
        <f>(SUMIF(Fonctionnement[Affectation matrice],$AB$3,Fonctionnement[TVA acquittée])+SUMIF(Invest[Affectation matrice],$AB$3,Invest[TVA acquittée]))*BL7</f>
        <v>0</v>
      </c>
      <c r="CN7" s="200">
        <f>(SUMIF(Fonctionnement[Affectation matrice],$AB$3,Fonctionnement[TVA acquittée])+SUMIF(Invest[Affectation matrice],$AB$3,Invest[TVA acquittée]))*BM7</f>
        <v>0</v>
      </c>
      <c r="CO7" s="200">
        <f>(SUMIF(Fonctionnement[Affectation matrice],$AB$3,Fonctionnement[TVA acquittée])+SUMIF(Invest[Affectation matrice],$AB$3,Invest[TVA acquittée]))*BN7</f>
        <v>0</v>
      </c>
      <c r="CP7" s="200">
        <f>(SUMIF(Fonctionnement[Affectation matrice],$AB$3,Fonctionnement[TVA acquittée])+SUMIF(Invest[Affectation matrice],$AB$3,Invest[TVA acquittée]))*BO7</f>
        <v>0</v>
      </c>
      <c r="CQ7" s="200">
        <f>(SUMIF(Fonctionnement[Affectation matrice],$AB$3,Fonctionnement[TVA acquittée])+SUMIF(Invest[Affectation matrice],$AB$3,Invest[TVA acquittée]))*BP7</f>
        <v>0</v>
      </c>
      <c r="CR7" s="200">
        <f>(SUMIF(Fonctionnement[Affectation matrice],$AB$3,Fonctionnement[TVA acquittée])+SUMIF(Invest[Affectation matrice],$AB$3,Invest[TVA acquittée]))*BQ7</f>
        <v>0</v>
      </c>
      <c r="CS7" s="200">
        <f>(SUMIF(Fonctionnement[Affectation matrice],$AB$3,Fonctionnement[TVA acquittée])+SUMIF(Invest[Affectation matrice],$AB$3,Invest[TVA acquittée]))*BR7</f>
        <v>0</v>
      </c>
      <c r="CT7" s="200">
        <f>(SUMIF(Fonctionnement[Affectation matrice],$AB$3,Fonctionnement[TVA acquittée])+SUMIF(Invest[Affectation matrice],$AB$3,Invest[TVA acquittée]))*BS7</f>
        <v>0</v>
      </c>
      <c r="CU7" s="200">
        <f>(SUMIF(Fonctionnement[Affectation matrice],$AB$3,Fonctionnement[TVA acquittée])+SUMIF(Invest[Affectation matrice],$AB$3,Invest[TVA acquittée]))*BT7</f>
        <v>0</v>
      </c>
      <c r="CV7" s="200">
        <f>(SUMIF(Fonctionnement[Affectation matrice],$AB$3,Fonctionnement[TVA acquittée])+SUMIF(Invest[Affectation matrice],$AB$3,Invest[TVA acquittée]))*BU7</f>
        <v>0</v>
      </c>
      <c r="CW7" s="200">
        <f>(SUMIF(Fonctionnement[Affectation matrice],$AB$3,Fonctionnement[TVA acquittée])+SUMIF(Invest[Affectation matrice],$AB$3,Invest[TVA acquittée]))*BV7</f>
        <v>0</v>
      </c>
      <c r="CX7" s="200">
        <f>(SUMIF(Fonctionnement[Affectation matrice],$AB$3,Fonctionnement[TVA acquittée])+SUMIF(Invest[Affectation matrice],$AB$3,Invest[TVA acquittée]))*BW7</f>
        <v>0</v>
      </c>
      <c r="CY7" s="200">
        <f>(SUMIF(Fonctionnement[Affectation matrice],$AB$3,Fonctionnement[TVA acquittée])+SUMIF(Invest[Affectation matrice],$AB$3,Invest[TVA acquittée]))*BX7</f>
        <v>0</v>
      </c>
      <c r="CZ7" s="200">
        <f>(SUMIF(Fonctionnement[Affectation matrice],$AB$3,Fonctionnement[TVA acquittée])+SUMIF(Invest[Affectation matrice],$AB$3,Invest[TVA acquittée]))*BY7</f>
        <v>0</v>
      </c>
      <c r="DA7" s="200">
        <f>(SUMIF(Fonctionnement[Affectation matrice],$AB$3,Fonctionnement[TVA acquittée])+SUMIF(Invest[Affectation matrice],$AB$3,Invest[TVA acquittée]))*BZ7</f>
        <v>0</v>
      </c>
      <c r="DB7" s="200">
        <f>(SUMIF(Fonctionnement[Affectation matrice],$AB$3,Fonctionnement[TVA acquittée])+SUMIF(Invest[Affectation matrice],$AB$3,Invest[TVA acquittée]))*CA7</f>
        <v>0</v>
      </c>
    </row>
    <row r="8" spans="1:106" ht="12.75" customHeight="1" x14ac:dyDescent="0.25">
      <c r="A8" s="42" t="str">
        <f>Matrice[[#This Row],[Ligne de la matrice]]</f>
        <v>Pré-collecte</v>
      </c>
      <c r="B8" s="276">
        <f>(SUMIF(Fonctionnement[Affectation matrice],$AB$3,Fonctionnement[Montant (€HT)])+SUMIF(Invest[Affectation matrice],$AB$3,Invest[Amortissement HT + intérêts]))*BC8</f>
        <v>0</v>
      </c>
      <c r="C8" s="276">
        <f>(SUMIF(Fonctionnement[Affectation matrice],$AB$3,Fonctionnement[Montant (€HT)])+SUMIF(Invest[Affectation matrice],$AB$3,Invest[Amortissement HT + intérêts]))*BD8</f>
        <v>0</v>
      </c>
      <c r="D8" s="276">
        <f>(SUMIF(Fonctionnement[Affectation matrice],$AB$3,Fonctionnement[Montant (€HT)])+SUMIF(Invest[Affectation matrice],$AB$3,Invest[Amortissement HT + intérêts]))*BE8</f>
        <v>0</v>
      </c>
      <c r="E8" s="276">
        <f>(SUMIF(Fonctionnement[Affectation matrice],$AB$3,Fonctionnement[Montant (€HT)])+SUMIF(Invest[Affectation matrice],$AB$3,Invest[Amortissement HT + intérêts]))*BF8</f>
        <v>0</v>
      </c>
      <c r="F8" s="276">
        <f>(SUMIF(Fonctionnement[Affectation matrice],$AB$3,Fonctionnement[Montant (€HT)])+SUMIF(Invest[Affectation matrice],$AB$3,Invest[Amortissement HT + intérêts]))*BG8</f>
        <v>0</v>
      </c>
      <c r="G8" s="276">
        <f>(SUMIF(Fonctionnement[Affectation matrice],$AB$3,Fonctionnement[Montant (€HT)])+SUMIF(Invest[Affectation matrice],$AB$3,Invest[Amortissement HT + intérêts]))*BH8</f>
        <v>0</v>
      </c>
      <c r="H8" s="276">
        <f>(SUMIF(Fonctionnement[Affectation matrice],$AB$3,Fonctionnement[Montant (€HT)])+SUMIF(Invest[Affectation matrice],$AB$3,Invest[Amortissement HT + intérêts]))*BI8</f>
        <v>0</v>
      </c>
      <c r="I8" s="276">
        <f>(SUMIF(Fonctionnement[Affectation matrice],$AB$3,Fonctionnement[Montant (€HT)])+SUMIF(Invest[Affectation matrice],$AB$3,Invest[Amortissement HT + intérêts]))*BJ8</f>
        <v>0</v>
      </c>
      <c r="J8" s="276">
        <f>(SUMIF(Fonctionnement[Affectation matrice],$AB$3,Fonctionnement[Montant (€HT)])+SUMIF(Invest[Affectation matrice],$AB$3,Invest[Amortissement HT + intérêts]))*BK8</f>
        <v>0</v>
      </c>
      <c r="K8" s="276">
        <f>(SUMIF(Fonctionnement[Affectation matrice],$AB$3,Fonctionnement[Montant (€HT)])+SUMIF(Invest[Affectation matrice],$AB$3,Invest[Amortissement HT + intérêts]))*BL8</f>
        <v>0</v>
      </c>
      <c r="L8" s="276">
        <f>(SUMIF(Fonctionnement[Affectation matrice],$AB$3,Fonctionnement[Montant (€HT)])+SUMIF(Invest[Affectation matrice],$AB$3,Invest[Amortissement HT + intérêts]))*BM8</f>
        <v>0</v>
      </c>
      <c r="M8" s="276">
        <f>(SUMIF(Fonctionnement[Affectation matrice],$AB$3,Fonctionnement[Montant (€HT)])+SUMIF(Invest[Affectation matrice],$AB$3,Invest[Amortissement HT + intérêts]))*BN8</f>
        <v>0</v>
      </c>
      <c r="N8" s="276">
        <f>(SUMIF(Fonctionnement[Affectation matrice],$AB$3,Fonctionnement[Montant (€HT)])+SUMIF(Invest[Affectation matrice],$AB$3,Invest[Amortissement HT + intérêts]))*BO8</f>
        <v>0</v>
      </c>
      <c r="O8" s="276">
        <f>(SUMIF(Fonctionnement[Affectation matrice],$AB$3,Fonctionnement[Montant (€HT)])+SUMIF(Invest[Affectation matrice],$AB$3,Invest[Amortissement HT + intérêts]))*BP8</f>
        <v>0</v>
      </c>
      <c r="P8" s="276">
        <f>(SUMIF(Fonctionnement[Affectation matrice],$AB$3,Fonctionnement[Montant (€HT)])+SUMIF(Invest[Affectation matrice],$AB$3,Invest[Amortissement HT + intérêts]))*BQ8</f>
        <v>0</v>
      </c>
      <c r="Q8" s="276">
        <f>(SUMIF(Fonctionnement[Affectation matrice],$AB$3,Fonctionnement[Montant (€HT)])+SUMIF(Invest[Affectation matrice],$AB$3,Invest[Amortissement HT + intérêts]))*BR8</f>
        <v>0</v>
      </c>
      <c r="R8" s="276">
        <f>(SUMIF(Fonctionnement[Affectation matrice],$AB$3,Fonctionnement[Montant (€HT)])+SUMIF(Invest[Affectation matrice],$AB$3,Invest[Amortissement HT + intérêts]))*BS8</f>
        <v>0</v>
      </c>
      <c r="S8" s="276">
        <f>(SUMIF(Fonctionnement[Affectation matrice],$AB$3,Fonctionnement[Montant (€HT)])+SUMIF(Invest[Affectation matrice],$AB$3,Invest[Amortissement HT + intérêts]))*BT8</f>
        <v>0</v>
      </c>
      <c r="T8" s="276">
        <f>(SUMIF(Fonctionnement[Affectation matrice],$AB$3,Fonctionnement[Montant (€HT)])+SUMIF(Invest[Affectation matrice],$AB$3,Invest[Amortissement HT + intérêts]))*BU8</f>
        <v>0</v>
      </c>
      <c r="U8" s="276">
        <f>(SUMIF(Fonctionnement[Affectation matrice],$AB$3,Fonctionnement[Montant (€HT)])+SUMIF(Invest[Affectation matrice],$AB$3,Invest[Amortissement HT + intérêts]))*BV8</f>
        <v>0</v>
      </c>
      <c r="V8" s="276">
        <f>(SUMIF(Fonctionnement[Affectation matrice],$AB$3,Fonctionnement[Montant (€HT)])+SUMIF(Invest[Affectation matrice],$AB$3,Invest[Amortissement HT + intérêts]))*BW8</f>
        <v>0</v>
      </c>
      <c r="W8" s="276">
        <f>(SUMIF(Fonctionnement[Affectation matrice],$AB$3,Fonctionnement[Montant (€HT)])+SUMIF(Invest[Affectation matrice],$AB$3,Invest[Amortissement HT + intérêts]))*BX8</f>
        <v>0</v>
      </c>
      <c r="X8" s="276">
        <f>(SUMIF(Fonctionnement[Affectation matrice],$AB$3,Fonctionnement[Montant (€HT)])+SUMIF(Invest[Affectation matrice],$AB$3,Invest[Amortissement HT + intérêts]))*BY8</f>
        <v>0</v>
      </c>
      <c r="Y8" s="276">
        <f>(SUMIF(Fonctionnement[Affectation matrice],$AB$3,Fonctionnement[Montant (€HT)])+SUMIF(Invest[Affectation matrice],$AB$3,Invest[Amortissement HT + intérêts]))*BZ8</f>
        <v>0</v>
      </c>
      <c r="Z8" s="276">
        <f>(SUMIF(Fonctionnement[Affectation matrice],$AB$3,Fonctionnement[Montant (€HT)])+SUMIF(Invest[Affectation matrice],$AB$3,Invest[Amortissement HT + intérêts]))*CA8</f>
        <v>0</v>
      </c>
      <c r="AA8" s="199"/>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283">
        <f t="shared" si="4"/>
        <v>0</v>
      </c>
      <c r="BC8" s="61">
        <f t="shared" si="2"/>
        <v>0</v>
      </c>
      <c r="BD8" s="61">
        <f t="shared" si="2"/>
        <v>0</v>
      </c>
      <c r="BE8" s="61">
        <f t="shared" si="2"/>
        <v>0</v>
      </c>
      <c r="BF8" s="61">
        <f t="shared" si="2"/>
        <v>0</v>
      </c>
      <c r="BG8" s="61">
        <f t="shared" si="2"/>
        <v>0</v>
      </c>
      <c r="BH8" s="61">
        <f t="shared" si="2"/>
        <v>0</v>
      </c>
      <c r="BI8" s="61">
        <f t="shared" si="2"/>
        <v>0</v>
      </c>
      <c r="BJ8" s="61">
        <f t="shared" si="2"/>
        <v>0</v>
      </c>
      <c r="BK8" s="61">
        <f t="shared" si="2"/>
        <v>0</v>
      </c>
      <c r="BL8" s="61">
        <f t="shared" si="2"/>
        <v>0</v>
      </c>
      <c r="BM8" s="61">
        <f t="shared" si="2"/>
        <v>0</v>
      </c>
      <c r="BN8" s="61">
        <f t="shared" si="2"/>
        <v>0</v>
      </c>
      <c r="BO8" s="61">
        <f t="shared" si="2"/>
        <v>0</v>
      </c>
      <c r="BP8" s="61">
        <f t="shared" si="2"/>
        <v>0</v>
      </c>
      <c r="BQ8" s="61">
        <f t="shared" si="2"/>
        <v>0</v>
      </c>
      <c r="BR8" s="61">
        <f t="shared" si="2"/>
        <v>0</v>
      </c>
      <c r="BS8" s="61">
        <f t="shared" si="3"/>
        <v>0</v>
      </c>
      <c r="BT8" s="61">
        <f t="shared" si="3"/>
        <v>0</v>
      </c>
      <c r="BU8" s="61">
        <f t="shared" si="3"/>
        <v>0</v>
      </c>
      <c r="BV8" s="61">
        <f t="shared" si="3"/>
        <v>0</v>
      </c>
      <c r="BW8" s="61">
        <f t="shared" si="3"/>
        <v>0</v>
      </c>
      <c r="BX8" s="61">
        <f t="shared" si="3"/>
        <v>0</v>
      </c>
      <c r="BY8" s="61">
        <f t="shared" si="3"/>
        <v>0</v>
      </c>
      <c r="BZ8" s="61">
        <f t="shared" si="3"/>
        <v>0</v>
      </c>
      <c r="CA8" s="61">
        <f t="shared" si="3"/>
        <v>0</v>
      </c>
      <c r="CB8" s="61">
        <f t="shared" si="5"/>
        <v>0</v>
      </c>
      <c r="CD8" s="200">
        <f>(SUMIF(Fonctionnement[Affectation matrice],$AB$3,Fonctionnement[TVA acquittée])+SUMIF(Invest[Affectation matrice],$AB$3,Invest[TVA acquittée]))*BC8</f>
        <v>0</v>
      </c>
      <c r="CE8" s="200">
        <f>(SUMIF(Fonctionnement[Affectation matrice],$AB$3,Fonctionnement[TVA acquittée])+SUMIF(Invest[Affectation matrice],$AB$3,Invest[TVA acquittée]))*BD8</f>
        <v>0</v>
      </c>
      <c r="CF8" s="200">
        <f>(SUMIF(Fonctionnement[Affectation matrice],$AB$3,Fonctionnement[TVA acquittée])+SUMIF(Invest[Affectation matrice],$AB$3,Invest[TVA acquittée]))*BE8</f>
        <v>0</v>
      </c>
      <c r="CG8" s="200">
        <f>(SUMIF(Fonctionnement[Affectation matrice],$AB$3,Fonctionnement[TVA acquittée])+SUMIF(Invest[Affectation matrice],$AB$3,Invest[TVA acquittée]))*BF8</f>
        <v>0</v>
      </c>
      <c r="CH8" s="200">
        <f>(SUMIF(Fonctionnement[Affectation matrice],$AB$3,Fonctionnement[TVA acquittée])+SUMIF(Invest[Affectation matrice],$AB$3,Invest[TVA acquittée]))*BG8</f>
        <v>0</v>
      </c>
      <c r="CI8" s="200">
        <f>(SUMIF(Fonctionnement[Affectation matrice],$AB$3,Fonctionnement[TVA acquittée])+SUMIF(Invest[Affectation matrice],$AB$3,Invest[TVA acquittée]))*BH8</f>
        <v>0</v>
      </c>
      <c r="CJ8" s="200">
        <f>(SUMIF(Fonctionnement[Affectation matrice],$AB$3,Fonctionnement[TVA acquittée])+SUMIF(Invest[Affectation matrice],$AB$3,Invest[TVA acquittée]))*BI8</f>
        <v>0</v>
      </c>
      <c r="CK8" s="200">
        <f>(SUMIF(Fonctionnement[Affectation matrice],$AB$3,Fonctionnement[TVA acquittée])+SUMIF(Invest[Affectation matrice],$AB$3,Invest[TVA acquittée]))*BJ8</f>
        <v>0</v>
      </c>
      <c r="CL8" s="200">
        <f>(SUMIF(Fonctionnement[Affectation matrice],$AB$3,Fonctionnement[TVA acquittée])+SUMIF(Invest[Affectation matrice],$AB$3,Invest[TVA acquittée]))*BK8</f>
        <v>0</v>
      </c>
      <c r="CM8" s="200">
        <f>(SUMIF(Fonctionnement[Affectation matrice],$AB$3,Fonctionnement[TVA acquittée])+SUMIF(Invest[Affectation matrice],$AB$3,Invest[TVA acquittée]))*BL8</f>
        <v>0</v>
      </c>
      <c r="CN8" s="200">
        <f>(SUMIF(Fonctionnement[Affectation matrice],$AB$3,Fonctionnement[TVA acquittée])+SUMIF(Invest[Affectation matrice],$AB$3,Invest[TVA acquittée]))*BM8</f>
        <v>0</v>
      </c>
      <c r="CO8" s="200">
        <f>(SUMIF(Fonctionnement[Affectation matrice],$AB$3,Fonctionnement[TVA acquittée])+SUMIF(Invest[Affectation matrice],$AB$3,Invest[TVA acquittée]))*BN8</f>
        <v>0</v>
      </c>
      <c r="CP8" s="200">
        <f>(SUMIF(Fonctionnement[Affectation matrice],$AB$3,Fonctionnement[TVA acquittée])+SUMIF(Invest[Affectation matrice],$AB$3,Invest[TVA acquittée]))*BO8</f>
        <v>0</v>
      </c>
      <c r="CQ8" s="200">
        <f>(SUMIF(Fonctionnement[Affectation matrice],$AB$3,Fonctionnement[TVA acquittée])+SUMIF(Invest[Affectation matrice],$AB$3,Invest[TVA acquittée]))*BP8</f>
        <v>0</v>
      </c>
      <c r="CR8" s="200">
        <f>(SUMIF(Fonctionnement[Affectation matrice],$AB$3,Fonctionnement[TVA acquittée])+SUMIF(Invest[Affectation matrice],$AB$3,Invest[TVA acquittée]))*BQ8</f>
        <v>0</v>
      </c>
      <c r="CS8" s="200">
        <f>(SUMIF(Fonctionnement[Affectation matrice],$AB$3,Fonctionnement[TVA acquittée])+SUMIF(Invest[Affectation matrice],$AB$3,Invest[TVA acquittée]))*BR8</f>
        <v>0</v>
      </c>
      <c r="CT8" s="200">
        <f>(SUMIF(Fonctionnement[Affectation matrice],$AB$3,Fonctionnement[TVA acquittée])+SUMIF(Invest[Affectation matrice],$AB$3,Invest[TVA acquittée]))*BS8</f>
        <v>0</v>
      </c>
      <c r="CU8" s="200">
        <f>(SUMIF(Fonctionnement[Affectation matrice],$AB$3,Fonctionnement[TVA acquittée])+SUMIF(Invest[Affectation matrice],$AB$3,Invest[TVA acquittée]))*BT8</f>
        <v>0</v>
      </c>
      <c r="CV8" s="200">
        <f>(SUMIF(Fonctionnement[Affectation matrice],$AB$3,Fonctionnement[TVA acquittée])+SUMIF(Invest[Affectation matrice],$AB$3,Invest[TVA acquittée]))*BU8</f>
        <v>0</v>
      </c>
      <c r="CW8" s="200">
        <f>(SUMIF(Fonctionnement[Affectation matrice],$AB$3,Fonctionnement[TVA acquittée])+SUMIF(Invest[Affectation matrice],$AB$3,Invest[TVA acquittée]))*BV8</f>
        <v>0</v>
      </c>
      <c r="CX8" s="200">
        <f>(SUMIF(Fonctionnement[Affectation matrice],$AB$3,Fonctionnement[TVA acquittée])+SUMIF(Invest[Affectation matrice],$AB$3,Invest[TVA acquittée]))*BW8</f>
        <v>0</v>
      </c>
      <c r="CY8" s="200">
        <f>(SUMIF(Fonctionnement[Affectation matrice],$AB$3,Fonctionnement[TVA acquittée])+SUMIF(Invest[Affectation matrice],$AB$3,Invest[TVA acquittée]))*BX8</f>
        <v>0</v>
      </c>
      <c r="CZ8" s="200">
        <f>(SUMIF(Fonctionnement[Affectation matrice],$AB$3,Fonctionnement[TVA acquittée])+SUMIF(Invest[Affectation matrice],$AB$3,Invest[TVA acquittée]))*BY8</f>
        <v>0</v>
      </c>
      <c r="DA8" s="200">
        <f>(SUMIF(Fonctionnement[Affectation matrice],$AB$3,Fonctionnement[TVA acquittée])+SUMIF(Invest[Affectation matrice],$AB$3,Invest[TVA acquittée]))*BZ8</f>
        <v>0</v>
      </c>
      <c r="DB8" s="200">
        <f>(SUMIF(Fonctionnement[Affectation matrice],$AB$3,Fonctionnement[TVA acquittée])+SUMIF(Invest[Affectation matrice],$AB$3,Invest[TVA acquittée]))*CA8</f>
        <v>0</v>
      </c>
    </row>
    <row r="9" spans="1:106" s="22" customFormat="1" ht="12.75" customHeight="1" x14ac:dyDescent="0.25">
      <c r="A9" s="42" t="str">
        <f>Matrice[[#This Row],[Ligne de la matrice]]</f>
        <v>Collecte</v>
      </c>
      <c r="B9" s="276">
        <f>(SUMIF(Fonctionnement[Affectation matrice],$AB$3,Fonctionnement[Montant (€HT)])+SUMIF(Invest[Affectation matrice],$AB$3,Invest[Amortissement HT + intérêts]))*BC9</f>
        <v>0</v>
      </c>
      <c r="C9" s="276">
        <f>(SUMIF(Fonctionnement[Affectation matrice],$AB$3,Fonctionnement[Montant (€HT)])+SUMIF(Invest[Affectation matrice],$AB$3,Invest[Amortissement HT + intérêts]))*BD9</f>
        <v>0</v>
      </c>
      <c r="D9" s="276">
        <f>(SUMIF(Fonctionnement[Affectation matrice],$AB$3,Fonctionnement[Montant (€HT)])+SUMIF(Invest[Affectation matrice],$AB$3,Invest[Amortissement HT + intérêts]))*BE9</f>
        <v>0</v>
      </c>
      <c r="E9" s="276">
        <f>(SUMIF(Fonctionnement[Affectation matrice],$AB$3,Fonctionnement[Montant (€HT)])+SUMIF(Invest[Affectation matrice],$AB$3,Invest[Amortissement HT + intérêts]))*BF9</f>
        <v>0</v>
      </c>
      <c r="F9" s="276">
        <f>(SUMIF(Fonctionnement[Affectation matrice],$AB$3,Fonctionnement[Montant (€HT)])+SUMIF(Invest[Affectation matrice],$AB$3,Invest[Amortissement HT + intérêts]))*BG9</f>
        <v>0</v>
      </c>
      <c r="G9" s="276">
        <f>(SUMIF(Fonctionnement[Affectation matrice],$AB$3,Fonctionnement[Montant (€HT)])+SUMIF(Invest[Affectation matrice],$AB$3,Invest[Amortissement HT + intérêts]))*BH9</f>
        <v>0</v>
      </c>
      <c r="H9" s="276">
        <f>(SUMIF(Fonctionnement[Affectation matrice],$AB$3,Fonctionnement[Montant (€HT)])+SUMIF(Invest[Affectation matrice],$AB$3,Invest[Amortissement HT + intérêts]))*BI9</f>
        <v>0</v>
      </c>
      <c r="I9" s="276">
        <f>(SUMIF(Fonctionnement[Affectation matrice],$AB$3,Fonctionnement[Montant (€HT)])+SUMIF(Invest[Affectation matrice],$AB$3,Invest[Amortissement HT + intérêts]))*BJ9</f>
        <v>0</v>
      </c>
      <c r="J9" s="276">
        <f>(SUMIF(Fonctionnement[Affectation matrice],$AB$3,Fonctionnement[Montant (€HT)])+SUMIF(Invest[Affectation matrice],$AB$3,Invest[Amortissement HT + intérêts]))*BK9</f>
        <v>0</v>
      </c>
      <c r="K9" s="276">
        <f>(SUMIF(Fonctionnement[Affectation matrice],$AB$3,Fonctionnement[Montant (€HT)])+SUMIF(Invest[Affectation matrice],$AB$3,Invest[Amortissement HT + intérêts]))*BL9</f>
        <v>0</v>
      </c>
      <c r="L9" s="276">
        <f>(SUMIF(Fonctionnement[Affectation matrice],$AB$3,Fonctionnement[Montant (€HT)])+SUMIF(Invest[Affectation matrice],$AB$3,Invest[Amortissement HT + intérêts]))*BM9</f>
        <v>0</v>
      </c>
      <c r="M9" s="276">
        <f>(SUMIF(Fonctionnement[Affectation matrice],$AB$3,Fonctionnement[Montant (€HT)])+SUMIF(Invest[Affectation matrice],$AB$3,Invest[Amortissement HT + intérêts]))*BN9</f>
        <v>0</v>
      </c>
      <c r="N9" s="276">
        <f>(SUMIF(Fonctionnement[Affectation matrice],$AB$3,Fonctionnement[Montant (€HT)])+SUMIF(Invest[Affectation matrice],$AB$3,Invest[Amortissement HT + intérêts]))*BO9</f>
        <v>0</v>
      </c>
      <c r="O9" s="276">
        <f>(SUMIF(Fonctionnement[Affectation matrice],$AB$3,Fonctionnement[Montant (€HT)])+SUMIF(Invest[Affectation matrice],$AB$3,Invest[Amortissement HT + intérêts]))*BP9</f>
        <v>0</v>
      </c>
      <c r="P9" s="276">
        <f>(SUMIF(Fonctionnement[Affectation matrice],$AB$3,Fonctionnement[Montant (€HT)])+SUMIF(Invest[Affectation matrice],$AB$3,Invest[Amortissement HT + intérêts]))*BQ9</f>
        <v>0</v>
      </c>
      <c r="Q9" s="276">
        <f>(SUMIF(Fonctionnement[Affectation matrice],$AB$3,Fonctionnement[Montant (€HT)])+SUMIF(Invest[Affectation matrice],$AB$3,Invest[Amortissement HT + intérêts]))*BR9</f>
        <v>0</v>
      </c>
      <c r="R9" s="276">
        <f>(SUMIF(Fonctionnement[Affectation matrice],$AB$3,Fonctionnement[Montant (€HT)])+SUMIF(Invest[Affectation matrice],$AB$3,Invest[Amortissement HT + intérêts]))*BS9</f>
        <v>0</v>
      </c>
      <c r="S9" s="276">
        <f>(SUMIF(Fonctionnement[Affectation matrice],$AB$3,Fonctionnement[Montant (€HT)])+SUMIF(Invest[Affectation matrice],$AB$3,Invest[Amortissement HT + intérêts]))*BT9</f>
        <v>0</v>
      </c>
      <c r="T9" s="276">
        <f>(SUMIF(Fonctionnement[Affectation matrice],$AB$3,Fonctionnement[Montant (€HT)])+SUMIF(Invest[Affectation matrice],$AB$3,Invest[Amortissement HT + intérêts]))*BU9</f>
        <v>0</v>
      </c>
      <c r="U9" s="276">
        <f>(SUMIF(Fonctionnement[Affectation matrice],$AB$3,Fonctionnement[Montant (€HT)])+SUMIF(Invest[Affectation matrice],$AB$3,Invest[Amortissement HT + intérêts]))*BV9</f>
        <v>0</v>
      </c>
      <c r="V9" s="276">
        <f>(SUMIF(Fonctionnement[Affectation matrice],$AB$3,Fonctionnement[Montant (€HT)])+SUMIF(Invest[Affectation matrice],$AB$3,Invest[Amortissement HT + intérêts]))*BW9</f>
        <v>0</v>
      </c>
      <c r="W9" s="276">
        <f>(SUMIF(Fonctionnement[Affectation matrice],$AB$3,Fonctionnement[Montant (€HT)])+SUMIF(Invest[Affectation matrice],$AB$3,Invest[Amortissement HT + intérêts]))*BX9</f>
        <v>0</v>
      </c>
      <c r="X9" s="276">
        <f>(SUMIF(Fonctionnement[Affectation matrice],$AB$3,Fonctionnement[Montant (€HT)])+SUMIF(Invest[Affectation matrice],$AB$3,Invest[Amortissement HT + intérêts]))*BY9</f>
        <v>0</v>
      </c>
      <c r="Y9" s="276">
        <f>(SUMIF(Fonctionnement[Affectation matrice],$AB$3,Fonctionnement[Montant (€HT)])+SUMIF(Invest[Affectation matrice],$AB$3,Invest[Amortissement HT + intérêts]))*BZ9</f>
        <v>0</v>
      </c>
      <c r="Z9" s="276">
        <f>(SUMIF(Fonctionnement[Affectation matrice],$AB$3,Fonctionnement[Montant (€HT)])+SUMIF(Invest[Affectation matrice],$AB$3,Invest[Amortissement HT + intérêts]))*CA9</f>
        <v>0</v>
      </c>
      <c r="AA9" s="199"/>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283">
        <f t="shared" si="4"/>
        <v>0</v>
      </c>
      <c r="BB9" s="7"/>
      <c r="BC9" s="61">
        <f t="shared" si="2"/>
        <v>0</v>
      </c>
      <c r="BD9" s="61">
        <f t="shared" si="2"/>
        <v>0</v>
      </c>
      <c r="BE9" s="61">
        <f t="shared" si="2"/>
        <v>0</v>
      </c>
      <c r="BF9" s="61">
        <f t="shared" si="2"/>
        <v>0</v>
      </c>
      <c r="BG9" s="61">
        <f t="shared" si="2"/>
        <v>0</v>
      </c>
      <c r="BH9" s="61">
        <f t="shared" si="2"/>
        <v>0</v>
      </c>
      <c r="BI9" s="61">
        <f t="shared" si="2"/>
        <v>0</v>
      </c>
      <c r="BJ9" s="61">
        <f t="shared" si="2"/>
        <v>0</v>
      </c>
      <c r="BK9" s="61">
        <f t="shared" si="2"/>
        <v>0</v>
      </c>
      <c r="BL9" s="61">
        <f t="shared" si="2"/>
        <v>0</v>
      </c>
      <c r="BM9" s="61">
        <f t="shared" si="2"/>
        <v>0</v>
      </c>
      <c r="BN9" s="61">
        <f t="shared" si="2"/>
        <v>0</v>
      </c>
      <c r="BO9" s="61">
        <f t="shared" si="2"/>
        <v>0</v>
      </c>
      <c r="BP9" s="61">
        <f t="shared" si="2"/>
        <v>0</v>
      </c>
      <c r="BQ9" s="61">
        <f t="shared" si="2"/>
        <v>0</v>
      </c>
      <c r="BR9" s="61">
        <f t="shared" si="2"/>
        <v>0</v>
      </c>
      <c r="BS9" s="61">
        <f t="shared" si="3"/>
        <v>0</v>
      </c>
      <c r="BT9" s="61">
        <f t="shared" si="3"/>
        <v>0</v>
      </c>
      <c r="BU9" s="61">
        <f t="shared" si="3"/>
        <v>0</v>
      </c>
      <c r="BV9" s="61">
        <f t="shared" si="3"/>
        <v>0</v>
      </c>
      <c r="BW9" s="61">
        <f t="shared" si="3"/>
        <v>0</v>
      </c>
      <c r="BX9" s="61">
        <f t="shared" si="3"/>
        <v>0</v>
      </c>
      <c r="BY9" s="61">
        <f t="shared" si="3"/>
        <v>0</v>
      </c>
      <c r="BZ9" s="61">
        <f t="shared" si="3"/>
        <v>0</v>
      </c>
      <c r="CA9" s="61">
        <f t="shared" si="3"/>
        <v>0</v>
      </c>
      <c r="CB9" s="61">
        <f t="shared" si="5"/>
        <v>0</v>
      </c>
      <c r="CD9" s="200">
        <f>(SUMIF(Fonctionnement[Affectation matrice],$AB$3,Fonctionnement[TVA acquittée])+SUMIF(Invest[Affectation matrice],$AB$3,Invest[TVA acquittée]))*BC9</f>
        <v>0</v>
      </c>
      <c r="CE9" s="200">
        <f>(SUMIF(Fonctionnement[Affectation matrice],$AB$3,Fonctionnement[TVA acquittée])+SUMIF(Invest[Affectation matrice],$AB$3,Invest[TVA acquittée]))*BD9</f>
        <v>0</v>
      </c>
      <c r="CF9" s="200">
        <f>(SUMIF(Fonctionnement[Affectation matrice],$AB$3,Fonctionnement[TVA acquittée])+SUMIF(Invest[Affectation matrice],$AB$3,Invest[TVA acquittée]))*BE9</f>
        <v>0</v>
      </c>
      <c r="CG9" s="200">
        <f>(SUMIF(Fonctionnement[Affectation matrice],$AB$3,Fonctionnement[TVA acquittée])+SUMIF(Invest[Affectation matrice],$AB$3,Invest[TVA acquittée]))*BF9</f>
        <v>0</v>
      </c>
      <c r="CH9" s="200">
        <f>(SUMIF(Fonctionnement[Affectation matrice],$AB$3,Fonctionnement[TVA acquittée])+SUMIF(Invest[Affectation matrice],$AB$3,Invest[TVA acquittée]))*BG9</f>
        <v>0</v>
      </c>
      <c r="CI9" s="200">
        <f>(SUMIF(Fonctionnement[Affectation matrice],$AB$3,Fonctionnement[TVA acquittée])+SUMIF(Invest[Affectation matrice],$AB$3,Invest[TVA acquittée]))*BH9</f>
        <v>0</v>
      </c>
      <c r="CJ9" s="200">
        <f>(SUMIF(Fonctionnement[Affectation matrice],$AB$3,Fonctionnement[TVA acquittée])+SUMIF(Invest[Affectation matrice],$AB$3,Invest[TVA acquittée]))*BI9</f>
        <v>0</v>
      </c>
      <c r="CK9" s="200">
        <f>(SUMIF(Fonctionnement[Affectation matrice],$AB$3,Fonctionnement[TVA acquittée])+SUMIF(Invest[Affectation matrice],$AB$3,Invest[TVA acquittée]))*BJ9</f>
        <v>0</v>
      </c>
      <c r="CL9" s="200">
        <f>(SUMIF(Fonctionnement[Affectation matrice],$AB$3,Fonctionnement[TVA acquittée])+SUMIF(Invest[Affectation matrice],$AB$3,Invest[TVA acquittée]))*BK9</f>
        <v>0</v>
      </c>
      <c r="CM9" s="200">
        <f>(SUMIF(Fonctionnement[Affectation matrice],$AB$3,Fonctionnement[TVA acquittée])+SUMIF(Invest[Affectation matrice],$AB$3,Invest[TVA acquittée]))*BL9</f>
        <v>0</v>
      </c>
      <c r="CN9" s="200">
        <f>(SUMIF(Fonctionnement[Affectation matrice],$AB$3,Fonctionnement[TVA acquittée])+SUMIF(Invest[Affectation matrice],$AB$3,Invest[TVA acquittée]))*BM9</f>
        <v>0</v>
      </c>
      <c r="CO9" s="200">
        <f>(SUMIF(Fonctionnement[Affectation matrice],$AB$3,Fonctionnement[TVA acquittée])+SUMIF(Invest[Affectation matrice],$AB$3,Invest[TVA acquittée]))*BN9</f>
        <v>0</v>
      </c>
      <c r="CP9" s="200">
        <f>(SUMIF(Fonctionnement[Affectation matrice],$AB$3,Fonctionnement[TVA acquittée])+SUMIF(Invest[Affectation matrice],$AB$3,Invest[TVA acquittée]))*BO9</f>
        <v>0</v>
      </c>
      <c r="CQ9" s="200">
        <f>(SUMIF(Fonctionnement[Affectation matrice],$AB$3,Fonctionnement[TVA acquittée])+SUMIF(Invest[Affectation matrice],$AB$3,Invest[TVA acquittée]))*BP9</f>
        <v>0</v>
      </c>
      <c r="CR9" s="200">
        <f>(SUMIF(Fonctionnement[Affectation matrice],$AB$3,Fonctionnement[TVA acquittée])+SUMIF(Invest[Affectation matrice],$AB$3,Invest[TVA acquittée]))*BQ9</f>
        <v>0</v>
      </c>
      <c r="CS9" s="200">
        <f>(SUMIF(Fonctionnement[Affectation matrice],$AB$3,Fonctionnement[TVA acquittée])+SUMIF(Invest[Affectation matrice],$AB$3,Invest[TVA acquittée]))*BR9</f>
        <v>0</v>
      </c>
      <c r="CT9" s="200">
        <f>(SUMIF(Fonctionnement[Affectation matrice],$AB$3,Fonctionnement[TVA acquittée])+SUMIF(Invest[Affectation matrice],$AB$3,Invest[TVA acquittée]))*BS9</f>
        <v>0</v>
      </c>
      <c r="CU9" s="200">
        <f>(SUMIF(Fonctionnement[Affectation matrice],$AB$3,Fonctionnement[TVA acquittée])+SUMIF(Invest[Affectation matrice],$AB$3,Invest[TVA acquittée]))*BT9</f>
        <v>0</v>
      </c>
      <c r="CV9" s="200">
        <f>(SUMIF(Fonctionnement[Affectation matrice],$AB$3,Fonctionnement[TVA acquittée])+SUMIF(Invest[Affectation matrice],$AB$3,Invest[TVA acquittée]))*BU9</f>
        <v>0</v>
      </c>
      <c r="CW9" s="200">
        <f>(SUMIF(Fonctionnement[Affectation matrice],$AB$3,Fonctionnement[TVA acquittée])+SUMIF(Invest[Affectation matrice],$AB$3,Invest[TVA acquittée]))*BV9</f>
        <v>0</v>
      </c>
      <c r="CX9" s="200">
        <f>(SUMIF(Fonctionnement[Affectation matrice],$AB$3,Fonctionnement[TVA acquittée])+SUMIF(Invest[Affectation matrice],$AB$3,Invest[TVA acquittée]))*BW9</f>
        <v>0</v>
      </c>
      <c r="CY9" s="200">
        <f>(SUMIF(Fonctionnement[Affectation matrice],$AB$3,Fonctionnement[TVA acquittée])+SUMIF(Invest[Affectation matrice],$AB$3,Invest[TVA acquittée]))*BX9</f>
        <v>0</v>
      </c>
      <c r="CZ9" s="200">
        <f>(SUMIF(Fonctionnement[Affectation matrice],$AB$3,Fonctionnement[TVA acquittée])+SUMIF(Invest[Affectation matrice],$AB$3,Invest[TVA acquittée]))*BY9</f>
        <v>0</v>
      </c>
      <c r="DA9" s="200">
        <f>(SUMIF(Fonctionnement[Affectation matrice],$AB$3,Fonctionnement[TVA acquittée])+SUMIF(Invest[Affectation matrice],$AB$3,Invest[TVA acquittée]))*BZ9</f>
        <v>0</v>
      </c>
      <c r="DB9" s="200">
        <f>(SUMIF(Fonctionnement[Affectation matrice],$AB$3,Fonctionnement[TVA acquittée])+SUMIF(Invest[Affectation matrice],$AB$3,Invest[TVA acquittée]))*CA9</f>
        <v>0</v>
      </c>
    </row>
    <row r="10" spans="1:106" s="22" customFormat="1" ht="12.75" customHeight="1" x14ac:dyDescent="0.25">
      <c r="A10" s="42" t="str">
        <f>Matrice[[#This Row],[Ligne de la matrice]]</f>
        <v>Transfert/Transport</v>
      </c>
      <c r="B10" s="276">
        <f>(SUMIF(Fonctionnement[Affectation matrice],$AB$3,Fonctionnement[Montant (€HT)])+SUMIF(Invest[Affectation matrice],$AB$3,Invest[Amortissement HT + intérêts]))*BC10</f>
        <v>0</v>
      </c>
      <c r="C10" s="276">
        <f>(SUMIF(Fonctionnement[Affectation matrice],$AB$3,Fonctionnement[Montant (€HT)])+SUMIF(Invest[Affectation matrice],$AB$3,Invest[Amortissement HT + intérêts]))*BD10</f>
        <v>0</v>
      </c>
      <c r="D10" s="276">
        <f>(SUMIF(Fonctionnement[Affectation matrice],$AB$3,Fonctionnement[Montant (€HT)])+SUMIF(Invest[Affectation matrice],$AB$3,Invest[Amortissement HT + intérêts]))*BE10</f>
        <v>0</v>
      </c>
      <c r="E10" s="276">
        <f>(SUMIF(Fonctionnement[Affectation matrice],$AB$3,Fonctionnement[Montant (€HT)])+SUMIF(Invest[Affectation matrice],$AB$3,Invest[Amortissement HT + intérêts]))*BF10</f>
        <v>0</v>
      </c>
      <c r="F10" s="276">
        <f>(SUMIF(Fonctionnement[Affectation matrice],$AB$3,Fonctionnement[Montant (€HT)])+SUMIF(Invest[Affectation matrice],$AB$3,Invest[Amortissement HT + intérêts]))*BG10</f>
        <v>0</v>
      </c>
      <c r="G10" s="276">
        <f>(SUMIF(Fonctionnement[Affectation matrice],$AB$3,Fonctionnement[Montant (€HT)])+SUMIF(Invest[Affectation matrice],$AB$3,Invest[Amortissement HT + intérêts]))*BH10</f>
        <v>0</v>
      </c>
      <c r="H10" s="276">
        <f>(SUMIF(Fonctionnement[Affectation matrice],$AB$3,Fonctionnement[Montant (€HT)])+SUMIF(Invest[Affectation matrice],$AB$3,Invest[Amortissement HT + intérêts]))*BI10</f>
        <v>0</v>
      </c>
      <c r="I10" s="276">
        <f>(SUMIF(Fonctionnement[Affectation matrice],$AB$3,Fonctionnement[Montant (€HT)])+SUMIF(Invest[Affectation matrice],$AB$3,Invest[Amortissement HT + intérêts]))*BJ10</f>
        <v>0</v>
      </c>
      <c r="J10" s="276">
        <f>(SUMIF(Fonctionnement[Affectation matrice],$AB$3,Fonctionnement[Montant (€HT)])+SUMIF(Invest[Affectation matrice],$AB$3,Invest[Amortissement HT + intérêts]))*BK10</f>
        <v>0</v>
      </c>
      <c r="K10" s="276">
        <f>(SUMIF(Fonctionnement[Affectation matrice],$AB$3,Fonctionnement[Montant (€HT)])+SUMIF(Invest[Affectation matrice],$AB$3,Invest[Amortissement HT + intérêts]))*BL10</f>
        <v>0</v>
      </c>
      <c r="L10" s="276">
        <f>(SUMIF(Fonctionnement[Affectation matrice],$AB$3,Fonctionnement[Montant (€HT)])+SUMIF(Invest[Affectation matrice],$AB$3,Invest[Amortissement HT + intérêts]))*BM10</f>
        <v>0</v>
      </c>
      <c r="M10" s="276">
        <f>(SUMIF(Fonctionnement[Affectation matrice],$AB$3,Fonctionnement[Montant (€HT)])+SUMIF(Invest[Affectation matrice],$AB$3,Invest[Amortissement HT + intérêts]))*BN10</f>
        <v>0</v>
      </c>
      <c r="N10" s="276">
        <f>(SUMIF(Fonctionnement[Affectation matrice],$AB$3,Fonctionnement[Montant (€HT)])+SUMIF(Invest[Affectation matrice],$AB$3,Invest[Amortissement HT + intérêts]))*BO10</f>
        <v>0</v>
      </c>
      <c r="O10" s="276">
        <f>(SUMIF(Fonctionnement[Affectation matrice],$AB$3,Fonctionnement[Montant (€HT)])+SUMIF(Invest[Affectation matrice],$AB$3,Invest[Amortissement HT + intérêts]))*BP10</f>
        <v>0</v>
      </c>
      <c r="P10" s="276">
        <f>(SUMIF(Fonctionnement[Affectation matrice],$AB$3,Fonctionnement[Montant (€HT)])+SUMIF(Invest[Affectation matrice],$AB$3,Invest[Amortissement HT + intérêts]))*BQ10</f>
        <v>0</v>
      </c>
      <c r="Q10" s="276">
        <f>(SUMIF(Fonctionnement[Affectation matrice],$AB$3,Fonctionnement[Montant (€HT)])+SUMIF(Invest[Affectation matrice],$AB$3,Invest[Amortissement HT + intérêts]))*BR10</f>
        <v>0</v>
      </c>
      <c r="R10" s="276">
        <f>(SUMIF(Fonctionnement[Affectation matrice],$AB$3,Fonctionnement[Montant (€HT)])+SUMIF(Invest[Affectation matrice],$AB$3,Invest[Amortissement HT + intérêts]))*BS10</f>
        <v>0</v>
      </c>
      <c r="S10" s="276">
        <f>(SUMIF(Fonctionnement[Affectation matrice],$AB$3,Fonctionnement[Montant (€HT)])+SUMIF(Invest[Affectation matrice],$AB$3,Invest[Amortissement HT + intérêts]))*BT10</f>
        <v>0</v>
      </c>
      <c r="T10" s="276">
        <f>(SUMIF(Fonctionnement[Affectation matrice],$AB$3,Fonctionnement[Montant (€HT)])+SUMIF(Invest[Affectation matrice],$AB$3,Invest[Amortissement HT + intérêts]))*BU10</f>
        <v>0</v>
      </c>
      <c r="U10" s="276">
        <f>(SUMIF(Fonctionnement[Affectation matrice],$AB$3,Fonctionnement[Montant (€HT)])+SUMIF(Invest[Affectation matrice],$AB$3,Invest[Amortissement HT + intérêts]))*BV10</f>
        <v>0</v>
      </c>
      <c r="V10" s="276">
        <f>(SUMIF(Fonctionnement[Affectation matrice],$AB$3,Fonctionnement[Montant (€HT)])+SUMIF(Invest[Affectation matrice],$AB$3,Invest[Amortissement HT + intérêts]))*BW10</f>
        <v>0</v>
      </c>
      <c r="W10" s="276">
        <f>(SUMIF(Fonctionnement[Affectation matrice],$AB$3,Fonctionnement[Montant (€HT)])+SUMIF(Invest[Affectation matrice],$AB$3,Invest[Amortissement HT + intérêts]))*BX10</f>
        <v>0</v>
      </c>
      <c r="X10" s="276">
        <f>(SUMIF(Fonctionnement[Affectation matrice],$AB$3,Fonctionnement[Montant (€HT)])+SUMIF(Invest[Affectation matrice],$AB$3,Invest[Amortissement HT + intérêts]))*BY10</f>
        <v>0</v>
      </c>
      <c r="Y10" s="276">
        <f>(SUMIF(Fonctionnement[Affectation matrice],$AB$3,Fonctionnement[Montant (€HT)])+SUMIF(Invest[Affectation matrice],$AB$3,Invest[Amortissement HT + intérêts]))*BZ10</f>
        <v>0</v>
      </c>
      <c r="Z10" s="276">
        <f>(SUMIF(Fonctionnement[Affectation matrice],$AB$3,Fonctionnement[Montant (€HT)])+SUMIF(Invest[Affectation matrice],$AB$3,Invest[Amortissement HT + intérêts]))*CA10</f>
        <v>0</v>
      </c>
      <c r="AA10" s="199"/>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283">
        <f t="shared" si="4"/>
        <v>0</v>
      </c>
      <c r="BB10" s="7"/>
      <c r="BC10" s="61">
        <f t="shared" si="2"/>
        <v>0</v>
      </c>
      <c r="BD10" s="61">
        <f t="shared" si="2"/>
        <v>0</v>
      </c>
      <c r="BE10" s="61">
        <f t="shared" si="2"/>
        <v>0</v>
      </c>
      <c r="BF10" s="61">
        <f t="shared" si="2"/>
        <v>0</v>
      </c>
      <c r="BG10" s="61">
        <f t="shared" si="2"/>
        <v>0</v>
      </c>
      <c r="BH10" s="61">
        <f t="shared" si="2"/>
        <v>0</v>
      </c>
      <c r="BI10" s="61">
        <f t="shared" si="2"/>
        <v>0</v>
      </c>
      <c r="BJ10" s="61">
        <f t="shared" si="2"/>
        <v>0</v>
      </c>
      <c r="BK10" s="61">
        <f t="shared" si="2"/>
        <v>0</v>
      </c>
      <c r="BL10" s="61">
        <f t="shared" si="2"/>
        <v>0</v>
      </c>
      <c r="BM10" s="61">
        <f t="shared" si="2"/>
        <v>0</v>
      </c>
      <c r="BN10" s="61">
        <f t="shared" si="2"/>
        <v>0</v>
      </c>
      <c r="BO10" s="61">
        <f t="shared" si="2"/>
        <v>0</v>
      </c>
      <c r="BP10" s="61">
        <f t="shared" si="2"/>
        <v>0</v>
      </c>
      <c r="BQ10" s="61">
        <f t="shared" si="2"/>
        <v>0</v>
      </c>
      <c r="BR10" s="61">
        <f t="shared" si="2"/>
        <v>0</v>
      </c>
      <c r="BS10" s="61">
        <f t="shared" si="3"/>
        <v>0</v>
      </c>
      <c r="BT10" s="61">
        <f t="shared" si="3"/>
        <v>0</v>
      </c>
      <c r="BU10" s="61">
        <f t="shared" si="3"/>
        <v>0</v>
      </c>
      <c r="BV10" s="61">
        <f t="shared" si="3"/>
        <v>0</v>
      </c>
      <c r="BW10" s="61">
        <f t="shared" si="3"/>
        <v>0</v>
      </c>
      <c r="BX10" s="61">
        <f t="shared" si="3"/>
        <v>0</v>
      </c>
      <c r="BY10" s="61">
        <f t="shared" si="3"/>
        <v>0</v>
      </c>
      <c r="BZ10" s="61">
        <f t="shared" si="3"/>
        <v>0</v>
      </c>
      <c r="CA10" s="61">
        <f t="shared" si="3"/>
        <v>0</v>
      </c>
      <c r="CB10" s="61">
        <f t="shared" si="5"/>
        <v>0</v>
      </c>
      <c r="CD10" s="200">
        <f>(SUMIF(Fonctionnement[Affectation matrice],$AB$3,Fonctionnement[TVA acquittée])+SUMIF(Invest[Affectation matrice],$AB$3,Invest[TVA acquittée]))*BC10</f>
        <v>0</v>
      </c>
      <c r="CE10" s="200">
        <f>(SUMIF(Fonctionnement[Affectation matrice],$AB$3,Fonctionnement[TVA acquittée])+SUMIF(Invest[Affectation matrice],$AB$3,Invest[TVA acquittée]))*BD10</f>
        <v>0</v>
      </c>
      <c r="CF10" s="200">
        <f>(SUMIF(Fonctionnement[Affectation matrice],$AB$3,Fonctionnement[TVA acquittée])+SUMIF(Invest[Affectation matrice],$AB$3,Invest[TVA acquittée]))*BE10</f>
        <v>0</v>
      </c>
      <c r="CG10" s="200">
        <f>(SUMIF(Fonctionnement[Affectation matrice],$AB$3,Fonctionnement[TVA acquittée])+SUMIF(Invest[Affectation matrice],$AB$3,Invest[TVA acquittée]))*BF10</f>
        <v>0</v>
      </c>
      <c r="CH10" s="200">
        <f>(SUMIF(Fonctionnement[Affectation matrice],$AB$3,Fonctionnement[TVA acquittée])+SUMIF(Invest[Affectation matrice],$AB$3,Invest[TVA acquittée]))*BG10</f>
        <v>0</v>
      </c>
      <c r="CI10" s="200">
        <f>(SUMIF(Fonctionnement[Affectation matrice],$AB$3,Fonctionnement[TVA acquittée])+SUMIF(Invest[Affectation matrice],$AB$3,Invest[TVA acquittée]))*BH10</f>
        <v>0</v>
      </c>
      <c r="CJ10" s="200">
        <f>(SUMIF(Fonctionnement[Affectation matrice],$AB$3,Fonctionnement[TVA acquittée])+SUMIF(Invest[Affectation matrice],$AB$3,Invest[TVA acquittée]))*BI10</f>
        <v>0</v>
      </c>
      <c r="CK10" s="200">
        <f>(SUMIF(Fonctionnement[Affectation matrice],$AB$3,Fonctionnement[TVA acquittée])+SUMIF(Invest[Affectation matrice],$AB$3,Invest[TVA acquittée]))*BJ10</f>
        <v>0</v>
      </c>
      <c r="CL10" s="200">
        <f>(SUMIF(Fonctionnement[Affectation matrice],$AB$3,Fonctionnement[TVA acquittée])+SUMIF(Invest[Affectation matrice],$AB$3,Invest[TVA acquittée]))*BK10</f>
        <v>0</v>
      </c>
      <c r="CM10" s="200">
        <f>(SUMIF(Fonctionnement[Affectation matrice],$AB$3,Fonctionnement[TVA acquittée])+SUMIF(Invest[Affectation matrice],$AB$3,Invest[TVA acquittée]))*BL10</f>
        <v>0</v>
      </c>
      <c r="CN10" s="200">
        <f>(SUMIF(Fonctionnement[Affectation matrice],$AB$3,Fonctionnement[TVA acquittée])+SUMIF(Invest[Affectation matrice],$AB$3,Invest[TVA acquittée]))*BM10</f>
        <v>0</v>
      </c>
      <c r="CO10" s="200">
        <f>(SUMIF(Fonctionnement[Affectation matrice],$AB$3,Fonctionnement[TVA acquittée])+SUMIF(Invest[Affectation matrice],$AB$3,Invest[TVA acquittée]))*BN10</f>
        <v>0</v>
      </c>
      <c r="CP10" s="200">
        <f>(SUMIF(Fonctionnement[Affectation matrice],$AB$3,Fonctionnement[TVA acquittée])+SUMIF(Invest[Affectation matrice],$AB$3,Invest[TVA acquittée]))*BO10</f>
        <v>0</v>
      </c>
      <c r="CQ10" s="200">
        <f>(SUMIF(Fonctionnement[Affectation matrice],$AB$3,Fonctionnement[TVA acquittée])+SUMIF(Invest[Affectation matrice],$AB$3,Invest[TVA acquittée]))*BP10</f>
        <v>0</v>
      </c>
      <c r="CR10" s="200">
        <f>(SUMIF(Fonctionnement[Affectation matrice],$AB$3,Fonctionnement[TVA acquittée])+SUMIF(Invest[Affectation matrice],$AB$3,Invest[TVA acquittée]))*BQ10</f>
        <v>0</v>
      </c>
      <c r="CS10" s="200">
        <f>(SUMIF(Fonctionnement[Affectation matrice],$AB$3,Fonctionnement[TVA acquittée])+SUMIF(Invest[Affectation matrice],$AB$3,Invest[TVA acquittée]))*BR10</f>
        <v>0</v>
      </c>
      <c r="CT10" s="200">
        <f>(SUMIF(Fonctionnement[Affectation matrice],$AB$3,Fonctionnement[TVA acquittée])+SUMIF(Invest[Affectation matrice],$AB$3,Invest[TVA acquittée]))*BS10</f>
        <v>0</v>
      </c>
      <c r="CU10" s="200">
        <f>(SUMIF(Fonctionnement[Affectation matrice],$AB$3,Fonctionnement[TVA acquittée])+SUMIF(Invest[Affectation matrice],$AB$3,Invest[TVA acquittée]))*BT10</f>
        <v>0</v>
      </c>
      <c r="CV10" s="200">
        <f>(SUMIF(Fonctionnement[Affectation matrice],$AB$3,Fonctionnement[TVA acquittée])+SUMIF(Invest[Affectation matrice],$AB$3,Invest[TVA acquittée]))*BU10</f>
        <v>0</v>
      </c>
      <c r="CW10" s="200">
        <f>(SUMIF(Fonctionnement[Affectation matrice],$AB$3,Fonctionnement[TVA acquittée])+SUMIF(Invest[Affectation matrice],$AB$3,Invest[TVA acquittée]))*BV10</f>
        <v>0</v>
      </c>
      <c r="CX10" s="200">
        <f>(SUMIF(Fonctionnement[Affectation matrice],$AB$3,Fonctionnement[TVA acquittée])+SUMIF(Invest[Affectation matrice],$AB$3,Invest[TVA acquittée]))*BW10</f>
        <v>0</v>
      </c>
      <c r="CY10" s="200">
        <f>(SUMIF(Fonctionnement[Affectation matrice],$AB$3,Fonctionnement[TVA acquittée])+SUMIF(Invest[Affectation matrice],$AB$3,Invest[TVA acquittée]))*BX10</f>
        <v>0</v>
      </c>
      <c r="CZ10" s="200">
        <f>(SUMIF(Fonctionnement[Affectation matrice],$AB$3,Fonctionnement[TVA acquittée])+SUMIF(Invest[Affectation matrice],$AB$3,Invest[TVA acquittée]))*BY10</f>
        <v>0</v>
      </c>
      <c r="DA10" s="200">
        <f>(SUMIF(Fonctionnement[Affectation matrice],$AB$3,Fonctionnement[TVA acquittée])+SUMIF(Invest[Affectation matrice],$AB$3,Invest[TVA acquittée]))*BZ10</f>
        <v>0</v>
      </c>
      <c r="DB10" s="200">
        <f>(SUMIF(Fonctionnement[Affectation matrice],$AB$3,Fonctionnement[TVA acquittée])+SUMIF(Invest[Affectation matrice],$AB$3,Invest[TVA acquittée]))*CA10</f>
        <v>0</v>
      </c>
    </row>
    <row r="11" spans="1:106" s="22" customFormat="1" ht="12.75" customHeight="1" x14ac:dyDescent="0.25">
      <c r="A11" s="42" t="str">
        <f>Matrice[[#This Row],[Ligne de la matrice]]</f>
        <v>Traitement des déchets non dangereux</v>
      </c>
      <c r="B11" s="276">
        <f>(SUMIF(Fonctionnement[Affectation matrice],$AB$3,Fonctionnement[Montant (€HT)])+SUMIF(Invest[Affectation matrice],$AB$3,Invest[Amortissement HT + intérêts]))*BC11</f>
        <v>0</v>
      </c>
      <c r="C11" s="276">
        <f>(SUMIF(Fonctionnement[Affectation matrice],$AB$3,Fonctionnement[Montant (€HT)])+SUMIF(Invest[Affectation matrice],$AB$3,Invest[Amortissement HT + intérêts]))*BD11</f>
        <v>0</v>
      </c>
      <c r="D11" s="276">
        <f>(SUMIF(Fonctionnement[Affectation matrice],$AB$3,Fonctionnement[Montant (€HT)])+SUMIF(Invest[Affectation matrice],$AB$3,Invest[Amortissement HT + intérêts]))*BE11</f>
        <v>0</v>
      </c>
      <c r="E11" s="276">
        <f>(SUMIF(Fonctionnement[Affectation matrice],$AB$3,Fonctionnement[Montant (€HT)])+SUMIF(Invest[Affectation matrice],$AB$3,Invest[Amortissement HT + intérêts]))*BF11</f>
        <v>0</v>
      </c>
      <c r="F11" s="276">
        <f>(SUMIF(Fonctionnement[Affectation matrice],$AB$3,Fonctionnement[Montant (€HT)])+SUMIF(Invest[Affectation matrice],$AB$3,Invest[Amortissement HT + intérêts]))*BG11</f>
        <v>0</v>
      </c>
      <c r="G11" s="276">
        <f>(SUMIF(Fonctionnement[Affectation matrice],$AB$3,Fonctionnement[Montant (€HT)])+SUMIF(Invest[Affectation matrice],$AB$3,Invest[Amortissement HT + intérêts]))*BH11</f>
        <v>0</v>
      </c>
      <c r="H11" s="276">
        <f>(SUMIF(Fonctionnement[Affectation matrice],$AB$3,Fonctionnement[Montant (€HT)])+SUMIF(Invest[Affectation matrice],$AB$3,Invest[Amortissement HT + intérêts]))*BI11</f>
        <v>0</v>
      </c>
      <c r="I11" s="276">
        <f>(SUMIF(Fonctionnement[Affectation matrice],$AB$3,Fonctionnement[Montant (€HT)])+SUMIF(Invest[Affectation matrice],$AB$3,Invest[Amortissement HT + intérêts]))*BJ11</f>
        <v>0</v>
      </c>
      <c r="J11" s="276">
        <f>(SUMIF(Fonctionnement[Affectation matrice],$AB$3,Fonctionnement[Montant (€HT)])+SUMIF(Invest[Affectation matrice],$AB$3,Invest[Amortissement HT + intérêts]))*BK11</f>
        <v>0</v>
      </c>
      <c r="K11" s="276">
        <f>(SUMIF(Fonctionnement[Affectation matrice],$AB$3,Fonctionnement[Montant (€HT)])+SUMIF(Invest[Affectation matrice],$AB$3,Invest[Amortissement HT + intérêts]))*BL11</f>
        <v>0</v>
      </c>
      <c r="L11" s="276">
        <f>(SUMIF(Fonctionnement[Affectation matrice],$AB$3,Fonctionnement[Montant (€HT)])+SUMIF(Invest[Affectation matrice],$AB$3,Invest[Amortissement HT + intérêts]))*BM11</f>
        <v>0</v>
      </c>
      <c r="M11" s="276">
        <f>(SUMIF(Fonctionnement[Affectation matrice],$AB$3,Fonctionnement[Montant (€HT)])+SUMIF(Invest[Affectation matrice],$AB$3,Invest[Amortissement HT + intérêts]))*BN11</f>
        <v>0</v>
      </c>
      <c r="N11" s="276">
        <f>(SUMIF(Fonctionnement[Affectation matrice],$AB$3,Fonctionnement[Montant (€HT)])+SUMIF(Invest[Affectation matrice],$AB$3,Invest[Amortissement HT + intérêts]))*BO11</f>
        <v>0</v>
      </c>
      <c r="O11" s="276">
        <f>(SUMIF(Fonctionnement[Affectation matrice],$AB$3,Fonctionnement[Montant (€HT)])+SUMIF(Invest[Affectation matrice],$AB$3,Invest[Amortissement HT + intérêts]))*BP11</f>
        <v>0</v>
      </c>
      <c r="P11" s="276">
        <f>(SUMIF(Fonctionnement[Affectation matrice],$AB$3,Fonctionnement[Montant (€HT)])+SUMIF(Invest[Affectation matrice],$AB$3,Invest[Amortissement HT + intérêts]))*BQ11</f>
        <v>0</v>
      </c>
      <c r="Q11" s="276">
        <f>(SUMIF(Fonctionnement[Affectation matrice],$AB$3,Fonctionnement[Montant (€HT)])+SUMIF(Invest[Affectation matrice],$AB$3,Invest[Amortissement HT + intérêts]))*BR11</f>
        <v>0</v>
      </c>
      <c r="R11" s="276">
        <f>(SUMIF(Fonctionnement[Affectation matrice],$AB$3,Fonctionnement[Montant (€HT)])+SUMIF(Invest[Affectation matrice],$AB$3,Invest[Amortissement HT + intérêts]))*BS11</f>
        <v>0</v>
      </c>
      <c r="S11" s="276">
        <f>(SUMIF(Fonctionnement[Affectation matrice],$AB$3,Fonctionnement[Montant (€HT)])+SUMIF(Invest[Affectation matrice],$AB$3,Invest[Amortissement HT + intérêts]))*BT11</f>
        <v>0</v>
      </c>
      <c r="T11" s="276">
        <f>(SUMIF(Fonctionnement[Affectation matrice],$AB$3,Fonctionnement[Montant (€HT)])+SUMIF(Invest[Affectation matrice],$AB$3,Invest[Amortissement HT + intérêts]))*BU11</f>
        <v>0</v>
      </c>
      <c r="U11" s="276">
        <f>(SUMIF(Fonctionnement[Affectation matrice],$AB$3,Fonctionnement[Montant (€HT)])+SUMIF(Invest[Affectation matrice],$AB$3,Invest[Amortissement HT + intérêts]))*BV11</f>
        <v>0</v>
      </c>
      <c r="V11" s="276">
        <f>(SUMIF(Fonctionnement[Affectation matrice],$AB$3,Fonctionnement[Montant (€HT)])+SUMIF(Invest[Affectation matrice],$AB$3,Invest[Amortissement HT + intérêts]))*BW11</f>
        <v>0</v>
      </c>
      <c r="W11" s="276">
        <f>(SUMIF(Fonctionnement[Affectation matrice],$AB$3,Fonctionnement[Montant (€HT)])+SUMIF(Invest[Affectation matrice],$AB$3,Invest[Amortissement HT + intérêts]))*BX11</f>
        <v>0</v>
      </c>
      <c r="X11" s="276">
        <f>(SUMIF(Fonctionnement[Affectation matrice],$AB$3,Fonctionnement[Montant (€HT)])+SUMIF(Invest[Affectation matrice],$AB$3,Invest[Amortissement HT + intérêts]))*BY11</f>
        <v>0</v>
      </c>
      <c r="Y11" s="276">
        <f>(SUMIF(Fonctionnement[Affectation matrice],$AB$3,Fonctionnement[Montant (€HT)])+SUMIF(Invest[Affectation matrice],$AB$3,Invest[Amortissement HT + intérêts]))*BZ11</f>
        <v>0</v>
      </c>
      <c r="Z11" s="276">
        <f>(SUMIF(Fonctionnement[Affectation matrice],$AB$3,Fonctionnement[Montant (€HT)])+SUMIF(Invest[Affectation matrice],$AB$3,Invest[Amortissement HT + intérêts]))*CA11</f>
        <v>0</v>
      </c>
      <c r="AA11" s="199"/>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283">
        <f t="shared" si="4"/>
        <v>0</v>
      </c>
      <c r="BB11" s="7"/>
      <c r="BC11" s="61">
        <f t="shared" si="2"/>
        <v>0</v>
      </c>
      <c r="BD11" s="61">
        <f t="shared" si="2"/>
        <v>0</v>
      </c>
      <c r="BE11" s="61">
        <f t="shared" si="2"/>
        <v>0</v>
      </c>
      <c r="BF11" s="61">
        <f t="shared" si="2"/>
        <v>0</v>
      </c>
      <c r="BG11" s="61">
        <f t="shared" si="2"/>
        <v>0</v>
      </c>
      <c r="BH11" s="61">
        <f t="shared" si="2"/>
        <v>0</v>
      </c>
      <c r="BI11" s="61">
        <f t="shared" si="2"/>
        <v>0</v>
      </c>
      <c r="BJ11" s="61">
        <f t="shared" si="2"/>
        <v>0</v>
      </c>
      <c r="BK11" s="61">
        <f t="shared" si="2"/>
        <v>0</v>
      </c>
      <c r="BL11" s="61">
        <f t="shared" si="2"/>
        <v>0</v>
      </c>
      <c r="BM11" s="61">
        <f t="shared" si="2"/>
        <v>0</v>
      </c>
      <c r="BN11" s="61">
        <f t="shared" si="2"/>
        <v>0</v>
      </c>
      <c r="BO11" s="61">
        <f t="shared" si="2"/>
        <v>0</v>
      </c>
      <c r="BP11" s="61">
        <f t="shared" si="2"/>
        <v>0</v>
      </c>
      <c r="BQ11" s="61">
        <f t="shared" si="2"/>
        <v>0</v>
      </c>
      <c r="BR11" s="61">
        <f t="shared" si="2"/>
        <v>0</v>
      </c>
      <c r="BS11" s="61">
        <f t="shared" si="3"/>
        <v>0</v>
      </c>
      <c r="BT11" s="61">
        <f t="shared" si="3"/>
        <v>0</v>
      </c>
      <c r="BU11" s="61">
        <f t="shared" si="3"/>
        <v>0</v>
      </c>
      <c r="BV11" s="61">
        <f t="shared" si="3"/>
        <v>0</v>
      </c>
      <c r="BW11" s="61">
        <f t="shared" si="3"/>
        <v>0</v>
      </c>
      <c r="BX11" s="61">
        <f t="shared" si="3"/>
        <v>0</v>
      </c>
      <c r="BY11" s="61">
        <f t="shared" si="3"/>
        <v>0</v>
      </c>
      <c r="BZ11" s="61">
        <f t="shared" si="3"/>
        <v>0</v>
      </c>
      <c r="CA11" s="61">
        <f t="shared" si="3"/>
        <v>0</v>
      </c>
      <c r="CB11" s="61">
        <f t="shared" si="5"/>
        <v>0</v>
      </c>
      <c r="CD11" s="200">
        <f>(SUMIF(Fonctionnement[Affectation matrice],$AB$3,Fonctionnement[TVA acquittée])+SUMIF(Invest[Affectation matrice],$AB$3,Invest[TVA acquittée]))*BC11</f>
        <v>0</v>
      </c>
      <c r="CE11" s="200">
        <f>(SUMIF(Fonctionnement[Affectation matrice],$AB$3,Fonctionnement[TVA acquittée])+SUMIF(Invest[Affectation matrice],$AB$3,Invest[TVA acquittée]))*BD11</f>
        <v>0</v>
      </c>
      <c r="CF11" s="200">
        <f>(SUMIF(Fonctionnement[Affectation matrice],$AB$3,Fonctionnement[TVA acquittée])+SUMIF(Invest[Affectation matrice],$AB$3,Invest[TVA acquittée]))*BE11</f>
        <v>0</v>
      </c>
      <c r="CG11" s="200">
        <f>(SUMIF(Fonctionnement[Affectation matrice],$AB$3,Fonctionnement[TVA acquittée])+SUMIF(Invest[Affectation matrice],$AB$3,Invest[TVA acquittée]))*BF11</f>
        <v>0</v>
      </c>
      <c r="CH11" s="200">
        <f>(SUMIF(Fonctionnement[Affectation matrice],$AB$3,Fonctionnement[TVA acquittée])+SUMIF(Invest[Affectation matrice],$AB$3,Invest[TVA acquittée]))*BG11</f>
        <v>0</v>
      </c>
      <c r="CI11" s="200">
        <f>(SUMIF(Fonctionnement[Affectation matrice],$AB$3,Fonctionnement[TVA acquittée])+SUMIF(Invest[Affectation matrice],$AB$3,Invest[TVA acquittée]))*BH11</f>
        <v>0</v>
      </c>
      <c r="CJ11" s="200">
        <f>(SUMIF(Fonctionnement[Affectation matrice],$AB$3,Fonctionnement[TVA acquittée])+SUMIF(Invest[Affectation matrice],$AB$3,Invest[TVA acquittée]))*BI11</f>
        <v>0</v>
      </c>
      <c r="CK11" s="200">
        <f>(SUMIF(Fonctionnement[Affectation matrice],$AB$3,Fonctionnement[TVA acquittée])+SUMIF(Invest[Affectation matrice],$AB$3,Invest[TVA acquittée]))*BJ11</f>
        <v>0</v>
      </c>
      <c r="CL11" s="200">
        <f>(SUMIF(Fonctionnement[Affectation matrice],$AB$3,Fonctionnement[TVA acquittée])+SUMIF(Invest[Affectation matrice],$AB$3,Invest[TVA acquittée]))*BK11</f>
        <v>0</v>
      </c>
      <c r="CM11" s="200">
        <f>(SUMIF(Fonctionnement[Affectation matrice],$AB$3,Fonctionnement[TVA acquittée])+SUMIF(Invest[Affectation matrice],$AB$3,Invest[TVA acquittée]))*BL11</f>
        <v>0</v>
      </c>
      <c r="CN11" s="200">
        <f>(SUMIF(Fonctionnement[Affectation matrice],$AB$3,Fonctionnement[TVA acquittée])+SUMIF(Invest[Affectation matrice],$AB$3,Invest[TVA acquittée]))*BM11</f>
        <v>0</v>
      </c>
      <c r="CO11" s="200">
        <f>(SUMIF(Fonctionnement[Affectation matrice],$AB$3,Fonctionnement[TVA acquittée])+SUMIF(Invest[Affectation matrice],$AB$3,Invest[TVA acquittée]))*BN11</f>
        <v>0</v>
      </c>
      <c r="CP11" s="200">
        <f>(SUMIF(Fonctionnement[Affectation matrice],$AB$3,Fonctionnement[TVA acquittée])+SUMIF(Invest[Affectation matrice],$AB$3,Invest[TVA acquittée]))*BO11</f>
        <v>0</v>
      </c>
      <c r="CQ11" s="200">
        <f>(SUMIF(Fonctionnement[Affectation matrice],$AB$3,Fonctionnement[TVA acquittée])+SUMIF(Invest[Affectation matrice],$AB$3,Invest[TVA acquittée]))*BP11</f>
        <v>0</v>
      </c>
      <c r="CR11" s="200">
        <f>(SUMIF(Fonctionnement[Affectation matrice],$AB$3,Fonctionnement[TVA acquittée])+SUMIF(Invest[Affectation matrice],$AB$3,Invest[TVA acquittée]))*BQ11</f>
        <v>0</v>
      </c>
      <c r="CS11" s="200">
        <f>(SUMIF(Fonctionnement[Affectation matrice],$AB$3,Fonctionnement[TVA acquittée])+SUMIF(Invest[Affectation matrice],$AB$3,Invest[TVA acquittée]))*BR11</f>
        <v>0</v>
      </c>
      <c r="CT11" s="200">
        <f>(SUMIF(Fonctionnement[Affectation matrice],$AB$3,Fonctionnement[TVA acquittée])+SUMIF(Invest[Affectation matrice],$AB$3,Invest[TVA acquittée]))*BS11</f>
        <v>0</v>
      </c>
      <c r="CU11" s="200">
        <f>(SUMIF(Fonctionnement[Affectation matrice],$AB$3,Fonctionnement[TVA acquittée])+SUMIF(Invest[Affectation matrice],$AB$3,Invest[TVA acquittée]))*BT11</f>
        <v>0</v>
      </c>
      <c r="CV11" s="200">
        <f>(SUMIF(Fonctionnement[Affectation matrice],$AB$3,Fonctionnement[TVA acquittée])+SUMIF(Invest[Affectation matrice],$AB$3,Invest[TVA acquittée]))*BU11</f>
        <v>0</v>
      </c>
      <c r="CW11" s="200">
        <f>(SUMIF(Fonctionnement[Affectation matrice],$AB$3,Fonctionnement[TVA acquittée])+SUMIF(Invest[Affectation matrice],$AB$3,Invest[TVA acquittée]))*BV11</f>
        <v>0</v>
      </c>
      <c r="CX11" s="200">
        <f>(SUMIF(Fonctionnement[Affectation matrice],$AB$3,Fonctionnement[TVA acquittée])+SUMIF(Invest[Affectation matrice],$AB$3,Invest[TVA acquittée]))*BW11</f>
        <v>0</v>
      </c>
      <c r="CY11" s="200">
        <f>(SUMIF(Fonctionnement[Affectation matrice],$AB$3,Fonctionnement[TVA acquittée])+SUMIF(Invest[Affectation matrice],$AB$3,Invest[TVA acquittée]))*BX11</f>
        <v>0</v>
      </c>
      <c r="CZ11" s="200">
        <f>(SUMIF(Fonctionnement[Affectation matrice],$AB$3,Fonctionnement[TVA acquittée])+SUMIF(Invest[Affectation matrice],$AB$3,Invest[TVA acquittée]))*BY11</f>
        <v>0</v>
      </c>
      <c r="DA11" s="200">
        <f>(SUMIF(Fonctionnement[Affectation matrice],$AB$3,Fonctionnement[TVA acquittée])+SUMIF(Invest[Affectation matrice],$AB$3,Invest[TVA acquittée]))*BZ11</f>
        <v>0</v>
      </c>
      <c r="DB11" s="200">
        <f>(SUMIF(Fonctionnement[Affectation matrice],$AB$3,Fonctionnement[TVA acquittée])+SUMIF(Invest[Affectation matrice],$AB$3,Invest[TVA acquittée]))*CA11</f>
        <v>0</v>
      </c>
    </row>
    <row r="12" spans="1:106" s="22" customFormat="1" ht="12.75" customHeight="1" x14ac:dyDescent="0.25">
      <c r="A12" s="42" t="str">
        <f>Matrice[[#This Row],[Ligne de la matrice]]</f>
        <v>Enlèvement et traitement des déchets dangereux</v>
      </c>
      <c r="B12" s="276">
        <f>(SUMIF(Fonctionnement[Affectation matrice],$AB$3,Fonctionnement[Montant (€HT)])+SUMIF(Invest[Affectation matrice],$AB$3,Invest[Amortissement HT + intérêts]))*BC12</f>
        <v>0</v>
      </c>
      <c r="C12" s="276">
        <f>(SUMIF(Fonctionnement[Affectation matrice],$AB$3,Fonctionnement[Montant (€HT)])+SUMIF(Invest[Affectation matrice],$AB$3,Invest[Amortissement HT + intérêts]))*BD12</f>
        <v>0</v>
      </c>
      <c r="D12" s="276">
        <f>(SUMIF(Fonctionnement[Affectation matrice],$AB$3,Fonctionnement[Montant (€HT)])+SUMIF(Invest[Affectation matrice],$AB$3,Invest[Amortissement HT + intérêts]))*BE12</f>
        <v>0</v>
      </c>
      <c r="E12" s="276">
        <f>(SUMIF(Fonctionnement[Affectation matrice],$AB$3,Fonctionnement[Montant (€HT)])+SUMIF(Invest[Affectation matrice],$AB$3,Invest[Amortissement HT + intérêts]))*BF12</f>
        <v>0</v>
      </c>
      <c r="F12" s="276">
        <f>(SUMIF(Fonctionnement[Affectation matrice],$AB$3,Fonctionnement[Montant (€HT)])+SUMIF(Invest[Affectation matrice],$AB$3,Invest[Amortissement HT + intérêts]))*BG12</f>
        <v>0</v>
      </c>
      <c r="G12" s="276">
        <f>(SUMIF(Fonctionnement[Affectation matrice],$AB$3,Fonctionnement[Montant (€HT)])+SUMIF(Invest[Affectation matrice],$AB$3,Invest[Amortissement HT + intérêts]))*BH12</f>
        <v>0</v>
      </c>
      <c r="H12" s="276">
        <f>(SUMIF(Fonctionnement[Affectation matrice],$AB$3,Fonctionnement[Montant (€HT)])+SUMIF(Invest[Affectation matrice],$AB$3,Invest[Amortissement HT + intérêts]))*BI12</f>
        <v>0</v>
      </c>
      <c r="I12" s="276">
        <f>(SUMIF(Fonctionnement[Affectation matrice],$AB$3,Fonctionnement[Montant (€HT)])+SUMIF(Invest[Affectation matrice],$AB$3,Invest[Amortissement HT + intérêts]))*BJ12</f>
        <v>0</v>
      </c>
      <c r="J12" s="276">
        <f>(SUMIF(Fonctionnement[Affectation matrice],$AB$3,Fonctionnement[Montant (€HT)])+SUMIF(Invest[Affectation matrice],$AB$3,Invest[Amortissement HT + intérêts]))*BK12</f>
        <v>0</v>
      </c>
      <c r="K12" s="276">
        <f>(SUMIF(Fonctionnement[Affectation matrice],$AB$3,Fonctionnement[Montant (€HT)])+SUMIF(Invest[Affectation matrice],$AB$3,Invest[Amortissement HT + intérêts]))*BL12</f>
        <v>0</v>
      </c>
      <c r="L12" s="276">
        <f>(SUMIF(Fonctionnement[Affectation matrice],$AB$3,Fonctionnement[Montant (€HT)])+SUMIF(Invest[Affectation matrice],$AB$3,Invest[Amortissement HT + intérêts]))*BM12</f>
        <v>0</v>
      </c>
      <c r="M12" s="276">
        <f>(SUMIF(Fonctionnement[Affectation matrice],$AB$3,Fonctionnement[Montant (€HT)])+SUMIF(Invest[Affectation matrice],$AB$3,Invest[Amortissement HT + intérêts]))*BN12</f>
        <v>0</v>
      </c>
      <c r="N12" s="276">
        <f>(SUMIF(Fonctionnement[Affectation matrice],$AB$3,Fonctionnement[Montant (€HT)])+SUMIF(Invest[Affectation matrice],$AB$3,Invest[Amortissement HT + intérêts]))*BO12</f>
        <v>0</v>
      </c>
      <c r="O12" s="276">
        <f>(SUMIF(Fonctionnement[Affectation matrice],$AB$3,Fonctionnement[Montant (€HT)])+SUMIF(Invest[Affectation matrice],$AB$3,Invest[Amortissement HT + intérêts]))*BP12</f>
        <v>0</v>
      </c>
      <c r="P12" s="276">
        <f>(SUMIF(Fonctionnement[Affectation matrice],$AB$3,Fonctionnement[Montant (€HT)])+SUMIF(Invest[Affectation matrice],$AB$3,Invest[Amortissement HT + intérêts]))*BQ12</f>
        <v>0</v>
      </c>
      <c r="Q12" s="276">
        <f>(SUMIF(Fonctionnement[Affectation matrice],$AB$3,Fonctionnement[Montant (€HT)])+SUMIF(Invest[Affectation matrice],$AB$3,Invest[Amortissement HT + intérêts]))*BR12</f>
        <v>0</v>
      </c>
      <c r="R12" s="276">
        <f>(SUMIF(Fonctionnement[Affectation matrice],$AB$3,Fonctionnement[Montant (€HT)])+SUMIF(Invest[Affectation matrice],$AB$3,Invest[Amortissement HT + intérêts]))*BS12</f>
        <v>0</v>
      </c>
      <c r="S12" s="276">
        <f>(SUMIF(Fonctionnement[Affectation matrice],$AB$3,Fonctionnement[Montant (€HT)])+SUMIF(Invest[Affectation matrice],$AB$3,Invest[Amortissement HT + intérêts]))*BT12</f>
        <v>0</v>
      </c>
      <c r="T12" s="276">
        <f>(SUMIF(Fonctionnement[Affectation matrice],$AB$3,Fonctionnement[Montant (€HT)])+SUMIF(Invest[Affectation matrice],$AB$3,Invest[Amortissement HT + intérêts]))*BU12</f>
        <v>0</v>
      </c>
      <c r="U12" s="276">
        <f>(SUMIF(Fonctionnement[Affectation matrice],$AB$3,Fonctionnement[Montant (€HT)])+SUMIF(Invest[Affectation matrice],$AB$3,Invest[Amortissement HT + intérêts]))*BV12</f>
        <v>0</v>
      </c>
      <c r="V12" s="276">
        <f>(SUMIF(Fonctionnement[Affectation matrice],$AB$3,Fonctionnement[Montant (€HT)])+SUMIF(Invest[Affectation matrice],$AB$3,Invest[Amortissement HT + intérêts]))*BW12</f>
        <v>0</v>
      </c>
      <c r="W12" s="276">
        <f>(SUMIF(Fonctionnement[Affectation matrice],$AB$3,Fonctionnement[Montant (€HT)])+SUMIF(Invest[Affectation matrice],$AB$3,Invest[Amortissement HT + intérêts]))*BX12</f>
        <v>0</v>
      </c>
      <c r="X12" s="276">
        <f>(SUMIF(Fonctionnement[Affectation matrice],$AB$3,Fonctionnement[Montant (€HT)])+SUMIF(Invest[Affectation matrice],$AB$3,Invest[Amortissement HT + intérêts]))*BY12</f>
        <v>0</v>
      </c>
      <c r="Y12" s="276">
        <f>(SUMIF(Fonctionnement[Affectation matrice],$AB$3,Fonctionnement[Montant (€HT)])+SUMIF(Invest[Affectation matrice],$AB$3,Invest[Amortissement HT + intérêts]))*BZ12</f>
        <v>0</v>
      </c>
      <c r="Z12" s="276">
        <f>(SUMIF(Fonctionnement[Affectation matrice],$AB$3,Fonctionnement[Montant (€HT)])+SUMIF(Invest[Affectation matrice],$AB$3,Invest[Amortissement HT + intérêts]))*CA12</f>
        <v>0</v>
      </c>
      <c r="AA12" s="199"/>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283">
        <f t="shared" si="4"/>
        <v>0</v>
      </c>
      <c r="BB12" s="7"/>
      <c r="BC12" s="61">
        <f t="shared" si="2"/>
        <v>0</v>
      </c>
      <c r="BD12" s="61">
        <f t="shared" si="2"/>
        <v>0</v>
      </c>
      <c r="BE12" s="61">
        <f t="shared" si="2"/>
        <v>0</v>
      </c>
      <c r="BF12" s="61">
        <f t="shared" si="2"/>
        <v>0</v>
      </c>
      <c r="BG12" s="61">
        <f t="shared" si="2"/>
        <v>0</v>
      </c>
      <c r="BH12" s="61">
        <f t="shared" si="2"/>
        <v>0</v>
      </c>
      <c r="BI12" s="61">
        <f t="shared" si="2"/>
        <v>0</v>
      </c>
      <c r="BJ12" s="61">
        <f t="shared" si="2"/>
        <v>0</v>
      </c>
      <c r="BK12" s="61">
        <f t="shared" si="2"/>
        <v>0</v>
      </c>
      <c r="BL12" s="61">
        <f t="shared" si="2"/>
        <v>0</v>
      </c>
      <c r="BM12" s="61">
        <f t="shared" si="2"/>
        <v>0</v>
      </c>
      <c r="BN12" s="61">
        <f t="shared" si="2"/>
        <v>0</v>
      </c>
      <c r="BO12" s="61">
        <f t="shared" si="2"/>
        <v>0</v>
      </c>
      <c r="BP12" s="61">
        <f t="shared" si="2"/>
        <v>0</v>
      </c>
      <c r="BQ12" s="61">
        <f t="shared" si="2"/>
        <v>0</v>
      </c>
      <c r="BR12" s="61">
        <f t="shared" si="2"/>
        <v>0</v>
      </c>
      <c r="BS12" s="61">
        <f t="shared" si="3"/>
        <v>0</v>
      </c>
      <c r="BT12" s="61">
        <f t="shared" si="3"/>
        <v>0</v>
      </c>
      <c r="BU12" s="61">
        <f t="shared" si="3"/>
        <v>0</v>
      </c>
      <c r="BV12" s="61">
        <f t="shared" si="3"/>
        <v>0</v>
      </c>
      <c r="BW12" s="61">
        <f t="shared" si="3"/>
        <v>0</v>
      </c>
      <c r="BX12" s="61">
        <f t="shared" si="3"/>
        <v>0</v>
      </c>
      <c r="BY12" s="61">
        <f t="shared" si="3"/>
        <v>0</v>
      </c>
      <c r="BZ12" s="61">
        <f t="shared" si="3"/>
        <v>0</v>
      </c>
      <c r="CA12" s="61">
        <f t="shared" si="3"/>
        <v>0</v>
      </c>
      <c r="CB12" s="61">
        <f t="shared" si="5"/>
        <v>0</v>
      </c>
      <c r="CD12" s="200">
        <f>(SUMIF(Fonctionnement[Affectation matrice],$AB$3,Fonctionnement[TVA acquittée])+SUMIF(Invest[Affectation matrice],$AB$3,Invest[TVA acquittée]))*BC12</f>
        <v>0</v>
      </c>
      <c r="CE12" s="200">
        <f>(SUMIF(Fonctionnement[Affectation matrice],$AB$3,Fonctionnement[TVA acquittée])+SUMIF(Invest[Affectation matrice],$AB$3,Invest[TVA acquittée]))*BD12</f>
        <v>0</v>
      </c>
      <c r="CF12" s="200">
        <f>(SUMIF(Fonctionnement[Affectation matrice],$AB$3,Fonctionnement[TVA acquittée])+SUMIF(Invest[Affectation matrice],$AB$3,Invest[TVA acquittée]))*BE12</f>
        <v>0</v>
      </c>
      <c r="CG12" s="200">
        <f>(SUMIF(Fonctionnement[Affectation matrice],$AB$3,Fonctionnement[TVA acquittée])+SUMIF(Invest[Affectation matrice],$AB$3,Invest[TVA acquittée]))*BF12</f>
        <v>0</v>
      </c>
      <c r="CH12" s="200">
        <f>(SUMIF(Fonctionnement[Affectation matrice],$AB$3,Fonctionnement[TVA acquittée])+SUMIF(Invest[Affectation matrice],$AB$3,Invest[TVA acquittée]))*BG12</f>
        <v>0</v>
      </c>
      <c r="CI12" s="200">
        <f>(SUMIF(Fonctionnement[Affectation matrice],$AB$3,Fonctionnement[TVA acquittée])+SUMIF(Invest[Affectation matrice],$AB$3,Invest[TVA acquittée]))*BH12</f>
        <v>0</v>
      </c>
      <c r="CJ12" s="200">
        <f>(SUMIF(Fonctionnement[Affectation matrice],$AB$3,Fonctionnement[TVA acquittée])+SUMIF(Invest[Affectation matrice],$AB$3,Invest[TVA acquittée]))*BI12</f>
        <v>0</v>
      </c>
      <c r="CK12" s="200">
        <f>(SUMIF(Fonctionnement[Affectation matrice],$AB$3,Fonctionnement[TVA acquittée])+SUMIF(Invest[Affectation matrice],$AB$3,Invest[TVA acquittée]))*BJ12</f>
        <v>0</v>
      </c>
      <c r="CL12" s="200">
        <f>(SUMIF(Fonctionnement[Affectation matrice],$AB$3,Fonctionnement[TVA acquittée])+SUMIF(Invest[Affectation matrice],$AB$3,Invest[TVA acquittée]))*BK12</f>
        <v>0</v>
      </c>
      <c r="CM12" s="200">
        <f>(SUMIF(Fonctionnement[Affectation matrice],$AB$3,Fonctionnement[TVA acquittée])+SUMIF(Invest[Affectation matrice],$AB$3,Invest[TVA acquittée]))*BL12</f>
        <v>0</v>
      </c>
      <c r="CN12" s="200">
        <f>(SUMIF(Fonctionnement[Affectation matrice],$AB$3,Fonctionnement[TVA acquittée])+SUMIF(Invest[Affectation matrice],$AB$3,Invest[TVA acquittée]))*BM12</f>
        <v>0</v>
      </c>
      <c r="CO12" s="200">
        <f>(SUMIF(Fonctionnement[Affectation matrice],$AB$3,Fonctionnement[TVA acquittée])+SUMIF(Invest[Affectation matrice],$AB$3,Invest[TVA acquittée]))*BN12</f>
        <v>0</v>
      </c>
      <c r="CP12" s="200">
        <f>(SUMIF(Fonctionnement[Affectation matrice],$AB$3,Fonctionnement[TVA acquittée])+SUMIF(Invest[Affectation matrice],$AB$3,Invest[TVA acquittée]))*BO12</f>
        <v>0</v>
      </c>
      <c r="CQ12" s="200">
        <f>(SUMIF(Fonctionnement[Affectation matrice],$AB$3,Fonctionnement[TVA acquittée])+SUMIF(Invest[Affectation matrice],$AB$3,Invest[TVA acquittée]))*BP12</f>
        <v>0</v>
      </c>
      <c r="CR12" s="200">
        <f>(SUMIF(Fonctionnement[Affectation matrice],$AB$3,Fonctionnement[TVA acquittée])+SUMIF(Invest[Affectation matrice],$AB$3,Invest[TVA acquittée]))*BQ12</f>
        <v>0</v>
      </c>
      <c r="CS12" s="200">
        <f>(SUMIF(Fonctionnement[Affectation matrice],$AB$3,Fonctionnement[TVA acquittée])+SUMIF(Invest[Affectation matrice],$AB$3,Invest[TVA acquittée]))*BR12</f>
        <v>0</v>
      </c>
      <c r="CT12" s="200">
        <f>(SUMIF(Fonctionnement[Affectation matrice],$AB$3,Fonctionnement[TVA acquittée])+SUMIF(Invest[Affectation matrice],$AB$3,Invest[TVA acquittée]))*BS12</f>
        <v>0</v>
      </c>
      <c r="CU12" s="200">
        <f>(SUMIF(Fonctionnement[Affectation matrice],$AB$3,Fonctionnement[TVA acquittée])+SUMIF(Invest[Affectation matrice],$AB$3,Invest[TVA acquittée]))*BT12</f>
        <v>0</v>
      </c>
      <c r="CV12" s="200">
        <f>(SUMIF(Fonctionnement[Affectation matrice],$AB$3,Fonctionnement[TVA acquittée])+SUMIF(Invest[Affectation matrice],$AB$3,Invest[TVA acquittée]))*BU12</f>
        <v>0</v>
      </c>
      <c r="CW12" s="200">
        <f>(SUMIF(Fonctionnement[Affectation matrice],$AB$3,Fonctionnement[TVA acquittée])+SUMIF(Invest[Affectation matrice],$AB$3,Invest[TVA acquittée]))*BV12</f>
        <v>0</v>
      </c>
      <c r="CX12" s="200">
        <f>(SUMIF(Fonctionnement[Affectation matrice],$AB$3,Fonctionnement[TVA acquittée])+SUMIF(Invest[Affectation matrice],$AB$3,Invest[TVA acquittée]))*BW12</f>
        <v>0</v>
      </c>
      <c r="CY12" s="200">
        <f>(SUMIF(Fonctionnement[Affectation matrice],$AB$3,Fonctionnement[TVA acquittée])+SUMIF(Invest[Affectation matrice],$AB$3,Invest[TVA acquittée]))*BX12</f>
        <v>0</v>
      </c>
      <c r="CZ12" s="200">
        <f>(SUMIF(Fonctionnement[Affectation matrice],$AB$3,Fonctionnement[TVA acquittée])+SUMIF(Invest[Affectation matrice],$AB$3,Invest[TVA acquittée]))*BY12</f>
        <v>0</v>
      </c>
      <c r="DA12" s="200">
        <f>(SUMIF(Fonctionnement[Affectation matrice],$AB$3,Fonctionnement[TVA acquittée])+SUMIF(Invest[Affectation matrice],$AB$3,Invest[TVA acquittée]))*BZ12</f>
        <v>0</v>
      </c>
      <c r="DB12" s="200">
        <f>(SUMIF(Fonctionnement[Affectation matrice],$AB$3,Fonctionnement[TVA acquittée])+SUMIF(Invest[Affectation matrice],$AB$3,Invest[TVA acquittée]))*CA12</f>
        <v>0</v>
      </c>
    </row>
    <row r="13" spans="1:106" s="22" customFormat="1" ht="12.75" hidden="1" customHeight="1" x14ac:dyDescent="0.25">
      <c r="A13" s="42">
        <f>Matrice[[#This Row],[Ligne de la matrice]]</f>
        <v>0</v>
      </c>
      <c r="B13" s="276">
        <f>(SUMIF(Fonctionnement[Affectation matrice],$AB$3,Fonctionnement[Montant (€HT)])+SUMIF(Invest[Affectation matrice],$AB$3,Invest[Amortissement HT + intérêts]))*BC13</f>
        <v>0</v>
      </c>
      <c r="C13" s="276">
        <f>(SUMIF(Fonctionnement[Affectation matrice],$AB$3,Fonctionnement[Montant (€HT)])+SUMIF(Invest[Affectation matrice],$AB$3,Invest[Amortissement HT + intérêts]))*BD13</f>
        <v>0</v>
      </c>
      <c r="D13" s="276">
        <f>(SUMIF(Fonctionnement[Affectation matrice],$AB$3,Fonctionnement[Montant (€HT)])+SUMIF(Invest[Affectation matrice],$AB$3,Invest[Amortissement HT + intérêts]))*BE13</f>
        <v>0</v>
      </c>
      <c r="E13" s="276">
        <f>(SUMIF(Fonctionnement[Affectation matrice],$AB$3,Fonctionnement[Montant (€HT)])+SUMIF(Invest[Affectation matrice],$AB$3,Invest[Amortissement HT + intérêts]))*BF13</f>
        <v>0</v>
      </c>
      <c r="F13" s="276">
        <f>(SUMIF(Fonctionnement[Affectation matrice],$AB$3,Fonctionnement[Montant (€HT)])+SUMIF(Invest[Affectation matrice],$AB$3,Invest[Amortissement HT + intérêts]))*BG13</f>
        <v>0</v>
      </c>
      <c r="G13" s="276">
        <f>(SUMIF(Fonctionnement[Affectation matrice],$AB$3,Fonctionnement[Montant (€HT)])+SUMIF(Invest[Affectation matrice],$AB$3,Invest[Amortissement HT + intérêts]))*BH13</f>
        <v>0</v>
      </c>
      <c r="H13" s="276">
        <f>(SUMIF(Fonctionnement[Affectation matrice],$AB$3,Fonctionnement[Montant (€HT)])+SUMIF(Invest[Affectation matrice],$AB$3,Invest[Amortissement HT + intérêts]))*BI13</f>
        <v>0</v>
      </c>
      <c r="I13" s="276">
        <f>(SUMIF(Fonctionnement[Affectation matrice],$AB$3,Fonctionnement[Montant (€HT)])+SUMIF(Invest[Affectation matrice],$AB$3,Invest[Amortissement HT + intérêts]))*BJ13</f>
        <v>0</v>
      </c>
      <c r="J13" s="276">
        <f>(SUMIF(Fonctionnement[Affectation matrice],$AB$3,Fonctionnement[Montant (€HT)])+SUMIF(Invest[Affectation matrice],$AB$3,Invest[Amortissement HT + intérêts]))*BK13</f>
        <v>0</v>
      </c>
      <c r="K13" s="276">
        <f>(SUMIF(Fonctionnement[Affectation matrice],$AB$3,Fonctionnement[Montant (€HT)])+SUMIF(Invest[Affectation matrice],$AB$3,Invest[Amortissement HT + intérêts]))*BL13</f>
        <v>0</v>
      </c>
      <c r="L13" s="276">
        <f>(SUMIF(Fonctionnement[Affectation matrice],$AB$3,Fonctionnement[Montant (€HT)])+SUMIF(Invest[Affectation matrice],$AB$3,Invest[Amortissement HT + intérêts]))*BM13</f>
        <v>0</v>
      </c>
      <c r="M13" s="276">
        <f>(SUMIF(Fonctionnement[Affectation matrice],$AB$3,Fonctionnement[Montant (€HT)])+SUMIF(Invest[Affectation matrice],$AB$3,Invest[Amortissement HT + intérêts]))*BN13</f>
        <v>0</v>
      </c>
      <c r="N13" s="276">
        <f>(SUMIF(Fonctionnement[Affectation matrice],$AB$3,Fonctionnement[Montant (€HT)])+SUMIF(Invest[Affectation matrice],$AB$3,Invest[Amortissement HT + intérêts]))*BO13</f>
        <v>0</v>
      </c>
      <c r="O13" s="276">
        <f>(SUMIF(Fonctionnement[Affectation matrice],$AB$3,Fonctionnement[Montant (€HT)])+SUMIF(Invest[Affectation matrice],$AB$3,Invest[Amortissement HT + intérêts]))*BP13</f>
        <v>0</v>
      </c>
      <c r="P13" s="276">
        <f>(SUMIF(Fonctionnement[Affectation matrice],$AB$3,Fonctionnement[Montant (€HT)])+SUMIF(Invest[Affectation matrice],$AB$3,Invest[Amortissement HT + intérêts]))*BQ13</f>
        <v>0</v>
      </c>
      <c r="Q13" s="276">
        <f>(SUMIF(Fonctionnement[Affectation matrice],$AB$3,Fonctionnement[Montant (€HT)])+SUMIF(Invest[Affectation matrice],$AB$3,Invest[Amortissement HT + intérêts]))*BR13</f>
        <v>0</v>
      </c>
      <c r="R13" s="276">
        <f>(SUMIF(Fonctionnement[Affectation matrice],$AB$3,Fonctionnement[Montant (€HT)])+SUMIF(Invest[Affectation matrice],$AB$3,Invest[Amortissement HT + intérêts]))*BS13</f>
        <v>0</v>
      </c>
      <c r="S13" s="276">
        <f>(SUMIF(Fonctionnement[Affectation matrice],$AB$3,Fonctionnement[Montant (€HT)])+SUMIF(Invest[Affectation matrice],$AB$3,Invest[Amortissement HT + intérêts]))*BT13</f>
        <v>0</v>
      </c>
      <c r="T13" s="276">
        <f>(SUMIF(Fonctionnement[Affectation matrice],$AB$3,Fonctionnement[Montant (€HT)])+SUMIF(Invest[Affectation matrice],$AB$3,Invest[Amortissement HT + intérêts]))*BU13</f>
        <v>0</v>
      </c>
      <c r="U13" s="276">
        <f>(SUMIF(Fonctionnement[Affectation matrice],$AB$3,Fonctionnement[Montant (€HT)])+SUMIF(Invest[Affectation matrice],$AB$3,Invest[Amortissement HT + intérêts]))*BV13</f>
        <v>0</v>
      </c>
      <c r="V13" s="276">
        <f>(SUMIF(Fonctionnement[Affectation matrice],$AB$3,Fonctionnement[Montant (€HT)])+SUMIF(Invest[Affectation matrice],$AB$3,Invest[Amortissement HT + intérêts]))*BW13</f>
        <v>0</v>
      </c>
      <c r="W13" s="276">
        <f>(SUMIF(Fonctionnement[Affectation matrice],$AB$3,Fonctionnement[Montant (€HT)])+SUMIF(Invest[Affectation matrice],$AB$3,Invest[Amortissement HT + intérêts]))*BX13</f>
        <v>0</v>
      </c>
      <c r="X13" s="276">
        <f>(SUMIF(Fonctionnement[Affectation matrice],$AB$3,Fonctionnement[Montant (€HT)])+SUMIF(Invest[Affectation matrice],$AB$3,Invest[Amortissement HT + intérêts]))*BY13</f>
        <v>0</v>
      </c>
      <c r="Y13" s="276">
        <f>(SUMIF(Fonctionnement[Affectation matrice],$AB$3,Fonctionnement[Montant (€HT)])+SUMIF(Invest[Affectation matrice],$AB$3,Invest[Amortissement HT + intérêts]))*BZ13</f>
        <v>0</v>
      </c>
      <c r="Z13" s="276">
        <f>(SUMIF(Fonctionnement[Affectation matrice],$AB$3,Fonctionnement[Montant (€HT)])+SUMIF(Invest[Affectation matrice],$AB$3,Invest[Amortissement HT + intérêts]))*CA13</f>
        <v>0</v>
      </c>
      <c r="AA13" s="199"/>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283">
        <f t="shared" si="4"/>
        <v>0</v>
      </c>
      <c r="BB13" s="7"/>
      <c r="BC13" s="61">
        <f t="shared" si="2"/>
        <v>0</v>
      </c>
      <c r="BD13" s="61">
        <f t="shared" si="2"/>
        <v>0</v>
      </c>
      <c r="BE13" s="61">
        <f t="shared" si="2"/>
        <v>0</v>
      </c>
      <c r="BF13" s="61">
        <f t="shared" si="2"/>
        <v>0</v>
      </c>
      <c r="BG13" s="61">
        <f t="shared" si="2"/>
        <v>0</v>
      </c>
      <c r="BH13" s="61">
        <f t="shared" si="2"/>
        <v>0</v>
      </c>
      <c r="BI13" s="61">
        <f t="shared" si="2"/>
        <v>0</v>
      </c>
      <c r="BJ13" s="61">
        <f t="shared" si="2"/>
        <v>0</v>
      </c>
      <c r="BK13" s="61">
        <f t="shared" si="2"/>
        <v>0</v>
      </c>
      <c r="BL13" s="61">
        <f t="shared" si="2"/>
        <v>0</v>
      </c>
      <c r="BM13" s="61">
        <f t="shared" si="2"/>
        <v>0</v>
      </c>
      <c r="BN13" s="61">
        <f t="shared" si="2"/>
        <v>0</v>
      </c>
      <c r="BO13" s="61">
        <f t="shared" si="2"/>
        <v>0</v>
      </c>
      <c r="BP13" s="61">
        <f t="shared" si="2"/>
        <v>0</v>
      </c>
      <c r="BQ13" s="61">
        <f t="shared" si="2"/>
        <v>0</v>
      </c>
      <c r="BR13" s="61">
        <f t="shared" si="2"/>
        <v>0</v>
      </c>
      <c r="BS13" s="61">
        <f t="shared" si="3"/>
        <v>0</v>
      </c>
      <c r="BT13" s="61">
        <f t="shared" si="3"/>
        <v>0</v>
      </c>
      <c r="BU13" s="61">
        <f t="shared" si="3"/>
        <v>0</v>
      </c>
      <c r="BV13" s="61">
        <f t="shared" si="3"/>
        <v>0</v>
      </c>
      <c r="BW13" s="61">
        <f t="shared" si="3"/>
        <v>0</v>
      </c>
      <c r="BX13" s="61">
        <f t="shared" si="3"/>
        <v>0</v>
      </c>
      <c r="BY13" s="61">
        <f t="shared" si="3"/>
        <v>0</v>
      </c>
      <c r="BZ13" s="61">
        <f t="shared" si="3"/>
        <v>0</v>
      </c>
      <c r="CA13" s="61">
        <f t="shared" si="3"/>
        <v>0</v>
      </c>
      <c r="CB13" s="61">
        <f t="shared" si="5"/>
        <v>0</v>
      </c>
      <c r="CD13" s="200">
        <f>(SUMIF(Fonctionnement[Affectation matrice],$AB$3,Fonctionnement[TVA acquittée])+SUMIF(Invest[Affectation matrice],$AB$3,Invest[TVA acquittée]))*BC13</f>
        <v>0</v>
      </c>
      <c r="CE13" s="200">
        <f>(SUMIF(Fonctionnement[Affectation matrice],$AB$3,Fonctionnement[TVA acquittée])+SUMIF(Invest[Affectation matrice],$AB$3,Invest[TVA acquittée]))*BD13</f>
        <v>0</v>
      </c>
      <c r="CF13" s="200">
        <f>(SUMIF(Fonctionnement[Affectation matrice],$AB$3,Fonctionnement[TVA acquittée])+SUMIF(Invest[Affectation matrice],$AB$3,Invest[TVA acquittée]))*BE13</f>
        <v>0</v>
      </c>
      <c r="CG13" s="200">
        <f>(SUMIF(Fonctionnement[Affectation matrice],$AB$3,Fonctionnement[TVA acquittée])+SUMIF(Invest[Affectation matrice],$AB$3,Invest[TVA acquittée]))*BF13</f>
        <v>0</v>
      </c>
      <c r="CH13" s="200">
        <f>(SUMIF(Fonctionnement[Affectation matrice],$AB$3,Fonctionnement[TVA acquittée])+SUMIF(Invest[Affectation matrice],$AB$3,Invest[TVA acquittée]))*BG13</f>
        <v>0</v>
      </c>
      <c r="CI13" s="200">
        <f>(SUMIF(Fonctionnement[Affectation matrice],$AB$3,Fonctionnement[TVA acquittée])+SUMIF(Invest[Affectation matrice],$AB$3,Invest[TVA acquittée]))*BH13</f>
        <v>0</v>
      </c>
      <c r="CJ13" s="200">
        <f>(SUMIF(Fonctionnement[Affectation matrice],$AB$3,Fonctionnement[TVA acquittée])+SUMIF(Invest[Affectation matrice],$AB$3,Invest[TVA acquittée]))*BI13</f>
        <v>0</v>
      </c>
      <c r="CK13" s="200">
        <f>(SUMIF(Fonctionnement[Affectation matrice],$AB$3,Fonctionnement[TVA acquittée])+SUMIF(Invest[Affectation matrice],$AB$3,Invest[TVA acquittée]))*BJ13</f>
        <v>0</v>
      </c>
      <c r="CL13" s="200">
        <f>(SUMIF(Fonctionnement[Affectation matrice],$AB$3,Fonctionnement[TVA acquittée])+SUMIF(Invest[Affectation matrice],$AB$3,Invest[TVA acquittée]))*BK13</f>
        <v>0</v>
      </c>
      <c r="CM13" s="200">
        <f>(SUMIF(Fonctionnement[Affectation matrice],$AB$3,Fonctionnement[TVA acquittée])+SUMIF(Invest[Affectation matrice],$AB$3,Invest[TVA acquittée]))*BL13</f>
        <v>0</v>
      </c>
      <c r="CN13" s="200">
        <f>(SUMIF(Fonctionnement[Affectation matrice],$AB$3,Fonctionnement[TVA acquittée])+SUMIF(Invest[Affectation matrice],$AB$3,Invest[TVA acquittée]))*BM13</f>
        <v>0</v>
      </c>
      <c r="CO13" s="200">
        <f>(SUMIF(Fonctionnement[Affectation matrice],$AB$3,Fonctionnement[TVA acquittée])+SUMIF(Invest[Affectation matrice],$AB$3,Invest[TVA acquittée]))*BN13</f>
        <v>0</v>
      </c>
      <c r="CP13" s="200">
        <f>(SUMIF(Fonctionnement[Affectation matrice],$AB$3,Fonctionnement[TVA acquittée])+SUMIF(Invest[Affectation matrice],$AB$3,Invest[TVA acquittée]))*BO13</f>
        <v>0</v>
      </c>
      <c r="CQ13" s="200">
        <f>(SUMIF(Fonctionnement[Affectation matrice],$AB$3,Fonctionnement[TVA acquittée])+SUMIF(Invest[Affectation matrice],$AB$3,Invest[TVA acquittée]))*BP13</f>
        <v>0</v>
      </c>
      <c r="CR13" s="200">
        <f>(SUMIF(Fonctionnement[Affectation matrice],$AB$3,Fonctionnement[TVA acquittée])+SUMIF(Invest[Affectation matrice],$AB$3,Invest[TVA acquittée]))*BQ13</f>
        <v>0</v>
      </c>
      <c r="CS13" s="200">
        <f>(SUMIF(Fonctionnement[Affectation matrice],$AB$3,Fonctionnement[TVA acquittée])+SUMIF(Invest[Affectation matrice],$AB$3,Invest[TVA acquittée]))*BR13</f>
        <v>0</v>
      </c>
      <c r="CT13" s="200">
        <f>(SUMIF(Fonctionnement[Affectation matrice],$AB$3,Fonctionnement[TVA acquittée])+SUMIF(Invest[Affectation matrice],$AB$3,Invest[TVA acquittée]))*BS13</f>
        <v>0</v>
      </c>
      <c r="CU13" s="200">
        <f>(SUMIF(Fonctionnement[Affectation matrice],$AB$3,Fonctionnement[TVA acquittée])+SUMIF(Invest[Affectation matrice],$AB$3,Invest[TVA acquittée]))*BT13</f>
        <v>0</v>
      </c>
      <c r="CV13" s="200">
        <f>(SUMIF(Fonctionnement[Affectation matrice],$AB$3,Fonctionnement[TVA acquittée])+SUMIF(Invest[Affectation matrice],$AB$3,Invest[TVA acquittée]))*BU13</f>
        <v>0</v>
      </c>
      <c r="CW13" s="200">
        <f>(SUMIF(Fonctionnement[Affectation matrice],$AB$3,Fonctionnement[TVA acquittée])+SUMIF(Invest[Affectation matrice],$AB$3,Invest[TVA acquittée]))*BV13</f>
        <v>0</v>
      </c>
      <c r="CX13" s="200">
        <f>(SUMIF(Fonctionnement[Affectation matrice],$AB$3,Fonctionnement[TVA acquittée])+SUMIF(Invest[Affectation matrice],$AB$3,Invest[TVA acquittée]))*BW13</f>
        <v>0</v>
      </c>
      <c r="CY13" s="200">
        <f>(SUMIF(Fonctionnement[Affectation matrice],$AB$3,Fonctionnement[TVA acquittée])+SUMIF(Invest[Affectation matrice],$AB$3,Invest[TVA acquittée]))*BX13</f>
        <v>0</v>
      </c>
      <c r="CZ13" s="200">
        <f>(SUMIF(Fonctionnement[Affectation matrice],$AB$3,Fonctionnement[TVA acquittée])+SUMIF(Invest[Affectation matrice],$AB$3,Invest[TVA acquittée]))*BY13</f>
        <v>0</v>
      </c>
      <c r="DA13" s="200">
        <f>(SUMIF(Fonctionnement[Affectation matrice],$AB$3,Fonctionnement[TVA acquittée])+SUMIF(Invest[Affectation matrice],$AB$3,Invest[TVA acquittée]))*BZ13</f>
        <v>0</v>
      </c>
      <c r="DB13" s="200">
        <f>(SUMIF(Fonctionnement[Affectation matrice],$AB$3,Fonctionnement[TVA acquittée])+SUMIF(Invest[Affectation matrice],$AB$3,Invest[TVA acquittée]))*CA13</f>
        <v>0</v>
      </c>
    </row>
    <row r="14" spans="1:106" s="22" customFormat="1" ht="12.75" hidden="1" customHeight="1" x14ac:dyDescent="0.25">
      <c r="A14" s="42">
        <f>Matrice[[#This Row],[Ligne de la matrice]]</f>
        <v>0</v>
      </c>
      <c r="B14" s="276">
        <f>(SUMIF(Fonctionnement[Affectation matrice],$AB$3,Fonctionnement[Montant (€HT)])+SUMIF(Invest[Affectation matrice],$AB$3,Invest[Amortissement HT + intérêts]))*BC14</f>
        <v>0</v>
      </c>
      <c r="C14" s="276">
        <f>(SUMIF(Fonctionnement[Affectation matrice],$AB$3,Fonctionnement[Montant (€HT)])+SUMIF(Invest[Affectation matrice],$AB$3,Invest[Amortissement HT + intérêts]))*BD14</f>
        <v>0</v>
      </c>
      <c r="D14" s="276">
        <f>(SUMIF(Fonctionnement[Affectation matrice],$AB$3,Fonctionnement[Montant (€HT)])+SUMIF(Invest[Affectation matrice],$AB$3,Invest[Amortissement HT + intérêts]))*BE14</f>
        <v>0</v>
      </c>
      <c r="E14" s="276">
        <f>(SUMIF(Fonctionnement[Affectation matrice],$AB$3,Fonctionnement[Montant (€HT)])+SUMIF(Invest[Affectation matrice],$AB$3,Invest[Amortissement HT + intérêts]))*BF14</f>
        <v>0</v>
      </c>
      <c r="F14" s="276">
        <f>(SUMIF(Fonctionnement[Affectation matrice],$AB$3,Fonctionnement[Montant (€HT)])+SUMIF(Invest[Affectation matrice],$AB$3,Invest[Amortissement HT + intérêts]))*BG14</f>
        <v>0</v>
      </c>
      <c r="G14" s="276">
        <f>(SUMIF(Fonctionnement[Affectation matrice],$AB$3,Fonctionnement[Montant (€HT)])+SUMIF(Invest[Affectation matrice],$AB$3,Invest[Amortissement HT + intérêts]))*BH14</f>
        <v>0</v>
      </c>
      <c r="H14" s="276">
        <f>(SUMIF(Fonctionnement[Affectation matrice],$AB$3,Fonctionnement[Montant (€HT)])+SUMIF(Invest[Affectation matrice],$AB$3,Invest[Amortissement HT + intérêts]))*BI14</f>
        <v>0</v>
      </c>
      <c r="I14" s="276">
        <f>(SUMIF(Fonctionnement[Affectation matrice],$AB$3,Fonctionnement[Montant (€HT)])+SUMIF(Invest[Affectation matrice],$AB$3,Invest[Amortissement HT + intérêts]))*BJ14</f>
        <v>0</v>
      </c>
      <c r="J14" s="276">
        <f>(SUMIF(Fonctionnement[Affectation matrice],$AB$3,Fonctionnement[Montant (€HT)])+SUMIF(Invest[Affectation matrice],$AB$3,Invest[Amortissement HT + intérêts]))*BK14</f>
        <v>0</v>
      </c>
      <c r="K14" s="276">
        <f>(SUMIF(Fonctionnement[Affectation matrice],$AB$3,Fonctionnement[Montant (€HT)])+SUMIF(Invest[Affectation matrice],$AB$3,Invest[Amortissement HT + intérêts]))*BL14</f>
        <v>0</v>
      </c>
      <c r="L14" s="276">
        <f>(SUMIF(Fonctionnement[Affectation matrice],$AB$3,Fonctionnement[Montant (€HT)])+SUMIF(Invest[Affectation matrice],$AB$3,Invest[Amortissement HT + intérêts]))*BM14</f>
        <v>0</v>
      </c>
      <c r="M14" s="276">
        <f>(SUMIF(Fonctionnement[Affectation matrice],$AB$3,Fonctionnement[Montant (€HT)])+SUMIF(Invest[Affectation matrice],$AB$3,Invest[Amortissement HT + intérêts]))*BN14</f>
        <v>0</v>
      </c>
      <c r="N14" s="276">
        <f>(SUMIF(Fonctionnement[Affectation matrice],$AB$3,Fonctionnement[Montant (€HT)])+SUMIF(Invest[Affectation matrice],$AB$3,Invest[Amortissement HT + intérêts]))*BO14</f>
        <v>0</v>
      </c>
      <c r="O14" s="276">
        <f>(SUMIF(Fonctionnement[Affectation matrice],$AB$3,Fonctionnement[Montant (€HT)])+SUMIF(Invest[Affectation matrice],$AB$3,Invest[Amortissement HT + intérêts]))*BP14</f>
        <v>0</v>
      </c>
      <c r="P14" s="276">
        <f>(SUMIF(Fonctionnement[Affectation matrice],$AB$3,Fonctionnement[Montant (€HT)])+SUMIF(Invest[Affectation matrice],$AB$3,Invest[Amortissement HT + intérêts]))*BQ14</f>
        <v>0</v>
      </c>
      <c r="Q14" s="276">
        <f>(SUMIF(Fonctionnement[Affectation matrice],$AB$3,Fonctionnement[Montant (€HT)])+SUMIF(Invest[Affectation matrice],$AB$3,Invest[Amortissement HT + intérêts]))*BR14</f>
        <v>0</v>
      </c>
      <c r="R14" s="276">
        <f>(SUMIF(Fonctionnement[Affectation matrice],$AB$3,Fonctionnement[Montant (€HT)])+SUMIF(Invest[Affectation matrice],$AB$3,Invest[Amortissement HT + intérêts]))*BS14</f>
        <v>0</v>
      </c>
      <c r="S14" s="276">
        <f>(SUMIF(Fonctionnement[Affectation matrice],$AB$3,Fonctionnement[Montant (€HT)])+SUMIF(Invest[Affectation matrice],$AB$3,Invest[Amortissement HT + intérêts]))*BT14</f>
        <v>0</v>
      </c>
      <c r="T14" s="276">
        <f>(SUMIF(Fonctionnement[Affectation matrice],$AB$3,Fonctionnement[Montant (€HT)])+SUMIF(Invest[Affectation matrice],$AB$3,Invest[Amortissement HT + intérêts]))*BU14</f>
        <v>0</v>
      </c>
      <c r="U14" s="276">
        <f>(SUMIF(Fonctionnement[Affectation matrice],$AB$3,Fonctionnement[Montant (€HT)])+SUMIF(Invest[Affectation matrice],$AB$3,Invest[Amortissement HT + intérêts]))*BV14</f>
        <v>0</v>
      </c>
      <c r="V14" s="276">
        <f>(SUMIF(Fonctionnement[Affectation matrice],$AB$3,Fonctionnement[Montant (€HT)])+SUMIF(Invest[Affectation matrice],$AB$3,Invest[Amortissement HT + intérêts]))*BW14</f>
        <v>0</v>
      </c>
      <c r="W14" s="276">
        <f>(SUMIF(Fonctionnement[Affectation matrice],$AB$3,Fonctionnement[Montant (€HT)])+SUMIF(Invest[Affectation matrice],$AB$3,Invest[Amortissement HT + intérêts]))*BX14</f>
        <v>0</v>
      </c>
      <c r="X14" s="276">
        <f>(SUMIF(Fonctionnement[Affectation matrice],$AB$3,Fonctionnement[Montant (€HT)])+SUMIF(Invest[Affectation matrice],$AB$3,Invest[Amortissement HT + intérêts]))*BY14</f>
        <v>0</v>
      </c>
      <c r="Y14" s="276">
        <f>(SUMIF(Fonctionnement[Affectation matrice],$AB$3,Fonctionnement[Montant (€HT)])+SUMIF(Invest[Affectation matrice],$AB$3,Invest[Amortissement HT + intérêts]))*BZ14</f>
        <v>0</v>
      </c>
      <c r="Z14" s="276">
        <f>(SUMIF(Fonctionnement[Affectation matrice],$AB$3,Fonctionnement[Montant (€HT)])+SUMIF(Invest[Affectation matrice],$AB$3,Invest[Amortissement HT + intérêts]))*CA14</f>
        <v>0</v>
      </c>
      <c r="AA14" s="199"/>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283">
        <f t="shared" si="4"/>
        <v>0</v>
      </c>
      <c r="BB14" s="7"/>
      <c r="BC14" s="61">
        <f t="shared" si="2"/>
        <v>0</v>
      </c>
      <c r="BD14" s="61">
        <f t="shared" si="2"/>
        <v>0</v>
      </c>
      <c r="BE14" s="61">
        <f t="shared" si="2"/>
        <v>0</v>
      </c>
      <c r="BF14" s="61">
        <f t="shared" si="2"/>
        <v>0</v>
      </c>
      <c r="BG14" s="61">
        <f t="shared" si="2"/>
        <v>0</v>
      </c>
      <c r="BH14" s="61">
        <f t="shared" si="2"/>
        <v>0</v>
      </c>
      <c r="BI14" s="61">
        <f t="shared" si="2"/>
        <v>0</v>
      </c>
      <c r="BJ14" s="61">
        <f t="shared" si="2"/>
        <v>0</v>
      </c>
      <c r="BK14" s="61">
        <f t="shared" si="2"/>
        <v>0</v>
      </c>
      <c r="BL14" s="61">
        <f t="shared" si="2"/>
        <v>0</v>
      </c>
      <c r="BM14" s="61">
        <f t="shared" si="2"/>
        <v>0</v>
      </c>
      <c r="BN14" s="61">
        <f t="shared" si="2"/>
        <v>0</v>
      </c>
      <c r="BO14" s="61">
        <f t="shared" si="2"/>
        <v>0</v>
      </c>
      <c r="BP14" s="61">
        <f t="shared" si="2"/>
        <v>0</v>
      </c>
      <c r="BQ14" s="61">
        <f t="shared" si="2"/>
        <v>0</v>
      </c>
      <c r="BR14" s="61">
        <f t="shared" si="2"/>
        <v>0</v>
      </c>
      <c r="BS14" s="61">
        <f t="shared" si="3"/>
        <v>0</v>
      </c>
      <c r="BT14" s="61">
        <f t="shared" si="3"/>
        <v>0</v>
      </c>
      <c r="BU14" s="61">
        <f t="shared" si="3"/>
        <v>0</v>
      </c>
      <c r="BV14" s="61">
        <f t="shared" si="3"/>
        <v>0</v>
      </c>
      <c r="BW14" s="61">
        <f t="shared" si="3"/>
        <v>0</v>
      </c>
      <c r="BX14" s="61">
        <f t="shared" si="3"/>
        <v>0</v>
      </c>
      <c r="BY14" s="61">
        <f t="shared" si="3"/>
        <v>0</v>
      </c>
      <c r="BZ14" s="61">
        <f t="shared" si="3"/>
        <v>0</v>
      </c>
      <c r="CA14" s="61">
        <f t="shared" si="3"/>
        <v>0</v>
      </c>
      <c r="CB14" s="61">
        <f t="shared" si="5"/>
        <v>0</v>
      </c>
      <c r="CD14" s="200">
        <f>(SUMIF(Fonctionnement[Affectation matrice],$AB$3,Fonctionnement[TVA acquittée])+SUMIF(Invest[Affectation matrice],$AB$3,Invest[TVA acquittée]))*BC14</f>
        <v>0</v>
      </c>
      <c r="CE14" s="200">
        <f>(SUMIF(Fonctionnement[Affectation matrice],$AB$3,Fonctionnement[TVA acquittée])+SUMIF(Invest[Affectation matrice],$AB$3,Invest[TVA acquittée]))*BD14</f>
        <v>0</v>
      </c>
      <c r="CF14" s="200">
        <f>(SUMIF(Fonctionnement[Affectation matrice],$AB$3,Fonctionnement[TVA acquittée])+SUMIF(Invest[Affectation matrice],$AB$3,Invest[TVA acquittée]))*BE14</f>
        <v>0</v>
      </c>
      <c r="CG14" s="200">
        <f>(SUMIF(Fonctionnement[Affectation matrice],$AB$3,Fonctionnement[TVA acquittée])+SUMIF(Invest[Affectation matrice],$AB$3,Invest[TVA acquittée]))*BF14</f>
        <v>0</v>
      </c>
      <c r="CH14" s="200">
        <f>(SUMIF(Fonctionnement[Affectation matrice],$AB$3,Fonctionnement[TVA acquittée])+SUMIF(Invest[Affectation matrice],$AB$3,Invest[TVA acquittée]))*BG14</f>
        <v>0</v>
      </c>
      <c r="CI14" s="200">
        <f>(SUMIF(Fonctionnement[Affectation matrice],$AB$3,Fonctionnement[TVA acquittée])+SUMIF(Invest[Affectation matrice],$AB$3,Invest[TVA acquittée]))*BH14</f>
        <v>0</v>
      </c>
      <c r="CJ14" s="200">
        <f>(SUMIF(Fonctionnement[Affectation matrice],$AB$3,Fonctionnement[TVA acquittée])+SUMIF(Invest[Affectation matrice],$AB$3,Invest[TVA acquittée]))*BI14</f>
        <v>0</v>
      </c>
      <c r="CK14" s="200">
        <f>(SUMIF(Fonctionnement[Affectation matrice],$AB$3,Fonctionnement[TVA acquittée])+SUMIF(Invest[Affectation matrice],$AB$3,Invest[TVA acquittée]))*BJ14</f>
        <v>0</v>
      </c>
      <c r="CL14" s="200">
        <f>(SUMIF(Fonctionnement[Affectation matrice],$AB$3,Fonctionnement[TVA acquittée])+SUMIF(Invest[Affectation matrice],$AB$3,Invest[TVA acquittée]))*BK14</f>
        <v>0</v>
      </c>
      <c r="CM14" s="200">
        <f>(SUMIF(Fonctionnement[Affectation matrice],$AB$3,Fonctionnement[TVA acquittée])+SUMIF(Invest[Affectation matrice],$AB$3,Invest[TVA acquittée]))*BL14</f>
        <v>0</v>
      </c>
      <c r="CN14" s="200">
        <f>(SUMIF(Fonctionnement[Affectation matrice],$AB$3,Fonctionnement[TVA acquittée])+SUMIF(Invest[Affectation matrice],$AB$3,Invest[TVA acquittée]))*BM14</f>
        <v>0</v>
      </c>
      <c r="CO14" s="200">
        <f>(SUMIF(Fonctionnement[Affectation matrice],$AB$3,Fonctionnement[TVA acquittée])+SUMIF(Invest[Affectation matrice],$AB$3,Invest[TVA acquittée]))*BN14</f>
        <v>0</v>
      </c>
      <c r="CP14" s="200">
        <f>(SUMIF(Fonctionnement[Affectation matrice],$AB$3,Fonctionnement[TVA acquittée])+SUMIF(Invest[Affectation matrice],$AB$3,Invest[TVA acquittée]))*BO14</f>
        <v>0</v>
      </c>
      <c r="CQ14" s="200">
        <f>(SUMIF(Fonctionnement[Affectation matrice],$AB$3,Fonctionnement[TVA acquittée])+SUMIF(Invest[Affectation matrice],$AB$3,Invest[TVA acquittée]))*BP14</f>
        <v>0</v>
      </c>
      <c r="CR14" s="200">
        <f>(SUMIF(Fonctionnement[Affectation matrice],$AB$3,Fonctionnement[TVA acquittée])+SUMIF(Invest[Affectation matrice],$AB$3,Invest[TVA acquittée]))*BQ14</f>
        <v>0</v>
      </c>
      <c r="CS14" s="200">
        <f>(SUMIF(Fonctionnement[Affectation matrice],$AB$3,Fonctionnement[TVA acquittée])+SUMIF(Invest[Affectation matrice],$AB$3,Invest[TVA acquittée]))*BR14</f>
        <v>0</v>
      </c>
      <c r="CT14" s="200">
        <f>(SUMIF(Fonctionnement[Affectation matrice],$AB$3,Fonctionnement[TVA acquittée])+SUMIF(Invest[Affectation matrice],$AB$3,Invest[TVA acquittée]))*BS14</f>
        <v>0</v>
      </c>
      <c r="CU14" s="200">
        <f>(SUMIF(Fonctionnement[Affectation matrice],$AB$3,Fonctionnement[TVA acquittée])+SUMIF(Invest[Affectation matrice],$AB$3,Invest[TVA acquittée]))*BT14</f>
        <v>0</v>
      </c>
      <c r="CV14" s="200">
        <f>(SUMIF(Fonctionnement[Affectation matrice],$AB$3,Fonctionnement[TVA acquittée])+SUMIF(Invest[Affectation matrice],$AB$3,Invest[TVA acquittée]))*BU14</f>
        <v>0</v>
      </c>
      <c r="CW14" s="200">
        <f>(SUMIF(Fonctionnement[Affectation matrice],$AB$3,Fonctionnement[TVA acquittée])+SUMIF(Invest[Affectation matrice],$AB$3,Invest[TVA acquittée]))*BV14</f>
        <v>0</v>
      </c>
      <c r="CX14" s="200">
        <f>(SUMIF(Fonctionnement[Affectation matrice],$AB$3,Fonctionnement[TVA acquittée])+SUMIF(Invest[Affectation matrice],$AB$3,Invest[TVA acquittée]))*BW14</f>
        <v>0</v>
      </c>
      <c r="CY14" s="200">
        <f>(SUMIF(Fonctionnement[Affectation matrice],$AB$3,Fonctionnement[TVA acquittée])+SUMIF(Invest[Affectation matrice],$AB$3,Invest[TVA acquittée]))*BX14</f>
        <v>0</v>
      </c>
      <c r="CZ14" s="200">
        <f>(SUMIF(Fonctionnement[Affectation matrice],$AB$3,Fonctionnement[TVA acquittée])+SUMIF(Invest[Affectation matrice],$AB$3,Invest[TVA acquittée]))*BY14</f>
        <v>0</v>
      </c>
      <c r="DA14" s="200">
        <f>(SUMIF(Fonctionnement[Affectation matrice],$AB$3,Fonctionnement[TVA acquittée])+SUMIF(Invest[Affectation matrice],$AB$3,Invest[TVA acquittée]))*BZ14</f>
        <v>0</v>
      </c>
      <c r="DB14" s="200">
        <f>(SUMIF(Fonctionnement[Affectation matrice],$AB$3,Fonctionnement[TVA acquittée])+SUMIF(Invest[Affectation matrice],$AB$3,Invest[TVA acquittée]))*CA14</f>
        <v>0</v>
      </c>
    </row>
    <row r="15" spans="1:106" s="22" customFormat="1" ht="12.75" hidden="1" customHeight="1" x14ac:dyDescent="0.25">
      <c r="A15" s="42">
        <f>Matrice[[#This Row],[Ligne de la matrice]]</f>
        <v>0</v>
      </c>
      <c r="B15" s="276">
        <f>(SUMIF(Fonctionnement[Affectation matrice],$AB$3,Fonctionnement[Montant (€HT)])+SUMIF(Invest[Affectation matrice],$AB$3,Invest[Amortissement HT + intérêts]))*BC15</f>
        <v>0</v>
      </c>
      <c r="C15" s="276">
        <f>(SUMIF(Fonctionnement[Affectation matrice],$AB$3,Fonctionnement[Montant (€HT)])+SUMIF(Invest[Affectation matrice],$AB$3,Invest[Amortissement HT + intérêts]))*BD15</f>
        <v>0</v>
      </c>
      <c r="D15" s="276">
        <f>(SUMIF(Fonctionnement[Affectation matrice],$AB$3,Fonctionnement[Montant (€HT)])+SUMIF(Invest[Affectation matrice],$AB$3,Invest[Amortissement HT + intérêts]))*BE15</f>
        <v>0</v>
      </c>
      <c r="E15" s="276">
        <f>(SUMIF(Fonctionnement[Affectation matrice],$AB$3,Fonctionnement[Montant (€HT)])+SUMIF(Invest[Affectation matrice],$AB$3,Invest[Amortissement HT + intérêts]))*BF15</f>
        <v>0</v>
      </c>
      <c r="F15" s="276">
        <f>(SUMIF(Fonctionnement[Affectation matrice],$AB$3,Fonctionnement[Montant (€HT)])+SUMIF(Invest[Affectation matrice],$AB$3,Invest[Amortissement HT + intérêts]))*BG15</f>
        <v>0</v>
      </c>
      <c r="G15" s="276">
        <f>(SUMIF(Fonctionnement[Affectation matrice],$AB$3,Fonctionnement[Montant (€HT)])+SUMIF(Invest[Affectation matrice],$AB$3,Invest[Amortissement HT + intérêts]))*BH15</f>
        <v>0</v>
      </c>
      <c r="H15" s="276">
        <f>(SUMIF(Fonctionnement[Affectation matrice],$AB$3,Fonctionnement[Montant (€HT)])+SUMIF(Invest[Affectation matrice],$AB$3,Invest[Amortissement HT + intérêts]))*BI15</f>
        <v>0</v>
      </c>
      <c r="I15" s="276">
        <f>(SUMIF(Fonctionnement[Affectation matrice],$AB$3,Fonctionnement[Montant (€HT)])+SUMIF(Invest[Affectation matrice],$AB$3,Invest[Amortissement HT + intérêts]))*BJ15</f>
        <v>0</v>
      </c>
      <c r="J15" s="276">
        <f>(SUMIF(Fonctionnement[Affectation matrice],$AB$3,Fonctionnement[Montant (€HT)])+SUMIF(Invest[Affectation matrice],$AB$3,Invest[Amortissement HT + intérêts]))*BK15</f>
        <v>0</v>
      </c>
      <c r="K15" s="276">
        <f>(SUMIF(Fonctionnement[Affectation matrice],$AB$3,Fonctionnement[Montant (€HT)])+SUMIF(Invest[Affectation matrice],$AB$3,Invest[Amortissement HT + intérêts]))*BL15</f>
        <v>0</v>
      </c>
      <c r="L15" s="276">
        <f>(SUMIF(Fonctionnement[Affectation matrice],$AB$3,Fonctionnement[Montant (€HT)])+SUMIF(Invest[Affectation matrice],$AB$3,Invest[Amortissement HT + intérêts]))*BM15</f>
        <v>0</v>
      </c>
      <c r="M15" s="276">
        <f>(SUMIF(Fonctionnement[Affectation matrice],$AB$3,Fonctionnement[Montant (€HT)])+SUMIF(Invest[Affectation matrice],$AB$3,Invest[Amortissement HT + intérêts]))*BN15</f>
        <v>0</v>
      </c>
      <c r="N15" s="276">
        <f>(SUMIF(Fonctionnement[Affectation matrice],$AB$3,Fonctionnement[Montant (€HT)])+SUMIF(Invest[Affectation matrice],$AB$3,Invest[Amortissement HT + intérêts]))*BO15</f>
        <v>0</v>
      </c>
      <c r="O15" s="276">
        <f>(SUMIF(Fonctionnement[Affectation matrice],$AB$3,Fonctionnement[Montant (€HT)])+SUMIF(Invest[Affectation matrice],$AB$3,Invest[Amortissement HT + intérêts]))*BP15</f>
        <v>0</v>
      </c>
      <c r="P15" s="276">
        <f>(SUMIF(Fonctionnement[Affectation matrice],$AB$3,Fonctionnement[Montant (€HT)])+SUMIF(Invest[Affectation matrice],$AB$3,Invest[Amortissement HT + intérêts]))*BQ15</f>
        <v>0</v>
      </c>
      <c r="Q15" s="276">
        <f>(SUMIF(Fonctionnement[Affectation matrice],$AB$3,Fonctionnement[Montant (€HT)])+SUMIF(Invest[Affectation matrice],$AB$3,Invest[Amortissement HT + intérêts]))*BR15</f>
        <v>0</v>
      </c>
      <c r="R15" s="276">
        <f>(SUMIF(Fonctionnement[Affectation matrice],$AB$3,Fonctionnement[Montant (€HT)])+SUMIF(Invest[Affectation matrice],$AB$3,Invest[Amortissement HT + intérêts]))*BS15</f>
        <v>0</v>
      </c>
      <c r="S15" s="276">
        <f>(SUMIF(Fonctionnement[Affectation matrice],$AB$3,Fonctionnement[Montant (€HT)])+SUMIF(Invest[Affectation matrice],$AB$3,Invest[Amortissement HT + intérêts]))*BT15</f>
        <v>0</v>
      </c>
      <c r="T15" s="276">
        <f>(SUMIF(Fonctionnement[Affectation matrice],$AB$3,Fonctionnement[Montant (€HT)])+SUMIF(Invest[Affectation matrice],$AB$3,Invest[Amortissement HT + intérêts]))*BU15</f>
        <v>0</v>
      </c>
      <c r="U15" s="276">
        <f>(SUMIF(Fonctionnement[Affectation matrice],$AB$3,Fonctionnement[Montant (€HT)])+SUMIF(Invest[Affectation matrice],$AB$3,Invest[Amortissement HT + intérêts]))*BV15</f>
        <v>0</v>
      </c>
      <c r="V15" s="276">
        <f>(SUMIF(Fonctionnement[Affectation matrice],$AB$3,Fonctionnement[Montant (€HT)])+SUMIF(Invest[Affectation matrice],$AB$3,Invest[Amortissement HT + intérêts]))*BW15</f>
        <v>0</v>
      </c>
      <c r="W15" s="276">
        <f>(SUMIF(Fonctionnement[Affectation matrice],$AB$3,Fonctionnement[Montant (€HT)])+SUMIF(Invest[Affectation matrice],$AB$3,Invest[Amortissement HT + intérêts]))*BX15</f>
        <v>0</v>
      </c>
      <c r="X15" s="276">
        <f>(SUMIF(Fonctionnement[Affectation matrice],$AB$3,Fonctionnement[Montant (€HT)])+SUMIF(Invest[Affectation matrice],$AB$3,Invest[Amortissement HT + intérêts]))*BY15</f>
        <v>0</v>
      </c>
      <c r="Y15" s="276">
        <f>(SUMIF(Fonctionnement[Affectation matrice],$AB$3,Fonctionnement[Montant (€HT)])+SUMIF(Invest[Affectation matrice],$AB$3,Invest[Amortissement HT + intérêts]))*BZ15</f>
        <v>0</v>
      </c>
      <c r="Z15" s="276">
        <f>(SUMIF(Fonctionnement[Affectation matrice],$AB$3,Fonctionnement[Montant (€HT)])+SUMIF(Invest[Affectation matrice],$AB$3,Invest[Amortissement HT + intérêts]))*CA15</f>
        <v>0</v>
      </c>
      <c r="AA15" s="199"/>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283">
        <f t="shared" si="4"/>
        <v>0</v>
      </c>
      <c r="BB15" s="7"/>
      <c r="BC15" s="61">
        <f t="shared" si="2"/>
        <v>0</v>
      </c>
      <c r="BD15" s="61">
        <f t="shared" si="2"/>
        <v>0</v>
      </c>
      <c r="BE15" s="61">
        <f t="shared" si="2"/>
        <v>0</v>
      </c>
      <c r="BF15" s="61">
        <f t="shared" si="2"/>
        <v>0</v>
      </c>
      <c r="BG15" s="61">
        <f t="shared" si="2"/>
        <v>0</v>
      </c>
      <c r="BH15" s="61">
        <f t="shared" si="2"/>
        <v>0</v>
      </c>
      <c r="BI15" s="61">
        <f t="shared" si="2"/>
        <v>0</v>
      </c>
      <c r="BJ15" s="61">
        <f t="shared" si="2"/>
        <v>0</v>
      </c>
      <c r="BK15" s="61">
        <f t="shared" si="2"/>
        <v>0</v>
      </c>
      <c r="BL15" s="61">
        <f t="shared" si="2"/>
        <v>0</v>
      </c>
      <c r="BM15" s="61">
        <f t="shared" si="2"/>
        <v>0</v>
      </c>
      <c r="BN15" s="61">
        <f t="shared" si="2"/>
        <v>0</v>
      </c>
      <c r="BO15" s="61">
        <f t="shared" si="2"/>
        <v>0</v>
      </c>
      <c r="BP15" s="61">
        <f t="shared" si="2"/>
        <v>0</v>
      </c>
      <c r="BQ15" s="61">
        <f t="shared" si="2"/>
        <v>0</v>
      </c>
      <c r="BR15" s="61">
        <f t="shared" si="2"/>
        <v>0</v>
      </c>
      <c r="BS15" s="61">
        <f t="shared" si="3"/>
        <v>0</v>
      </c>
      <c r="BT15" s="61">
        <f t="shared" si="3"/>
        <v>0</v>
      </c>
      <c r="BU15" s="61">
        <f t="shared" si="3"/>
        <v>0</v>
      </c>
      <c r="BV15" s="61">
        <f t="shared" si="3"/>
        <v>0</v>
      </c>
      <c r="BW15" s="61">
        <f t="shared" si="3"/>
        <v>0</v>
      </c>
      <c r="BX15" s="61">
        <f t="shared" si="3"/>
        <v>0</v>
      </c>
      <c r="BY15" s="61">
        <f t="shared" si="3"/>
        <v>0</v>
      </c>
      <c r="BZ15" s="61">
        <f t="shared" si="3"/>
        <v>0</v>
      </c>
      <c r="CA15" s="61">
        <f t="shared" si="3"/>
        <v>0</v>
      </c>
      <c r="CB15" s="61">
        <f t="shared" si="5"/>
        <v>0</v>
      </c>
      <c r="CD15" s="200">
        <f>(SUMIF(Fonctionnement[Affectation matrice],$AB$3,Fonctionnement[TVA acquittée])+SUMIF(Invest[Affectation matrice],$AB$3,Invest[TVA acquittée]))*BC15</f>
        <v>0</v>
      </c>
      <c r="CE15" s="200">
        <f>(SUMIF(Fonctionnement[Affectation matrice],$AB$3,Fonctionnement[TVA acquittée])+SUMIF(Invest[Affectation matrice],$AB$3,Invest[TVA acquittée]))*BD15</f>
        <v>0</v>
      </c>
      <c r="CF15" s="200">
        <f>(SUMIF(Fonctionnement[Affectation matrice],$AB$3,Fonctionnement[TVA acquittée])+SUMIF(Invest[Affectation matrice],$AB$3,Invest[TVA acquittée]))*BE15</f>
        <v>0</v>
      </c>
      <c r="CG15" s="200">
        <f>(SUMIF(Fonctionnement[Affectation matrice],$AB$3,Fonctionnement[TVA acquittée])+SUMIF(Invest[Affectation matrice],$AB$3,Invest[TVA acquittée]))*BF15</f>
        <v>0</v>
      </c>
      <c r="CH15" s="200">
        <f>(SUMIF(Fonctionnement[Affectation matrice],$AB$3,Fonctionnement[TVA acquittée])+SUMIF(Invest[Affectation matrice],$AB$3,Invest[TVA acquittée]))*BG15</f>
        <v>0</v>
      </c>
      <c r="CI15" s="200">
        <f>(SUMIF(Fonctionnement[Affectation matrice],$AB$3,Fonctionnement[TVA acquittée])+SUMIF(Invest[Affectation matrice],$AB$3,Invest[TVA acquittée]))*BH15</f>
        <v>0</v>
      </c>
      <c r="CJ15" s="200">
        <f>(SUMIF(Fonctionnement[Affectation matrice],$AB$3,Fonctionnement[TVA acquittée])+SUMIF(Invest[Affectation matrice],$AB$3,Invest[TVA acquittée]))*BI15</f>
        <v>0</v>
      </c>
      <c r="CK15" s="200">
        <f>(SUMIF(Fonctionnement[Affectation matrice],$AB$3,Fonctionnement[TVA acquittée])+SUMIF(Invest[Affectation matrice],$AB$3,Invest[TVA acquittée]))*BJ15</f>
        <v>0</v>
      </c>
      <c r="CL15" s="200">
        <f>(SUMIF(Fonctionnement[Affectation matrice],$AB$3,Fonctionnement[TVA acquittée])+SUMIF(Invest[Affectation matrice],$AB$3,Invest[TVA acquittée]))*BK15</f>
        <v>0</v>
      </c>
      <c r="CM15" s="200">
        <f>(SUMIF(Fonctionnement[Affectation matrice],$AB$3,Fonctionnement[TVA acquittée])+SUMIF(Invest[Affectation matrice],$AB$3,Invest[TVA acquittée]))*BL15</f>
        <v>0</v>
      </c>
      <c r="CN15" s="200">
        <f>(SUMIF(Fonctionnement[Affectation matrice],$AB$3,Fonctionnement[TVA acquittée])+SUMIF(Invest[Affectation matrice],$AB$3,Invest[TVA acquittée]))*BM15</f>
        <v>0</v>
      </c>
      <c r="CO15" s="200">
        <f>(SUMIF(Fonctionnement[Affectation matrice],$AB$3,Fonctionnement[TVA acquittée])+SUMIF(Invest[Affectation matrice],$AB$3,Invest[TVA acquittée]))*BN15</f>
        <v>0</v>
      </c>
      <c r="CP15" s="200">
        <f>(SUMIF(Fonctionnement[Affectation matrice],$AB$3,Fonctionnement[TVA acquittée])+SUMIF(Invest[Affectation matrice],$AB$3,Invest[TVA acquittée]))*BO15</f>
        <v>0</v>
      </c>
      <c r="CQ15" s="200">
        <f>(SUMIF(Fonctionnement[Affectation matrice],$AB$3,Fonctionnement[TVA acquittée])+SUMIF(Invest[Affectation matrice],$AB$3,Invest[TVA acquittée]))*BP15</f>
        <v>0</v>
      </c>
      <c r="CR15" s="200">
        <f>(SUMIF(Fonctionnement[Affectation matrice],$AB$3,Fonctionnement[TVA acquittée])+SUMIF(Invest[Affectation matrice],$AB$3,Invest[TVA acquittée]))*BQ15</f>
        <v>0</v>
      </c>
      <c r="CS15" s="200">
        <f>(SUMIF(Fonctionnement[Affectation matrice],$AB$3,Fonctionnement[TVA acquittée])+SUMIF(Invest[Affectation matrice],$AB$3,Invest[TVA acquittée]))*BR15</f>
        <v>0</v>
      </c>
      <c r="CT15" s="200">
        <f>(SUMIF(Fonctionnement[Affectation matrice],$AB$3,Fonctionnement[TVA acquittée])+SUMIF(Invest[Affectation matrice],$AB$3,Invest[TVA acquittée]))*BS15</f>
        <v>0</v>
      </c>
      <c r="CU15" s="200">
        <f>(SUMIF(Fonctionnement[Affectation matrice],$AB$3,Fonctionnement[TVA acquittée])+SUMIF(Invest[Affectation matrice],$AB$3,Invest[TVA acquittée]))*BT15</f>
        <v>0</v>
      </c>
      <c r="CV15" s="200">
        <f>(SUMIF(Fonctionnement[Affectation matrice],$AB$3,Fonctionnement[TVA acquittée])+SUMIF(Invest[Affectation matrice],$AB$3,Invest[TVA acquittée]))*BU15</f>
        <v>0</v>
      </c>
      <c r="CW15" s="200">
        <f>(SUMIF(Fonctionnement[Affectation matrice],$AB$3,Fonctionnement[TVA acquittée])+SUMIF(Invest[Affectation matrice],$AB$3,Invest[TVA acquittée]))*BV15</f>
        <v>0</v>
      </c>
      <c r="CX15" s="200">
        <f>(SUMIF(Fonctionnement[Affectation matrice],$AB$3,Fonctionnement[TVA acquittée])+SUMIF(Invest[Affectation matrice],$AB$3,Invest[TVA acquittée]))*BW15</f>
        <v>0</v>
      </c>
      <c r="CY15" s="200">
        <f>(SUMIF(Fonctionnement[Affectation matrice],$AB$3,Fonctionnement[TVA acquittée])+SUMIF(Invest[Affectation matrice],$AB$3,Invest[TVA acquittée]))*BX15</f>
        <v>0</v>
      </c>
      <c r="CZ15" s="200">
        <f>(SUMIF(Fonctionnement[Affectation matrice],$AB$3,Fonctionnement[TVA acquittée])+SUMIF(Invest[Affectation matrice],$AB$3,Invest[TVA acquittée]))*BY15</f>
        <v>0</v>
      </c>
      <c r="DA15" s="200">
        <f>(SUMIF(Fonctionnement[Affectation matrice],$AB$3,Fonctionnement[TVA acquittée])+SUMIF(Invest[Affectation matrice],$AB$3,Invest[TVA acquittée]))*BZ15</f>
        <v>0</v>
      </c>
      <c r="DB15" s="200">
        <f>(SUMIF(Fonctionnement[Affectation matrice],$AB$3,Fonctionnement[TVA acquittée])+SUMIF(Invest[Affectation matrice],$AB$3,Invest[TVA acquittée]))*CA15</f>
        <v>0</v>
      </c>
    </row>
    <row r="16" spans="1:106" s="22" customFormat="1" ht="12.75" hidden="1" customHeight="1" x14ac:dyDescent="0.25">
      <c r="A16" s="42">
        <f>Matrice[[#This Row],[Ligne de la matrice]]</f>
        <v>0</v>
      </c>
      <c r="B16" s="276">
        <f>(SUMIF(Fonctionnement[Affectation matrice],$AB$3,Fonctionnement[Montant (€HT)])+SUMIF(Invest[Affectation matrice],$AB$3,Invest[Amortissement HT + intérêts]))*BC16</f>
        <v>0</v>
      </c>
      <c r="C16" s="276">
        <f>(SUMIF(Fonctionnement[Affectation matrice],$AB$3,Fonctionnement[Montant (€HT)])+SUMIF(Invest[Affectation matrice],$AB$3,Invest[Amortissement HT + intérêts]))*BD16</f>
        <v>0</v>
      </c>
      <c r="D16" s="276">
        <f>(SUMIF(Fonctionnement[Affectation matrice],$AB$3,Fonctionnement[Montant (€HT)])+SUMIF(Invest[Affectation matrice],$AB$3,Invest[Amortissement HT + intérêts]))*BE16</f>
        <v>0</v>
      </c>
      <c r="E16" s="276">
        <f>(SUMIF(Fonctionnement[Affectation matrice],$AB$3,Fonctionnement[Montant (€HT)])+SUMIF(Invest[Affectation matrice],$AB$3,Invest[Amortissement HT + intérêts]))*BF16</f>
        <v>0</v>
      </c>
      <c r="F16" s="276">
        <f>(SUMIF(Fonctionnement[Affectation matrice],$AB$3,Fonctionnement[Montant (€HT)])+SUMIF(Invest[Affectation matrice],$AB$3,Invest[Amortissement HT + intérêts]))*BG16</f>
        <v>0</v>
      </c>
      <c r="G16" s="276">
        <f>(SUMIF(Fonctionnement[Affectation matrice],$AB$3,Fonctionnement[Montant (€HT)])+SUMIF(Invest[Affectation matrice],$AB$3,Invest[Amortissement HT + intérêts]))*BH16</f>
        <v>0</v>
      </c>
      <c r="H16" s="276">
        <f>(SUMIF(Fonctionnement[Affectation matrice],$AB$3,Fonctionnement[Montant (€HT)])+SUMIF(Invest[Affectation matrice],$AB$3,Invest[Amortissement HT + intérêts]))*BI16</f>
        <v>0</v>
      </c>
      <c r="I16" s="276">
        <f>(SUMIF(Fonctionnement[Affectation matrice],$AB$3,Fonctionnement[Montant (€HT)])+SUMIF(Invest[Affectation matrice],$AB$3,Invest[Amortissement HT + intérêts]))*BJ16</f>
        <v>0</v>
      </c>
      <c r="J16" s="276">
        <f>(SUMIF(Fonctionnement[Affectation matrice],$AB$3,Fonctionnement[Montant (€HT)])+SUMIF(Invest[Affectation matrice],$AB$3,Invest[Amortissement HT + intérêts]))*BK16</f>
        <v>0</v>
      </c>
      <c r="K16" s="276">
        <f>(SUMIF(Fonctionnement[Affectation matrice],$AB$3,Fonctionnement[Montant (€HT)])+SUMIF(Invest[Affectation matrice],$AB$3,Invest[Amortissement HT + intérêts]))*BL16</f>
        <v>0</v>
      </c>
      <c r="L16" s="276">
        <f>(SUMIF(Fonctionnement[Affectation matrice],$AB$3,Fonctionnement[Montant (€HT)])+SUMIF(Invest[Affectation matrice],$AB$3,Invest[Amortissement HT + intérêts]))*BM16</f>
        <v>0</v>
      </c>
      <c r="M16" s="276">
        <f>(SUMIF(Fonctionnement[Affectation matrice],$AB$3,Fonctionnement[Montant (€HT)])+SUMIF(Invest[Affectation matrice],$AB$3,Invest[Amortissement HT + intérêts]))*BN16</f>
        <v>0</v>
      </c>
      <c r="N16" s="276">
        <f>(SUMIF(Fonctionnement[Affectation matrice],$AB$3,Fonctionnement[Montant (€HT)])+SUMIF(Invest[Affectation matrice],$AB$3,Invest[Amortissement HT + intérêts]))*BO16</f>
        <v>0</v>
      </c>
      <c r="O16" s="276">
        <f>(SUMIF(Fonctionnement[Affectation matrice],$AB$3,Fonctionnement[Montant (€HT)])+SUMIF(Invest[Affectation matrice],$AB$3,Invest[Amortissement HT + intérêts]))*BP16</f>
        <v>0</v>
      </c>
      <c r="P16" s="276">
        <f>(SUMIF(Fonctionnement[Affectation matrice],$AB$3,Fonctionnement[Montant (€HT)])+SUMIF(Invest[Affectation matrice],$AB$3,Invest[Amortissement HT + intérêts]))*BQ16</f>
        <v>0</v>
      </c>
      <c r="Q16" s="276">
        <f>(SUMIF(Fonctionnement[Affectation matrice],$AB$3,Fonctionnement[Montant (€HT)])+SUMIF(Invest[Affectation matrice],$AB$3,Invest[Amortissement HT + intérêts]))*BR16</f>
        <v>0</v>
      </c>
      <c r="R16" s="276">
        <f>(SUMIF(Fonctionnement[Affectation matrice],$AB$3,Fonctionnement[Montant (€HT)])+SUMIF(Invest[Affectation matrice],$AB$3,Invest[Amortissement HT + intérêts]))*BS16</f>
        <v>0</v>
      </c>
      <c r="S16" s="276">
        <f>(SUMIF(Fonctionnement[Affectation matrice],$AB$3,Fonctionnement[Montant (€HT)])+SUMIF(Invest[Affectation matrice],$AB$3,Invest[Amortissement HT + intérêts]))*BT16</f>
        <v>0</v>
      </c>
      <c r="T16" s="276">
        <f>(SUMIF(Fonctionnement[Affectation matrice],$AB$3,Fonctionnement[Montant (€HT)])+SUMIF(Invest[Affectation matrice],$AB$3,Invest[Amortissement HT + intérêts]))*BU16</f>
        <v>0</v>
      </c>
      <c r="U16" s="276">
        <f>(SUMIF(Fonctionnement[Affectation matrice],$AB$3,Fonctionnement[Montant (€HT)])+SUMIF(Invest[Affectation matrice],$AB$3,Invest[Amortissement HT + intérêts]))*BV16</f>
        <v>0</v>
      </c>
      <c r="V16" s="276">
        <f>(SUMIF(Fonctionnement[Affectation matrice],$AB$3,Fonctionnement[Montant (€HT)])+SUMIF(Invest[Affectation matrice],$AB$3,Invest[Amortissement HT + intérêts]))*BW16</f>
        <v>0</v>
      </c>
      <c r="W16" s="276">
        <f>(SUMIF(Fonctionnement[Affectation matrice],$AB$3,Fonctionnement[Montant (€HT)])+SUMIF(Invest[Affectation matrice],$AB$3,Invest[Amortissement HT + intérêts]))*BX16</f>
        <v>0</v>
      </c>
      <c r="X16" s="276">
        <f>(SUMIF(Fonctionnement[Affectation matrice],$AB$3,Fonctionnement[Montant (€HT)])+SUMIF(Invest[Affectation matrice],$AB$3,Invest[Amortissement HT + intérêts]))*BY16</f>
        <v>0</v>
      </c>
      <c r="Y16" s="276">
        <f>(SUMIF(Fonctionnement[Affectation matrice],$AB$3,Fonctionnement[Montant (€HT)])+SUMIF(Invest[Affectation matrice],$AB$3,Invest[Amortissement HT + intérêts]))*BZ16</f>
        <v>0</v>
      </c>
      <c r="Z16" s="276">
        <f>(SUMIF(Fonctionnement[Affectation matrice],$AB$3,Fonctionnement[Montant (€HT)])+SUMIF(Invest[Affectation matrice],$AB$3,Invest[Amortissement HT + intérêts]))*CA16</f>
        <v>0</v>
      </c>
      <c r="AA16" s="199"/>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283">
        <f t="shared" si="4"/>
        <v>0</v>
      </c>
      <c r="BB16" s="7"/>
      <c r="BC16" s="61">
        <f t="shared" si="2"/>
        <v>0</v>
      </c>
      <c r="BD16" s="61">
        <f t="shared" si="2"/>
        <v>0</v>
      </c>
      <c r="BE16" s="61">
        <f t="shared" si="2"/>
        <v>0</v>
      </c>
      <c r="BF16" s="61">
        <f t="shared" si="2"/>
        <v>0</v>
      </c>
      <c r="BG16" s="61">
        <f t="shared" si="2"/>
        <v>0</v>
      </c>
      <c r="BH16" s="61">
        <f t="shared" si="2"/>
        <v>0</v>
      </c>
      <c r="BI16" s="61">
        <f t="shared" si="2"/>
        <v>0</v>
      </c>
      <c r="BJ16" s="61">
        <f t="shared" si="2"/>
        <v>0</v>
      </c>
      <c r="BK16" s="61">
        <f t="shared" si="2"/>
        <v>0</v>
      </c>
      <c r="BL16" s="61">
        <f t="shared" si="2"/>
        <v>0</v>
      </c>
      <c r="BM16" s="61">
        <f t="shared" si="2"/>
        <v>0</v>
      </c>
      <c r="BN16" s="61">
        <f t="shared" si="2"/>
        <v>0</v>
      </c>
      <c r="BO16" s="61">
        <f t="shared" si="2"/>
        <v>0</v>
      </c>
      <c r="BP16" s="61">
        <f t="shared" si="2"/>
        <v>0</v>
      </c>
      <c r="BQ16" s="61">
        <f t="shared" si="2"/>
        <v>0</v>
      </c>
      <c r="BR16" s="61">
        <f t="shared" si="2"/>
        <v>0</v>
      </c>
      <c r="BS16" s="61">
        <f t="shared" si="3"/>
        <v>0</v>
      </c>
      <c r="BT16" s="61">
        <f t="shared" si="3"/>
        <v>0</v>
      </c>
      <c r="BU16" s="61">
        <f t="shared" si="3"/>
        <v>0</v>
      </c>
      <c r="BV16" s="61">
        <f t="shared" si="3"/>
        <v>0</v>
      </c>
      <c r="BW16" s="61">
        <f t="shared" si="3"/>
        <v>0</v>
      </c>
      <c r="BX16" s="61">
        <f t="shared" si="3"/>
        <v>0</v>
      </c>
      <c r="BY16" s="61">
        <f t="shared" si="3"/>
        <v>0</v>
      </c>
      <c r="BZ16" s="61">
        <f t="shared" si="3"/>
        <v>0</v>
      </c>
      <c r="CA16" s="61">
        <f t="shared" si="3"/>
        <v>0</v>
      </c>
      <c r="CB16" s="61">
        <f t="shared" si="5"/>
        <v>0</v>
      </c>
      <c r="CD16" s="200">
        <f>(SUMIF(Fonctionnement[Affectation matrice],$AB$3,Fonctionnement[TVA acquittée])+SUMIF(Invest[Affectation matrice],$AB$3,Invest[TVA acquittée]))*BC16</f>
        <v>0</v>
      </c>
      <c r="CE16" s="200">
        <f>(SUMIF(Fonctionnement[Affectation matrice],$AB$3,Fonctionnement[TVA acquittée])+SUMIF(Invest[Affectation matrice],$AB$3,Invest[TVA acquittée]))*BD16</f>
        <v>0</v>
      </c>
      <c r="CF16" s="200">
        <f>(SUMIF(Fonctionnement[Affectation matrice],$AB$3,Fonctionnement[TVA acquittée])+SUMIF(Invest[Affectation matrice],$AB$3,Invest[TVA acquittée]))*BE16</f>
        <v>0</v>
      </c>
      <c r="CG16" s="200">
        <f>(SUMIF(Fonctionnement[Affectation matrice],$AB$3,Fonctionnement[TVA acquittée])+SUMIF(Invest[Affectation matrice],$AB$3,Invest[TVA acquittée]))*BF16</f>
        <v>0</v>
      </c>
      <c r="CH16" s="200">
        <f>(SUMIF(Fonctionnement[Affectation matrice],$AB$3,Fonctionnement[TVA acquittée])+SUMIF(Invest[Affectation matrice],$AB$3,Invest[TVA acquittée]))*BG16</f>
        <v>0</v>
      </c>
      <c r="CI16" s="200">
        <f>(SUMIF(Fonctionnement[Affectation matrice],$AB$3,Fonctionnement[TVA acquittée])+SUMIF(Invest[Affectation matrice],$AB$3,Invest[TVA acquittée]))*BH16</f>
        <v>0</v>
      </c>
      <c r="CJ16" s="200">
        <f>(SUMIF(Fonctionnement[Affectation matrice],$AB$3,Fonctionnement[TVA acquittée])+SUMIF(Invest[Affectation matrice],$AB$3,Invest[TVA acquittée]))*BI16</f>
        <v>0</v>
      </c>
      <c r="CK16" s="200">
        <f>(SUMIF(Fonctionnement[Affectation matrice],$AB$3,Fonctionnement[TVA acquittée])+SUMIF(Invest[Affectation matrice],$AB$3,Invest[TVA acquittée]))*BJ16</f>
        <v>0</v>
      </c>
      <c r="CL16" s="200">
        <f>(SUMIF(Fonctionnement[Affectation matrice],$AB$3,Fonctionnement[TVA acquittée])+SUMIF(Invest[Affectation matrice],$AB$3,Invest[TVA acquittée]))*BK16</f>
        <v>0</v>
      </c>
      <c r="CM16" s="200">
        <f>(SUMIF(Fonctionnement[Affectation matrice],$AB$3,Fonctionnement[TVA acquittée])+SUMIF(Invest[Affectation matrice],$AB$3,Invest[TVA acquittée]))*BL16</f>
        <v>0</v>
      </c>
      <c r="CN16" s="200">
        <f>(SUMIF(Fonctionnement[Affectation matrice],$AB$3,Fonctionnement[TVA acquittée])+SUMIF(Invest[Affectation matrice],$AB$3,Invest[TVA acquittée]))*BM16</f>
        <v>0</v>
      </c>
      <c r="CO16" s="200">
        <f>(SUMIF(Fonctionnement[Affectation matrice],$AB$3,Fonctionnement[TVA acquittée])+SUMIF(Invest[Affectation matrice],$AB$3,Invest[TVA acquittée]))*BN16</f>
        <v>0</v>
      </c>
      <c r="CP16" s="200">
        <f>(SUMIF(Fonctionnement[Affectation matrice],$AB$3,Fonctionnement[TVA acquittée])+SUMIF(Invest[Affectation matrice],$AB$3,Invest[TVA acquittée]))*BO16</f>
        <v>0</v>
      </c>
      <c r="CQ16" s="200">
        <f>(SUMIF(Fonctionnement[Affectation matrice],$AB$3,Fonctionnement[TVA acquittée])+SUMIF(Invest[Affectation matrice],$AB$3,Invest[TVA acquittée]))*BP16</f>
        <v>0</v>
      </c>
      <c r="CR16" s="200">
        <f>(SUMIF(Fonctionnement[Affectation matrice],$AB$3,Fonctionnement[TVA acquittée])+SUMIF(Invest[Affectation matrice],$AB$3,Invest[TVA acquittée]))*BQ16</f>
        <v>0</v>
      </c>
      <c r="CS16" s="200">
        <f>(SUMIF(Fonctionnement[Affectation matrice],$AB$3,Fonctionnement[TVA acquittée])+SUMIF(Invest[Affectation matrice],$AB$3,Invest[TVA acquittée]))*BR16</f>
        <v>0</v>
      </c>
      <c r="CT16" s="200">
        <f>(SUMIF(Fonctionnement[Affectation matrice],$AB$3,Fonctionnement[TVA acquittée])+SUMIF(Invest[Affectation matrice],$AB$3,Invest[TVA acquittée]))*BS16</f>
        <v>0</v>
      </c>
      <c r="CU16" s="200">
        <f>(SUMIF(Fonctionnement[Affectation matrice],$AB$3,Fonctionnement[TVA acquittée])+SUMIF(Invest[Affectation matrice],$AB$3,Invest[TVA acquittée]))*BT16</f>
        <v>0</v>
      </c>
      <c r="CV16" s="200">
        <f>(SUMIF(Fonctionnement[Affectation matrice],$AB$3,Fonctionnement[TVA acquittée])+SUMIF(Invest[Affectation matrice],$AB$3,Invest[TVA acquittée]))*BU16</f>
        <v>0</v>
      </c>
      <c r="CW16" s="200">
        <f>(SUMIF(Fonctionnement[Affectation matrice],$AB$3,Fonctionnement[TVA acquittée])+SUMIF(Invest[Affectation matrice],$AB$3,Invest[TVA acquittée]))*BV16</f>
        <v>0</v>
      </c>
      <c r="CX16" s="200">
        <f>(SUMIF(Fonctionnement[Affectation matrice],$AB$3,Fonctionnement[TVA acquittée])+SUMIF(Invest[Affectation matrice],$AB$3,Invest[TVA acquittée]))*BW16</f>
        <v>0</v>
      </c>
      <c r="CY16" s="200">
        <f>(SUMIF(Fonctionnement[Affectation matrice],$AB$3,Fonctionnement[TVA acquittée])+SUMIF(Invest[Affectation matrice],$AB$3,Invest[TVA acquittée]))*BX16</f>
        <v>0</v>
      </c>
      <c r="CZ16" s="200">
        <f>(SUMIF(Fonctionnement[Affectation matrice],$AB$3,Fonctionnement[TVA acquittée])+SUMIF(Invest[Affectation matrice],$AB$3,Invest[TVA acquittée]))*BY16</f>
        <v>0</v>
      </c>
      <c r="DA16" s="200">
        <f>(SUMIF(Fonctionnement[Affectation matrice],$AB$3,Fonctionnement[TVA acquittée])+SUMIF(Invest[Affectation matrice],$AB$3,Invest[TVA acquittée]))*BZ16</f>
        <v>0</v>
      </c>
      <c r="DB16" s="200">
        <f>(SUMIF(Fonctionnement[Affectation matrice],$AB$3,Fonctionnement[TVA acquittée])+SUMIF(Invest[Affectation matrice],$AB$3,Invest[TVA acquittée]))*CA16</f>
        <v>0</v>
      </c>
    </row>
    <row r="17" spans="1:106" ht="12.75" hidden="1" customHeight="1" x14ac:dyDescent="0.25">
      <c r="A17" s="42">
        <f>Matrice[[#This Row],[Ligne de la matrice]]</f>
        <v>0</v>
      </c>
      <c r="B17" s="276">
        <f>(SUMIF(Fonctionnement[Affectation matrice],$AB$3,Fonctionnement[Montant (€HT)])+SUMIF(Invest[Affectation matrice],$AB$3,Invest[Amortissement HT + intérêts]))*BC17</f>
        <v>0</v>
      </c>
      <c r="C17" s="276">
        <f>(SUMIF(Fonctionnement[Affectation matrice],$AB$3,Fonctionnement[Montant (€HT)])+SUMIF(Invest[Affectation matrice],$AB$3,Invest[Amortissement HT + intérêts]))*BD17</f>
        <v>0</v>
      </c>
      <c r="D17" s="276">
        <f>(SUMIF(Fonctionnement[Affectation matrice],$AB$3,Fonctionnement[Montant (€HT)])+SUMIF(Invest[Affectation matrice],$AB$3,Invest[Amortissement HT + intérêts]))*BE17</f>
        <v>0</v>
      </c>
      <c r="E17" s="276">
        <f>(SUMIF(Fonctionnement[Affectation matrice],$AB$3,Fonctionnement[Montant (€HT)])+SUMIF(Invest[Affectation matrice],$AB$3,Invest[Amortissement HT + intérêts]))*BF17</f>
        <v>0</v>
      </c>
      <c r="F17" s="276">
        <f>(SUMIF(Fonctionnement[Affectation matrice],$AB$3,Fonctionnement[Montant (€HT)])+SUMIF(Invest[Affectation matrice],$AB$3,Invest[Amortissement HT + intérêts]))*BG17</f>
        <v>0</v>
      </c>
      <c r="G17" s="276">
        <f>(SUMIF(Fonctionnement[Affectation matrice],$AB$3,Fonctionnement[Montant (€HT)])+SUMIF(Invest[Affectation matrice],$AB$3,Invest[Amortissement HT + intérêts]))*BH17</f>
        <v>0</v>
      </c>
      <c r="H17" s="276">
        <f>(SUMIF(Fonctionnement[Affectation matrice],$AB$3,Fonctionnement[Montant (€HT)])+SUMIF(Invest[Affectation matrice],$AB$3,Invest[Amortissement HT + intérêts]))*BI17</f>
        <v>0</v>
      </c>
      <c r="I17" s="276">
        <f>(SUMIF(Fonctionnement[Affectation matrice],$AB$3,Fonctionnement[Montant (€HT)])+SUMIF(Invest[Affectation matrice],$AB$3,Invest[Amortissement HT + intérêts]))*BJ17</f>
        <v>0</v>
      </c>
      <c r="J17" s="276">
        <f>(SUMIF(Fonctionnement[Affectation matrice],$AB$3,Fonctionnement[Montant (€HT)])+SUMIF(Invest[Affectation matrice],$AB$3,Invest[Amortissement HT + intérêts]))*BK17</f>
        <v>0</v>
      </c>
      <c r="K17" s="276">
        <f>(SUMIF(Fonctionnement[Affectation matrice],$AB$3,Fonctionnement[Montant (€HT)])+SUMIF(Invest[Affectation matrice],$AB$3,Invest[Amortissement HT + intérêts]))*BL17</f>
        <v>0</v>
      </c>
      <c r="L17" s="276">
        <f>(SUMIF(Fonctionnement[Affectation matrice],$AB$3,Fonctionnement[Montant (€HT)])+SUMIF(Invest[Affectation matrice],$AB$3,Invest[Amortissement HT + intérêts]))*BM17</f>
        <v>0</v>
      </c>
      <c r="M17" s="276">
        <f>(SUMIF(Fonctionnement[Affectation matrice],$AB$3,Fonctionnement[Montant (€HT)])+SUMIF(Invest[Affectation matrice],$AB$3,Invest[Amortissement HT + intérêts]))*BN17</f>
        <v>0</v>
      </c>
      <c r="N17" s="276">
        <f>(SUMIF(Fonctionnement[Affectation matrice],$AB$3,Fonctionnement[Montant (€HT)])+SUMIF(Invest[Affectation matrice],$AB$3,Invest[Amortissement HT + intérêts]))*BO17</f>
        <v>0</v>
      </c>
      <c r="O17" s="276">
        <f>(SUMIF(Fonctionnement[Affectation matrice],$AB$3,Fonctionnement[Montant (€HT)])+SUMIF(Invest[Affectation matrice],$AB$3,Invest[Amortissement HT + intérêts]))*BP17</f>
        <v>0</v>
      </c>
      <c r="P17" s="276">
        <f>(SUMIF(Fonctionnement[Affectation matrice],$AB$3,Fonctionnement[Montant (€HT)])+SUMIF(Invest[Affectation matrice],$AB$3,Invest[Amortissement HT + intérêts]))*BQ17</f>
        <v>0</v>
      </c>
      <c r="Q17" s="276">
        <f>(SUMIF(Fonctionnement[Affectation matrice],$AB$3,Fonctionnement[Montant (€HT)])+SUMIF(Invest[Affectation matrice],$AB$3,Invest[Amortissement HT + intérêts]))*BR17</f>
        <v>0</v>
      </c>
      <c r="R17" s="276">
        <f>(SUMIF(Fonctionnement[Affectation matrice],$AB$3,Fonctionnement[Montant (€HT)])+SUMIF(Invest[Affectation matrice],$AB$3,Invest[Amortissement HT + intérêts]))*BS17</f>
        <v>0</v>
      </c>
      <c r="S17" s="276">
        <f>(SUMIF(Fonctionnement[Affectation matrice],$AB$3,Fonctionnement[Montant (€HT)])+SUMIF(Invest[Affectation matrice],$AB$3,Invest[Amortissement HT + intérêts]))*BT17</f>
        <v>0</v>
      </c>
      <c r="T17" s="276">
        <f>(SUMIF(Fonctionnement[Affectation matrice],$AB$3,Fonctionnement[Montant (€HT)])+SUMIF(Invest[Affectation matrice],$AB$3,Invest[Amortissement HT + intérêts]))*BU17</f>
        <v>0</v>
      </c>
      <c r="U17" s="276">
        <f>(SUMIF(Fonctionnement[Affectation matrice],$AB$3,Fonctionnement[Montant (€HT)])+SUMIF(Invest[Affectation matrice],$AB$3,Invest[Amortissement HT + intérêts]))*BV17</f>
        <v>0</v>
      </c>
      <c r="V17" s="276">
        <f>(SUMIF(Fonctionnement[Affectation matrice],$AB$3,Fonctionnement[Montant (€HT)])+SUMIF(Invest[Affectation matrice],$AB$3,Invest[Amortissement HT + intérêts]))*BW17</f>
        <v>0</v>
      </c>
      <c r="W17" s="276">
        <f>(SUMIF(Fonctionnement[Affectation matrice],$AB$3,Fonctionnement[Montant (€HT)])+SUMIF(Invest[Affectation matrice],$AB$3,Invest[Amortissement HT + intérêts]))*BX17</f>
        <v>0</v>
      </c>
      <c r="X17" s="276">
        <f>(SUMIF(Fonctionnement[Affectation matrice],$AB$3,Fonctionnement[Montant (€HT)])+SUMIF(Invest[Affectation matrice],$AB$3,Invest[Amortissement HT + intérêts]))*BY17</f>
        <v>0</v>
      </c>
      <c r="Y17" s="276">
        <f>(SUMIF(Fonctionnement[Affectation matrice],$AB$3,Fonctionnement[Montant (€HT)])+SUMIF(Invest[Affectation matrice],$AB$3,Invest[Amortissement HT + intérêts]))*BZ17</f>
        <v>0</v>
      </c>
      <c r="Z17" s="276">
        <f>(SUMIF(Fonctionnement[Affectation matrice],$AB$3,Fonctionnement[Montant (€HT)])+SUMIF(Invest[Affectation matrice],$AB$3,Invest[Amortissement HT + intérêts]))*CA17</f>
        <v>0</v>
      </c>
      <c r="AA17" s="199"/>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283">
        <f t="shared" si="4"/>
        <v>0</v>
      </c>
      <c r="BC17" s="61">
        <f t="shared" si="2"/>
        <v>0</v>
      </c>
      <c r="BD17" s="61">
        <f t="shared" si="2"/>
        <v>0</v>
      </c>
      <c r="BE17" s="61">
        <f t="shared" si="2"/>
        <v>0</v>
      </c>
      <c r="BF17" s="61">
        <f t="shared" si="2"/>
        <v>0</v>
      </c>
      <c r="BG17" s="61">
        <f t="shared" si="2"/>
        <v>0</v>
      </c>
      <c r="BH17" s="61">
        <f t="shared" si="2"/>
        <v>0</v>
      </c>
      <c r="BI17" s="61">
        <f t="shared" si="2"/>
        <v>0</v>
      </c>
      <c r="BJ17" s="61">
        <f t="shared" si="2"/>
        <v>0</v>
      </c>
      <c r="BK17" s="61">
        <f t="shared" si="2"/>
        <v>0</v>
      </c>
      <c r="BL17" s="61">
        <f t="shared" si="2"/>
        <v>0</v>
      </c>
      <c r="BM17" s="61">
        <f t="shared" si="2"/>
        <v>0</v>
      </c>
      <c r="BN17" s="61">
        <f t="shared" si="2"/>
        <v>0</v>
      </c>
      <c r="BO17" s="61">
        <f t="shared" si="2"/>
        <v>0</v>
      </c>
      <c r="BP17" s="61">
        <f t="shared" si="2"/>
        <v>0</v>
      </c>
      <c r="BQ17" s="61">
        <f t="shared" si="2"/>
        <v>0</v>
      </c>
      <c r="BR17" s="61">
        <f t="shared" si="2"/>
        <v>0</v>
      </c>
      <c r="BS17" s="61">
        <f t="shared" si="3"/>
        <v>0</v>
      </c>
      <c r="BT17" s="61">
        <f t="shared" si="3"/>
        <v>0</v>
      </c>
      <c r="BU17" s="61">
        <f t="shared" si="3"/>
        <v>0</v>
      </c>
      <c r="BV17" s="61">
        <f t="shared" si="3"/>
        <v>0</v>
      </c>
      <c r="BW17" s="61">
        <f t="shared" si="3"/>
        <v>0</v>
      </c>
      <c r="BX17" s="61">
        <f t="shared" si="3"/>
        <v>0</v>
      </c>
      <c r="BY17" s="61">
        <f t="shared" si="3"/>
        <v>0</v>
      </c>
      <c r="BZ17" s="61">
        <f t="shared" si="3"/>
        <v>0</v>
      </c>
      <c r="CA17" s="61">
        <f t="shared" si="3"/>
        <v>0</v>
      </c>
      <c r="CB17" s="61">
        <f t="shared" si="5"/>
        <v>0</v>
      </c>
      <c r="CD17" s="200">
        <f>(SUMIF(Fonctionnement[Affectation matrice],$AB$3,Fonctionnement[TVA acquittée])+SUMIF(Invest[Affectation matrice],$AB$3,Invest[TVA acquittée]))*BC17</f>
        <v>0</v>
      </c>
      <c r="CE17" s="200">
        <f>(SUMIF(Fonctionnement[Affectation matrice],$AB$3,Fonctionnement[TVA acquittée])+SUMIF(Invest[Affectation matrice],$AB$3,Invest[TVA acquittée]))*BD17</f>
        <v>0</v>
      </c>
      <c r="CF17" s="200">
        <f>(SUMIF(Fonctionnement[Affectation matrice],$AB$3,Fonctionnement[TVA acquittée])+SUMIF(Invest[Affectation matrice],$AB$3,Invest[TVA acquittée]))*BE17</f>
        <v>0</v>
      </c>
      <c r="CG17" s="200">
        <f>(SUMIF(Fonctionnement[Affectation matrice],$AB$3,Fonctionnement[TVA acquittée])+SUMIF(Invest[Affectation matrice],$AB$3,Invest[TVA acquittée]))*BF17</f>
        <v>0</v>
      </c>
      <c r="CH17" s="200">
        <f>(SUMIF(Fonctionnement[Affectation matrice],$AB$3,Fonctionnement[TVA acquittée])+SUMIF(Invest[Affectation matrice],$AB$3,Invest[TVA acquittée]))*BG17</f>
        <v>0</v>
      </c>
      <c r="CI17" s="200">
        <f>(SUMIF(Fonctionnement[Affectation matrice],$AB$3,Fonctionnement[TVA acquittée])+SUMIF(Invest[Affectation matrice],$AB$3,Invest[TVA acquittée]))*BH17</f>
        <v>0</v>
      </c>
      <c r="CJ17" s="200">
        <f>(SUMIF(Fonctionnement[Affectation matrice],$AB$3,Fonctionnement[TVA acquittée])+SUMIF(Invest[Affectation matrice],$AB$3,Invest[TVA acquittée]))*BI17</f>
        <v>0</v>
      </c>
      <c r="CK17" s="200">
        <f>(SUMIF(Fonctionnement[Affectation matrice],$AB$3,Fonctionnement[TVA acquittée])+SUMIF(Invest[Affectation matrice],$AB$3,Invest[TVA acquittée]))*BJ17</f>
        <v>0</v>
      </c>
      <c r="CL17" s="200">
        <f>(SUMIF(Fonctionnement[Affectation matrice],$AB$3,Fonctionnement[TVA acquittée])+SUMIF(Invest[Affectation matrice],$AB$3,Invest[TVA acquittée]))*BK17</f>
        <v>0</v>
      </c>
      <c r="CM17" s="200">
        <f>(SUMIF(Fonctionnement[Affectation matrice],$AB$3,Fonctionnement[TVA acquittée])+SUMIF(Invest[Affectation matrice],$AB$3,Invest[TVA acquittée]))*BL17</f>
        <v>0</v>
      </c>
      <c r="CN17" s="200">
        <f>(SUMIF(Fonctionnement[Affectation matrice],$AB$3,Fonctionnement[TVA acquittée])+SUMIF(Invest[Affectation matrice],$AB$3,Invest[TVA acquittée]))*BM17</f>
        <v>0</v>
      </c>
      <c r="CO17" s="200">
        <f>(SUMIF(Fonctionnement[Affectation matrice],$AB$3,Fonctionnement[TVA acquittée])+SUMIF(Invest[Affectation matrice],$AB$3,Invest[TVA acquittée]))*BN17</f>
        <v>0</v>
      </c>
      <c r="CP17" s="200">
        <f>(SUMIF(Fonctionnement[Affectation matrice],$AB$3,Fonctionnement[TVA acquittée])+SUMIF(Invest[Affectation matrice],$AB$3,Invest[TVA acquittée]))*BO17</f>
        <v>0</v>
      </c>
      <c r="CQ17" s="200">
        <f>(SUMIF(Fonctionnement[Affectation matrice],$AB$3,Fonctionnement[TVA acquittée])+SUMIF(Invest[Affectation matrice],$AB$3,Invest[TVA acquittée]))*BP17</f>
        <v>0</v>
      </c>
      <c r="CR17" s="200">
        <f>(SUMIF(Fonctionnement[Affectation matrice],$AB$3,Fonctionnement[TVA acquittée])+SUMIF(Invest[Affectation matrice],$AB$3,Invest[TVA acquittée]))*BQ17</f>
        <v>0</v>
      </c>
      <c r="CS17" s="200">
        <f>(SUMIF(Fonctionnement[Affectation matrice],$AB$3,Fonctionnement[TVA acquittée])+SUMIF(Invest[Affectation matrice],$AB$3,Invest[TVA acquittée]))*BR17</f>
        <v>0</v>
      </c>
      <c r="CT17" s="200">
        <f>(SUMIF(Fonctionnement[Affectation matrice],$AB$3,Fonctionnement[TVA acquittée])+SUMIF(Invest[Affectation matrice],$AB$3,Invest[TVA acquittée]))*BS17</f>
        <v>0</v>
      </c>
      <c r="CU17" s="200">
        <f>(SUMIF(Fonctionnement[Affectation matrice],$AB$3,Fonctionnement[TVA acquittée])+SUMIF(Invest[Affectation matrice],$AB$3,Invest[TVA acquittée]))*BT17</f>
        <v>0</v>
      </c>
      <c r="CV17" s="200">
        <f>(SUMIF(Fonctionnement[Affectation matrice],$AB$3,Fonctionnement[TVA acquittée])+SUMIF(Invest[Affectation matrice],$AB$3,Invest[TVA acquittée]))*BU17</f>
        <v>0</v>
      </c>
      <c r="CW17" s="200">
        <f>(SUMIF(Fonctionnement[Affectation matrice],$AB$3,Fonctionnement[TVA acquittée])+SUMIF(Invest[Affectation matrice],$AB$3,Invest[TVA acquittée]))*BV17</f>
        <v>0</v>
      </c>
      <c r="CX17" s="200">
        <f>(SUMIF(Fonctionnement[Affectation matrice],$AB$3,Fonctionnement[TVA acquittée])+SUMIF(Invest[Affectation matrice],$AB$3,Invest[TVA acquittée]))*BW17</f>
        <v>0</v>
      </c>
      <c r="CY17" s="200">
        <f>(SUMIF(Fonctionnement[Affectation matrice],$AB$3,Fonctionnement[TVA acquittée])+SUMIF(Invest[Affectation matrice],$AB$3,Invest[TVA acquittée]))*BX17</f>
        <v>0</v>
      </c>
      <c r="CZ17" s="200">
        <f>(SUMIF(Fonctionnement[Affectation matrice],$AB$3,Fonctionnement[TVA acquittée])+SUMIF(Invest[Affectation matrice],$AB$3,Invest[TVA acquittée]))*BY17</f>
        <v>0</v>
      </c>
      <c r="DA17" s="200">
        <f>(SUMIF(Fonctionnement[Affectation matrice],$AB$3,Fonctionnement[TVA acquittée])+SUMIF(Invest[Affectation matrice],$AB$3,Invest[TVA acquittée]))*BZ17</f>
        <v>0</v>
      </c>
      <c r="DB17" s="200">
        <f>(SUMIF(Fonctionnement[Affectation matrice],$AB$3,Fonctionnement[TVA acquittée])+SUMIF(Invest[Affectation matrice],$AB$3,Invest[TVA acquittée]))*CA17</f>
        <v>0</v>
      </c>
    </row>
    <row r="18" spans="1:106" ht="12.75" hidden="1" customHeight="1" x14ac:dyDescent="0.25">
      <c r="A18" s="42">
        <f>Matrice[[#This Row],[Ligne de la matrice]]</f>
        <v>0</v>
      </c>
      <c r="B18" s="276">
        <f>(SUMIF(Fonctionnement[Affectation matrice],$AB$3,Fonctionnement[Montant (€HT)])+SUMIF(Invest[Affectation matrice],$AB$3,Invest[Amortissement HT + intérêts]))*BC18</f>
        <v>0</v>
      </c>
      <c r="C18" s="276">
        <f>(SUMIF(Fonctionnement[Affectation matrice],$AB$3,Fonctionnement[Montant (€HT)])+SUMIF(Invest[Affectation matrice],$AB$3,Invest[Amortissement HT + intérêts]))*BD18</f>
        <v>0</v>
      </c>
      <c r="D18" s="276">
        <f>(SUMIF(Fonctionnement[Affectation matrice],$AB$3,Fonctionnement[Montant (€HT)])+SUMIF(Invest[Affectation matrice],$AB$3,Invest[Amortissement HT + intérêts]))*BE18</f>
        <v>0</v>
      </c>
      <c r="E18" s="276">
        <f>(SUMIF(Fonctionnement[Affectation matrice],$AB$3,Fonctionnement[Montant (€HT)])+SUMIF(Invest[Affectation matrice],$AB$3,Invest[Amortissement HT + intérêts]))*BF18</f>
        <v>0</v>
      </c>
      <c r="F18" s="276">
        <f>(SUMIF(Fonctionnement[Affectation matrice],$AB$3,Fonctionnement[Montant (€HT)])+SUMIF(Invest[Affectation matrice],$AB$3,Invest[Amortissement HT + intérêts]))*BG18</f>
        <v>0</v>
      </c>
      <c r="G18" s="276">
        <f>(SUMIF(Fonctionnement[Affectation matrice],$AB$3,Fonctionnement[Montant (€HT)])+SUMIF(Invest[Affectation matrice],$AB$3,Invest[Amortissement HT + intérêts]))*BH18</f>
        <v>0</v>
      </c>
      <c r="H18" s="276">
        <f>(SUMIF(Fonctionnement[Affectation matrice],$AB$3,Fonctionnement[Montant (€HT)])+SUMIF(Invest[Affectation matrice],$AB$3,Invest[Amortissement HT + intérêts]))*BI18</f>
        <v>0</v>
      </c>
      <c r="I18" s="276">
        <f>(SUMIF(Fonctionnement[Affectation matrice],$AB$3,Fonctionnement[Montant (€HT)])+SUMIF(Invest[Affectation matrice],$AB$3,Invest[Amortissement HT + intérêts]))*BJ18</f>
        <v>0</v>
      </c>
      <c r="J18" s="276">
        <f>(SUMIF(Fonctionnement[Affectation matrice],$AB$3,Fonctionnement[Montant (€HT)])+SUMIF(Invest[Affectation matrice],$AB$3,Invest[Amortissement HT + intérêts]))*BK18</f>
        <v>0</v>
      </c>
      <c r="K18" s="276">
        <f>(SUMIF(Fonctionnement[Affectation matrice],$AB$3,Fonctionnement[Montant (€HT)])+SUMIF(Invest[Affectation matrice],$AB$3,Invest[Amortissement HT + intérêts]))*BL18</f>
        <v>0</v>
      </c>
      <c r="L18" s="276">
        <f>(SUMIF(Fonctionnement[Affectation matrice],$AB$3,Fonctionnement[Montant (€HT)])+SUMIF(Invest[Affectation matrice],$AB$3,Invest[Amortissement HT + intérêts]))*BM18</f>
        <v>0</v>
      </c>
      <c r="M18" s="276">
        <f>(SUMIF(Fonctionnement[Affectation matrice],$AB$3,Fonctionnement[Montant (€HT)])+SUMIF(Invest[Affectation matrice],$AB$3,Invest[Amortissement HT + intérêts]))*BN18</f>
        <v>0</v>
      </c>
      <c r="N18" s="276">
        <f>(SUMIF(Fonctionnement[Affectation matrice],$AB$3,Fonctionnement[Montant (€HT)])+SUMIF(Invest[Affectation matrice],$AB$3,Invest[Amortissement HT + intérêts]))*BO18</f>
        <v>0</v>
      </c>
      <c r="O18" s="276">
        <f>(SUMIF(Fonctionnement[Affectation matrice],$AB$3,Fonctionnement[Montant (€HT)])+SUMIF(Invest[Affectation matrice],$AB$3,Invest[Amortissement HT + intérêts]))*BP18</f>
        <v>0</v>
      </c>
      <c r="P18" s="276">
        <f>(SUMIF(Fonctionnement[Affectation matrice],$AB$3,Fonctionnement[Montant (€HT)])+SUMIF(Invest[Affectation matrice],$AB$3,Invest[Amortissement HT + intérêts]))*BQ18</f>
        <v>0</v>
      </c>
      <c r="Q18" s="276">
        <f>(SUMIF(Fonctionnement[Affectation matrice],$AB$3,Fonctionnement[Montant (€HT)])+SUMIF(Invest[Affectation matrice],$AB$3,Invest[Amortissement HT + intérêts]))*BR18</f>
        <v>0</v>
      </c>
      <c r="R18" s="276">
        <f>(SUMIF(Fonctionnement[Affectation matrice],$AB$3,Fonctionnement[Montant (€HT)])+SUMIF(Invest[Affectation matrice],$AB$3,Invest[Amortissement HT + intérêts]))*BS18</f>
        <v>0</v>
      </c>
      <c r="S18" s="276">
        <f>(SUMIF(Fonctionnement[Affectation matrice],$AB$3,Fonctionnement[Montant (€HT)])+SUMIF(Invest[Affectation matrice],$AB$3,Invest[Amortissement HT + intérêts]))*BT18</f>
        <v>0</v>
      </c>
      <c r="T18" s="276">
        <f>(SUMIF(Fonctionnement[Affectation matrice],$AB$3,Fonctionnement[Montant (€HT)])+SUMIF(Invest[Affectation matrice],$AB$3,Invest[Amortissement HT + intérêts]))*BU18</f>
        <v>0</v>
      </c>
      <c r="U18" s="276">
        <f>(SUMIF(Fonctionnement[Affectation matrice],$AB$3,Fonctionnement[Montant (€HT)])+SUMIF(Invest[Affectation matrice],$AB$3,Invest[Amortissement HT + intérêts]))*BV18</f>
        <v>0</v>
      </c>
      <c r="V18" s="276">
        <f>(SUMIF(Fonctionnement[Affectation matrice],$AB$3,Fonctionnement[Montant (€HT)])+SUMIF(Invest[Affectation matrice],$AB$3,Invest[Amortissement HT + intérêts]))*BW18</f>
        <v>0</v>
      </c>
      <c r="W18" s="276">
        <f>(SUMIF(Fonctionnement[Affectation matrice],$AB$3,Fonctionnement[Montant (€HT)])+SUMIF(Invest[Affectation matrice],$AB$3,Invest[Amortissement HT + intérêts]))*BX18</f>
        <v>0</v>
      </c>
      <c r="X18" s="276">
        <f>(SUMIF(Fonctionnement[Affectation matrice],$AB$3,Fonctionnement[Montant (€HT)])+SUMIF(Invest[Affectation matrice],$AB$3,Invest[Amortissement HT + intérêts]))*BY18</f>
        <v>0</v>
      </c>
      <c r="Y18" s="276">
        <f>(SUMIF(Fonctionnement[Affectation matrice],$AB$3,Fonctionnement[Montant (€HT)])+SUMIF(Invest[Affectation matrice],$AB$3,Invest[Amortissement HT + intérêts]))*BZ18</f>
        <v>0</v>
      </c>
      <c r="Z18" s="276">
        <f>(SUMIF(Fonctionnement[Affectation matrice],$AB$3,Fonctionnement[Montant (€HT)])+SUMIF(Invest[Affectation matrice],$AB$3,Invest[Amortissement HT + intérêts]))*CA18</f>
        <v>0</v>
      </c>
      <c r="AA18" s="199"/>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283">
        <f t="shared" si="4"/>
        <v>0</v>
      </c>
      <c r="BC18" s="61">
        <f t="shared" si="2"/>
        <v>0</v>
      </c>
      <c r="BD18" s="61">
        <f t="shared" si="2"/>
        <v>0</v>
      </c>
      <c r="BE18" s="61">
        <f t="shared" si="2"/>
        <v>0</v>
      </c>
      <c r="BF18" s="61">
        <f t="shared" si="2"/>
        <v>0</v>
      </c>
      <c r="BG18" s="61">
        <f t="shared" si="2"/>
        <v>0</v>
      </c>
      <c r="BH18" s="61">
        <f t="shared" si="2"/>
        <v>0</v>
      </c>
      <c r="BI18" s="61">
        <f t="shared" si="2"/>
        <v>0</v>
      </c>
      <c r="BJ18" s="61">
        <f t="shared" si="2"/>
        <v>0</v>
      </c>
      <c r="BK18" s="61">
        <f t="shared" si="2"/>
        <v>0</v>
      </c>
      <c r="BL18" s="61">
        <f t="shared" si="2"/>
        <v>0</v>
      </c>
      <c r="BM18" s="61">
        <f t="shared" si="2"/>
        <v>0</v>
      </c>
      <c r="BN18" s="61">
        <f t="shared" si="2"/>
        <v>0</v>
      </c>
      <c r="BO18" s="61">
        <f t="shared" si="2"/>
        <v>0</v>
      </c>
      <c r="BP18" s="61">
        <f t="shared" si="2"/>
        <v>0</v>
      </c>
      <c r="BQ18" s="61">
        <f t="shared" si="2"/>
        <v>0</v>
      </c>
      <c r="BR18" s="61">
        <f t="shared" si="2"/>
        <v>0</v>
      </c>
      <c r="BS18" s="61">
        <f t="shared" si="3"/>
        <v>0</v>
      </c>
      <c r="BT18" s="61">
        <f t="shared" si="3"/>
        <v>0</v>
      </c>
      <c r="BU18" s="61">
        <f t="shared" si="3"/>
        <v>0</v>
      </c>
      <c r="BV18" s="61">
        <f t="shared" si="3"/>
        <v>0</v>
      </c>
      <c r="BW18" s="61">
        <f t="shared" si="3"/>
        <v>0</v>
      </c>
      <c r="BX18" s="61">
        <f t="shared" si="3"/>
        <v>0</v>
      </c>
      <c r="BY18" s="61">
        <f t="shared" si="3"/>
        <v>0</v>
      </c>
      <c r="BZ18" s="61">
        <f t="shared" si="3"/>
        <v>0</v>
      </c>
      <c r="CA18" s="61">
        <f t="shared" si="3"/>
        <v>0</v>
      </c>
      <c r="CB18" s="61">
        <f t="shared" si="5"/>
        <v>0</v>
      </c>
      <c r="CD18" s="200">
        <f>(SUMIF(Fonctionnement[Affectation matrice],$AB$3,Fonctionnement[TVA acquittée])+SUMIF(Invest[Affectation matrice],$AB$3,Invest[TVA acquittée]))*BC18</f>
        <v>0</v>
      </c>
      <c r="CE18" s="200">
        <f>(SUMIF(Fonctionnement[Affectation matrice],$AB$3,Fonctionnement[TVA acquittée])+SUMIF(Invest[Affectation matrice],$AB$3,Invest[TVA acquittée]))*BD18</f>
        <v>0</v>
      </c>
      <c r="CF18" s="200">
        <f>(SUMIF(Fonctionnement[Affectation matrice],$AB$3,Fonctionnement[TVA acquittée])+SUMIF(Invest[Affectation matrice],$AB$3,Invest[TVA acquittée]))*BE18</f>
        <v>0</v>
      </c>
      <c r="CG18" s="200">
        <f>(SUMIF(Fonctionnement[Affectation matrice],$AB$3,Fonctionnement[TVA acquittée])+SUMIF(Invest[Affectation matrice],$AB$3,Invest[TVA acquittée]))*BF18</f>
        <v>0</v>
      </c>
      <c r="CH18" s="200">
        <f>(SUMIF(Fonctionnement[Affectation matrice],$AB$3,Fonctionnement[TVA acquittée])+SUMIF(Invest[Affectation matrice],$AB$3,Invest[TVA acquittée]))*BG18</f>
        <v>0</v>
      </c>
      <c r="CI18" s="200">
        <f>(SUMIF(Fonctionnement[Affectation matrice],$AB$3,Fonctionnement[TVA acquittée])+SUMIF(Invest[Affectation matrice],$AB$3,Invest[TVA acquittée]))*BH18</f>
        <v>0</v>
      </c>
      <c r="CJ18" s="200">
        <f>(SUMIF(Fonctionnement[Affectation matrice],$AB$3,Fonctionnement[TVA acquittée])+SUMIF(Invest[Affectation matrice],$AB$3,Invest[TVA acquittée]))*BI18</f>
        <v>0</v>
      </c>
      <c r="CK18" s="200">
        <f>(SUMIF(Fonctionnement[Affectation matrice],$AB$3,Fonctionnement[TVA acquittée])+SUMIF(Invest[Affectation matrice],$AB$3,Invest[TVA acquittée]))*BJ18</f>
        <v>0</v>
      </c>
      <c r="CL18" s="200">
        <f>(SUMIF(Fonctionnement[Affectation matrice],$AB$3,Fonctionnement[TVA acquittée])+SUMIF(Invest[Affectation matrice],$AB$3,Invest[TVA acquittée]))*BK18</f>
        <v>0</v>
      </c>
      <c r="CM18" s="200">
        <f>(SUMIF(Fonctionnement[Affectation matrice],$AB$3,Fonctionnement[TVA acquittée])+SUMIF(Invest[Affectation matrice],$AB$3,Invest[TVA acquittée]))*BL18</f>
        <v>0</v>
      </c>
      <c r="CN18" s="200">
        <f>(SUMIF(Fonctionnement[Affectation matrice],$AB$3,Fonctionnement[TVA acquittée])+SUMIF(Invest[Affectation matrice],$AB$3,Invest[TVA acquittée]))*BM18</f>
        <v>0</v>
      </c>
      <c r="CO18" s="200">
        <f>(SUMIF(Fonctionnement[Affectation matrice],$AB$3,Fonctionnement[TVA acquittée])+SUMIF(Invest[Affectation matrice],$AB$3,Invest[TVA acquittée]))*BN18</f>
        <v>0</v>
      </c>
      <c r="CP18" s="200">
        <f>(SUMIF(Fonctionnement[Affectation matrice],$AB$3,Fonctionnement[TVA acquittée])+SUMIF(Invest[Affectation matrice],$AB$3,Invest[TVA acquittée]))*BO18</f>
        <v>0</v>
      </c>
      <c r="CQ18" s="200">
        <f>(SUMIF(Fonctionnement[Affectation matrice],$AB$3,Fonctionnement[TVA acquittée])+SUMIF(Invest[Affectation matrice],$AB$3,Invest[TVA acquittée]))*BP18</f>
        <v>0</v>
      </c>
      <c r="CR18" s="200">
        <f>(SUMIF(Fonctionnement[Affectation matrice],$AB$3,Fonctionnement[TVA acquittée])+SUMIF(Invest[Affectation matrice],$AB$3,Invest[TVA acquittée]))*BQ18</f>
        <v>0</v>
      </c>
      <c r="CS18" s="200">
        <f>(SUMIF(Fonctionnement[Affectation matrice],$AB$3,Fonctionnement[TVA acquittée])+SUMIF(Invest[Affectation matrice],$AB$3,Invest[TVA acquittée]))*BR18</f>
        <v>0</v>
      </c>
      <c r="CT18" s="200">
        <f>(SUMIF(Fonctionnement[Affectation matrice],$AB$3,Fonctionnement[TVA acquittée])+SUMIF(Invest[Affectation matrice],$AB$3,Invest[TVA acquittée]))*BS18</f>
        <v>0</v>
      </c>
      <c r="CU18" s="200">
        <f>(SUMIF(Fonctionnement[Affectation matrice],$AB$3,Fonctionnement[TVA acquittée])+SUMIF(Invest[Affectation matrice],$AB$3,Invest[TVA acquittée]))*BT18</f>
        <v>0</v>
      </c>
      <c r="CV18" s="200">
        <f>(SUMIF(Fonctionnement[Affectation matrice],$AB$3,Fonctionnement[TVA acquittée])+SUMIF(Invest[Affectation matrice],$AB$3,Invest[TVA acquittée]))*BU18</f>
        <v>0</v>
      </c>
      <c r="CW18" s="200">
        <f>(SUMIF(Fonctionnement[Affectation matrice],$AB$3,Fonctionnement[TVA acquittée])+SUMIF(Invest[Affectation matrice],$AB$3,Invest[TVA acquittée]))*BV18</f>
        <v>0</v>
      </c>
      <c r="CX18" s="200">
        <f>(SUMIF(Fonctionnement[Affectation matrice],$AB$3,Fonctionnement[TVA acquittée])+SUMIF(Invest[Affectation matrice],$AB$3,Invest[TVA acquittée]))*BW18</f>
        <v>0</v>
      </c>
      <c r="CY18" s="200">
        <f>(SUMIF(Fonctionnement[Affectation matrice],$AB$3,Fonctionnement[TVA acquittée])+SUMIF(Invest[Affectation matrice],$AB$3,Invest[TVA acquittée]))*BX18</f>
        <v>0</v>
      </c>
      <c r="CZ18" s="200">
        <f>(SUMIF(Fonctionnement[Affectation matrice],$AB$3,Fonctionnement[TVA acquittée])+SUMIF(Invest[Affectation matrice],$AB$3,Invest[TVA acquittée]))*BY18</f>
        <v>0</v>
      </c>
      <c r="DA18" s="200">
        <f>(SUMIF(Fonctionnement[Affectation matrice],$AB$3,Fonctionnement[TVA acquittée])+SUMIF(Invest[Affectation matrice],$AB$3,Invest[TVA acquittée]))*BZ18</f>
        <v>0</v>
      </c>
      <c r="DB18" s="200">
        <f>(SUMIF(Fonctionnement[Affectation matrice],$AB$3,Fonctionnement[TVA acquittée])+SUMIF(Invest[Affectation matrice],$AB$3,Invest[TVA acquittée]))*CA18</f>
        <v>0</v>
      </c>
    </row>
    <row r="19" spans="1:106" ht="12.75" hidden="1" customHeight="1" x14ac:dyDescent="0.25">
      <c r="A19" s="42">
        <f>Matrice[[#This Row],[Ligne de la matrice]]</f>
        <v>0</v>
      </c>
      <c r="B19" s="276">
        <f>(SUMIF(Fonctionnement[Affectation matrice],$AB$3,Fonctionnement[Montant (€HT)])+SUMIF(Invest[Affectation matrice],$AB$3,Invest[Amortissement HT + intérêts]))*BC19</f>
        <v>0</v>
      </c>
      <c r="C19" s="276">
        <f>(SUMIF(Fonctionnement[Affectation matrice],$AB$3,Fonctionnement[Montant (€HT)])+SUMIF(Invest[Affectation matrice],$AB$3,Invest[Amortissement HT + intérêts]))*BD19</f>
        <v>0</v>
      </c>
      <c r="D19" s="276">
        <f>(SUMIF(Fonctionnement[Affectation matrice],$AB$3,Fonctionnement[Montant (€HT)])+SUMIF(Invest[Affectation matrice],$AB$3,Invest[Amortissement HT + intérêts]))*BE19</f>
        <v>0</v>
      </c>
      <c r="E19" s="276">
        <f>(SUMIF(Fonctionnement[Affectation matrice],$AB$3,Fonctionnement[Montant (€HT)])+SUMIF(Invest[Affectation matrice],$AB$3,Invest[Amortissement HT + intérêts]))*BF19</f>
        <v>0</v>
      </c>
      <c r="F19" s="276">
        <f>(SUMIF(Fonctionnement[Affectation matrice],$AB$3,Fonctionnement[Montant (€HT)])+SUMIF(Invest[Affectation matrice],$AB$3,Invest[Amortissement HT + intérêts]))*BG19</f>
        <v>0</v>
      </c>
      <c r="G19" s="276">
        <f>(SUMIF(Fonctionnement[Affectation matrice],$AB$3,Fonctionnement[Montant (€HT)])+SUMIF(Invest[Affectation matrice],$AB$3,Invest[Amortissement HT + intérêts]))*BH19</f>
        <v>0</v>
      </c>
      <c r="H19" s="276">
        <f>(SUMIF(Fonctionnement[Affectation matrice],$AB$3,Fonctionnement[Montant (€HT)])+SUMIF(Invest[Affectation matrice],$AB$3,Invest[Amortissement HT + intérêts]))*BI19</f>
        <v>0</v>
      </c>
      <c r="I19" s="276">
        <f>(SUMIF(Fonctionnement[Affectation matrice],$AB$3,Fonctionnement[Montant (€HT)])+SUMIF(Invest[Affectation matrice],$AB$3,Invest[Amortissement HT + intérêts]))*BJ19</f>
        <v>0</v>
      </c>
      <c r="J19" s="276">
        <f>(SUMIF(Fonctionnement[Affectation matrice],$AB$3,Fonctionnement[Montant (€HT)])+SUMIF(Invest[Affectation matrice],$AB$3,Invest[Amortissement HT + intérêts]))*BK19</f>
        <v>0</v>
      </c>
      <c r="K19" s="276">
        <f>(SUMIF(Fonctionnement[Affectation matrice],$AB$3,Fonctionnement[Montant (€HT)])+SUMIF(Invest[Affectation matrice],$AB$3,Invest[Amortissement HT + intérêts]))*BL19</f>
        <v>0</v>
      </c>
      <c r="L19" s="276">
        <f>(SUMIF(Fonctionnement[Affectation matrice],$AB$3,Fonctionnement[Montant (€HT)])+SUMIF(Invest[Affectation matrice],$AB$3,Invest[Amortissement HT + intérêts]))*BM19</f>
        <v>0</v>
      </c>
      <c r="M19" s="276">
        <f>(SUMIF(Fonctionnement[Affectation matrice],$AB$3,Fonctionnement[Montant (€HT)])+SUMIF(Invest[Affectation matrice],$AB$3,Invest[Amortissement HT + intérêts]))*BN19</f>
        <v>0</v>
      </c>
      <c r="N19" s="276">
        <f>(SUMIF(Fonctionnement[Affectation matrice],$AB$3,Fonctionnement[Montant (€HT)])+SUMIF(Invest[Affectation matrice],$AB$3,Invest[Amortissement HT + intérêts]))*BO19</f>
        <v>0</v>
      </c>
      <c r="O19" s="276">
        <f>(SUMIF(Fonctionnement[Affectation matrice],$AB$3,Fonctionnement[Montant (€HT)])+SUMIF(Invest[Affectation matrice],$AB$3,Invest[Amortissement HT + intérêts]))*BP19</f>
        <v>0</v>
      </c>
      <c r="P19" s="276">
        <f>(SUMIF(Fonctionnement[Affectation matrice],$AB$3,Fonctionnement[Montant (€HT)])+SUMIF(Invest[Affectation matrice],$AB$3,Invest[Amortissement HT + intérêts]))*BQ19</f>
        <v>0</v>
      </c>
      <c r="Q19" s="276">
        <f>(SUMIF(Fonctionnement[Affectation matrice],$AB$3,Fonctionnement[Montant (€HT)])+SUMIF(Invest[Affectation matrice],$AB$3,Invest[Amortissement HT + intérêts]))*BR19</f>
        <v>0</v>
      </c>
      <c r="R19" s="276">
        <f>(SUMIF(Fonctionnement[Affectation matrice],$AB$3,Fonctionnement[Montant (€HT)])+SUMIF(Invest[Affectation matrice],$AB$3,Invest[Amortissement HT + intérêts]))*BS19</f>
        <v>0</v>
      </c>
      <c r="S19" s="276">
        <f>(SUMIF(Fonctionnement[Affectation matrice],$AB$3,Fonctionnement[Montant (€HT)])+SUMIF(Invest[Affectation matrice],$AB$3,Invest[Amortissement HT + intérêts]))*BT19</f>
        <v>0</v>
      </c>
      <c r="T19" s="276">
        <f>(SUMIF(Fonctionnement[Affectation matrice],$AB$3,Fonctionnement[Montant (€HT)])+SUMIF(Invest[Affectation matrice],$AB$3,Invest[Amortissement HT + intérêts]))*BU19</f>
        <v>0</v>
      </c>
      <c r="U19" s="276">
        <f>(SUMIF(Fonctionnement[Affectation matrice],$AB$3,Fonctionnement[Montant (€HT)])+SUMIF(Invest[Affectation matrice],$AB$3,Invest[Amortissement HT + intérêts]))*BV19</f>
        <v>0</v>
      </c>
      <c r="V19" s="276">
        <f>(SUMIF(Fonctionnement[Affectation matrice],$AB$3,Fonctionnement[Montant (€HT)])+SUMIF(Invest[Affectation matrice],$AB$3,Invest[Amortissement HT + intérêts]))*BW19</f>
        <v>0</v>
      </c>
      <c r="W19" s="276">
        <f>(SUMIF(Fonctionnement[Affectation matrice],$AB$3,Fonctionnement[Montant (€HT)])+SUMIF(Invest[Affectation matrice],$AB$3,Invest[Amortissement HT + intérêts]))*BX19</f>
        <v>0</v>
      </c>
      <c r="X19" s="276">
        <f>(SUMIF(Fonctionnement[Affectation matrice],$AB$3,Fonctionnement[Montant (€HT)])+SUMIF(Invest[Affectation matrice],$AB$3,Invest[Amortissement HT + intérêts]))*BY19</f>
        <v>0</v>
      </c>
      <c r="Y19" s="276">
        <f>(SUMIF(Fonctionnement[Affectation matrice],$AB$3,Fonctionnement[Montant (€HT)])+SUMIF(Invest[Affectation matrice],$AB$3,Invest[Amortissement HT + intérêts]))*BZ19</f>
        <v>0</v>
      </c>
      <c r="Z19" s="276">
        <f>(SUMIF(Fonctionnement[Affectation matrice],$AB$3,Fonctionnement[Montant (€HT)])+SUMIF(Invest[Affectation matrice],$AB$3,Invest[Amortissement HT + intérêts]))*CA19</f>
        <v>0</v>
      </c>
      <c r="AA19" s="199"/>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283">
        <f t="shared" si="4"/>
        <v>0</v>
      </c>
      <c r="BC19" s="61">
        <f t="shared" si="2"/>
        <v>0</v>
      </c>
      <c r="BD19" s="61">
        <f t="shared" si="2"/>
        <v>0</v>
      </c>
      <c r="BE19" s="61">
        <f t="shared" si="2"/>
        <v>0</v>
      </c>
      <c r="BF19" s="61">
        <f t="shared" si="2"/>
        <v>0</v>
      </c>
      <c r="BG19" s="61">
        <f t="shared" si="2"/>
        <v>0</v>
      </c>
      <c r="BH19" s="61">
        <f t="shared" si="2"/>
        <v>0</v>
      </c>
      <c r="BI19" s="61">
        <f t="shared" si="2"/>
        <v>0</v>
      </c>
      <c r="BJ19" s="61">
        <f t="shared" si="2"/>
        <v>0</v>
      </c>
      <c r="BK19" s="61">
        <f t="shared" si="2"/>
        <v>0</v>
      </c>
      <c r="BL19" s="61">
        <f t="shared" si="2"/>
        <v>0</v>
      </c>
      <c r="BM19" s="61">
        <f t="shared" si="2"/>
        <v>0</v>
      </c>
      <c r="BN19" s="61">
        <f t="shared" si="2"/>
        <v>0</v>
      </c>
      <c r="BO19" s="61">
        <f t="shared" si="2"/>
        <v>0</v>
      </c>
      <c r="BP19" s="61">
        <f t="shared" si="2"/>
        <v>0</v>
      </c>
      <c r="BQ19" s="61">
        <f t="shared" si="2"/>
        <v>0</v>
      </c>
      <c r="BR19" s="61">
        <f t="shared" si="2"/>
        <v>0</v>
      </c>
      <c r="BS19" s="61">
        <f t="shared" si="3"/>
        <v>0</v>
      </c>
      <c r="BT19" s="61">
        <f t="shared" si="3"/>
        <v>0</v>
      </c>
      <c r="BU19" s="61">
        <f t="shared" si="3"/>
        <v>0</v>
      </c>
      <c r="BV19" s="61">
        <f t="shared" si="3"/>
        <v>0</v>
      </c>
      <c r="BW19" s="61">
        <f t="shared" si="3"/>
        <v>0</v>
      </c>
      <c r="BX19" s="61">
        <f t="shared" si="3"/>
        <v>0</v>
      </c>
      <c r="BY19" s="61">
        <f t="shared" si="3"/>
        <v>0</v>
      </c>
      <c r="BZ19" s="61">
        <f t="shared" si="3"/>
        <v>0</v>
      </c>
      <c r="CA19" s="61">
        <f t="shared" si="3"/>
        <v>0</v>
      </c>
      <c r="CB19" s="61">
        <f t="shared" si="5"/>
        <v>0</v>
      </c>
      <c r="CD19" s="200">
        <f>(SUMIF(Fonctionnement[Affectation matrice],$AB$3,Fonctionnement[TVA acquittée])+SUMIF(Invest[Affectation matrice],$AB$3,Invest[TVA acquittée]))*BC19</f>
        <v>0</v>
      </c>
      <c r="CE19" s="200">
        <f>(SUMIF(Fonctionnement[Affectation matrice],$AB$3,Fonctionnement[TVA acquittée])+SUMIF(Invest[Affectation matrice],$AB$3,Invest[TVA acquittée]))*BD19</f>
        <v>0</v>
      </c>
      <c r="CF19" s="200">
        <f>(SUMIF(Fonctionnement[Affectation matrice],$AB$3,Fonctionnement[TVA acquittée])+SUMIF(Invest[Affectation matrice],$AB$3,Invest[TVA acquittée]))*BE19</f>
        <v>0</v>
      </c>
      <c r="CG19" s="200">
        <f>(SUMIF(Fonctionnement[Affectation matrice],$AB$3,Fonctionnement[TVA acquittée])+SUMIF(Invest[Affectation matrice],$AB$3,Invest[TVA acquittée]))*BF19</f>
        <v>0</v>
      </c>
      <c r="CH19" s="200">
        <f>(SUMIF(Fonctionnement[Affectation matrice],$AB$3,Fonctionnement[TVA acquittée])+SUMIF(Invest[Affectation matrice],$AB$3,Invest[TVA acquittée]))*BG19</f>
        <v>0</v>
      </c>
      <c r="CI19" s="200">
        <f>(SUMIF(Fonctionnement[Affectation matrice],$AB$3,Fonctionnement[TVA acquittée])+SUMIF(Invest[Affectation matrice],$AB$3,Invest[TVA acquittée]))*BH19</f>
        <v>0</v>
      </c>
      <c r="CJ19" s="200">
        <f>(SUMIF(Fonctionnement[Affectation matrice],$AB$3,Fonctionnement[TVA acquittée])+SUMIF(Invest[Affectation matrice],$AB$3,Invest[TVA acquittée]))*BI19</f>
        <v>0</v>
      </c>
      <c r="CK19" s="200">
        <f>(SUMIF(Fonctionnement[Affectation matrice],$AB$3,Fonctionnement[TVA acquittée])+SUMIF(Invest[Affectation matrice],$AB$3,Invest[TVA acquittée]))*BJ19</f>
        <v>0</v>
      </c>
      <c r="CL19" s="200">
        <f>(SUMIF(Fonctionnement[Affectation matrice],$AB$3,Fonctionnement[TVA acquittée])+SUMIF(Invest[Affectation matrice],$AB$3,Invest[TVA acquittée]))*BK19</f>
        <v>0</v>
      </c>
      <c r="CM19" s="200">
        <f>(SUMIF(Fonctionnement[Affectation matrice],$AB$3,Fonctionnement[TVA acquittée])+SUMIF(Invest[Affectation matrice],$AB$3,Invest[TVA acquittée]))*BL19</f>
        <v>0</v>
      </c>
      <c r="CN19" s="200">
        <f>(SUMIF(Fonctionnement[Affectation matrice],$AB$3,Fonctionnement[TVA acquittée])+SUMIF(Invest[Affectation matrice],$AB$3,Invest[TVA acquittée]))*BM19</f>
        <v>0</v>
      </c>
      <c r="CO19" s="200">
        <f>(SUMIF(Fonctionnement[Affectation matrice],$AB$3,Fonctionnement[TVA acquittée])+SUMIF(Invest[Affectation matrice],$AB$3,Invest[TVA acquittée]))*BN19</f>
        <v>0</v>
      </c>
      <c r="CP19" s="200">
        <f>(SUMIF(Fonctionnement[Affectation matrice],$AB$3,Fonctionnement[TVA acquittée])+SUMIF(Invest[Affectation matrice],$AB$3,Invest[TVA acquittée]))*BO19</f>
        <v>0</v>
      </c>
      <c r="CQ19" s="200">
        <f>(SUMIF(Fonctionnement[Affectation matrice],$AB$3,Fonctionnement[TVA acquittée])+SUMIF(Invest[Affectation matrice],$AB$3,Invest[TVA acquittée]))*BP19</f>
        <v>0</v>
      </c>
      <c r="CR19" s="200">
        <f>(SUMIF(Fonctionnement[Affectation matrice],$AB$3,Fonctionnement[TVA acquittée])+SUMIF(Invest[Affectation matrice],$AB$3,Invest[TVA acquittée]))*BQ19</f>
        <v>0</v>
      </c>
      <c r="CS19" s="200">
        <f>(SUMIF(Fonctionnement[Affectation matrice],$AB$3,Fonctionnement[TVA acquittée])+SUMIF(Invest[Affectation matrice],$AB$3,Invest[TVA acquittée]))*BR19</f>
        <v>0</v>
      </c>
      <c r="CT19" s="200">
        <f>(SUMIF(Fonctionnement[Affectation matrice],$AB$3,Fonctionnement[TVA acquittée])+SUMIF(Invest[Affectation matrice],$AB$3,Invest[TVA acquittée]))*BS19</f>
        <v>0</v>
      </c>
      <c r="CU19" s="200">
        <f>(SUMIF(Fonctionnement[Affectation matrice],$AB$3,Fonctionnement[TVA acquittée])+SUMIF(Invest[Affectation matrice],$AB$3,Invest[TVA acquittée]))*BT19</f>
        <v>0</v>
      </c>
      <c r="CV19" s="200">
        <f>(SUMIF(Fonctionnement[Affectation matrice],$AB$3,Fonctionnement[TVA acquittée])+SUMIF(Invest[Affectation matrice],$AB$3,Invest[TVA acquittée]))*BU19</f>
        <v>0</v>
      </c>
      <c r="CW19" s="200">
        <f>(SUMIF(Fonctionnement[Affectation matrice],$AB$3,Fonctionnement[TVA acquittée])+SUMIF(Invest[Affectation matrice],$AB$3,Invest[TVA acquittée]))*BV19</f>
        <v>0</v>
      </c>
      <c r="CX19" s="200">
        <f>(SUMIF(Fonctionnement[Affectation matrice],$AB$3,Fonctionnement[TVA acquittée])+SUMIF(Invest[Affectation matrice],$AB$3,Invest[TVA acquittée]))*BW19</f>
        <v>0</v>
      </c>
      <c r="CY19" s="200">
        <f>(SUMIF(Fonctionnement[Affectation matrice],$AB$3,Fonctionnement[TVA acquittée])+SUMIF(Invest[Affectation matrice],$AB$3,Invest[TVA acquittée]))*BX19</f>
        <v>0</v>
      </c>
      <c r="CZ19" s="200">
        <f>(SUMIF(Fonctionnement[Affectation matrice],$AB$3,Fonctionnement[TVA acquittée])+SUMIF(Invest[Affectation matrice],$AB$3,Invest[TVA acquittée]))*BY19</f>
        <v>0</v>
      </c>
      <c r="DA19" s="200">
        <f>(SUMIF(Fonctionnement[Affectation matrice],$AB$3,Fonctionnement[TVA acquittée])+SUMIF(Invest[Affectation matrice],$AB$3,Invest[TVA acquittée]))*BZ19</f>
        <v>0</v>
      </c>
      <c r="DB19" s="200">
        <f>(SUMIF(Fonctionnement[Affectation matrice],$AB$3,Fonctionnement[TVA acquittée])+SUMIF(Invest[Affectation matrice],$AB$3,Invest[TVA acquittée]))*CA19</f>
        <v>0</v>
      </c>
    </row>
    <row r="20" spans="1:106" ht="12.75" hidden="1" customHeight="1" x14ac:dyDescent="0.25">
      <c r="A20" s="42">
        <f>Matrice[[#This Row],[Ligne de la matrice]]</f>
        <v>0</v>
      </c>
      <c r="B20" s="276">
        <f>(SUMIF(Fonctionnement[Affectation matrice],$AB$3,Fonctionnement[Montant (€HT)])+SUMIF(Invest[Affectation matrice],$AB$3,Invest[Amortissement HT + intérêts]))*BC20</f>
        <v>0</v>
      </c>
      <c r="C20" s="276">
        <f>(SUMIF(Fonctionnement[Affectation matrice],$AB$3,Fonctionnement[Montant (€HT)])+SUMIF(Invest[Affectation matrice],$AB$3,Invest[Amortissement HT + intérêts]))*BD20</f>
        <v>0</v>
      </c>
      <c r="D20" s="276">
        <f>(SUMIF(Fonctionnement[Affectation matrice],$AB$3,Fonctionnement[Montant (€HT)])+SUMIF(Invest[Affectation matrice],$AB$3,Invest[Amortissement HT + intérêts]))*BE20</f>
        <v>0</v>
      </c>
      <c r="E20" s="276">
        <f>(SUMIF(Fonctionnement[Affectation matrice],$AB$3,Fonctionnement[Montant (€HT)])+SUMIF(Invest[Affectation matrice],$AB$3,Invest[Amortissement HT + intérêts]))*BF20</f>
        <v>0</v>
      </c>
      <c r="F20" s="276">
        <f>(SUMIF(Fonctionnement[Affectation matrice],$AB$3,Fonctionnement[Montant (€HT)])+SUMIF(Invest[Affectation matrice],$AB$3,Invest[Amortissement HT + intérêts]))*BG20</f>
        <v>0</v>
      </c>
      <c r="G20" s="276">
        <f>(SUMIF(Fonctionnement[Affectation matrice],$AB$3,Fonctionnement[Montant (€HT)])+SUMIF(Invest[Affectation matrice],$AB$3,Invest[Amortissement HT + intérêts]))*BH20</f>
        <v>0</v>
      </c>
      <c r="H20" s="276">
        <f>(SUMIF(Fonctionnement[Affectation matrice],$AB$3,Fonctionnement[Montant (€HT)])+SUMIF(Invest[Affectation matrice],$AB$3,Invest[Amortissement HT + intérêts]))*BI20</f>
        <v>0</v>
      </c>
      <c r="I20" s="276">
        <f>(SUMIF(Fonctionnement[Affectation matrice],$AB$3,Fonctionnement[Montant (€HT)])+SUMIF(Invest[Affectation matrice],$AB$3,Invest[Amortissement HT + intérêts]))*BJ20</f>
        <v>0</v>
      </c>
      <c r="J20" s="276">
        <f>(SUMIF(Fonctionnement[Affectation matrice],$AB$3,Fonctionnement[Montant (€HT)])+SUMIF(Invest[Affectation matrice],$AB$3,Invest[Amortissement HT + intérêts]))*BK20</f>
        <v>0</v>
      </c>
      <c r="K20" s="276">
        <f>(SUMIF(Fonctionnement[Affectation matrice],$AB$3,Fonctionnement[Montant (€HT)])+SUMIF(Invest[Affectation matrice],$AB$3,Invest[Amortissement HT + intérêts]))*BL20</f>
        <v>0</v>
      </c>
      <c r="L20" s="276">
        <f>(SUMIF(Fonctionnement[Affectation matrice],$AB$3,Fonctionnement[Montant (€HT)])+SUMIF(Invest[Affectation matrice],$AB$3,Invest[Amortissement HT + intérêts]))*BM20</f>
        <v>0</v>
      </c>
      <c r="M20" s="276">
        <f>(SUMIF(Fonctionnement[Affectation matrice],$AB$3,Fonctionnement[Montant (€HT)])+SUMIF(Invest[Affectation matrice],$AB$3,Invest[Amortissement HT + intérêts]))*BN20</f>
        <v>0</v>
      </c>
      <c r="N20" s="276">
        <f>(SUMIF(Fonctionnement[Affectation matrice],$AB$3,Fonctionnement[Montant (€HT)])+SUMIF(Invest[Affectation matrice],$AB$3,Invest[Amortissement HT + intérêts]))*BO20</f>
        <v>0</v>
      </c>
      <c r="O20" s="276">
        <f>(SUMIF(Fonctionnement[Affectation matrice],$AB$3,Fonctionnement[Montant (€HT)])+SUMIF(Invest[Affectation matrice],$AB$3,Invest[Amortissement HT + intérêts]))*BP20</f>
        <v>0</v>
      </c>
      <c r="P20" s="276">
        <f>(SUMIF(Fonctionnement[Affectation matrice],$AB$3,Fonctionnement[Montant (€HT)])+SUMIF(Invest[Affectation matrice],$AB$3,Invest[Amortissement HT + intérêts]))*BQ20</f>
        <v>0</v>
      </c>
      <c r="Q20" s="276">
        <f>(SUMIF(Fonctionnement[Affectation matrice],$AB$3,Fonctionnement[Montant (€HT)])+SUMIF(Invest[Affectation matrice],$AB$3,Invest[Amortissement HT + intérêts]))*BR20</f>
        <v>0</v>
      </c>
      <c r="R20" s="276">
        <f>(SUMIF(Fonctionnement[Affectation matrice],$AB$3,Fonctionnement[Montant (€HT)])+SUMIF(Invest[Affectation matrice],$AB$3,Invest[Amortissement HT + intérêts]))*BS20</f>
        <v>0</v>
      </c>
      <c r="S20" s="276">
        <f>(SUMIF(Fonctionnement[Affectation matrice],$AB$3,Fonctionnement[Montant (€HT)])+SUMIF(Invest[Affectation matrice],$AB$3,Invest[Amortissement HT + intérêts]))*BT20</f>
        <v>0</v>
      </c>
      <c r="T20" s="276">
        <f>(SUMIF(Fonctionnement[Affectation matrice],$AB$3,Fonctionnement[Montant (€HT)])+SUMIF(Invest[Affectation matrice],$AB$3,Invest[Amortissement HT + intérêts]))*BU20</f>
        <v>0</v>
      </c>
      <c r="U20" s="276">
        <f>(SUMIF(Fonctionnement[Affectation matrice],$AB$3,Fonctionnement[Montant (€HT)])+SUMIF(Invest[Affectation matrice],$AB$3,Invest[Amortissement HT + intérêts]))*BV20</f>
        <v>0</v>
      </c>
      <c r="V20" s="276">
        <f>(SUMIF(Fonctionnement[Affectation matrice],$AB$3,Fonctionnement[Montant (€HT)])+SUMIF(Invest[Affectation matrice],$AB$3,Invest[Amortissement HT + intérêts]))*BW20</f>
        <v>0</v>
      </c>
      <c r="W20" s="276">
        <f>(SUMIF(Fonctionnement[Affectation matrice],$AB$3,Fonctionnement[Montant (€HT)])+SUMIF(Invest[Affectation matrice],$AB$3,Invest[Amortissement HT + intérêts]))*BX20</f>
        <v>0</v>
      </c>
      <c r="X20" s="276">
        <f>(SUMIF(Fonctionnement[Affectation matrice],$AB$3,Fonctionnement[Montant (€HT)])+SUMIF(Invest[Affectation matrice],$AB$3,Invest[Amortissement HT + intérêts]))*BY20</f>
        <v>0</v>
      </c>
      <c r="Y20" s="276">
        <f>(SUMIF(Fonctionnement[Affectation matrice],$AB$3,Fonctionnement[Montant (€HT)])+SUMIF(Invest[Affectation matrice],$AB$3,Invest[Amortissement HT + intérêts]))*BZ20</f>
        <v>0</v>
      </c>
      <c r="Z20" s="276">
        <f>(SUMIF(Fonctionnement[Affectation matrice],$AB$3,Fonctionnement[Montant (€HT)])+SUMIF(Invest[Affectation matrice],$AB$3,Invest[Amortissement HT + intérêts]))*CA20</f>
        <v>0</v>
      </c>
      <c r="AA20" s="199"/>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283">
        <f t="shared" si="4"/>
        <v>0</v>
      </c>
      <c r="BC20" s="61">
        <f t="shared" si="2"/>
        <v>0</v>
      </c>
      <c r="BD20" s="61">
        <f t="shared" si="2"/>
        <v>0</v>
      </c>
      <c r="BE20" s="61">
        <f t="shared" si="2"/>
        <v>0</v>
      </c>
      <c r="BF20" s="61">
        <f t="shared" si="2"/>
        <v>0</v>
      </c>
      <c r="BG20" s="61">
        <f t="shared" si="2"/>
        <v>0</v>
      </c>
      <c r="BH20" s="61">
        <f t="shared" si="2"/>
        <v>0</v>
      </c>
      <c r="BI20" s="61">
        <f t="shared" si="2"/>
        <v>0</v>
      </c>
      <c r="BJ20" s="61">
        <f t="shared" si="2"/>
        <v>0</v>
      </c>
      <c r="BK20" s="61">
        <f t="shared" si="2"/>
        <v>0</v>
      </c>
      <c r="BL20" s="61">
        <f t="shared" si="2"/>
        <v>0</v>
      </c>
      <c r="BM20" s="61">
        <f t="shared" si="2"/>
        <v>0</v>
      </c>
      <c r="BN20" s="61">
        <f t="shared" si="2"/>
        <v>0</v>
      </c>
      <c r="BO20" s="61">
        <f t="shared" si="2"/>
        <v>0</v>
      </c>
      <c r="BP20" s="61">
        <f t="shared" si="2"/>
        <v>0</v>
      </c>
      <c r="BQ20" s="61">
        <f t="shared" si="2"/>
        <v>0</v>
      </c>
      <c r="BR20" s="61">
        <f t="shared" ref="BR20:BR22" si="6">IF($BA$53=0,0,AQ20/$BA$53)</f>
        <v>0</v>
      </c>
      <c r="BS20" s="61">
        <f t="shared" si="3"/>
        <v>0</v>
      </c>
      <c r="BT20" s="61">
        <f t="shared" si="3"/>
        <v>0</v>
      </c>
      <c r="BU20" s="61">
        <f t="shared" si="3"/>
        <v>0</v>
      </c>
      <c r="BV20" s="61">
        <f t="shared" si="3"/>
        <v>0</v>
      </c>
      <c r="BW20" s="61">
        <f t="shared" si="3"/>
        <v>0</v>
      </c>
      <c r="BX20" s="61">
        <f t="shared" si="3"/>
        <v>0</v>
      </c>
      <c r="BY20" s="61">
        <f t="shared" si="3"/>
        <v>0</v>
      </c>
      <c r="BZ20" s="61">
        <f t="shared" si="3"/>
        <v>0</v>
      </c>
      <c r="CA20" s="61">
        <f t="shared" si="3"/>
        <v>0</v>
      </c>
      <c r="CB20" s="61">
        <f t="shared" si="5"/>
        <v>0</v>
      </c>
      <c r="CD20" s="200">
        <f>(SUMIF(Fonctionnement[Affectation matrice],$AB$3,Fonctionnement[TVA acquittée])+SUMIF(Invest[Affectation matrice],$AB$3,Invest[TVA acquittée]))*BC20</f>
        <v>0</v>
      </c>
      <c r="CE20" s="200">
        <f>(SUMIF(Fonctionnement[Affectation matrice],$AB$3,Fonctionnement[TVA acquittée])+SUMIF(Invest[Affectation matrice],$AB$3,Invest[TVA acquittée]))*BD20</f>
        <v>0</v>
      </c>
      <c r="CF20" s="200">
        <f>(SUMIF(Fonctionnement[Affectation matrice],$AB$3,Fonctionnement[TVA acquittée])+SUMIF(Invest[Affectation matrice],$AB$3,Invest[TVA acquittée]))*BE20</f>
        <v>0</v>
      </c>
      <c r="CG20" s="200">
        <f>(SUMIF(Fonctionnement[Affectation matrice],$AB$3,Fonctionnement[TVA acquittée])+SUMIF(Invest[Affectation matrice],$AB$3,Invest[TVA acquittée]))*BF20</f>
        <v>0</v>
      </c>
      <c r="CH20" s="200">
        <f>(SUMIF(Fonctionnement[Affectation matrice],$AB$3,Fonctionnement[TVA acquittée])+SUMIF(Invest[Affectation matrice],$AB$3,Invest[TVA acquittée]))*BG20</f>
        <v>0</v>
      </c>
      <c r="CI20" s="200">
        <f>(SUMIF(Fonctionnement[Affectation matrice],$AB$3,Fonctionnement[TVA acquittée])+SUMIF(Invest[Affectation matrice],$AB$3,Invest[TVA acquittée]))*BH20</f>
        <v>0</v>
      </c>
      <c r="CJ20" s="200">
        <f>(SUMIF(Fonctionnement[Affectation matrice],$AB$3,Fonctionnement[TVA acquittée])+SUMIF(Invest[Affectation matrice],$AB$3,Invest[TVA acquittée]))*BI20</f>
        <v>0</v>
      </c>
      <c r="CK20" s="200">
        <f>(SUMIF(Fonctionnement[Affectation matrice],$AB$3,Fonctionnement[TVA acquittée])+SUMIF(Invest[Affectation matrice],$AB$3,Invest[TVA acquittée]))*BJ20</f>
        <v>0</v>
      </c>
      <c r="CL20" s="200">
        <f>(SUMIF(Fonctionnement[Affectation matrice],$AB$3,Fonctionnement[TVA acquittée])+SUMIF(Invest[Affectation matrice],$AB$3,Invest[TVA acquittée]))*BK20</f>
        <v>0</v>
      </c>
      <c r="CM20" s="200">
        <f>(SUMIF(Fonctionnement[Affectation matrice],$AB$3,Fonctionnement[TVA acquittée])+SUMIF(Invest[Affectation matrice],$AB$3,Invest[TVA acquittée]))*BL20</f>
        <v>0</v>
      </c>
      <c r="CN20" s="200">
        <f>(SUMIF(Fonctionnement[Affectation matrice],$AB$3,Fonctionnement[TVA acquittée])+SUMIF(Invest[Affectation matrice],$AB$3,Invest[TVA acquittée]))*BM20</f>
        <v>0</v>
      </c>
      <c r="CO20" s="200">
        <f>(SUMIF(Fonctionnement[Affectation matrice],$AB$3,Fonctionnement[TVA acquittée])+SUMIF(Invest[Affectation matrice],$AB$3,Invest[TVA acquittée]))*BN20</f>
        <v>0</v>
      </c>
      <c r="CP20" s="200">
        <f>(SUMIF(Fonctionnement[Affectation matrice],$AB$3,Fonctionnement[TVA acquittée])+SUMIF(Invest[Affectation matrice],$AB$3,Invest[TVA acquittée]))*BO20</f>
        <v>0</v>
      </c>
      <c r="CQ20" s="200">
        <f>(SUMIF(Fonctionnement[Affectation matrice],$AB$3,Fonctionnement[TVA acquittée])+SUMIF(Invest[Affectation matrice],$AB$3,Invest[TVA acquittée]))*BP20</f>
        <v>0</v>
      </c>
      <c r="CR20" s="200">
        <f>(SUMIF(Fonctionnement[Affectation matrice],$AB$3,Fonctionnement[TVA acquittée])+SUMIF(Invest[Affectation matrice],$AB$3,Invest[TVA acquittée]))*BQ20</f>
        <v>0</v>
      </c>
      <c r="CS20" s="200">
        <f>(SUMIF(Fonctionnement[Affectation matrice],$AB$3,Fonctionnement[TVA acquittée])+SUMIF(Invest[Affectation matrice],$AB$3,Invest[TVA acquittée]))*BR20</f>
        <v>0</v>
      </c>
      <c r="CT20" s="200">
        <f>(SUMIF(Fonctionnement[Affectation matrice],$AB$3,Fonctionnement[TVA acquittée])+SUMIF(Invest[Affectation matrice],$AB$3,Invest[TVA acquittée]))*BS20</f>
        <v>0</v>
      </c>
      <c r="CU20" s="200">
        <f>(SUMIF(Fonctionnement[Affectation matrice],$AB$3,Fonctionnement[TVA acquittée])+SUMIF(Invest[Affectation matrice],$AB$3,Invest[TVA acquittée]))*BT20</f>
        <v>0</v>
      </c>
      <c r="CV20" s="200">
        <f>(SUMIF(Fonctionnement[Affectation matrice],$AB$3,Fonctionnement[TVA acquittée])+SUMIF(Invest[Affectation matrice],$AB$3,Invest[TVA acquittée]))*BU20</f>
        <v>0</v>
      </c>
      <c r="CW20" s="200">
        <f>(SUMIF(Fonctionnement[Affectation matrice],$AB$3,Fonctionnement[TVA acquittée])+SUMIF(Invest[Affectation matrice],$AB$3,Invest[TVA acquittée]))*BV20</f>
        <v>0</v>
      </c>
      <c r="CX20" s="200">
        <f>(SUMIF(Fonctionnement[Affectation matrice],$AB$3,Fonctionnement[TVA acquittée])+SUMIF(Invest[Affectation matrice],$AB$3,Invest[TVA acquittée]))*BW20</f>
        <v>0</v>
      </c>
      <c r="CY20" s="200">
        <f>(SUMIF(Fonctionnement[Affectation matrice],$AB$3,Fonctionnement[TVA acquittée])+SUMIF(Invest[Affectation matrice],$AB$3,Invest[TVA acquittée]))*BX20</f>
        <v>0</v>
      </c>
      <c r="CZ20" s="200">
        <f>(SUMIF(Fonctionnement[Affectation matrice],$AB$3,Fonctionnement[TVA acquittée])+SUMIF(Invest[Affectation matrice],$AB$3,Invest[TVA acquittée]))*BY20</f>
        <v>0</v>
      </c>
      <c r="DA20" s="200">
        <f>(SUMIF(Fonctionnement[Affectation matrice],$AB$3,Fonctionnement[TVA acquittée])+SUMIF(Invest[Affectation matrice],$AB$3,Invest[TVA acquittée]))*BZ20</f>
        <v>0</v>
      </c>
      <c r="DB20" s="200">
        <f>(SUMIF(Fonctionnement[Affectation matrice],$AB$3,Fonctionnement[TVA acquittée])+SUMIF(Invest[Affectation matrice],$AB$3,Invest[TVA acquittée]))*CA20</f>
        <v>0</v>
      </c>
    </row>
    <row r="21" spans="1:106" s="22" customFormat="1" ht="12.75" hidden="1" customHeight="1" x14ac:dyDescent="0.25">
      <c r="A21" s="42">
        <f>Matrice[[#This Row],[Ligne de la matrice]]</f>
        <v>0</v>
      </c>
      <c r="B21" s="276">
        <f>(SUMIF(Fonctionnement[Affectation matrice],$AB$3,Fonctionnement[Montant (€HT)])+SUMIF(Invest[Affectation matrice],$AB$3,Invest[Amortissement HT + intérêts]))*BC21</f>
        <v>0</v>
      </c>
      <c r="C21" s="276">
        <f>(SUMIF(Fonctionnement[Affectation matrice],$AB$3,Fonctionnement[Montant (€HT)])+SUMIF(Invest[Affectation matrice],$AB$3,Invest[Amortissement HT + intérêts]))*BD21</f>
        <v>0</v>
      </c>
      <c r="D21" s="276">
        <f>(SUMIF(Fonctionnement[Affectation matrice],$AB$3,Fonctionnement[Montant (€HT)])+SUMIF(Invest[Affectation matrice],$AB$3,Invest[Amortissement HT + intérêts]))*BE21</f>
        <v>0</v>
      </c>
      <c r="E21" s="276">
        <f>(SUMIF(Fonctionnement[Affectation matrice],$AB$3,Fonctionnement[Montant (€HT)])+SUMIF(Invest[Affectation matrice],$AB$3,Invest[Amortissement HT + intérêts]))*BF21</f>
        <v>0</v>
      </c>
      <c r="F21" s="276">
        <f>(SUMIF(Fonctionnement[Affectation matrice],$AB$3,Fonctionnement[Montant (€HT)])+SUMIF(Invest[Affectation matrice],$AB$3,Invest[Amortissement HT + intérêts]))*BG21</f>
        <v>0</v>
      </c>
      <c r="G21" s="276">
        <f>(SUMIF(Fonctionnement[Affectation matrice],$AB$3,Fonctionnement[Montant (€HT)])+SUMIF(Invest[Affectation matrice],$AB$3,Invest[Amortissement HT + intérêts]))*BH21</f>
        <v>0</v>
      </c>
      <c r="H21" s="276">
        <f>(SUMIF(Fonctionnement[Affectation matrice],$AB$3,Fonctionnement[Montant (€HT)])+SUMIF(Invest[Affectation matrice],$AB$3,Invest[Amortissement HT + intérêts]))*BI21</f>
        <v>0</v>
      </c>
      <c r="I21" s="276">
        <f>(SUMIF(Fonctionnement[Affectation matrice],$AB$3,Fonctionnement[Montant (€HT)])+SUMIF(Invest[Affectation matrice],$AB$3,Invest[Amortissement HT + intérêts]))*BJ21</f>
        <v>0</v>
      </c>
      <c r="J21" s="276">
        <f>(SUMIF(Fonctionnement[Affectation matrice],$AB$3,Fonctionnement[Montant (€HT)])+SUMIF(Invest[Affectation matrice],$AB$3,Invest[Amortissement HT + intérêts]))*BK21</f>
        <v>0</v>
      </c>
      <c r="K21" s="276">
        <f>(SUMIF(Fonctionnement[Affectation matrice],$AB$3,Fonctionnement[Montant (€HT)])+SUMIF(Invest[Affectation matrice],$AB$3,Invest[Amortissement HT + intérêts]))*BL21</f>
        <v>0</v>
      </c>
      <c r="L21" s="276">
        <f>(SUMIF(Fonctionnement[Affectation matrice],$AB$3,Fonctionnement[Montant (€HT)])+SUMIF(Invest[Affectation matrice],$AB$3,Invest[Amortissement HT + intérêts]))*BM21</f>
        <v>0</v>
      </c>
      <c r="M21" s="276">
        <f>(SUMIF(Fonctionnement[Affectation matrice],$AB$3,Fonctionnement[Montant (€HT)])+SUMIF(Invest[Affectation matrice],$AB$3,Invest[Amortissement HT + intérêts]))*BN21</f>
        <v>0</v>
      </c>
      <c r="N21" s="276">
        <f>(SUMIF(Fonctionnement[Affectation matrice],$AB$3,Fonctionnement[Montant (€HT)])+SUMIF(Invest[Affectation matrice],$AB$3,Invest[Amortissement HT + intérêts]))*BO21</f>
        <v>0</v>
      </c>
      <c r="O21" s="276">
        <f>(SUMIF(Fonctionnement[Affectation matrice],$AB$3,Fonctionnement[Montant (€HT)])+SUMIF(Invest[Affectation matrice],$AB$3,Invest[Amortissement HT + intérêts]))*BP21</f>
        <v>0</v>
      </c>
      <c r="P21" s="276">
        <f>(SUMIF(Fonctionnement[Affectation matrice],$AB$3,Fonctionnement[Montant (€HT)])+SUMIF(Invest[Affectation matrice],$AB$3,Invest[Amortissement HT + intérêts]))*BQ21</f>
        <v>0</v>
      </c>
      <c r="Q21" s="276">
        <f>(SUMIF(Fonctionnement[Affectation matrice],$AB$3,Fonctionnement[Montant (€HT)])+SUMIF(Invest[Affectation matrice],$AB$3,Invest[Amortissement HT + intérêts]))*BR21</f>
        <v>0</v>
      </c>
      <c r="R21" s="276">
        <f>(SUMIF(Fonctionnement[Affectation matrice],$AB$3,Fonctionnement[Montant (€HT)])+SUMIF(Invest[Affectation matrice],$AB$3,Invest[Amortissement HT + intérêts]))*BS21</f>
        <v>0</v>
      </c>
      <c r="S21" s="276">
        <f>(SUMIF(Fonctionnement[Affectation matrice],$AB$3,Fonctionnement[Montant (€HT)])+SUMIF(Invest[Affectation matrice],$AB$3,Invest[Amortissement HT + intérêts]))*BT21</f>
        <v>0</v>
      </c>
      <c r="T21" s="276">
        <f>(SUMIF(Fonctionnement[Affectation matrice],$AB$3,Fonctionnement[Montant (€HT)])+SUMIF(Invest[Affectation matrice],$AB$3,Invest[Amortissement HT + intérêts]))*BU21</f>
        <v>0</v>
      </c>
      <c r="U21" s="276">
        <f>(SUMIF(Fonctionnement[Affectation matrice],$AB$3,Fonctionnement[Montant (€HT)])+SUMIF(Invest[Affectation matrice],$AB$3,Invest[Amortissement HT + intérêts]))*BV21</f>
        <v>0</v>
      </c>
      <c r="V21" s="276">
        <f>(SUMIF(Fonctionnement[Affectation matrice],$AB$3,Fonctionnement[Montant (€HT)])+SUMIF(Invest[Affectation matrice],$AB$3,Invest[Amortissement HT + intérêts]))*BW21</f>
        <v>0</v>
      </c>
      <c r="W21" s="276">
        <f>(SUMIF(Fonctionnement[Affectation matrice],$AB$3,Fonctionnement[Montant (€HT)])+SUMIF(Invest[Affectation matrice],$AB$3,Invest[Amortissement HT + intérêts]))*BX21</f>
        <v>0</v>
      </c>
      <c r="X21" s="276">
        <f>(SUMIF(Fonctionnement[Affectation matrice],$AB$3,Fonctionnement[Montant (€HT)])+SUMIF(Invest[Affectation matrice],$AB$3,Invest[Amortissement HT + intérêts]))*BY21</f>
        <v>0</v>
      </c>
      <c r="Y21" s="276">
        <f>(SUMIF(Fonctionnement[Affectation matrice],$AB$3,Fonctionnement[Montant (€HT)])+SUMIF(Invest[Affectation matrice],$AB$3,Invest[Amortissement HT + intérêts]))*BZ21</f>
        <v>0</v>
      </c>
      <c r="Z21" s="276">
        <f>(SUMIF(Fonctionnement[Affectation matrice],$AB$3,Fonctionnement[Montant (€HT)])+SUMIF(Invest[Affectation matrice],$AB$3,Invest[Amortissement HT + intérêts]))*CA21</f>
        <v>0</v>
      </c>
      <c r="AA21" s="199"/>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283">
        <f t="shared" si="4"/>
        <v>0</v>
      </c>
      <c r="BB21" s="7"/>
      <c r="BC21" s="61">
        <f t="shared" ref="BC21:BQ22" si="7">IF($BA$53=0,0,AB21/$BA$53)</f>
        <v>0</v>
      </c>
      <c r="BD21" s="61">
        <f t="shared" si="7"/>
        <v>0</v>
      </c>
      <c r="BE21" s="61">
        <f t="shared" si="7"/>
        <v>0</v>
      </c>
      <c r="BF21" s="61">
        <f t="shared" si="7"/>
        <v>0</v>
      </c>
      <c r="BG21" s="61">
        <f t="shared" si="7"/>
        <v>0</v>
      </c>
      <c r="BH21" s="61">
        <f t="shared" si="7"/>
        <v>0</v>
      </c>
      <c r="BI21" s="61">
        <f t="shared" si="7"/>
        <v>0</v>
      </c>
      <c r="BJ21" s="61">
        <f t="shared" si="7"/>
        <v>0</v>
      </c>
      <c r="BK21" s="61">
        <f t="shared" si="7"/>
        <v>0</v>
      </c>
      <c r="BL21" s="61">
        <f t="shared" si="7"/>
        <v>0</v>
      </c>
      <c r="BM21" s="61">
        <f t="shared" si="7"/>
        <v>0</v>
      </c>
      <c r="BN21" s="61">
        <f t="shared" si="7"/>
        <v>0</v>
      </c>
      <c r="BO21" s="61">
        <f t="shared" si="7"/>
        <v>0</v>
      </c>
      <c r="BP21" s="61">
        <f t="shared" si="7"/>
        <v>0</v>
      </c>
      <c r="BQ21" s="61">
        <f t="shared" si="7"/>
        <v>0</v>
      </c>
      <c r="BR21" s="61">
        <f t="shared" si="6"/>
        <v>0</v>
      </c>
      <c r="BS21" s="61">
        <f t="shared" si="3"/>
        <v>0</v>
      </c>
      <c r="BT21" s="61">
        <f t="shared" si="3"/>
        <v>0</v>
      </c>
      <c r="BU21" s="61">
        <f t="shared" si="3"/>
        <v>0</v>
      </c>
      <c r="BV21" s="61">
        <f t="shared" si="3"/>
        <v>0</v>
      </c>
      <c r="BW21" s="61">
        <f t="shared" si="3"/>
        <v>0</v>
      </c>
      <c r="BX21" s="61">
        <f t="shared" si="3"/>
        <v>0</v>
      </c>
      <c r="BY21" s="61">
        <f t="shared" si="3"/>
        <v>0</v>
      </c>
      <c r="BZ21" s="61">
        <f t="shared" si="3"/>
        <v>0</v>
      </c>
      <c r="CA21" s="61">
        <f t="shared" si="3"/>
        <v>0</v>
      </c>
      <c r="CB21" s="61">
        <f t="shared" si="5"/>
        <v>0</v>
      </c>
      <c r="CD21" s="200">
        <f>(SUMIF(Fonctionnement[Affectation matrice],$AB$3,Fonctionnement[TVA acquittée])+SUMIF(Invest[Affectation matrice],$AB$3,Invest[TVA acquittée]))*BC21</f>
        <v>0</v>
      </c>
      <c r="CE21" s="200">
        <f>(SUMIF(Fonctionnement[Affectation matrice],$AB$3,Fonctionnement[TVA acquittée])+SUMIF(Invest[Affectation matrice],$AB$3,Invest[TVA acquittée]))*BD21</f>
        <v>0</v>
      </c>
      <c r="CF21" s="200">
        <f>(SUMIF(Fonctionnement[Affectation matrice],$AB$3,Fonctionnement[TVA acquittée])+SUMIF(Invest[Affectation matrice],$AB$3,Invest[TVA acquittée]))*BE21</f>
        <v>0</v>
      </c>
      <c r="CG21" s="200">
        <f>(SUMIF(Fonctionnement[Affectation matrice],$AB$3,Fonctionnement[TVA acquittée])+SUMIF(Invest[Affectation matrice],$AB$3,Invest[TVA acquittée]))*BF21</f>
        <v>0</v>
      </c>
      <c r="CH21" s="200">
        <f>(SUMIF(Fonctionnement[Affectation matrice],$AB$3,Fonctionnement[TVA acquittée])+SUMIF(Invest[Affectation matrice],$AB$3,Invest[TVA acquittée]))*BG21</f>
        <v>0</v>
      </c>
      <c r="CI21" s="200">
        <f>(SUMIF(Fonctionnement[Affectation matrice],$AB$3,Fonctionnement[TVA acquittée])+SUMIF(Invest[Affectation matrice],$AB$3,Invest[TVA acquittée]))*BH21</f>
        <v>0</v>
      </c>
      <c r="CJ21" s="200">
        <f>(SUMIF(Fonctionnement[Affectation matrice],$AB$3,Fonctionnement[TVA acquittée])+SUMIF(Invest[Affectation matrice],$AB$3,Invest[TVA acquittée]))*BI21</f>
        <v>0</v>
      </c>
      <c r="CK21" s="200">
        <f>(SUMIF(Fonctionnement[Affectation matrice],$AB$3,Fonctionnement[TVA acquittée])+SUMIF(Invest[Affectation matrice],$AB$3,Invest[TVA acquittée]))*BJ21</f>
        <v>0</v>
      </c>
      <c r="CL21" s="200">
        <f>(SUMIF(Fonctionnement[Affectation matrice],$AB$3,Fonctionnement[TVA acquittée])+SUMIF(Invest[Affectation matrice],$AB$3,Invest[TVA acquittée]))*BK21</f>
        <v>0</v>
      </c>
      <c r="CM21" s="200">
        <f>(SUMIF(Fonctionnement[Affectation matrice],$AB$3,Fonctionnement[TVA acquittée])+SUMIF(Invest[Affectation matrice],$AB$3,Invest[TVA acquittée]))*BL21</f>
        <v>0</v>
      </c>
      <c r="CN21" s="200">
        <f>(SUMIF(Fonctionnement[Affectation matrice],$AB$3,Fonctionnement[TVA acquittée])+SUMIF(Invest[Affectation matrice],$AB$3,Invest[TVA acquittée]))*BM21</f>
        <v>0</v>
      </c>
      <c r="CO21" s="200">
        <f>(SUMIF(Fonctionnement[Affectation matrice],$AB$3,Fonctionnement[TVA acquittée])+SUMIF(Invest[Affectation matrice],$AB$3,Invest[TVA acquittée]))*BN21</f>
        <v>0</v>
      </c>
      <c r="CP21" s="200">
        <f>(SUMIF(Fonctionnement[Affectation matrice],$AB$3,Fonctionnement[TVA acquittée])+SUMIF(Invest[Affectation matrice],$AB$3,Invest[TVA acquittée]))*BO21</f>
        <v>0</v>
      </c>
      <c r="CQ21" s="200">
        <f>(SUMIF(Fonctionnement[Affectation matrice],$AB$3,Fonctionnement[TVA acquittée])+SUMIF(Invest[Affectation matrice],$AB$3,Invest[TVA acquittée]))*BP21</f>
        <v>0</v>
      </c>
      <c r="CR21" s="200">
        <f>(SUMIF(Fonctionnement[Affectation matrice],$AB$3,Fonctionnement[TVA acquittée])+SUMIF(Invest[Affectation matrice],$AB$3,Invest[TVA acquittée]))*BQ21</f>
        <v>0</v>
      </c>
      <c r="CS21" s="200">
        <f>(SUMIF(Fonctionnement[Affectation matrice],$AB$3,Fonctionnement[TVA acquittée])+SUMIF(Invest[Affectation matrice],$AB$3,Invest[TVA acquittée]))*BR21</f>
        <v>0</v>
      </c>
      <c r="CT21" s="200">
        <f>(SUMIF(Fonctionnement[Affectation matrice],$AB$3,Fonctionnement[TVA acquittée])+SUMIF(Invest[Affectation matrice],$AB$3,Invest[TVA acquittée]))*BS21</f>
        <v>0</v>
      </c>
      <c r="CU21" s="200">
        <f>(SUMIF(Fonctionnement[Affectation matrice],$AB$3,Fonctionnement[TVA acquittée])+SUMIF(Invest[Affectation matrice],$AB$3,Invest[TVA acquittée]))*BT21</f>
        <v>0</v>
      </c>
      <c r="CV21" s="200">
        <f>(SUMIF(Fonctionnement[Affectation matrice],$AB$3,Fonctionnement[TVA acquittée])+SUMIF(Invest[Affectation matrice],$AB$3,Invest[TVA acquittée]))*BU21</f>
        <v>0</v>
      </c>
      <c r="CW21" s="200">
        <f>(SUMIF(Fonctionnement[Affectation matrice],$AB$3,Fonctionnement[TVA acquittée])+SUMIF(Invest[Affectation matrice],$AB$3,Invest[TVA acquittée]))*BV21</f>
        <v>0</v>
      </c>
      <c r="CX21" s="200">
        <f>(SUMIF(Fonctionnement[Affectation matrice],$AB$3,Fonctionnement[TVA acquittée])+SUMIF(Invest[Affectation matrice],$AB$3,Invest[TVA acquittée]))*BW21</f>
        <v>0</v>
      </c>
      <c r="CY21" s="200">
        <f>(SUMIF(Fonctionnement[Affectation matrice],$AB$3,Fonctionnement[TVA acquittée])+SUMIF(Invest[Affectation matrice],$AB$3,Invest[TVA acquittée]))*BX21</f>
        <v>0</v>
      </c>
      <c r="CZ21" s="200">
        <f>(SUMIF(Fonctionnement[Affectation matrice],$AB$3,Fonctionnement[TVA acquittée])+SUMIF(Invest[Affectation matrice],$AB$3,Invest[TVA acquittée]))*BY21</f>
        <v>0</v>
      </c>
      <c r="DA21" s="200">
        <f>(SUMIF(Fonctionnement[Affectation matrice],$AB$3,Fonctionnement[TVA acquittée])+SUMIF(Invest[Affectation matrice],$AB$3,Invest[TVA acquittée]))*BZ21</f>
        <v>0</v>
      </c>
      <c r="DB21" s="200">
        <f>(SUMIF(Fonctionnement[Affectation matrice],$AB$3,Fonctionnement[TVA acquittée])+SUMIF(Invest[Affectation matrice],$AB$3,Invest[TVA acquittée]))*CA21</f>
        <v>0</v>
      </c>
    </row>
    <row r="22" spans="1:106" s="22" customFormat="1" ht="12.75" hidden="1" customHeight="1" x14ac:dyDescent="0.25">
      <c r="A22" s="42">
        <f>Matrice[[#This Row],[Ligne de la matrice]]</f>
        <v>0</v>
      </c>
      <c r="B22" s="276">
        <f>(SUMIF(Fonctionnement[Affectation matrice],$AB$3,Fonctionnement[Montant (€HT)])+SUMIF(Invest[Affectation matrice],$AB$3,Invest[Amortissement HT + intérêts]))*BC22</f>
        <v>0</v>
      </c>
      <c r="C22" s="276">
        <f>(SUMIF(Fonctionnement[Affectation matrice],$AB$3,Fonctionnement[Montant (€HT)])+SUMIF(Invest[Affectation matrice],$AB$3,Invest[Amortissement HT + intérêts]))*BD22</f>
        <v>0</v>
      </c>
      <c r="D22" s="276">
        <f>(SUMIF(Fonctionnement[Affectation matrice],$AB$3,Fonctionnement[Montant (€HT)])+SUMIF(Invest[Affectation matrice],$AB$3,Invest[Amortissement HT + intérêts]))*BE22</f>
        <v>0</v>
      </c>
      <c r="E22" s="276">
        <f>(SUMIF(Fonctionnement[Affectation matrice],$AB$3,Fonctionnement[Montant (€HT)])+SUMIF(Invest[Affectation matrice],$AB$3,Invest[Amortissement HT + intérêts]))*BF22</f>
        <v>0</v>
      </c>
      <c r="F22" s="276">
        <f>(SUMIF(Fonctionnement[Affectation matrice],$AB$3,Fonctionnement[Montant (€HT)])+SUMIF(Invest[Affectation matrice],$AB$3,Invest[Amortissement HT + intérêts]))*BG22</f>
        <v>0</v>
      </c>
      <c r="G22" s="276">
        <f>(SUMIF(Fonctionnement[Affectation matrice],$AB$3,Fonctionnement[Montant (€HT)])+SUMIF(Invest[Affectation matrice],$AB$3,Invest[Amortissement HT + intérêts]))*BH22</f>
        <v>0</v>
      </c>
      <c r="H22" s="276">
        <f>(SUMIF(Fonctionnement[Affectation matrice],$AB$3,Fonctionnement[Montant (€HT)])+SUMIF(Invest[Affectation matrice],$AB$3,Invest[Amortissement HT + intérêts]))*BI22</f>
        <v>0</v>
      </c>
      <c r="I22" s="276">
        <f>(SUMIF(Fonctionnement[Affectation matrice],$AB$3,Fonctionnement[Montant (€HT)])+SUMIF(Invest[Affectation matrice],$AB$3,Invest[Amortissement HT + intérêts]))*BJ22</f>
        <v>0</v>
      </c>
      <c r="J22" s="276">
        <f>(SUMIF(Fonctionnement[Affectation matrice],$AB$3,Fonctionnement[Montant (€HT)])+SUMIF(Invest[Affectation matrice],$AB$3,Invest[Amortissement HT + intérêts]))*BK22</f>
        <v>0</v>
      </c>
      <c r="K22" s="276">
        <f>(SUMIF(Fonctionnement[Affectation matrice],$AB$3,Fonctionnement[Montant (€HT)])+SUMIF(Invest[Affectation matrice],$AB$3,Invest[Amortissement HT + intérêts]))*BL22</f>
        <v>0</v>
      </c>
      <c r="L22" s="276">
        <f>(SUMIF(Fonctionnement[Affectation matrice],$AB$3,Fonctionnement[Montant (€HT)])+SUMIF(Invest[Affectation matrice],$AB$3,Invest[Amortissement HT + intérêts]))*BM22</f>
        <v>0</v>
      </c>
      <c r="M22" s="276">
        <f>(SUMIF(Fonctionnement[Affectation matrice],$AB$3,Fonctionnement[Montant (€HT)])+SUMIF(Invest[Affectation matrice],$AB$3,Invest[Amortissement HT + intérêts]))*BN22</f>
        <v>0</v>
      </c>
      <c r="N22" s="276">
        <f>(SUMIF(Fonctionnement[Affectation matrice],$AB$3,Fonctionnement[Montant (€HT)])+SUMIF(Invest[Affectation matrice],$AB$3,Invest[Amortissement HT + intérêts]))*BO22</f>
        <v>0</v>
      </c>
      <c r="O22" s="276">
        <f>(SUMIF(Fonctionnement[Affectation matrice],$AB$3,Fonctionnement[Montant (€HT)])+SUMIF(Invest[Affectation matrice],$AB$3,Invest[Amortissement HT + intérêts]))*BP22</f>
        <v>0</v>
      </c>
      <c r="P22" s="276">
        <f>(SUMIF(Fonctionnement[Affectation matrice],$AB$3,Fonctionnement[Montant (€HT)])+SUMIF(Invest[Affectation matrice],$AB$3,Invest[Amortissement HT + intérêts]))*BQ22</f>
        <v>0</v>
      </c>
      <c r="Q22" s="276">
        <f>(SUMIF(Fonctionnement[Affectation matrice],$AB$3,Fonctionnement[Montant (€HT)])+SUMIF(Invest[Affectation matrice],$AB$3,Invest[Amortissement HT + intérêts]))*BR22</f>
        <v>0</v>
      </c>
      <c r="R22" s="276">
        <f>(SUMIF(Fonctionnement[Affectation matrice],$AB$3,Fonctionnement[Montant (€HT)])+SUMIF(Invest[Affectation matrice],$AB$3,Invest[Amortissement HT + intérêts]))*BS22</f>
        <v>0</v>
      </c>
      <c r="S22" s="276">
        <f>(SUMIF(Fonctionnement[Affectation matrice],$AB$3,Fonctionnement[Montant (€HT)])+SUMIF(Invest[Affectation matrice],$AB$3,Invest[Amortissement HT + intérêts]))*BT22</f>
        <v>0</v>
      </c>
      <c r="T22" s="276">
        <f>(SUMIF(Fonctionnement[Affectation matrice],$AB$3,Fonctionnement[Montant (€HT)])+SUMIF(Invest[Affectation matrice],$AB$3,Invest[Amortissement HT + intérêts]))*BU22</f>
        <v>0</v>
      </c>
      <c r="U22" s="276">
        <f>(SUMIF(Fonctionnement[Affectation matrice],$AB$3,Fonctionnement[Montant (€HT)])+SUMIF(Invest[Affectation matrice],$AB$3,Invest[Amortissement HT + intérêts]))*BV22</f>
        <v>0</v>
      </c>
      <c r="V22" s="276">
        <f>(SUMIF(Fonctionnement[Affectation matrice],$AB$3,Fonctionnement[Montant (€HT)])+SUMIF(Invest[Affectation matrice],$AB$3,Invest[Amortissement HT + intérêts]))*BW22</f>
        <v>0</v>
      </c>
      <c r="W22" s="276">
        <f>(SUMIF(Fonctionnement[Affectation matrice],$AB$3,Fonctionnement[Montant (€HT)])+SUMIF(Invest[Affectation matrice],$AB$3,Invest[Amortissement HT + intérêts]))*BX22</f>
        <v>0</v>
      </c>
      <c r="X22" s="276">
        <f>(SUMIF(Fonctionnement[Affectation matrice],$AB$3,Fonctionnement[Montant (€HT)])+SUMIF(Invest[Affectation matrice],$AB$3,Invest[Amortissement HT + intérêts]))*BY22</f>
        <v>0</v>
      </c>
      <c r="Y22" s="276">
        <f>(SUMIF(Fonctionnement[Affectation matrice],$AB$3,Fonctionnement[Montant (€HT)])+SUMIF(Invest[Affectation matrice],$AB$3,Invest[Amortissement HT + intérêts]))*BZ22</f>
        <v>0</v>
      </c>
      <c r="Z22" s="276">
        <f>(SUMIF(Fonctionnement[Affectation matrice],$AB$3,Fonctionnement[Montant (€HT)])+SUMIF(Invest[Affectation matrice],$AB$3,Invest[Amortissement HT + intérêts]))*CA22</f>
        <v>0</v>
      </c>
      <c r="AA22" s="199"/>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283">
        <f t="shared" si="4"/>
        <v>0</v>
      </c>
      <c r="BB22" s="7"/>
      <c r="BC22" s="61">
        <f t="shared" si="7"/>
        <v>0</v>
      </c>
      <c r="BD22" s="61">
        <f t="shared" si="7"/>
        <v>0</v>
      </c>
      <c r="BE22" s="61">
        <f t="shared" si="7"/>
        <v>0</v>
      </c>
      <c r="BF22" s="61">
        <f t="shared" si="7"/>
        <v>0</v>
      </c>
      <c r="BG22" s="61">
        <f t="shared" si="7"/>
        <v>0</v>
      </c>
      <c r="BH22" s="61">
        <f t="shared" si="7"/>
        <v>0</v>
      </c>
      <c r="BI22" s="61">
        <f t="shared" si="7"/>
        <v>0</v>
      </c>
      <c r="BJ22" s="61">
        <f t="shared" si="7"/>
        <v>0</v>
      </c>
      <c r="BK22" s="61">
        <f t="shared" si="7"/>
        <v>0</v>
      </c>
      <c r="BL22" s="61">
        <f t="shared" si="7"/>
        <v>0</v>
      </c>
      <c r="BM22" s="61">
        <f t="shared" si="7"/>
        <v>0</v>
      </c>
      <c r="BN22" s="61">
        <f t="shared" si="7"/>
        <v>0</v>
      </c>
      <c r="BO22" s="61">
        <f t="shared" si="7"/>
        <v>0</v>
      </c>
      <c r="BP22" s="61">
        <f t="shared" si="7"/>
        <v>0</v>
      </c>
      <c r="BQ22" s="61">
        <f t="shared" si="7"/>
        <v>0</v>
      </c>
      <c r="BR22" s="61">
        <f t="shared" si="6"/>
        <v>0</v>
      </c>
      <c r="BS22" s="61">
        <f t="shared" si="3"/>
        <v>0</v>
      </c>
      <c r="BT22" s="61">
        <f t="shared" si="3"/>
        <v>0</v>
      </c>
      <c r="BU22" s="61">
        <f t="shared" si="3"/>
        <v>0</v>
      </c>
      <c r="BV22" s="61">
        <f t="shared" si="3"/>
        <v>0</v>
      </c>
      <c r="BW22" s="61">
        <f t="shared" si="3"/>
        <v>0</v>
      </c>
      <c r="BX22" s="61">
        <f t="shared" si="3"/>
        <v>0</v>
      </c>
      <c r="BY22" s="61">
        <f t="shared" si="3"/>
        <v>0</v>
      </c>
      <c r="BZ22" s="61">
        <f t="shared" si="3"/>
        <v>0</v>
      </c>
      <c r="CA22" s="61">
        <f t="shared" si="3"/>
        <v>0</v>
      </c>
      <c r="CB22" s="61">
        <f t="shared" si="5"/>
        <v>0</v>
      </c>
      <c r="CD22" s="200">
        <f>(SUMIF(Fonctionnement[Affectation matrice],$AB$3,Fonctionnement[TVA acquittée])+SUMIF(Invest[Affectation matrice],$AB$3,Invest[TVA acquittée]))*BC22</f>
        <v>0</v>
      </c>
      <c r="CE22" s="200">
        <f>(SUMIF(Fonctionnement[Affectation matrice],$AB$3,Fonctionnement[TVA acquittée])+SUMIF(Invest[Affectation matrice],$AB$3,Invest[TVA acquittée]))*BD22</f>
        <v>0</v>
      </c>
      <c r="CF22" s="200">
        <f>(SUMIF(Fonctionnement[Affectation matrice],$AB$3,Fonctionnement[TVA acquittée])+SUMIF(Invest[Affectation matrice],$AB$3,Invest[TVA acquittée]))*BE22</f>
        <v>0</v>
      </c>
      <c r="CG22" s="200">
        <f>(SUMIF(Fonctionnement[Affectation matrice],$AB$3,Fonctionnement[TVA acquittée])+SUMIF(Invest[Affectation matrice],$AB$3,Invest[TVA acquittée]))*BF22</f>
        <v>0</v>
      </c>
      <c r="CH22" s="200">
        <f>(SUMIF(Fonctionnement[Affectation matrice],$AB$3,Fonctionnement[TVA acquittée])+SUMIF(Invest[Affectation matrice],$AB$3,Invest[TVA acquittée]))*BG22</f>
        <v>0</v>
      </c>
      <c r="CI22" s="200">
        <f>(SUMIF(Fonctionnement[Affectation matrice],$AB$3,Fonctionnement[TVA acquittée])+SUMIF(Invest[Affectation matrice],$AB$3,Invest[TVA acquittée]))*BH22</f>
        <v>0</v>
      </c>
      <c r="CJ22" s="200">
        <f>(SUMIF(Fonctionnement[Affectation matrice],$AB$3,Fonctionnement[TVA acquittée])+SUMIF(Invest[Affectation matrice],$AB$3,Invest[TVA acquittée]))*BI22</f>
        <v>0</v>
      </c>
      <c r="CK22" s="200">
        <f>(SUMIF(Fonctionnement[Affectation matrice],$AB$3,Fonctionnement[TVA acquittée])+SUMIF(Invest[Affectation matrice],$AB$3,Invest[TVA acquittée]))*BJ22</f>
        <v>0</v>
      </c>
      <c r="CL22" s="200">
        <f>(SUMIF(Fonctionnement[Affectation matrice],$AB$3,Fonctionnement[TVA acquittée])+SUMIF(Invest[Affectation matrice],$AB$3,Invest[TVA acquittée]))*BK22</f>
        <v>0</v>
      </c>
      <c r="CM22" s="200">
        <f>(SUMIF(Fonctionnement[Affectation matrice],$AB$3,Fonctionnement[TVA acquittée])+SUMIF(Invest[Affectation matrice],$AB$3,Invest[TVA acquittée]))*BL22</f>
        <v>0</v>
      </c>
      <c r="CN22" s="200">
        <f>(SUMIF(Fonctionnement[Affectation matrice],$AB$3,Fonctionnement[TVA acquittée])+SUMIF(Invest[Affectation matrice],$AB$3,Invest[TVA acquittée]))*BM22</f>
        <v>0</v>
      </c>
      <c r="CO22" s="200">
        <f>(SUMIF(Fonctionnement[Affectation matrice],$AB$3,Fonctionnement[TVA acquittée])+SUMIF(Invest[Affectation matrice],$AB$3,Invest[TVA acquittée]))*BN22</f>
        <v>0</v>
      </c>
      <c r="CP22" s="200">
        <f>(SUMIF(Fonctionnement[Affectation matrice],$AB$3,Fonctionnement[TVA acquittée])+SUMIF(Invest[Affectation matrice],$AB$3,Invest[TVA acquittée]))*BO22</f>
        <v>0</v>
      </c>
      <c r="CQ22" s="200">
        <f>(SUMIF(Fonctionnement[Affectation matrice],$AB$3,Fonctionnement[TVA acquittée])+SUMIF(Invest[Affectation matrice],$AB$3,Invest[TVA acquittée]))*BP22</f>
        <v>0</v>
      </c>
      <c r="CR22" s="200">
        <f>(SUMIF(Fonctionnement[Affectation matrice],$AB$3,Fonctionnement[TVA acquittée])+SUMIF(Invest[Affectation matrice],$AB$3,Invest[TVA acquittée]))*BQ22</f>
        <v>0</v>
      </c>
      <c r="CS22" s="200">
        <f>(SUMIF(Fonctionnement[Affectation matrice],$AB$3,Fonctionnement[TVA acquittée])+SUMIF(Invest[Affectation matrice],$AB$3,Invest[TVA acquittée]))*BR22</f>
        <v>0</v>
      </c>
      <c r="CT22" s="200">
        <f>(SUMIF(Fonctionnement[Affectation matrice],$AB$3,Fonctionnement[TVA acquittée])+SUMIF(Invest[Affectation matrice],$AB$3,Invest[TVA acquittée]))*BS22</f>
        <v>0</v>
      </c>
      <c r="CU22" s="200">
        <f>(SUMIF(Fonctionnement[Affectation matrice],$AB$3,Fonctionnement[TVA acquittée])+SUMIF(Invest[Affectation matrice],$AB$3,Invest[TVA acquittée]))*BT22</f>
        <v>0</v>
      </c>
      <c r="CV22" s="200">
        <f>(SUMIF(Fonctionnement[Affectation matrice],$AB$3,Fonctionnement[TVA acquittée])+SUMIF(Invest[Affectation matrice],$AB$3,Invest[TVA acquittée]))*BU22</f>
        <v>0</v>
      </c>
      <c r="CW22" s="200">
        <f>(SUMIF(Fonctionnement[Affectation matrice],$AB$3,Fonctionnement[TVA acquittée])+SUMIF(Invest[Affectation matrice],$AB$3,Invest[TVA acquittée]))*BV22</f>
        <v>0</v>
      </c>
      <c r="CX22" s="200">
        <f>(SUMIF(Fonctionnement[Affectation matrice],$AB$3,Fonctionnement[TVA acquittée])+SUMIF(Invest[Affectation matrice],$AB$3,Invest[TVA acquittée]))*BW22</f>
        <v>0</v>
      </c>
      <c r="CY22" s="200">
        <f>(SUMIF(Fonctionnement[Affectation matrice],$AB$3,Fonctionnement[TVA acquittée])+SUMIF(Invest[Affectation matrice],$AB$3,Invest[TVA acquittée]))*BX22</f>
        <v>0</v>
      </c>
      <c r="CZ22" s="200">
        <f>(SUMIF(Fonctionnement[Affectation matrice],$AB$3,Fonctionnement[TVA acquittée])+SUMIF(Invest[Affectation matrice],$AB$3,Invest[TVA acquittée]))*BY22</f>
        <v>0</v>
      </c>
      <c r="DA22" s="200">
        <f>(SUMIF(Fonctionnement[Affectation matrice],$AB$3,Fonctionnement[TVA acquittée])+SUMIF(Invest[Affectation matrice],$AB$3,Invest[TVA acquittée]))*BZ22</f>
        <v>0</v>
      </c>
      <c r="DB22" s="200">
        <f>(SUMIF(Fonctionnement[Affectation matrice],$AB$3,Fonctionnement[TVA acquittée])+SUMIF(Invest[Affectation matrice],$AB$3,Invest[TVA acquittée]))*CA22</f>
        <v>0</v>
      </c>
    </row>
    <row r="23" spans="1:106" s="205" customFormat="1" ht="12.75" hidden="1" customHeight="1" x14ac:dyDescent="0.25">
      <c r="A23" s="186"/>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02"/>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03"/>
      <c r="BB23" s="204"/>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row>
    <row r="24" spans="1:106" s="22" customFormat="1" ht="12.75" hidden="1" customHeight="1" x14ac:dyDescent="0.25">
      <c r="A24" s="42" t="str">
        <f>Matrice[[#This Row],[Ligne de la matrice]]</f>
        <v>Ventes de produits et d'énergie</v>
      </c>
      <c r="B24" s="276">
        <f>(SUMIF(Fonctionnement[Affectation matrice],$AB$3,Fonctionnement[Montant (€HT)])+SUMIF(Invest[Affectation matrice],$AB$3,Invest[Amortissement HT + intérêts]))*BC24</f>
        <v>0</v>
      </c>
      <c r="C24" s="276">
        <f>(SUMIF(Fonctionnement[Affectation matrice],$AB$3,Fonctionnement[Montant (€HT)])+SUMIF(Invest[Affectation matrice],$AB$3,Invest[Amortissement HT + intérêts]))*BD24</f>
        <v>0</v>
      </c>
      <c r="D24" s="276">
        <f>(SUMIF(Fonctionnement[Affectation matrice],$AB$3,Fonctionnement[Montant (€HT)])+SUMIF(Invest[Affectation matrice],$AB$3,Invest[Amortissement HT + intérêts]))*BE24</f>
        <v>0</v>
      </c>
      <c r="E24" s="276">
        <f>(SUMIF(Fonctionnement[Affectation matrice],$AB$3,Fonctionnement[Montant (€HT)])+SUMIF(Invest[Affectation matrice],$AB$3,Invest[Amortissement HT + intérêts]))*BF24</f>
        <v>0</v>
      </c>
      <c r="F24" s="276">
        <f>(SUMIF(Fonctionnement[Affectation matrice],$AB$3,Fonctionnement[Montant (€HT)])+SUMIF(Invest[Affectation matrice],$AB$3,Invest[Amortissement HT + intérêts]))*BG24</f>
        <v>0</v>
      </c>
      <c r="G24" s="276">
        <f>(SUMIF(Fonctionnement[Affectation matrice],$AB$3,Fonctionnement[Montant (€HT)])+SUMIF(Invest[Affectation matrice],$AB$3,Invest[Amortissement HT + intérêts]))*BH24</f>
        <v>0</v>
      </c>
      <c r="H24" s="276">
        <f>(SUMIF(Fonctionnement[Affectation matrice],$AB$3,Fonctionnement[Montant (€HT)])+SUMIF(Invest[Affectation matrice],$AB$3,Invest[Amortissement HT + intérêts]))*BI24</f>
        <v>0</v>
      </c>
      <c r="I24" s="276">
        <f>(SUMIF(Fonctionnement[Affectation matrice],$AB$3,Fonctionnement[Montant (€HT)])+SUMIF(Invest[Affectation matrice],$AB$3,Invest[Amortissement HT + intérêts]))*BJ24</f>
        <v>0</v>
      </c>
      <c r="J24" s="276">
        <f>(SUMIF(Fonctionnement[Affectation matrice],$AB$3,Fonctionnement[Montant (€HT)])+SUMIF(Invest[Affectation matrice],$AB$3,Invest[Amortissement HT + intérêts]))*BK24</f>
        <v>0</v>
      </c>
      <c r="K24" s="276">
        <f>(SUMIF(Fonctionnement[Affectation matrice],$AB$3,Fonctionnement[Montant (€HT)])+SUMIF(Invest[Affectation matrice],$AB$3,Invest[Amortissement HT + intérêts]))*BL24</f>
        <v>0</v>
      </c>
      <c r="L24" s="276">
        <f>(SUMIF(Fonctionnement[Affectation matrice],$AB$3,Fonctionnement[Montant (€HT)])+SUMIF(Invest[Affectation matrice],$AB$3,Invest[Amortissement HT + intérêts]))*BM24</f>
        <v>0</v>
      </c>
      <c r="M24" s="276">
        <f>(SUMIF(Fonctionnement[Affectation matrice],$AB$3,Fonctionnement[Montant (€HT)])+SUMIF(Invest[Affectation matrice],$AB$3,Invest[Amortissement HT + intérêts]))*BN24</f>
        <v>0</v>
      </c>
      <c r="N24" s="276">
        <f>(SUMIF(Fonctionnement[Affectation matrice],$AB$3,Fonctionnement[Montant (€HT)])+SUMIF(Invest[Affectation matrice],$AB$3,Invest[Amortissement HT + intérêts]))*BO24</f>
        <v>0</v>
      </c>
      <c r="O24" s="276">
        <f>(SUMIF(Fonctionnement[Affectation matrice],$AB$3,Fonctionnement[Montant (€HT)])+SUMIF(Invest[Affectation matrice],$AB$3,Invest[Amortissement HT + intérêts]))*BP24</f>
        <v>0</v>
      </c>
      <c r="P24" s="276">
        <f>(SUMIF(Fonctionnement[Affectation matrice],$AB$3,Fonctionnement[Montant (€HT)])+SUMIF(Invest[Affectation matrice],$AB$3,Invest[Amortissement HT + intérêts]))*BQ24</f>
        <v>0</v>
      </c>
      <c r="Q24" s="276">
        <f>(SUMIF(Fonctionnement[Affectation matrice],$AB$3,Fonctionnement[Montant (€HT)])+SUMIF(Invest[Affectation matrice],$AB$3,Invest[Amortissement HT + intérêts]))*BR24</f>
        <v>0</v>
      </c>
      <c r="R24" s="276">
        <f>(SUMIF(Fonctionnement[Affectation matrice],$AB$3,Fonctionnement[Montant (€HT)])+SUMIF(Invest[Affectation matrice],$AB$3,Invest[Amortissement HT + intérêts]))*BS24</f>
        <v>0</v>
      </c>
      <c r="S24" s="276">
        <f>(SUMIF(Fonctionnement[Affectation matrice],$AB$3,Fonctionnement[Montant (€HT)])+SUMIF(Invest[Affectation matrice],$AB$3,Invest[Amortissement HT + intérêts]))*BT24</f>
        <v>0</v>
      </c>
      <c r="T24" s="276">
        <f>(SUMIF(Fonctionnement[Affectation matrice],$AB$3,Fonctionnement[Montant (€HT)])+SUMIF(Invest[Affectation matrice],$AB$3,Invest[Amortissement HT + intérêts]))*BU24</f>
        <v>0</v>
      </c>
      <c r="U24" s="276">
        <f>(SUMIF(Fonctionnement[Affectation matrice],$AB$3,Fonctionnement[Montant (€HT)])+SUMIF(Invest[Affectation matrice],$AB$3,Invest[Amortissement HT + intérêts]))*BV24</f>
        <v>0</v>
      </c>
      <c r="V24" s="276">
        <f>(SUMIF(Fonctionnement[Affectation matrice],$AB$3,Fonctionnement[Montant (€HT)])+SUMIF(Invest[Affectation matrice],$AB$3,Invest[Amortissement HT + intérêts]))*BW24</f>
        <v>0</v>
      </c>
      <c r="W24" s="276">
        <f>(SUMIF(Fonctionnement[Affectation matrice],$AB$3,Fonctionnement[Montant (€HT)])+SUMIF(Invest[Affectation matrice],$AB$3,Invest[Amortissement HT + intérêts]))*BX24</f>
        <v>0</v>
      </c>
      <c r="X24" s="276">
        <f>(SUMIF(Fonctionnement[Affectation matrice],$AB$3,Fonctionnement[Montant (€HT)])+SUMIF(Invest[Affectation matrice],$AB$3,Invest[Amortissement HT + intérêts]))*BY24</f>
        <v>0</v>
      </c>
      <c r="Y24" s="276">
        <f>(SUMIF(Fonctionnement[Affectation matrice],$AB$3,Fonctionnement[Montant (€HT)])+SUMIF(Invest[Affectation matrice],$AB$3,Invest[Amortissement HT + intérêts]))*BZ24</f>
        <v>0</v>
      </c>
      <c r="Z24" s="276">
        <f>(SUMIF(Fonctionnement[Affectation matrice],$AB$3,Fonctionnement[Montant (€HT)])+SUMIF(Invest[Affectation matrice],$AB$3,Invest[Amortissement HT + intérêts]))*CA24</f>
        <v>0</v>
      </c>
      <c r="AA24" s="199"/>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283">
        <f t="shared" si="4"/>
        <v>0</v>
      </c>
      <c r="BB24" s="7"/>
      <c r="BC24" s="61">
        <f t="shared" ref="BC24:BR33" si="8">IF($BA$53=0,0,AB24/$BA$53)</f>
        <v>0</v>
      </c>
      <c r="BD24" s="61">
        <f t="shared" si="8"/>
        <v>0</v>
      </c>
      <c r="BE24" s="61">
        <f t="shared" si="8"/>
        <v>0</v>
      </c>
      <c r="BF24" s="61">
        <f t="shared" si="8"/>
        <v>0</v>
      </c>
      <c r="BG24" s="61">
        <f t="shared" si="8"/>
        <v>0</v>
      </c>
      <c r="BH24" s="61">
        <f t="shared" si="8"/>
        <v>0</v>
      </c>
      <c r="BI24" s="61">
        <f t="shared" si="8"/>
        <v>0</v>
      </c>
      <c r="BJ24" s="61">
        <f t="shared" si="8"/>
        <v>0</v>
      </c>
      <c r="BK24" s="61">
        <f t="shared" si="8"/>
        <v>0</v>
      </c>
      <c r="BL24" s="61">
        <f t="shared" si="8"/>
        <v>0</v>
      </c>
      <c r="BM24" s="61">
        <f t="shared" si="8"/>
        <v>0</v>
      </c>
      <c r="BN24" s="61">
        <f t="shared" si="8"/>
        <v>0</v>
      </c>
      <c r="BO24" s="61">
        <f t="shared" si="8"/>
        <v>0</v>
      </c>
      <c r="BP24" s="61">
        <f t="shared" si="8"/>
        <v>0</v>
      </c>
      <c r="BQ24" s="61">
        <f t="shared" si="8"/>
        <v>0</v>
      </c>
      <c r="BR24" s="61">
        <f t="shared" si="8"/>
        <v>0</v>
      </c>
      <c r="BS24" s="61">
        <f t="shared" ref="BS24:CA33" si="9">IF($BA$53=0,0,AR24/$BA$53)</f>
        <v>0</v>
      </c>
      <c r="BT24" s="61">
        <f t="shared" si="9"/>
        <v>0</v>
      </c>
      <c r="BU24" s="61">
        <f t="shared" si="9"/>
        <v>0</v>
      </c>
      <c r="BV24" s="61">
        <f t="shared" si="9"/>
        <v>0</v>
      </c>
      <c r="BW24" s="61">
        <f t="shared" si="9"/>
        <v>0</v>
      </c>
      <c r="BX24" s="61">
        <f t="shared" si="9"/>
        <v>0</v>
      </c>
      <c r="BY24" s="61">
        <f t="shared" si="9"/>
        <v>0</v>
      </c>
      <c r="BZ24" s="61">
        <f t="shared" si="9"/>
        <v>0</v>
      </c>
      <c r="CA24" s="61">
        <f t="shared" si="9"/>
        <v>0</v>
      </c>
      <c r="CB24" s="61">
        <f t="shared" si="5"/>
        <v>0</v>
      </c>
      <c r="CD24" s="200">
        <f>(SUMIF(Fonctionnement[Affectation matrice],$AB$3,Fonctionnement[TVA acquittée])+SUMIF(Invest[Affectation matrice],$AB$3,Invest[TVA acquittée]))*BC24</f>
        <v>0</v>
      </c>
      <c r="CE24" s="200">
        <f>(SUMIF(Fonctionnement[Affectation matrice],$AB$3,Fonctionnement[TVA acquittée])+SUMIF(Invest[Affectation matrice],$AB$3,Invest[TVA acquittée]))*BD24</f>
        <v>0</v>
      </c>
      <c r="CF24" s="200">
        <f>(SUMIF(Fonctionnement[Affectation matrice],$AB$3,Fonctionnement[TVA acquittée])+SUMIF(Invest[Affectation matrice],$AB$3,Invest[TVA acquittée]))*BE24</f>
        <v>0</v>
      </c>
      <c r="CG24" s="200">
        <f>(SUMIF(Fonctionnement[Affectation matrice],$AB$3,Fonctionnement[TVA acquittée])+SUMIF(Invest[Affectation matrice],$AB$3,Invest[TVA acquittée]))*BF24</f>
        <v>0</v>
      </c>
      <c r="CH24" s="200">
        <f>(SUMIF(Fonctionnement[Affectation matrice],$AB$3,Fonctionnement[TVA acquittée])+SUMIF(Invest[Affectation matrice],$AB$3,Invest[TVA acquittée]))*BG24</f>
        <v>0</v>
      </c>
      <c r="CI24" s="200">
        <f>(SUMIF(Fonctionnement[Affectation matrice],$AB$3,Fonctionnement[TVA acquittée])+SUMIF(Invest[Affectation matrice],$AB$3,Invest[TVA acquittée]))*BH24</f>
        <v>0</v>
      </c>
      <c r="CJ24" s="200">
        <f>(SUMIF(Fonctionnement[Affectation matrice],$AB$3,Fonctionnement[TVA acquittée])+SUMIF(Invest[Affectation matrice],$AB$3,Invest[TVA acquittée]))*BI24</f>
        <v>0</v>
      </c>
      <c r="CK24" s="200">
        <f>(SUMIF(Fonctionnement[Affectation matrice],$AB$3,Fonctionnement[TVA acquittée])+SUMIF(Invest[Affectation matrice],$AB$3,Invest[TVA acquittée]))*BJ24</f>
        <v>0</v>
      </c>
      <c r="CL24" s="200">
        <f>(SUMIF(Fonctionnement[Affectation matrice],$AB$3,Fonctionnement[TVA acquittée])+SUMIF(Invest[Affectation matrice],$AB$3,Invest[TVA acquittée]))*BK24</f>
        <v>0</v>
      </c>
      <c r="CM24" s="200">
        <f>(SUMIF(Fonctionnement[Affectation matrice],$AB$3,Fonctionnement[TVA acquittée])+SUMIF(Invest[Affectation matrice],$AB$3,Invest[TVA acquittée]))*BL24</f>
        <v>0</v>
      </c>
      <c r="CN24" s="200">
        <f>(SUMIF(Fonctionnement[Affectation matrice],$AB$3,Fonctionnement[TVA acquittée])+SUMIF(Invest[Affectation matrice],$AB$3,Invest[TVA acquittée]))*BM24</f>
        <v>0</v>
      </c>
      <c r="CO24" s="200">
        <f>(SUMIF(Fonctionnement[Affectation matrice],$AB$3,Fonctionnement[TVA acquittée])+SUMIF(Invest[Affectation matrice],$AB$3,Invest[TVA acquittée]))*BN24</f>
        <v>0</v>
      </c>
      <c r="CP24" s="200">
        <f>(SUMIF(Fonctionnement[Affectation matrice],$AB$3,Fonctionnement[TVA acquittée])+SUMIF(Invest[Affectation matrice],$AB$3,Invest[TVA acquittée]))*BO24</f>
        <v>0</v>
      </c>
      <c r="CQ24" s="200">
        <f>(SUMIF(Fonctionnement[Affectation matrice],$AB$3,Fonctionnement[TVA acquittée])+SUMIF(Invest[Affectation matrice],$AB$3,Invest[TVA acquittée]))*BP24</f>
        <v>0</v>
      </c>
      <c r="CR24" s="200">
        <f>(SUMIF(Fonctionnement[Affectation matrice],$AB$3,Fonctionnement[TVA acquittée])+SUMIF(Invest[Affectation matrice],$AB$3,Invest[TVA acquittée]))*BQ24</f>
        <v>0</v>
      </c>
      <c r="CS24" s="200">
        <f>(SUMIF(Fonctionnement[Affectation matrice],$AB$3,Fonctionnement[TVA acquittée])+SUMIF(Invest[Affectation matrice],$AB$3,Invest[TVA acquittée]))*BR24</f>
        <v>0</v>
      </c>
      <c r="CT24" s="200">
        <f>(SUMIF(Fonctionnement[Affectation matrice],$AB$3,Fonctionnement[TVA acquittée])+SUMIF(Invest[Affectation matrice],$AB$3,Invest[TVA acquittée]))*BS24</f>
        <v>0</v>
      </c>
      <c r="CU24" s="200">
        <f>(SUMIF(Fonctionnement[Affectation matrice],$AB$3,Fonctionnement[TVA acquittée])+SUMIF(Invest[Affectation matrice],$AB$3,Invest[TVA acquittée]))*BT24</f>
        <v>0</v>
      </c>
      <c r="CV24" s="200">
        <f>(SUMIF(Fonctionnement[Affectation matrice],$AB$3,Fonctionnement[TVA acquittée])+SUMIF(Invest[Affectation matrice],$AB$3,Invest[TVA acquittée]))*BU24</f>
        <v>0</v>
      </c>
      <c r="CW24" s="200">
        <f>(SUMIF(Fonctionnement[Affectation matrice],$AB$3,Fonctionnement[TVA acquittée])+SUMIF(Invest[Affectation matrice],$AB$3,Invest[TVA acquittée]))*BV24</f>
        <v>0</v>
      </c>
      <c r="CX24" s="200">
        <f>(SUMIF(Fonctionnement[Affectation matrice],$AB$3,Fonctionnement[TVA acquittée])+SUMIF(Invest[Affectation matrice],$AB$3,Invest[TVA acquittée]))*BW24</f>
        <v>0</v>
      </c>
      <c r="CY24" s="200">
        <f>(SUMIF(Fonctionnement[Affectation matrice],$AB$3,Fonctionnement[TVA acquittée])+SUMIF(Invest[Affectation matrice],$AB$3,Invest[TVA acquittée]))*BX24</f>
        <v>0</v>
      </c>
      <c r="CZ24" s="200">
        <f>(SUMIF(Fonctionnement[Affectation matrice],$AB$3,Fonctionnement[TVA acquittée])+SUMIF(Invest[Affectation matrice],$AB$3,Invest[TVA acquittée]))*BY24</f>
        <v>0</v>
      </c>
      <c r="DA24" s="200">
        <f>(SUMIF(Fonctionnement[Affectation matrice],$AB$3,Fonctionnement[TVA acquittée])+SUMIF(Invest[Affectation matrice],$AB$3,Invest[TVA acquittée]))*BZ24</f>
        <v>0</v>
      </c>
      <c r="DB24" s="200">
        <f>(SUMIF(Fonctionnement[Affectation matrice],$AB$3,Fonctionnement[TVA acquittée])+SUMIF(Invest[Affectation matrice],$AB$3,Invest[TVA acquittée]))*CA24</f>
        <v>0</v>
      </c>
    </row>
    <row r="25" spans="1:106" s="22" customFormat="1" ht="12.75" hidden="1" customHeight="1" x14ac:dyDescent="0.25">
      <c r="A25" s="42" t="str">
        <f>Matrice[[#This Row],[Ligne de la matrice]]</f>
        <v>Matériaux</v>
      </c>
      <c r="B25" s="276">
        <f>(SUMIF(Fonctionnement[Affectation matrice],$AB$3,Fonctionnement[Montant (€HT)])+SUMIF(Invest[Affectation matrice],$AB$3,Invest[Amortissement HT + intérêts]))*BC25</f>
        <v>0</v>
      </c>
      <c r="C25" s="276">
        <f>(SUMIF(Fonctionnement[Affectation matrice],$AB$3,Fonctionnement[Montant (€HT)])+SUMIF(Invest[Affectation matrice],$AB$3,Invest[Amortissement HT + intérêts]))*BD25</f>
        <v>0</v>
      </c>
      <c r="D25" s="276">
        <f>(SUMIF(Fonctionnement[Affectation matrice],$AB$3,Fonctionnement[Montant (€HT)])+SUMIF(Invest[Affectation matrice],$AB$3,Invest[Amortissement HT + intérêts]))*BE25</f>
        <v>0</v>
      </c>
      <c r="E25" s="276">
        <f>(SUMIF(Fonctionnement[Affectation matrice],$AB$3,Fonctionnement[Montant (€HT)])+SUMIF(Invest[Affectation matrice],$AB$3,Invest[Amortissement HT + intérêts]))*BF25</f>
        <v>0</v>
      </c>
      <c r="F25" s="276">
        <f>(SUMIF(Fonctionnement[Affectation matrice],$AB$3,Fonctionnement[Montant (€HT)])+SUMIF(Invest[Affectation matrice],$AB$3,Invest[Amortissement HT + intérêts]))*BG25</f>
        <v>0</v>
      </c>
      <c r="G25" s="276">
        <f>(SUMIF(Fonctionnement[Affectation matrice],$AB$3,Fonctionnement[Montant (€HT)])+SUMIF(Invest[Affectation matrice],$AB$3,Invest[Amortissement HT + intérêts]))*BH25</f>
        <v>0</v>
      </c>
      <c r="H25" s="276">
        <f>(SUMIF(Fonctionnement[Affectation matrice],$AB$3,Fonctionnement[Montant (€HT)])+SUMIF(Invest[Affectation matrice],$AB$3,Invest[Amortissement HT + intérêts]))*BI25</f>
        <v>0</v>
      </c>
      <c r="I25" s="276">
        <f>(SUMIF(Fonctionnement[Affectation matrice],$AB$3,Fonctionnement[Montant (€HT)])+SUMIF(Invest[Affectation matrice],$AB$3,Invest[Amortissement HT + intérêts]))*BJ25</f>
        <v>0</v>
      </c>
      <c r="J25" s="276">
        <f>(SUMIF(Fonctionnement[Affectation matrice],$AB$3,Fonctionnement[Montant (€HT)])+SUMIF(Invest[Affectation matrice],$AB$3,Invest[Amortissement HT + intérêts]))*BK25</f>
        <v>0</v>
      </c>
      <c r="K25" s="276">
        <f>(SUMIF(Fonctionnement[Affectation matrice],$AB$3,Fonctionnement[Montant (€HT)])+SUMIF(Invest[Affectation matrice],$AB$3,Invest[Amortissement HT + intérêts]))*BL25</f>
        <v>0</v>
      </c>
      <c r="L25" s="276">
        <f>(SUMIF(Fonctionnement[Affectation matrice],$AB$3,Fonctionnement[Montant (€HT)])+SUMIF(Invest[Affectation matrice],$AB$3,Invest[Amortissement HT + intérêts]))*BM25</f>
        <v>0</v>
      </c>
      <c r="M25" s="276">
        <f>(SUMIF(Fonctionnement[Affectation matrice],$AB$3,Fonctionnement[Montant (€HT)])+SUMIF(Invest[Affectation matrice],$AB$3,Invest[Amortissement HT + intérêts]))*BN25</f>
        <v>0</v>
      </c>
      <c r="N25" s="276">
        <f>(SUMIF(Fonctionnement[Affectation matrice],$AB$3,Fonctionnement[Montant (€HT)])+SUMIF(Invest[Affectation matrice],$AB$3,Invest[Amortissement HT + intérêts]))*BO25</f>
        <v>0</v>
      </c>
      <c r="O25" s="276">
        <f>(SUMIF(Fonctionnement[Affectation matrice],$AB$3,Fonctionnement[Montant (€HT)])+SUMIF(Invest[Affectation matrice],$AB$3,Invest[Amortissement HT + intérêts]))*BP25</f>
        <v>0</v>
      </c>
      <c r="P25" s="276">
        <f>(SUMIF(Fonctionnement[Affectation matrice],$AB$3,Fonctionnement[Montant (€HT)])+SUMIF(Invest[Affectation matrice],$AB$3,Invest[Amortissement HT + intérêts]))*BQ25</f>
        <v>0</v>
      </c>
      <c r="Q25" s="276">
        <f>(SUMIF(Fonctionnement[Affectation matrice],$AB$3,Fonctionnement[Montant (€HT)])+SUMIF(Invest[Affectation matrice],$AB$3,Invest[Amortissement HT + intérêts]))*BR25</f>
        <v>0</v>
      </c>
      <c r="R25" s="276">
        <f>(SUMIF(Fonctionnement[Affectation matrice],$AB$3,Fonctionnement[Montant (€HT)])+SUMIF(Invest[Affectation matrice],$AB$3,Invest[Amortissement HT + intérêts]))*BS25</f>
        <v>0</v>
      </c>
      <c r="S25" s="276">
        <f>(SUMIF(Fonctionnement[Affectation matrice],$AB$3,Fonctionnement[Montant (€HT)])+SUMIF(Invest[Affectation matrice],$AB$3,Invest[Amortissement HT + intérêts]))*BT25</f>
        <v>0</v>
      </c>
      <c r="T25" s="276">
        <f>(SUMIF(Fonctionnement[Affectation matrice],$AB$3,Fonctionnement[Montant (€HT)])+SUMIF(Invest[Affectation matrice],$AB$3,Invest[Amortissement HT + intérêts]))*BU25</f>
        <v>0</v>
      </c>
      <c r="U25" s="276">
        <f>(SUMIF(Fonctionnement[Affectation matrice],$AB$3,Fonctionnement[Montant (€HT)])+SUMIF(Invest[Affectation matrice],$AB$3,Invest[Amortissement HT + intérêts]))*BV25</f>
        <v>0</v>
      </c>
      <c r="V25" s="276">
        <f>(SUMIF(Fonctionnement[Affectation matrice],$AB$3,Fonctionnement[Montant (€HT)])+SUMIF(Invest[Affectation matrice],$AB$3,Invest[Amortissement HT + intérêts]))*BW25</f>
        <v>0</v>
      </c>
      <c r="W25" s="276">
        <f>(SUMIF(Fonctionnement[Affectation matrice],$AB$3,Fonctionnement[Montant (€HT)])+SUMIF(Invest[Affectation matrice],$AB$3,Invest[Amortissement HT + intérêts]))*BX25</f>
        <v>0</v>
      </c>
      <c r="X25" s="276">
        <f>(SUMIF(Fonctionnement[Affectation matrice],$AB$3,Fonctionnement[Montant (€HT)])+SUMIF(Invest[Affectation matrice],$AB$3,Invest[Amortissement HT + intérêts]))*BY25</f>
        <v>0</v>
      </c>
      <c r="Y25" s="276">
        <f>(SUMIF(Fonctionnement[Affectation matrice],$AB$3,Fonctionnement[Montant (€HT)])+SUMIF(Invest[Affectation matrice],$AB$3,Invest[Amortissement HT + intérêts]))*BZ25</f>
        <v>0</v>
      </c>
      <c r="Z25" s="276">
        <f>(SUMIF(Fonctionnement[Affectation matrice],$AB$3,Fonctionnement[Montant (€HT)])+SUMIF(Invest[Affectation matrice],$AB$3,Invest[Amortissement HT + intérêts]))*CA25</f>
        <v>0</v>
      </c>
      <c r="AA25" s="199"/>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283">
        <f t="shared" si="4"/>
        <v>0</v>
      </c>
      <c r="BB25" s="7"/>
      <c r="BC25" s="61">
        <f t="shared" si="8"/>
        <v>0</v>
      </c>
      <c r="BD25" s="61">
        <f t="shared" si="8"/>
        <v>0</v>
      </c>
      <c r="BE25" s="61">
        <f t="shared" si="8"/>
        <v>0</v>
      </c>
      <c r="BF25" s="61">
        <f t="shared" si="8"/>
        <v>0</v>
      </c>
      <c r="BG25" s="61">
        <f t="shared" si="8"/>
        <v>0</v>
      </c>
      <c r="BH25" s="61">
        <f t="shared" si="8"/>
        <v>0</v>
      </c>
      <c r="BI25" s="61">
        <f t="shared" si="8"/>
        <v>0</v>
      </c>
      <c r="BJ25" s="61">
        <f t="shared" si="8"/>
        <v>0</v>
      </c>
      <c r="BK25" s="61">
        <f t="shared" si="8"/>
        <v>0</v>
      </c>
      <c r="BL25" s="61">
        <f t="shared" si="8"/>
        <v>0</v>
      </c>
      <c r="BM25" s="61">
        <f t="shared" si="8"/>
        <v>0</v>
      </c>
      <c r="BN25" s="61">
        <f t="shared" si="8"/>
        <v>0</v>
      </c>
      <c r="BO25" s="61">
        <f t="shared" si="8"/>
        <v>0</v>
      </c>
      <c r="BP25" s="61">
        <f t="shared" si="8"/>
        <v>0</v>
      </c>
      <c r="BQ25" s="61">
        <f t="shared" si="8"/>
        <v>0</v>
      </c>
      <c r="BR25" s="61">
        <f t="shared" si="8"/>
        <v>0</v>
      </c>
      <c r="BS25" s="61">
        <f t="shared" si="9"/>
        <v>0</v>
      </c>
      <c r="BT25" s="61">
        <f t="shared" si="9"/>
        <v>0</v>
      </c>
      <c r="BU25" s="61">
        <f t="shared" si="9"/>
        <v>0</v>
      </c>
      <c r="BV25" s="61">
        <f t="shared" si="9"/>
        <v>0</v>
      </c>
      <c r="BW25" s="61">
        <f t="shared" si="9"/>
        <v>0</v>
      </c>
      <c r="BX25" s="61">
        <f t="shared" si="9"/>
        <v>0</v>
      </c>
      <c r="BY25" s="61">
        <f t="shared" si="9"/>
        <v>0</v>
      </c>
      <c r="BZ25" s="61">
        <f t="shared" si="9"/>
        <v>0</v>
      </c>
      <c r="CA25" s="61">
        <f t="shared" si="9"/>
        <v>0</v>
      </c>
      <c r="CB25" s="61">
        <f t="shared" si="5"/>
        <v>0</v>
      </c>
      <c r="CD25" s="200">
        <f>(SUMIF(Fonctionnement[Affectation matrice],$AB$3,Fonctionnement[TVA acquittée])+SUMIF(Invest[Affectation matrice],$AB$3,Invest[TVA acquittée]))*BC25</f>
        <v>0</v>
      </c>
      <c r="CE25" s="200">
        <f>(SUMIF(Fonctionnement[Affectation matrice],$AB$3,Fonctionnement[TVA acquittée])+SUMIF(Invest[Affectation matrice],$AB$3,Invest[TVA acquittée]))*BD25</f>
        <v>0</v>
      </c>
      <c r="CF25" s="200">
        <f>(SUMIF(Fonctionnement[Affectation matrice],$AB$3,Fonctionnement[TVA acquittée])+SUMIF(Invest[Affectation matrice],$AB$3,Invest[TVA acquittée]))*BE25</f>
        <v>0</v>
      </c>
      <c r="CG25" s="200">
        <f>(SUMIF(Fonctionnement[Affectation matrice],$AB$3,Fonctionnement[TVA acquittée])+SUMIF(Invest[Affectation matrice],$AB$3,Invest[TVA acquittée]))*BF25</f>
        <v>0</v>
      </c>
      <c r="CH25" s="200">
        <f>(SUMIF(Fonctionnement[Affectation matrice],$AB$3,Fonctionnement[TVA acquittée])+SUMIF(Invest[Affectation matrice],$AB$3,Invest[TVA acquittée]))*BG25</f>
        <v>0</v>
      </c>
      <c r="CI25" s="200">
        <f>(SUMIF(Fonctionnement[Affectation matrice],$AB$3,Fonctionnement[TVA acquittée])+SUMIF(Invest[Affectation matrice],$AB$3,Invest[TVA acquittée]))*BH25</f>
        <v>0</v>
      </c>
      <c r="CJ25" s="200">
        <f>(SUMIF(Fonctionnement[Affectation matrice],$AB$3,Fonctionnement[TVA acquittée])+SUMIF(Invest[Affectation matrice],$AB$3,Invest[TVA acquittée]))*BI25</f>
        <v>0</v>
      </c>
      <c r="CK25" s="200">
        <f>(SUMIF(Fonctionnement[Affectation matrice],$AB$3,Fonctionnement[TVA acquittée])+SUMIF(Invest[Affectation matrice],$AB$3,Invest[TVA acquittée]))*BJ25</f>
        <v>0</v>
      </c>
      <c r="CL25" s="200">
        <f>(SUMIF(Fonctionnement[Affectation matrice],$AB$3,Fonctionnement[TVA acquittée])+SUMIF(Invest[Affectation matrice],$AB$3,Invest[TVA acquittée]))*BK25</f>
        <v>0</v>
      </c>
      <c r="CM25" s="200">
        <f>(SUMIF(Fonctionnement[Affectation matrice],$AB$3,Fonctionnement[TVA acquittée])+SUMIF(Invest[Affectation matrice],$AB$3,Invest[TVA acquittée]))*BL25</f>
        <v>0</v>
      </c>
      <c r="CN25" s="200">
        <f>(SUMIF(Fonctionnement[Affectation matrice],$AB$3,Fonctionnement[TVA acquittée])+SUMIF(Invest[Affectation matrice],$AB$3,Invest[TVA acquittée]))*BM25</f>
        <v>0</v>
      </c>
      <c r="CO25" s="200">
        <f>(SUMIF(Fonctionnement[Affectation matrice],$AB$3,Fonctionnement[TVA acquittée])+SUMIF(Invest[Affectation matrice],$AB$3,Invest[TVA acquittée]))*BN25</f>
        <v>0</v>
      </c>
      <c r="CP25" s="200">
        <f>(SUMIF(Fonctionnement[Affectation matrice],$AB$3,Fonctionnement[TVA acquittée])+SUMIF(Invest[Affectation matrice],$AB$3,Invest[TVA acquittée]))*BO25</f>
        <v>0</v>
      </c>
      <c r="CQ25" s="200">
        <f>(SUMIF(Fonctionnement[Affectation matrice],$AB$3,Fonctionnement[TVA acquittée])+SUMIF(Invest[Affectation matrice],$AB$3,Invest[TVA acquittée]))*BP25</f>
        <v>0</v>
      </c>
      <c r="CR25" s="200">
        <f>(SUMIF(Fonctionnement[Affectation matrice],$AB$3,Fonctionnement[TVA acquittée])+SUMIF(Invest[Affectation matrice],$AB$3,Invest[TVA acquittée]))*BQ25</f>
        <v>0</v>
      </c>
      <c r="CS25" s="200">
        <f>(SUMIF(Fonctionnement[Affectation matrice],$AB$3,Fonctionnement[TVA acquittée])+SUMIF(Invest[Affectation matrice],$AB$3,Invest[TVA acquittée]))*BR25</f>
        <v>0</v>
      </c>
      <c r="CT25" s="200">
        <f>(SUMIF(Fonctionnement[Affectation matrice],$AB$3,Fonctionnement[TVA acquittée])+SUMIF(Invest[Affectation matrice],$AB$3,Invest[TVA acquittée]))*BS25</f>
        <v>0</v>
      </c>
      <c r="CU25" s="200">
        <f>(SUMIF(Fonctionnement[Affectation matrice],$AB$3,Fonctionnement[TVA acquittée])+SUMIF(Invest[Affectation matrice],$AB$3,Invest[TVA acquittée]))*BT25</f>
        <v>0</v>
      </c>
      <c r="CV25" s="200">
        <f>(SUMIF(Fonctionnement[Affectation matrice],$AB$3,Fonctionnement[TVA acquittée])+SUMIF(Invest[Affectation matrice],$AB$3,Invest[TVA acquittée]))*BU25</f>
        <v>0</v>
      </c>
      <c r="CW25" s="200">
        <f>(SUMIF(Fonctionnement[Affectation matrice],$AB$3,Fonctionnement[TVA acquittée])+SUMIF(Invest[Affectation matrice],$AB$3,Invest[TVA acquittée]))*BV25</f>
        <v>0</v>
      </c>
      <c r="CX25" s="200">
        <f>(SUMIF(Fonctionnement[Affectation matrice],$AB$3,Fonctionnement[TVA acquittée])+SUMIF(Invest[Affectation matrice],$AB$3,Invest[TVA acquittée]))*BW25</f>
        <v>0</v>
      </c>
      <c r="CY25" s="200">
        <f>(SUMIF(Fonctionnement[Affectation matrice],$AB$3,Fonctionnement[TVA acquittée])+SUMIF(Invest[Affectation matrice],$AB$3,Invest[TVA acquittée]))*BX25</f>
        <v>0</v>
      </c>
      <c r="CZ25" s="200">
        <f>(SUMIF(Fonctionnement[Affectation matrice],$AB$3,Fonctionnement[TVA acquittée])+SUMIF(Invest[Affectation matrice],$AB$3,Invest[TVA acquittée]))*BY25</f>
        <v>0</v>
      </c>
      <c r="DA25" s="200">
        <f>(SUMIF(Fonctionnement[Affectation matrice],$AB$3,Fonctionnement[TVA acquittée])+SUMIF(Invest[Affectation matrice],$AB$3,Invest[TVA acquittée]))*BZ25</f>
        <v>0</v>
      </c>
      <c r="DB25" s="200">
        <f>(SUMIF(Fonctionnement[Affectation matrice],$AB$3,Fonctionnement[TVA acquittée])+SUMIF(Invest[Affectation matrice],$AB$3,Invest[TVA acquittée]))*CA25</f>
        <v>0</v>
      </c>
    </row>
    <row r="26" spans="1:106" s="22" customFormat="1" ht="12.75" hidden="1" customHeight="1" x14ac:dyDescent="0.25">
      <c r="A26" s="42" t="str">
        <f>Matrice[[#This Row],[Ligne de la matrice]]</f>
        <v>Compost</v>
      </c>
      <c r="B26" s="276">
        <f>(SUMIF(Fonctionnement[Affectation matrice],$AB$3,Fonctionnement[Montant (€HT)])+SUMIF(Invest[Affectation matrice],$AB$3,Invest[Amortissement HT + intérêts]))*BC26</f>
        <v>0</v>
      </c>
      <c r="C26" s="276">
        <f>(SUMIF(Fonctionnement[Affectation matrice],$AB$3,Fonctionnement[Montant (€HT)])+SUMIF(Invest[Affectation matrice],$AB$3,Invest[Amortissement HT + intérêts]))*BD26</f>
        <v>0</v>
      </c>
      <c r="D26" s="276">
        <f>(SUMIF(Fonctionnement[Affectation matrice],$AB$3,Fonctionnement[Montant (€HT)])+SUMIF(Invest[Affectation matrice],$AB$3,Invest[Amortissement HT + intérêts]))*BE26</f>
        <v>0</v>
      </c>
      <c r="E26" s="276">
        <f>(SUMIF(Fonctionnement[Affectation matrice],$AB$3,Fonctionnement[Montant (€HT)])+SUMIF(Invest[Affectation matrice],$AB$3,Invest[Amortissement HT + intérêts]))*BF26</f>
        <v>0</v>
      </c>
      <c r="F26" s="276">
        <f>(SUMIF(Fonctionnement[Affectation matrice],$AB$3,Fonctionnement[Montant (€HT)])+SUMIF(Invest[Affectation matrice],$AB$3,Invest[Amortissement HT + intérêts]))*BG26</f>
        <v>0</v>
      </c>
      <c r="G26" s="276">
        <f>(SUMIF(Fonctionnement[Affectation matrice],$AB$3,Fonctionnement[Montant (€HT)])+SUMIF(Invest[Affectation matrice],$AB$3,Invest[Amortissement HT + intérêts]))*BH26</f>
        <v>0</v>
      </c>
      <c r="H26" s="276">
        <f>(SUMIF(Fonctionnement[Affectation matrice],$AB$3,Fonctionnement[Montant (€HT)])+SUMIF(Invest[Affectation matrice],$AB$3,Invest[Amortissement HT + intérêts]))*BI26</f>
        <v>0</v>
      </c>
      <c r="I26" s="276">
        <f>(SUMIF(Fonctionnement[Affectation matrice],$AB$3,Fonctionnement[Montant (€HT)])+SUMIF(Invest[Affectation matrice],$AB$3,Invest[Amortissement HT + intérêts]))*BJ26</f>
        <v>0</v>
      </c>
      <c r="J26" s="276">
        <f>(SUMIF(Fonctionnement[Affectation matrice],$AB$3,Fonctionnement[Montant (€HT)])+SUMIF(Invest[Affectation matrice],$AB$3,Invest[Amortissement HT + intérêts]))*BK26</f>
        <v>0</v>
      </c>
      <c r="K26" s="276">
        <f>(SUMIF(Fonctionnement[Affectation matrice],$AB$3,Fonctionnement[Montant (€HT)])+SUMIF(Invest[Affectation matrice],$AB$3,Invest[Amortissement HT + intérêts]))*BL26</f>
        <v>0</v>
      </c>
      <c r="L26" s="276">
        <f>(SUMIF(Fonctionnement[Affectation matrice],$AB$3,Fonctionnement[Montant (€HT)])+SUMIF(Invest[Affectation matrice],$AB$3,Invest[Amortissement HT + intérêts]))*BM26</f>
        <v>0</v>
      </c>
      <c r="M26" s="276">
        <f>(SUMIF(Fonctionnement[Affectation matrice],$AB$3,Fonctionnement[Montant (€HT)])+SUMIF(Invest[Affectation matrice],$AB$3,Invest[Amortissement HT + intérêts]))*BN26</f>
        <v>0</v>
      </c>
      <c r="N26" s="276">
        <f>(SUMIF(Fonctionnement[Affectation matrice],$AB$3,Fonctionnement[Montant (€HT)])+SUMIF(Invest[Affectation matrice],$AB$3,Invest[Amortissement HT + intérêts]))*BO26</f>
        <v>0</v>
      </c>
      <c r="O26" s="276">
        <f>(SUMIF(Fonctionnement[Affectation matrice],$AB$3,Fonctionnement[Montant (€HT)])+SUMIF(Invest[Affectation matrice],$AB$3,Invest[Amortissement HT + intérêts]))*BP26</f>
        <v>0</v>
      </c>
      <c r="P26" s="276">
        <f>(SUMIF(Fonctionnement[Affectation matrice],$AB$3,Fonctionnement[Montant (€HT)])+SUMIF(Invest[Affectation matrice],$AB$3,Invest[Amortissement HT + intérêts]))*BQ26</f>
        <v>0</v>
      </c>
      <c r="Q26" s="276">
        <f>(SUMIF(Fonctionnement[Affectation matrice],$AB$3,Fonctionnement[Montant (€HT)])+SUMIF(Invest[Affectation matrice],$AB$3,Invest[Amortissement HT + intérêts]))*BR26</f>
        <v>0</v>
      </c>
      <c r="R26" s="276">
        <f>(SUMIF(Fonctionnement[Affectation matrice],$AB$3,Fonctionnement[Montant (€HT)])+SUMIF(Invest[Affectation matrice],$AB$3,Invest[Amortissement HT + intérêts]))*BS26</f>
        <v>0</v>
      </c>
      <c r="S26" s="276">
        <f>(SUMIF(Fonctionnement[Affectation matrice],$AB$3,Fonctionnement[Montant (€HT)])+SUMIF(Invest[Affectation matrice],$AB$3,Invest[Amortissement HT + intérêts]))*BT26</f>
        <v>0</v>
      </c>
      <c r="T26" s="276">
        <f>(SUMIF(Fonctionnement[Affectation matrice],$AB$3,Fonctionnement[Montant (€HT)])+SUMIF(Invest[Affectation matrice],$AB$3,Invest[Amortissement HT + intérêts]))*BU26</f>
        <v>0</v>
      </c>
      <c r="U26" s="276">
        <f>(SUMIF(Fonctionnement[Affectation matrice],$AB$3,Fonctionnement[Montant (€HT)])+SUMIF(Invest[Affectation matrice],$AB$3,Invest[Amortissement HT + intérêts]))*BV26</f>
        <v>0</v>
      </c>
      <c r="V26" s="276">
        <f>(SUMIF(Fonctionnement[Affectation matrice],$AB$3,Fonctionnement[Montant (€HT)])+SUMIF(Invest[Affectation matrice],$AB$3,Invest[Amortissement HT + intérêts]))*BW26</f>
        <v>0</v>
      </c>
      <c r="W26" s="276">
        <f>(SUMIF(Fonctionnement[Affectation matrice],$AB$3,Fonctionnement[Montant (€HT)])+SUMIF(Invest[Affectation matrice],$AB$3,Invest[Amortissement HT + intérêts]))*BX26</f>
        <v>0</v>
      </c>
      <c r="X26" s="276">
        <f>(SUMIF(Fonctionnement[Affectation matrice],$AB$3,Fonctionnement[Montant (€HT)])+SUMIF(Invest[Affectation matrice],$AB$3,Invest[Amortissement HT + intérêts]))*BY26</f>
        <v>0</v>
      </c>
      <c r="Y26" s="276">
        <f>(SUMIF(Fonctionnement[Affectation matrice],$AB$3,Fonctionnement[Montant (€HT)])+SUMIF(Invest[Affectation matrice],$AB$3,Invest[Amortissement HT + intérêts]))*BZ26</f>
        <v>0</v>
      </c>
      <c r="Z26" s="276">
        <f>(SUMIF(Fonctionnement[Affectation matrice],$AB$3,Fonctionnement[Montant (€HT)])+SUMIF(Invest[Affectation matrice],$AB$3,Invest[Amortissement HT + intérêts]))*CA26</f>
        <v>0</v>
      </c>
      <c r="AA26" s="199"/>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283">
        <f t="shared" si="4"/>
        <v>0</v>
      </c>
      <c r="BB26" s="7"/>
      <c r="BC26" s="61">
        <f t="shared" si="8"/>
        <v>0</v>
      </c>
      <c r="BD26" s="61">
        <f t="shared" si="8"/>
        <v>0</v>
      </c>
      <c r="BE26" s="61">
        <f t="shared" si="8"/>
        <v>0</v>
      </c>
      <c r="BF26" s="61">
        <f t="shared" si="8"/>
        <v>0</v>
      </c>
      <c r="BG26" s="61">
        <f t="shared" si="8"/>
        <v>0</v>
      </c>
      <c r="BH26" s="61">
        <f t="shared" si="8"/>
        <v>0</v>
      </c>
      <c r="BI26" s="61">
        <f t="shared" si="8"/>
        <v>0</v>
      </c>
      <c r="BJ26" s="61">
        <f t="shared" si="8"/>
        <v>0</v>
      </c>
      <c r="BK26" s="61">
        <f t="shared" si="8"/>
        <v>0</v>
      </c>
      <c r="BL26" s="61">
        <f t="shared" si="8"/>
        <v>0</v>
      </c>
      <c r="BM26" s="61">
        <f t="shared" si="8"/>
        <v>0</v>
      </c>
      <c r="BN26" s="61">
        <f t="shared" si="8"/>
        <v>0</v>
      </c>
      <c r="BO26" s="61">
        <f t="shared" si="8"/>
        <v>0</v>
      </c>
      <c r="BP26" s="61">
        <f t="shared" si="8"/>
        <v>0</v>
      </c>
      <c r="BQ26" s="61">
        <f t="shared" si="8"/>
        <v>0</v>
      </c>
      <c r="BR26" s="61">
        <f t="shared" si="8"/>
        <v>0</v>
      </c>
      <c r="BS26" s="61">
        <f t="shared" si="9"/>
        <v>0</v>
      </c>
      <c r="BT26" s="61">
        <f t="shared" si="9"/>
        <v>0</v>
      </c>
      <c r="BU26" s="61">
        <f t="shared" si="9"/>
        <v>0</v>
      </c>
      <c r="BV26" s="61">
        <f t="shared" si="9"/>
        <v>0</v>
      </c>
      <c r="BW26" s="61">
        <f t="shared" si="9"/>
        <v>0</v>
      </c>
      <c r="BX26" s="61">
        <f t="shared" si="9"/>
        <v>0</v>
      </c>
      <c r="BY26" s="61">
        <f t="shared" si="9"/>
        <v>0</v>
      </c>
      <c r="BZ26" s="61">
        <f t="shared" si="9"/>
        <v>0</v>
      </c>
      <c r="CA26" s="61">
        <f t="shared" si="9"/>
        <v>0</v>
      </c>
      <c r="CB26" s="61">
        <f t="shared" si="5"/>
        <v>0</v>
      </c>
      <c r="CD26" s="200">
        <f>(SUMIF(Fonctionnement[Affectation matrice],$AB$3,Fonctionnement[TVA acquittée])+SUMIF(Invest[Affectation matrice],$AB$3,Invest[TVA acquittée]))*BC26</f>
        <v>0</v>
      </c>
      <c r="CE26" s="200">
        <f>(SUMIF(Fonctionnement[Affectation matrice],$AB$3,Fonctionnement[TVA acquittée])+SUMIF(Invest[Affectation matrice],$AB$3,Invest[TVA acquittée]))*BD26</f>
        <v>0</v>
      </c>
      <c r="CF26" s="200">
        <f>(SUMIF(Fonctionnement[Affectation matrice],$AB$3,Fonctionnement[TVA acquittée])+SUMIF(Invest[Affectation matrice],$AB$3,Invest[TVA acquittée]))*BE26</f>
        <v>0</v>
      </c>
      <c r="CG26" s="200">
        <f>(SUMIF(Fonctionnement[Affectation matrice],$AB$3,Fonctionnement[TVA acquittée])+SUMIF(Invest[Affectation matrice],$AB$3,Invest[TVA acquittée]))*BF26</f>
        <v>0</v>
      </c>
      <c r="CH26" s="200">
        <f>(SUMIF(Fonctionnement[Affectation matrice],$AB$3,Fonctionnement[TVA acquittée])+SUMIF(Invest[Affectation matrice],$AB$3,Invest[TVA acquittée]))*BG26</f>
        <v>0</v>
      </c>
      <c r="CI26" s="200">
        <f>(SUMIF(Fonctionnement[Affectation matrice],$AB$3,Fonctionnement[TVA acquittée])+SUMIF(Invest[Affectation matrice],$AB$3,Invest[TVA acquittée]))*BH26</f>
        <v>0</v>
      </c>
      <c r="CJ26" s="200">
        <f>(SUMIF(Fonctionnement[Affectation matrice],$AB$3,Fonctionnement[TVA acquittée])+SUMIF(Invest[Affectation matrice],$AB$3,Invest[TVA acquittée]))*BI26</f>
        <v>0</v>
      </c>
      <c r="CK26" s="200">
        <f>(SUMIF(Fonctionnement[Affectation matrice],$AB$3,Fonctionnement[TVA acquittée])+SUMIF(Invest[Affectation matrice],$AB$3,Invest[TVA acquittée]))*BJ26</f>
        <v>0</v>
      </c>
      <c r="CL26" s="200">
        <f>(SUMIF(Fonctionnement[Affectation matrice],$AB$3,Fonctionnement[TVA acquittée])+SUMIF(Invest[Affectation matrice],$AB$3,Invest[TVA acquittée]))*BK26</f>
        <v>0</v>
      </c>
      <c r="CM26" s="200">
        <f>(SUMIF(Fonctionnement[Affectation matrice],$AB$3,Fonctionnement[TVA acquittée])+SUMIF(Invest[Affectation matrice],$AB$3,Invest[TVA acquittée]))*BL26</f>
        <v>0</v>
      </c>
      <c r="CN26" s="200">
        <f>(SUMIF(Fonctionnement[Affectation matrice],$AB$3,Fonctionnement[TVA acquittée])+SUMIF(Invest[Affectation matrice],$AB$3,Invest[TVA acquittée]))*BM26</f>
        <v>0</v>
      </c>
      <c r="CO26" s="200">
        <f>(SUMIF(Fonctionnement[Affectation matrice],$AB$3,Fonctionnement[TVA acquittée])+SUMIF(Invest[Affectation matrice],$AB$3,Invest[TVA acquittée]))*BN26</f>
        <v>0</v>
      </c>
      <c r="CP26" s="200">
        <f>(SUMIF(Fonctionnement[Affectation matrice],$AB$3,Fonctionnement[TVA acquittée])+SUMIF(Invest[Affectation matrice],$AB$3,Invest[TVA acquittée]))*BO26</f>
        <v>0</v>
      </c>
      <c r="CQ26" s="200">
        <f>(SUMIF(Fonctionnement[Affectation matrice],$AB$3,Fonctionnement[TVA acquittée])+SUMIF(Invest[Affectation matrice],$AB$3,Invest[TVA acquittée]))*BP26</f>
        <v>0</v>
      </c>
      <c r="CR26" s="200">
        <f>(SUMIF(Fonctionnement[Affectation matrice],$AB$3,Fonctionnement[TVA acquittée])+SUMIF(Invest[Affectation matrice],$AB$3,Invest[TVA acquittée]))*BQ26</f>
        <v>0</v>
      </c>
      <c r="CS26" s="200">
        <f>(SUMIF(Fonctionnement[Affectation matrice],$AB$3,Fonctionnement[TVA acquittée])+SUMIF(Invest[Affectation matrice],$AB$3,Invest[TVA acquittée]))*BR26</f>
        <v>0</v>
      </c>
      <c r="CT26" s="200">
        <f>(SUMIF(Fonctionnement[Affectation matrice],$AB$3,Fonctionnement[TVA acquittée])+SUMIF(Invest[Affectation matrice],$AB$3,Invest[TVA acquittée]))*BS26</f>
        <v>0</v>
      </c>
      <c r="CU26" s="200">
        <f>(SUMIF(Fonctionnement[Affectation matrice],$AB$3,Fonctionnement[TVA acquittée])+SUMIF(Invest[Affectation matrice],$AB$3,Invest[TVA acquittée]))*BT26</f>
        <v>0</v>
      </c>
      <c r="CV26" s="200">
        <f>(SUMIF(Fonctionnement[Affectation matrice],$AB$3,Fonctionnement[TVA acquittée])+SUMIF(Invest[Affectation matrice],$AB$3,Invest[TVA acquittée]))*BU26</f>
        <v>0</v>
      </c>
      <c r="CW26" s="200">
        <f>(SUMIF(Fonctionnement[Affectation matrice],$AB$3,Fonctionnement[TVA acquittée])+SUMIF(Invest[Affectation matrice],$AB$3,Invest[TVA acquittée]))*BV26</f>
        <v>0</v>
      </c>
      <c r="CX26" s="200">
        <f>(SUMIF(Fonctionnement[Affectation matrice],$AB$3,Fonctionnement[TVA acquittée])+SUMIF(Invest[Affectation matrice],$AB$3,Invest[TVA acquittée]))*BW26</f>
        <v>0</v>
      </c>
      <c r="CY26" s="200">
        <f>(SUMIF(Fonctionnement[Affectation matrice],$AB$3,Fonctionnement[TVA acquittée])+SUMIF(Invest[Affectation matrice],$AB$3,Invest[TVA acquittée]))*BX26</f>
        <v>0</v>
      </c>
      <c r="CZ26" s="200">
        <f>(SUMIF(Fonctionnement[Affectation matrice],$AB$3,Fonctionnement[TVA acquittée])+SUMIF(Invest[Affectation matrice],$AB$3,Invest[TVA acquittée]))*BY26</f>
        <v>0</v>
      </c>
      <c r="DA26" s="200">
        <f>(SUMIF(Fonctionnement[Affectation matrice],$AB$3,Fonctionnement[TVA acquittée])+SUMIF(Invest[Affectation matrice],$AB$3,Invest[TVA acquittée]))*BZ26</f>
        <v>0</v>
      </c>
      <c r="DB26" s="200">
        <f>(SUMIF(Fonctionnement[Affectation matrice],$AB$3,Fonctionnement[TVA acquittée])+SUMIF(Invest[Affectation matrice],$AB$3,Invest[TVA acquittée]))*CA26</f>
        <v>0</v>
      </c>
    </row>
    <row r="27" spans="1:106" s="22" customFormat="1" ht="12.75" hidden="1" customHeight="1" x14ac:dyDescent="0.25">
      <c r="A27" s="42" t="str">
        <f>Matrice[[#This Row],[Ligne de la matrice]]</f>
        <v>Énergie</v>
      </c>
      <c r="B27" s="276">
        <f>(SUMIF(Fonctionnement[Affectation matrice],$AB$3,Fonctionnement[Montant (€HT)])+SUMIF(Invest[Affectation matrice],$AB$3,Invest[Amortissement HT + intérêts]))*BC27</f>
        <v>0</v>
      </c>
      <c r="C27" s="276">
        <f>(SUMIF(Fonctionnement[Affectation matrice],$AB$3,Fonctionnement[Montant (€HT)])+SUMIF(Invest[Affectation matrice],$AB$3,Invest[Amortissement HT + intérêts]))*BD27</f>
        <v>0</v>
      </c>
      <c r="D27" s="276">
        <f>(SUMIF(Fonctionnement[Affectation matrice],$AB$3,Fonctionnement[Montant (€HT)])+SUMIF(Invest[Affectation matrice],$AB$3,Invest[Amortissement HT + intérêts]))*BE27</f>
        <v>0</v>
      </c>
      <c r="E27" s="276">
        <f>(SUMIF(Fonctionnement[Affectation matrice],$AB$3,Fonctionnement[Montant (€HT)])+SUMIF(Invest[Affectation matrice],$AB$3,Invest[Amortissement HT + intérêts]))*BF27</f>
        <v>0</v>
      </c>
      <c r="F27" s="276">
        <f>(SUMIF(Fonctionnement[Affectation matrice],$AB$3,Fonctionnement[Montant (€HT)])+SUMIF(Invest[Affectation matrice],$AB$3,Invest[Amortissement HT + intérêts]))*BG27</f>
        <v>0</v>
      </c>
      <c r="G27" s="276">
        <f>(SUMIF(Fonctionnement[Affectation matrice],$AB$3,Fonctionnement[Montant (€HT)])+SUMIF(Invest[Affectation matrice],$AB$3,Invest[Amortissement HT + intérêts]))*BH27</f>
        <v>0</v>
      </c>
      <c r="H27" s="276">
        <f>(SUMIF(Fonctionnement[Affectation matrice],$AB$3,Fonctionnement[Montant (€HT)])+SUMIF(Invest[Affectation matrice],$AB$3,Invest[Amortissement HT + intérêts]))*BI27</f>
        <v>0</v>
      </c>
      <c r="I27" s="276">
        <f>(SUMIF(Fonctionnement[Affectation matrice],$AB$3,Fonctionnement[Montant (€HT)])+SUMIF(Invest[Affectation matrice],$AB$3,Invest[Amortissement HT + intérêts]))*BJ27</f>
        <v>0</v>
      </c>
      <c r="J27" s="276">
        <f>(SUMIF(Fonctionnement[Affectation matrice],$AB$3,Fonctionnement[Montant (€HT)])+SUMIF(Invest[Affectation matrice],$AB$3,Invest[Amortissement HT + intérêts]))*BK27</f>
        <v>0</v>
      </c>
      <c r="K27" s="276">
        <f>(SUMIF(Fonctionnement[Affectation matrice],$AB$3,Fonctionnement[Montant (€HT)])+SUMIF(Invest[Affectation matrice],$AB$3,Invest[Amortissement HT + intérêts]))*BL27</f>
        <v>0</v>
      </c>
      <c r="L27" s="276">
        <f>(SUMIF(Fonctionnement[Affectation matrice],$AB$3,Fonctionnement[Montant (€HT)])+SUMIF(Invest[Affectation matrice],$AB$3,Invest[Amortissement HT + intérêts]))*BM27</f>
        <v>0</v>
      </c>
      <c r="M27" s="276">
        <f>(SUMIF(Fonctionnement[Affectation matrice],$AB$3,Fonctionnement[Montant (€HT)])+SUMIF(Invest[Affectation matrice],$AB$3,Invest[Amortissement HT + intérêts]))*BN27</f>
        <v>0</v>
      </c>
      <c r="N27" s="276">
        <f>(SUMIF(Fonctionnement[Affectation matrice],$AB$3,Fonctionnement[Montant (€HT)])+SUMIF(Invest[Affectation matrice],$AB$3,Invest[Amortissement HT + intérêts]))*BO27</f>
        <v>0</v>
      </c>
      <c r="O27" s="276">
        <f>(SUMIF(Fonctionnement[Affectation matrice],$AB$3,Fonctionnement[Montant (€HT)])+SUMIF(Invest[Affectation matrice],$AB$3,Invest[Amortissement HT + intérêts]))*BP27</f>
        <v>0</v>
      </c>
      <c r="P27" s="276">
        <f>(SUMIF(Fonctionnement[Affectation matrice],$AB$3,Fonctionnement[Montant (€HT)])+SUMIF(Invest[Affectation matrice],$AB$3,Invest[Amortissement HT + intérêts]))*BQ27</f>
        <v>0</v>
      </c>
      <c r="Q27" s="276">
        <f>(SUMIF(Fonctionnement[Affectation matrice],$AB$3,Fonctionnement[Montant (€HT)])+SUMIF(Invest[Affectation matrice],$AB$3,Invest[Amortissement HT + intérêts]))*BR27</f>
        <v>0</v>
      </c>
      <c r="R27" s="276">
        <f>(SUMIF(Fonctionnement[Affectation matrice],$AB$3,Fonctionnement[Montant (€HT)])+SUMIF(Invest[Affectation matrice],$AB$3,Invest[Amortissement HT + intérêts]))*BS27</f>
        <v>0</v>
      </c>
      <c r="S27" s="276">
        <f>(SUMIF(Fonctionnement[Affectation matrice],$AB$3,Fonctionnement[Montant (€HT)])+SUMIF(Invest[Affectation matrice],$AB$3,Invest[Amortissement HT + intérêts]))*BT27</f>
        <v>0</v>
      </c>
      <c r="T27" s="276">
        <f>(SUMIF(Fonctionnement[Affectation matrice],$AB$3,Fonctionnement[Montant (€HT)])+SUMIF(Invest[Affectation matrice],$AB$3,Invest[Amortissement HT + intérêts]))*BU27</f>
        <v>0</v>
      </c>
      <c r="U27" s="276">
        <f>(SUMIF(Fonctionnement[Affectation matrice],$AB$3,Fonctionnement[Montant (€HT)])+SUMIF(Invest[Affectation matrice],$AB$3,Invest[Amortissement HT + intérêts]))*BV27</f>
        <v>0</v>
      </c>
      <c r="V27" s="276">
        <f>(SUMIF(Fonctionnement[Affectation matrice],$AB$3,Fonctionnement[Montant (€HT)])+SUMIF(Invest[Affectation matrice],$AB$3,Invest[Amortissement HT + intérêts]))*BW27</f>
        <v>0</v>
      </c>
      <c r="W27" s="276">
        <f>(SUMIF(Fonctionnement[Affectation matrice],$AB$3,Fonctionnement[Montant (€HT)])+SUMIF(Invest[Affectation matrice],$AB$3,Invest[Amortissement HT + intérêts]))*BX27</f>
        <v>0</v>
      </c>
      <c r="X27" s="276">
        <f>(SUMIF(Fonctionnement[Affectation matrice],$AB$3,Fonctionnement[Montant (€HT)])+SUMIF(Invest[Affectation matrice],$AB$3,Invest[Amortissement HT + intérêts]))*BY27</f>
        <v>0</v>
      </c>
      <c r="Y27" s="276">
        <f>(SUMIF(Fonctionnement[Affectation matrice],$AB$3,Fonctionnement[Montant (€HT)])+SUMIF(Invest[Affectation matrice],$AB$3,Invest[Amortissement HT + intérêts]))*BZ27</f>
        <v>0</v>
      </c>
      <c r="Z27" s="276">
        <f>(SUMIF(Fonctionnement[Affectation matrice],$AB$3,Fonctionnement[Montant (€HT)])+SUMIF(Invest[Affectation matrice],$AB$3,Invest[Amortissement HT + intérêts]))*CA27</f>
        <v>0</v>
      </c>
      <c r="AA27" s="199"/>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283">
        <f t="shared" si="4"/>
        <v>0</v>
      </c>
      <c r="BB27" s="7"/>
      <c r="BC27" s="61">
        <f t="shared" si="8"/>
        <v>0</v>
      </c>
      <c r="BD27" s="61">
        <f t="shared" si="8"/>
        <v>0</v>
      </c>
      <c r="BE27" s="61">
        <f t="shared" si="8"/>
        <v>0</v>
      </c>
      <c r="BF27" s="61">
        <f t="shared" si="8"/>
        <v>0</v>
      </c>
      <c r="BG27" s="61">
        <f t="shared" si="8"/>
        <v>0</v>
      </c>
      <c r="BH27" s="61">
        <f t="shared" si="8"/>
        <v>0</v>
      </c>
      <c r="BI27" s="61">
        <f t="shared" si="8"/>
        <v>0</v>
      </c>
      <c r="BJ27" s="61">
        <f t="shared" si="8"/>
        <v>0</v>
      </c>
      <c r="BK27" s="61">
        <f t="shared" si="8"/>
        <v>0</v>
      </c>
      <c r="BL27" s="61">
        <f t="shared" si="8"/>
        <v>0</v>
      </c>
      <c r="BM27" s="61">
        <f t="shared" si="8"/>
        <v>0</v>
      </c>
      <c r="BN27" s="61">
        <f t="shared" si="8"/>
        <v>0</v>
      </c>
      <c r="BO27" s="61">
        <f t="shared" si="8"/>
        <v>0</v>
      </c>
      <c r="BP27" s="61">
        <f t="shared" si="8"/>
        <v>0</v>
      </c>
      <c r="BQ27" s="61">
        <f t="shared" si="8"/>
        <v>0</v>
      </c>
      <c r="BR27" s="61">
        <f t="shared" si="8"/>
        <v>0</v>
      </c>
      <c r="BS27" s="61">
        <f t="shared" si="9"/>
        <v>0</v>
      </c>
      <c r="BT27" s="61">
        <f t="shared" si="9"/>
        <v>0</v>
      </c>
      <c r="BU27" s="61">
        <f t="shared" si="9"/>
        <v>0</v>
      </c>
      <c r="BV27" s="61">
        <f t="shared" si="9"/>
        <v>0</v>
      </c>
      <c r="BW27" s="61">
        <f t="shared" si="9"/>
        <v>0</v>
      </c>
      <c r="BX27" s="61">
        <f t="shared" si="9"/>
        <v>0</v>
      </c>
      <c r="BY27" s="61">
        <f t="shared" si="9"/>
        <v>0</v>
      </c>
      <c r="BZ27" s="61">
        <f t="shared" si="9"/>
        <v>0</v>
      </c>
      <c r="CA27" s="61">
        <f t="shared" si="9"/>
        <v>0</v>
      </c>
      <c r="CB27" s="61">
        <f t="shared" si="5"/>
        <v>0</v>
      </c>
      <c r="CD27" s="200">
        <f>(SUMIF(Fonctionnement[Affectation matrice],$AB$3,Fonctionnement[TVA acquittée])+SUMIF(Invest[Affectation matrice],$AB$3,Invest[TVA acquittée]))*BC27</f>
        <v>0</v>
      </c>
      <c r="CE27" s="200">
        <f>(SUMIF(Fonctionnement[Affectation matrice],$AB$3,Fonctionnement[TVA acquittée])+SUMIF(Invest[Affectation matrice],$AB$3,Invest[TVA acquittée]))*BD27</f>
        <v>0</v>
      </c>
      <c r="CF27" s="200">
        <f>(SUMIF(Fonctionnement[Affectation matrice],$AB$3,Fonctionnement[TVA acquittée])+SUMIF(Invest[Affectation matrice],$AB$3,Invest[TVA acquittée]))*BE27</f>
        <v>0</v>
      </c>
      <c r="CG27" s="200">
        <f>(SUMIF(Fonctionnement[Affectation matrice],$AB$3,Fonctionnement[TVA acquittée])+SUMIF(Invest[Affectation matrice],$AB$3,Invest[TVA acquittée]))*BF27</f>
        <v>0</v>
      </c>
      <c r="CH27" s="200">
        <f>(SUMIF(Fonctionnement[Affectation matrice],$AB$3,Fonctionnement[TVA acquittée])+SUMIF(Invest[Affectation matrice],$AB$3,Invest[TVA acquittée]))*BG27</f>
        <v>0</v>
      </c>
      <c r="CI27" s="200">
        <f>(SUMIF(Fonctionnement[Affectation matrice],$AB$3,Fonctionnement[TVA acquittée])+SUMIF(Invest[Affectation matrice],$AB$3,Invest[TVA acquittée]))*BH27</f>
        <v>0</v>
      </c>
      <c r="CJ27" s="200">
        <f>(SUMIF(Fonctionnement[Affectation matrice],$AB$3,Fonctionnement[TVA acquittée])+SUMIF(Invest[Affectation matrice],$AB$3,Invest[TVA acquittée]))*BI27</f>
        <v>0</v>
      </c>
      <c r="CK27" s="200">
        <f>(SUMIF(Fonctionnement[Affectation matrice],$AB$3,Fonctionnement[TVA acquittée])+SUMIF(Invest[Affectation matrice],$AB$3,Invest[TVA acquittée]))*BJ27</f>
        <v>0</v>
      </c>
      <c r="CL27" s="200">
        <f>(SUMIF(Fonctionnement[Affectation matrice],$AB$3,Fonctionnement[TVA acquittée])+SUMIF(Invest[Affectation matrice],$AB$3,Invest[TVA acquittée]))*BK27</f>
        <v>0</v>
      </c>
      <c r="CM27" s="200">
        <f>(SUMIF(Fonctionnement[Affectation matrice],$AB$3,Fonctionnement[TVA acquittée])+SUMIF(Invest[Affectation matrice],$AB$3,Invest[TVA acquittée]))*BL27</f>
        <v>0</v>
      </c>
      <c r="CN27" s="200">
        <f>(SUMIF(Fonctionnement[Affectation matrice],$AB$3,Fonctionnement[TVA acquittée])+SUMIF(Invest[Affectation matrice],$AB$3,Invest[TVA acquittée]))*BM27</f>
        <v>0</v>
      </c>
      <c r="CO27" s="200">
        <f>(SUMIF(Fonctionnement[Affectation matrice],$AB$3,Fonctionnement[TVA acquittée])+SUMIF(Invest[Affectation matrice],$AB$3,Invest[TVA acquittée]))*BN27</f>
        <v>0</v>
      </c>
      <c r="CP27" s="200">
        <f>(SUMIF(Fonctionnement[Affectation matrice],$AB$3,Fonctionnement[TVA acquittée])+SUMIF(Invest[Affectation matrice],$AB$3,Invest[TVA acquittée]))*BO27</f>
        <v>0</v>
      </c>
      <c r="CQ27" s="200">
        <f>(SUMIF(Fonctionnement[Affectation matrice],$AB$3,Fonctionnement[TVA acquittée])+SUMIF(Invest[Affectation matrice],$AB$3,Invest[TVA acquittée]))*BP27</f>
        <v>0</v>
      </c>
      <c r="CR27" s="200">
        <f>(SUMIF(Fonctionnement[Affectation matrice],$AB$3,Fonctionnement[TVA acquittée])+SUMIF(Invest[Affectation matrice],$AB$3,Invest[TVA acquittée]))*BQ27</f>
        <v>0</v>
      </c>
      <c r="CS27" s="200">
        <f>(SUMIF(Fonctionnement[Affectation matrice],$AB$3,Fonctionnement[TVA acquittée])+SUMIF(Invest[Affectation matrice],$AB$3,Invest[TVA acquittée]))*BR27</f>
        <v>0</v>
      </c>
      <c r="CT27" s="200">
        <f>(SUMIF(Fonctionnement[Affectation matrice],$AB$3,Fonctionnement[TVA acquittée])+SUMIF(Invest[Affectation matrice],$AB$3,Invest[TVA acquittée]))*BS27</f>
        <v>0</v>
      </c>
      <c r="CU27" s="200">
        <f>(SUMIF(Fonctionnement[Affectation matrice],$AB$3,Fonctionnement[TVA acquittée])+SUMIF(Invest[Affectation matrice],$AB$3,Invest[TVA acquittée]))*BT27</f>
        <v>0</v>
      </c>
      <c r="CV27" s="200">
        <f>(SUMIF(Fonctionnement[Affectation matrice],$AB$3,Fonctionnement[TVA acquittée])+SUMIF(Invest[Affectation matrice],$AB$3,Invest[TVA acquittée]))*BU27</f>
        <v>0</v>
      </c>
      <c r="CW27" s="200">
        <f>(SUMIF(Fonctionnement[Affectation matrice],$AB$3,Fonctionnement[TVA acquittée])+SUMIF(Invest[Affectation matrice],$AB$3,Invest[TVA acquittée]))*BV27</f>
        <v>0</v>
      </c>
      <c r="CX27" s="200">
        <f>(SUMIF(Fonctionnement[Affectation matrice],$AB$3,Fonctionnement[TVA acquittée])+SUMIF(Invest[Affectation matrice],$AB$3,Invest[TVA acquittée]))*BW27</f>
        <v>0</v>
      </c>
      <c r="CY27" s="200">
        <f>(SUMIF(Fonctionnement[Affectation matrice],$AB$3,Fonctionnement[TVA acquittée])+SUMIF(Invest[Affectation matrice],$AB$3,Invest[TVA acquittée]))*BX27</f>
        <v>0</v>
      </c>
      <c r="CZ27" s="200">
        <f>(SUMIF(Fonctionnement[Affectation matrice],$AB$3,Fonctionnement[TVA acquittée])+SUMIF(Invest[Affectation matrice],$AB$3,Invest[TVA acquittée]))*BY27</f>
        <v>0</v>
      </c>
      <c r="DA27" s="200">
        <f>(SUMIF(Fonctionnement[Affectation matrice],$AB$3,Fonctionnement[TVA acquittée])+SUMIF(Invest[Affectation matrice],$AB$3,Invest[TVA acquittée]))*BZ27</f>
        <v>0</v>
      </c>
      <c r="DB27" s="200">
        <f>(SUMIF(Fonctionnement[Affectation matrice],$AB$3,Fonctionnement[TVA acquittée])+SUMIF(Invest[Affectation matrice],$AB$3,Invest[TVA acquittée]))*CA27</f>
        <v>0</v>
      </c>
    </row>
    <row r="28" spans="1:106" s="22" customFormat="1" ht="12.75" hidden="1" customHeight="1" x14ac:dyDescent="0.25">
      <c r="A28" s="42" t="str">
        <f>Matrice[[#This Row],[Ligne de la matrice]]</f>
        <v>Prestation à des tiers</v>
      </c>
      <c r="B28" s="276">
        <f>(SUMIF(Fonctionnement[Affectation matrice],$AB$3,Fonctionnement[Montant (€HT)])+SUMIF(Invest[Affectation matrice],$AB$3,Invest[Amortissement HT + intérêts]))*BC28</f>
        <v>0</v>
      </c>
      <c r="C28" s="276">
        <f>(SUMIF(Fonctionnement[Affectation matrice],$AB$3,Fonctionnement[Montant (€HT)])+SUMIF(Invest[Affectation matrice],$AB$3,Invest[Amortissement HT + intérêts]))*BD28</f>
        <v>0</v>
      </c>
      <c r="D28" s="276">
        <f>(SUMIF(Fonctionnement[Affectation matrice],$AB$3,Fonctionnement[Montant (€HT)])+SUMIF(Invest[Affectation matrice],$AB$3,Invest[Amortissement HT + intérêts]))*BE28</f>
        <v>0</v>
      </c>
      <c r="E28" s="276">
        <f>(SUMIF(Fonctionnement[Affectation matrice],$AB$3,Fonctionnement[Montant (€HT)])+SUMIF(Invest[Affectation matrice],$AB$3,Invest[Amortissement HT + intérêts]))*BF28</f>
        <v>0</v>
      </c>
      <c r="F28" s="276">
        <f>(SUMIF(Fonctionnement[Affectation matrice],$AB$3,Fonctionnement[Montant (€HT)])+SUMIF(Invest[Affectation matrice],$AB$3,Invest[Amortissement HT + intérêts]))*BG28</f>
        <v>0</v>
      </c>
      <c r="G28" s="276">
        <f>(SUMIF(Fonctionnement[Affectation matrice],$AB$3,Fonctionnement[Montant (€HT)])+SUMIF(Invest[Affectation matrice],$AB$3,Invest[Amortissement HT + intérêts]))*BH28</f>
        <v>0</v>
      </c>
      <c r="H28" s="276">
        <f>(SUMIF(Fonctionnement[Affectation matrice],$AB$3,Fonctionnement[Montant (€HT)])+SUMIF(Invest[Affectation matrice],$AB$3,Invest[Amortissement HT + intérêts]))*BI28</f>
        <v>0</v>
      </c>
      <c r="I28" s="276">
        <f>(SUMIF(Fonctionnement[Affectation matrice],$AB$3,Fonctionnement[Montant (€HT)])+SUMIF(Invest[Affectation matrice],$AB$3,Invest[Amortissement HT + intérêts]))*BJ28</f>
        <v>0</v>
      </c>
      <c r="J28" s="276">
        <f>(SUMIF(Fonctionnement[Affectation matrice],$AB$3,Fonctionnement[Montant (€HT)])+SUMIF(Invest[Affectation matrice],$AB$3,Invest[Amortissement HT + intérêts]))*BK28</f>
        <v>0</v>
      </c>
      <c r="K28" s="276">
        <f>(SUMIF(Fonctionnement[Affectation matrice],$AB$3,Fonctionnement[Montant (€HT)])+SUMIF(Invest[Affectation matrice],$AB$3,Invest[Amortissement HT + intérêts]))*BL28</f>
        <v>0</v>
      </c>
      <c r="L28" s="276">
        <f>(SUMIF(Fonctionnement[Affectation matrice],$AB$3,Fonctionnement[Montant (€HT)])+SUMIF(Invest[Affectation matrice],$AB$3,Invest[Amortissement HT + intérêts]))*BM28</f>
        <v>0</v>
      </c>
      <c r="M28" s="276">
        <f>(SUMIF(Fonctionnement[Affectation matrice],$AB$3,Fonctionnement[Montant (€HT)])+SUMIF(Invest[Affectation matrice],$AB$3,Invest[Amortissement HT + intérêts]))*BN28</f>
        <v>0</v>
      </c>
      <c r="N28" s="276">
        <f>(SUMIF(Fonctionnement[Affectation matrice],$AB$3,Fonctionnement[Montant (€HT)])+SUMIF(Invest[Affectation matrice],$AB$3,Invest[Amortissement HT + intérêts]))*BO28</f>
        <v>0</v>
      </c>
      <c r="O28" s="276">
        <f>(SUMIF(Fonctionnement[Affectation matrice],$AB$3,Fonctionnement[Montant (€HT)])+SUMIF(Invest[Affectation matrice],$AB$3,Invest[Amortissement HT + intérêts]))*BP28</f>
        <v>0</v>
      </c>
      <c r="P28" s="276">
        <f>(SUMIF(Fonctionnement[Affectation matrice],$AB$3,Fonctionnement[Montant (€HT)])+SUMIF(Invest[Affectation matrice],$AB$3,Invest[Amortissement HT + intérêts]))*BQ28</f>
        <v>0</v>
      </c>
      <c r="Q28" s="276">
        <f>(SUMIF(Fonctionnement[Affectation matrice],$AB$3,Fonctionnement[Montant (€HT)])+SUMIF(Invest[Affectation matrice],$AB$3,Invest[Amortissement HT + intérêts]))*BR28</f>
        <v>0</v>
      </c>
      <c r="R28" s="276">
        <f>(SUMIF(Fonctionnement[Affectation matrice],$AB$3,Fonctionnement[Montant (€HT)])+SUMIF(Invest[Affectation matrice],$AB$3,Invest[Amortissement HT + intérêts]))*BS28</f>
        <v>0</v>
      </c>
      <c r="S28" s="276">
        <f>(SUMIF(Fonctionnement[Affectation matrice],$AB$3,Fonctionnement[Montant (€HT)])+SUMIF(Invest[Affectation matrice],$AB$3,Invest[Amortissement HT + intérêts]))*BT28</f>
        <v>0</v>
      </c>
      <c r="T28" s="276">
        <f>(SUMIF(Fonctionnement[Affectation matrice],$AB$3,Fonctionnement[Montant (€HT)])+SUMIF(Invest[Affectation matrice],$AB$3,Invest[Amortissement HT + intérêts]))*BU28</f>
        <v>0</v>
      </c>
      <c r="U28" s="276">
        <f>(SUMIF(Fonctionnement[Affectation matrice],$AB$3,Fonctionnement[Montant (€HT)])+SUMIF(Invest[Affectation matrice],$AB$3,Invest[Amortissement HT + intérêts]))*BV28</f>
        <v>0</v>
      </c>
      <c r="V28" s="276">
        <f>(SUMIF(Fonctionnement[Affectation matrice],$AB$3,Fonctionnement[Montant (€HT)])+SUMIF(Invest[Affectation matrice],$AB$3,Invest[Amortissement HT + intérêts]))*BW28</f>
        <v>0</v>
      </c>
      <c r="W28" s="276">
        <f>(SUMIF(Fonctionnement[Affectation matrice],$AB$3,Fonctionnement[Montant (€HT)])+SUMIF(Invest[Affectation matrice],$AB$3,Invest[Amortissement HT + intérêts]))*BX28</f>
        <v>0</v>
      </c>
      <c r="X28" s="276">
        <f>(SUMIF(Fonctionnement[Affectation matrice],$AB$3,Fonctionnement[Montant (€HT)])+SUMIF(Invest[Affectation matrice],$AB$3,Invest[Amortissement HT + intérêts]))*BY28</f>
        <v>0</v>
      </c>
      <c r="Y28" s="276">
        <f>(SUMIF(Fonctionnement[Affectation matrice],$AB$3,Fonctionnement[Montant (€HT)])+SUMIF(Invest[Affectation matrice],$AB$3,Invest[Amortissement HT + intérêts]))*BZ28</f>
        <v>0</v>
      </c>
      <c r="Z28" s="276">
        <f>(SUMIF(Fonctionnement[Affectation matrice],$AB$3,Fonctionnement[Montant (€HT)])+SUMIF(Invest[Affectation matrice],$AB$3,Invest[Amortissement HT + intérêts]))*CA28</f>
        <v>0</v>
      </c>
      <c r="AA28" s="199"/>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283">
        <f t="shared" si="4"/>
        <v>0</v>
      </c>
      <c r="BB28" s="7"/>
      <c r="BC28" s="61">
        <f t="shared" si="8"/>
        <v>0</v>
      </c>
      <c r="BD28" s="61">
        <f t="shared" si="8"/>
        <v>0</v>
      </c>
      <c r="BE28" s="61">
        <f t="shared" si="8"/>
        <v>0</v>
      </c>
      <c r="BF28" s="61">
        <f t="shared" si="8"/>
        <v>0</v>
      </c>
      <c r="BG28" s="61">
        <f t="shared" si="8"/>
        <v>0</v>
      </c>
      <c r="BH28" s="61">
        <f t="shared" si="8"/>
        <v>0</v>
      </c>
      <c r="BI28" s="61">
        <f t="shared" si="8"/>
        <v>0</v>
      </c>
      <c r="BJ28" s="61">
        <f t="shared" si="8"/>
        <v>0</v>
      </c>
      <c r="BK28" s="61">
        <f t="shared" si="8"/>
        <v>0</v>
      </c>
      <c r="BL28" s="61">
        <f t="shared" si="8"/>
        <v>0</v>
      </c>
      <c r="BM28" s="61">
        <f t="shared" si="8"/>
        <v>0</v>
      </c>
      <c r="BN28" s="61">
        <f t="shared" si="8"/>
        <v>0</v>
      </c>
      <c r="BO28" s="61">
        <f t="shared" si="8"/>
        <v>0</v>
      </c>
      <c r="BP28" s="61">
        <f t="shared" si="8"/>
        <v>0</v>
      </c>
      <c r="BQ28" s="61">
        <f t="shared" si="8"/>
        <v>0</v>
      </c>
      <c r="BR28" s="61">
        <f t="shared" si="8"/>
        <v>0</v>
      </c>
      <c r="BS28" s="61">
        <f t="shared" si="9"/>
        <v>0</v>
      </c>
      <c r="BT28" s="61">
        <f t="shared" si="9"/>
        <v>0</v>
      </c>
      <c r="BU28" s="61">
        <f t="shared" si="9"/>
        <v>0</v>
      </c>
      <c r="BV28" s="61">
        <f t="shared" si="9"/>
        <v>0</v>
      </c>
      <c r="BW28" s="61">
        <f t="shared" si="9"/>
        <v>0</v>
      </c>
      <c r="BX28" s="61">
        <f t="shared" si="9"/>
        <v>0</v>
      </c>
      <c r="BY28" s="61">
        <f t="shared" si="9"/>
        <v>0</v>
      </c>
      <c r="BZ28" s="61">
        <f t="shared" si="9"/>
        <v>0</v>
      </c>
      <c r="CA28" s="61">
        <f t="shared" si="9"/>
        <v>0</v>
      </c>
      <c r="CB28" s="61">
        <f t="shared" si="5"/>
        <v>0</v>
      </c>
      <c r="CD28" s="200">
        <f>(SUMIF(Fonctionnement[Affectation matrice],$AB$3,Fonctionnement[TVA acquittée])+SUMIF(Invest[Affectation matrice],$AB$3,Invest[TVA acquittée]))*BC28</f>
        <v>0</v>
      </c>
      <c r="CE28" s="200">
        <f>(SUMIF(Fonctionnement[Affectation matrice],$AB$3,Fonctionnement[TVA acquittée])+SUMIF(Invest[Affectation matrice],$AB$3,Invest[TVA acquittée]))*BD28</f>
        <v>0</v>
      </c>
      <c r="CF28" s="200">
        <f>(SUMIF(Fonctionnement[Affectation matrice],$AB$3,Fonctionnement[TVA acquittée])+SUMIF(Invest[Affectation matrice],$AB$3,Invest[TVA acquittée]))*BE28</f>
        <v>0</v>
      </c>
      <c r="CG28" s="200">
        <f>(SUMIF(Fonctionnement[Affectation matrice],$AB$3,Fonctionnement[TVA acquittée])+SUMIF(Invest[Affectation matrice],$AB$3,Invest[TVA acquittée]))*BF28</f>
        <v>0</v>
      </c>
      <c r="CH28" s="200">
        <f>(SUMIF(Fonctionnement[Affectation matrice],$AB$3,Fonctionnement[TVA acquittée])+SUMIF(Invest[Affectation matrice],$AB$3,Invest[TVA acquittée]))*BG28</f>
        <v>0</v>
      </c>
      <c r="CI28" s="200">
        <f>(SUMIF(Fonctionnement[Affectation matrice],$AB$3,Fonctionnement[TVA acquittée])+SUMIF(Invest[Affectation matrice],$AB$3,Invest[TVA acquittée]))*BH28</f>
        <v>0</v>
      </c>
      <c r="CJ28" s="200">
        <f>(SUMIF(Fonctionnement[Affectation matrice],$AB$3,Fonctionnement[TVA acquittée])+SUMIF(Invest[Affectation matrice],$AB$3,Invest[TVA acquittée]))*BI28</f>
        <v>0</v>
      </c>
      <c r="CK28" s="200">
        <f>(SUMIF(Fonctionnement[Affectation matrice],$AB$3,Fonctionnement[TVA acquittée])+SUMIF(Invest[Affectation matrice],$AB$3,Invest[TVA acquittée]))*BJ28</f>
        <v>0</v>
      </c>
      <c r="CL28" s="200">
        <f>(SUMIF(Fonctionnement[Affectation matrice],$AB$3,Fonctionnement[TVA acquittée])+SUMIF(Invest[Affectation matrice],$AB$3,Invest[TVA acquittée]))*BK28</f>
        <v>0</v>
      </c>
      <c r="CM28" s="200">
        <f>(SUMIF(Fonctionnement[Affectation matrice],$AB$3,Fonctionnement[TVA acquittée])+SUMIF(Invest[Affectation matrice],$AB$3,Invest[TVA acquittée]))*BL28</f>
        <v>0</v>
      </c>
      <c r="CN28" s="200">
        <f>(SUMIF(Fonctionnement[Affectation matrice],$AB$3,Fonctionnement[TVA acquittée])+SUMIF(Invest[Affectation matrice],$AB$3,Invest[TVA acquittée]))*BM28</f>
        <v>0</v>
      </c>
      <c r="CO28" s="200">
        <f>(SUMIF(Fonctionnement[Affectation matrice],$AB$3,Fonctionnement[TVA acquittée])+SUMIF(Invest[Affectation matrice],$AB$3,Invest[TVA acquittée]))*BN28</f>
        <v>0</v>
      </c>
      <c r="CP28" s="200">
        <f>(SUMIF(Fonctionnement[Affectation matrice],$AB$3,Fonctionnement[TVA acquittée])+SUMIF(Invest[Affectation matrice],$AB$3,Invest[TVA acquittée]))*BO28</f>
        <v>0</v>
      </c>
      <c r="CQ28" s="200">
        <f>(SUMIF(Fonctionnement[Affectation matrice],$AB$3,Fonctionnement[TVA acquittée])+SUMIF(Invest[Affectation matrice],$AB$3,Invest[TVA acquittée]))*BP28</f>
        <v>0</v>
      </c>
      <c r="CR28" s="200">
        <f>(SUMIF(Fonctionnement[Affectation matrice],$AB$3,Fonctionnement[TVA acquittée])+SUMIF(Invest[Affectation matrice],$AB$3,Invest[TVA acquittée]))*BQ28</f>
        <v>0</v>
      </c>
      <c r="CS28" s="200">
        <f>(SUMIF(Fonctionnement[Affectation matrice],$AB$3,Fonctionnement[TVA acquittée])+SUMIF(Invest[Affectation matrice],$AB$3,Invest[TVA acquittée]))*BR28</f>
        <v>0</v>
      </c>
      <c r="CT28" s="200">
        <f>(SUMIF(Fonctionnement[Affectation matrice],$AB$3,Fonctionnement[TVA acquittée])+SUMIF(Invest[Affectation matrice],$AB$3,Invest[TVA acquittée]))*BS28</f>
        <v>0</v>
      </c>
      <c r="CU28" s="200">
        <f>(SUMIF(Fonctionnement[Affectation matrice],$AB$3,Fonctionnement[TVA acquittée])+SUMIF(Invest[Affectation matrice],$AB$3,Invest[TVA acquittée]))*BT28</f>
        <v>0</v>
      </c>
      <c r="CV28" s="200">
        <f>(SUMIF(Fonctionnement[Affectation matrice],$AB$3,Fonctionnement[TVA acquittée])+SUMIF(Invest[Affectation matrice],$AB$3,Invest[TVA acquittée]))*BU28</f>
        <v>0</v>
      </c>
      <c r="CW28" s="200">
        <f>(SUMIF(Fonctionnement[Affectation matrice],$AB$3,Fonctionnement[TVA acquittée])+SUMIF(Invest[Affectation matrice],$AB$3,Invest[TVA acquittée]))*BV28</f>
        <v>0</v>
      </c>
      <c r="CX28" s="200">
        <f>(SUMIF(Fonctionnement[Affectation matrice],$AB$3,Fonctionnement[TVA acquittée])+SUMIF(Invest[Affectation matrice],$AB$3,Invest[TVA acquittée]))*BW28</f>
        <v>0</v>
      </c>
      <c r="CY28" s="200">
        <f>(SUMIF(Fonctionnement[Affectation matrice],$AB$3,Fonctionnement[TVA acquittée])+SUMIF(Invest[Affectation matrice],$AB$3,Invest[TVA acquittée]))*BX28</f>
        <v>0</v>
      </c>
      <c r="CZ28" s="200">
        <f>(SUMIF(Fonctionnement[Affectation matrice],$AB$3,Fonctionnement[TVA acquittée])+SUMIF(Invest[Affectation matrice],$AB$3,Invest[TVA acquittée]))*BY28</f>
        <v>0</v>
      </c>
      <c r="DA28" s="200">
        <f>(SUMIF(Fonctionnement[Affectation matrice],$AB$3,Fonctionnement[TVA acquittée])+SUMIF(Invest[Affectation matrice],$AB$3,Invest[TVA acquittée]))*BZ28</f>
        <v>0</v>
      </c>
      <c r="DB28" s="200">
        <f>(SUMIF(Fonctionnement[Affectation matrice],$AB$3,Fonctionnement[TVA acquittée])+SUMIF(Invest[Affectation matrice],$AB$3,Invest[TVA acquittée]))*CA28</f>
        <v>0</v>
      </c>
    </row>
    <row r="29" spans="1:106" s="22" customFormat="1" ht="12.75" hidden="1" customHeight="1" x14ac:dyDescent="0.25">
      <c r="A29" s="42" t="str">
        <f>Matrice[[#This Row],[Ligne de la matrice]]</f>
        <v>Autres produits</v>
      </c>
      <c r="B29" s="276">
        <f>(SUMIF(Fonctionnement[Affectation matrice],$AB$3,Fonctionnement[Montant (€HT)])+SUMIF(Invest[Affectation matrice],$AB$3,Invest[Amortissement HT + intérêts]))*BC29</f>
        <v>0</v>
      </c>
      <c r="C29" s="276">
        <f>(SUMIF(Fonctionnement[Affectation matrice],$AB$3,Fonctionnement[Montant (€HT)])+SUMIF(Invest[Affectation matrice],$AB$3,Invest[Amortissement HT + intérêts]))*BD29</f>
        <v>0</v>
      </c>
      <c r="D29" s="276">
        <f>(SUMIF(Fonctionnement[Affectation matrice],$AB$3,Fonctionnement[Montant (€HT)])+SUMIF(Invest[Affectation matrice],$AB$3,Invest[Amortissement HT + intérêts]))*BE29</f>
        <v>0</v>
      </c>
      <c r="E29" s="276">
        <f>(SUMIF(Fonctionnement[Affectation matrice],$AB$3,Fonctionnement[Montant (€HT)])+SUMIF(Invest[Affectation matrice],$AB$3,Invest[Amortissement HT + intérêts]))*BF29</f>
        <v>0</v>
      </c>
      <c r="F29" s="276">
        <f>(SUMIF(Fonctionnement[Affectation matrice],$AB$3,Fonctionnement[Montant (€HT)])+SUMIF(Invest[Affectation matrice],$AB$3,Invest[Amortissement HT + intérêts]))*BG29</f>
        <v>0</v>
      </c>
      <c r="G29" s="276">
        <f>(SUMIF(Fonctionnement[Affectation matrice],$AB$3,Fonctionnement[Montant (€HT)])+SUMIF(Invest[Affectation matrice],$AB$3,Invest[Amortissement HT + intérêts]))*BH29</f>
        <v>0</v>
      </c>
      <c r="H29" s="276">
        <f>(SUMIF(Fonctionnement[Affectation matrice],$AB$3,Fonctionnement[Montant (€HT)])+SUMIF(Invest[Affectation matrice],$AB$3,Invest[Amortissement HT + intérêts]))*BI29</f>
        <v>0</v>
      </c>
      <c r="I29" s="276">
        <f>(SUMIF(Fonctionnement[Affectation matrice],$AB$3,Fonctionnement[Montant (€HT)])+SUMIF(Invest[Affectation matrice],$AB$3,Invest[Amortissement HT + intérêts]))*BJ29</f>
        <v>0</v>
      </c>
      <c r="J29" s="276">
        <f>(SUMIF(Fonctionnement[Affectation matrice],$AB$3,Fonctionnement[Montant (€HT)])+SUMIF(Invest[Affectation matrice],$AB$3,Invest[Amortissement HT + intérêts]))*BK29</f>
        <v>0</v>
      </c>
      <c r="K29" s="276">
        <f>(SUMIF(Fonctionnement[Affectation matrice],$AB$3,Fonctionnement[Montant (€HT)])+SUMIF(Invest[Affectation matrice],$AB$3,Invest[Amortissement HT + intérêts]))*BL29</f>
        <v>0</v>
      </c>
      <c r="L29" s="276">
        <f>(SUMIF(Fonctionnement[Affectation matrice],$AB$3,Fonctionnement[Montant (€HT)])+SUMIF(Invest[Affectation matrice],$AB$3,Invest[Amortissement HT + intérêts]))*BM29</f>
        <v>0</v>
      </c>
      <c r="M29" s="276">
        <f>(SUMIF(Fonctionnement[Affectation matrice],$AB$3,Fonctionnement[Montant (€HT)])+SUMIF(Invest[Affectation matrice],$AB$3,Invest[Amortissement HT + intérêts]))*BN29</f>
        <v>0</v>
      </c>
      <c r="N29" s="276">
        <f>(SUMIF(Fonctionnement[Affectation matrice],$AB$3,Fonctionnement[Montant (€HT)])+SUMIF(Invest[Affectation matrice],$AB$3,Invest[Amortissement HT + intérêts]))*BO29</f>
        <v>0</v>
      </c>
      <c r="O29" s="276">
        <f>(SUMIF(Fonctionnement[Affectation matrice],$AB$3,Fonctionnement[Montant (€HT)])+SUMIF(Invest[Affectation matrice],$AB$3,Invest[Amortissement HT + intérêts]))*BP29</f>
        <v>0</v>
      </c>
      <c r="P29" s="276">
        <f>(SUMIF(Fonctionnement[Affectation matrice],$AB$3,Fonctionnement[Montant (€HT)])+SUMIF(Invest[Affectation matrice],$AB$3,Invest[Amortissement HT + intérêts]))*BQ29</f>
        <v>0</v>
      </c>
      <c r="Q29" s="276">
        <f>(SUMIF(Fonctionnement[Affectation matrice],$AB$3,Fonctionnement[Montant (€HT)])+SUMIF(Invest[Affectation matrice],$AB$3,Invest[Amortissement HT + intérêts]))*BR29</f>
        <v>0</v>
      </c>
      <c r="R29" s="276">
        <f>(SUMIF(Fonctionnement[Affectation matrice],$AB$3,Fonctionnement[Montant (€HT)])+SUMIF(Invest[Affectation matrice],$AB$3,Invest[Amortissement HT + intérêts]))*BS29</f>
        <v>0</v>
      </c>
      <c r="S29" s="276">
        <f>(SUMIF(Fonctionnement[Affectation matrice],$AB$3,Fonctionnement[Montant (€HT)])+SUMIF(Invest[Affectation matrice],$AB$3,Invest[Amortissement HT + intérêts]))*BT29</f>
        <v>0</v>
      </c>
      <c r="T29" s="276">
        <f>(SUMIF(Fonctionnement[Affectation matrice],$AB$3,Fonctionnement[Montant (€HT)])+SUMIF(Invest[Affectation matrice],$AB$3,Invest[Amortissement HT + intérêts]))*BU29</f>
        <v>0</v>
      </c>
      <c r="U29" s="276">
        <f>(SUMIF(Fonctionnement[Affectation matrice],$AB$3,Fonctionnement[Montant (€HT)])+SUMIF(Invest[Affectation matrice],$AB$3,Invest[Amortissement HT + intérêts]))*BV29</f>
        <v>0</v>
      </c>
      <c r="V29" s="276">
        <f>(SUMIF(Fonctionnement[Affectation matrice],$AB$3,Fonctionnement[Montant (€HT)])+SUMIF(Invest[Affectation matrice],$AB$3,Invest[Amortissement HT + intérêts]))*BW29</f>
        <v>0</v>
      </c>
      <c r="W29" s="276">
        <f>(SUMIF(Fonctionnement[Affectation matrice],$AB$3,Fonctionnement[Montant (€HT)])+SUMIF(Invest[Affectation matrice],$AB$3,Invest[Amortissement HT + intérêts]))*BX29</f>
        <v>0</v>
      </c>
      <c r="X29" s="276">
        <f>(SUMIF(Fonctionnement[Affectation matrice],$AB$3,Fonctionnement[Montant (€HT)])+SUMIF(Invest[Affectation matrice],$AB$3,Invest[Amortissement HT + intérêts]))*BY29</f>
        <v>0</v>
      </c>
      <c r="Y29" s="276">
        <f>(SUMIF(Fonctionnement[Affectation matrice],$AB$3,Fonctionnement[Montant (€HT)])+SUMIF(Invest[Affectation matrice],$AB$3,Invest[Amortissement HT + intérêts]))*BZ29</f>
        <v>0</v>
      </c>
      <c r="Z29" s="276">
        <f>(SUMIF(Fonctionnement[Affectation matrice],$AB$3,Fonctionnement[Montant (€HT)])+SUMIF(Invest[Affectation matrice],$AB$3,Invest[Amortissement HT + intérêts]))*CA29</f>
        <v>0</v>
      </c>
      <c r="AA29" s="199"/>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283">
        <f t="shared" si="4"/>
        <v>0</v>
      </c>
      <c r="BB29" s="7"/>
      <c r="BC29" s="61">
        <f t="shared" si="8"/>
        <v>0</v>
      </c>
      <c r="BD29" s="61">
        <f t="shared" si="8"/>
        <v>0</v>
      </c>
      <c r="BE29" s="61">
        <f t="shared" si="8"/>
        <v>0</v>
      </c>
      <c r="BF29" s="61">
        <f t="shared" si="8"/>
        <v>0</v>
      </c>
      <c r="BG29" s="61">
        <f t="shared" si="8"/>
        <v>0</v>
      </c>
      <c r="BH29" s="61">
        <f t="shared" si="8"/>
        <v>0</v>
      </c>
      <c r="BI29" s="61">
        <f t="shared" si="8"/>
        <v>0</v>
      </c>
      <c r="BJ29" s="61">
        <f t="shared" si="8"/>
        <v>0</v>
      </c>
      <c r="BK29" s="61">
        <f t="shared" si="8"/>
        <v>0</v>
      </c>
      <c r="BL29" s="61">
        <f t="shared" si="8"/>
        <v>0</v>
      </c>
      <c r="BM29" s="61">
        <f t="shared" si="8"/>
        <v>0</v>
      </c>
      <c r="BN29" s="61">
        <f t="shared" si="8"/>
        <v>0</v>
      </c>
      <c r="BO29" s="61">
        <f t="shared" si="8"/>
        <v>0</v>
      </c>
      <c r="BP29" s="61">
        <f t="shared" si="8"/>
        <v>0</v>
      </c>
      <c r="BQ29" s="61">
        <f t="shared" si="8"/>
        <v>0</v>
      </c>
      <c r="BR29" s="61">
        <f t="shared" si="8"/>
        <v>0</v>
      </c>
      <c r="BS29" s="61">
        <f t="shared" si="9"/>
        <v>0</v>
      </c>
      <c r="BT29" s="61">
        <f t="shared" si="9"/>
        <v>0</v>
      </c>
      <c r="BU29" s="61">
        <f t="shared" si="9"/>
        <v>0</v>
      </c>
      <c r="BV29" s="61">
        <f t="shared" si="9"/>
        <v>0</v>
      </c>
      <c r="BW29" s="61">
        <f t="shared" si="9"/>
        <v>0</v>
      </c>
      <c r="BX29" s="61">
        <f t="shared" si="9"/>
        <v>0</v>
      </c>
      <c r="BY29" s="61">
        <f t="shared" si="9"/>
        <v>0</v>
      </c>
      <c r="BZ29" s="61">
        <f t="shared" si="9"/>
        <v>0</v>
      </c>
      <c r="CA29" s="61">
        <f t="shared" si="9"/>
        <v>0</v>
      </c>
      <c r="CB29" s="61">
        <f t="shared" si="5"/>
        <v>0</v>
      </c>
      <c r="CD29" s="200">
        <f>(SUMIF(Fonctionnement[Affectation matrice],$AB$3,Fonctionnement[TVA acquittée])+SUMIF(Invest[Affectation matrice],$AB$3,Invest[TVA acquittée]))*BC29</f>
        <v>0</v>
      </c>
      <c r="CE29" s="200">
        <f>(SUMIF(Fonctionnement[Affectation matrice],$AB$3,Fonctionnement[TVA acquittée])+SUMIF(Invest[Affectation matrice],$AB$3,Invest[TVA acquittée]))*BD29</f>
        <v>0</v>
      </c>
      <c r="CF29" s="200">
        <f>(SUMIF(Fonctionnement[Affectation matrice],$AB$3,Fonctionnement[TVA acquittée])+SUMIF(Invest[Affectation matrice],$AB$3,Invest[TVA acquittée]))*BE29</f>
        <v>0</v>
      </c>
      <c r="CG29" s="200">
        <f>(SUMIF(Fonctionnement[Affectation matrice],$AB$3,Fonctionnement[TVA acquittée])+SUMIF(Invest[Affectation matrice],$AB$3,Invest[TVA acquittée]))*BF29</f>
        <v>0</v>
      </c>
      <c r="CH29" s="200">
        <f>(SUMIF(Fonctionnement[Affectation matrice],$AB$3,Fonctionnement[TVA acquittée])+SUMIF(Invest[Affectation matrice],$AB$3,Invest[TVA acquittée]))*BG29</f>
        <v>0</v>
      </c>
      <c r="CI29" s="200">
        <f>(SUMIF(Fonctionnement[Affectation matrice],$AB$3,Fonctionnement[TVA acquittée])+SUMIF(Invest[Affectation matrice],$AB$3,Invest[TVA acquittée]))*BH29</f>
        <v>0</v>
      </c>
      <c r="CJ29" s="200">
        <f>(SUMIF(Fonctionnement[Affectation matrice],$AB$3,Fonctionnement[TVA acquittée])+SUMIF(Invest[Affectation matrice],$AB$3,Invest[TVA acquittée]))*BI29</f>
        <v>0</v>
      </c>
      <c r="CK29" s="200">
        <f>(SUMIF(Fonctionnement[Affectation matrice],$AB$3,Fonctionnement[TVA acquittée])+SUMIF(Invest[Affectation matrice],$AB$3,Invest[TVA acquittée]))*BJ29</f>
        <v>0</v>
      </c>
      <c r="CL29" s="200">
        <f>(SUMIF(Fonctionnement[Affectation matrice],$AB$3,Fonctionnement[TVA acquittée])+SUMIF(Invest[Affectation matrice],$AB$3,Invest[TVA acquittée]))*BK29</f>
        <v>0</v>
      </c>
      <c r="CM29" s="200">
        <f>(SUMIF(Fonctionnement[Affectation matrice],$AB$3,Fonctionnement[TVA acquittée])+SUMIF(Invest[Affectation matrice],$AB$3,Invest[TVA acquittée]))*BL29</f>
        <v>0</v>
      </c>
      <c r="CN29" s="200">
        <f>(SUMIF(Fonctionnement[Affectation matrice],$AB$3,Fonctionnement[TVA acquittée])+SUMIF(Invest[Affectation matrice],$AB$3,Invest[TVA acquittée]))*BM29</f>
        <v>0</v>
      </c>
      <c r="CO29" s="200">
        <f>(SUMIF(Fonctionnement[Affectation matrice],$AB$3,Fonctionnement[TVA acquittée])+SUMIF(Invest[Affectation matrice],$AB$3,Invest[TVA acquittée]))*BN29</f>
        <v>0</v>
      </c>
      <c r="CP29" s="200">
        <f>(SUMIF(Fonctionnement[Affectation matrice],$AB$3,Fonctionnement[TVA acquittée])+SUMIF(Invest[Affectation matrice],$AB$3,Invest[TVA acquittée]))*BO29</f>
        <v>0</v>
      </c>
      <c r="CQ29" s="200">
        <f>(SUMIF(Fonctionnement[Affectation matrice],$AB$3,Fonctionnement[TVA acquittée])+SUMIF(Invest[Affectation matrice],$AB$3,Invest[TVA acquittée]))*BP29</f>
        <v>0</v>
      </c>
      <c r="CR29" s="200">
        <f>(SUMIF(Fonctionnement[Affectation matrice],$AB$3,Fonctionnement[TVA acquittée])+SUMIF(Invest[Affectation matrice],$AB$3,Invest[TVA acquittée]))*BQ29</f>
        <v>0</v>
      </c>
      <c r="CS29" s="200">
        <f>(SUMIF(Fonctionnement[Affectation matrice],$AB$3,Fonctionnement[TVA acquittée])+SUMIF(Invest[Affectation matrice],$AB$3,Invest[TVA acquittée]))*BR29</f>
        <v>0</v>
      </c>
      <c r="CT29" s="200">
        <f>(SUMIF(Fonctionnement[Affectation matrice],$AB$3,Fonctionnement[TVA acquittée])+SUMIF(Invest[Affectation matrice],$AB$3,Invest[TVA acquittée]))*BS29</f>
        <v>0</v>
      </c>
      <c r="CU29" s="200">
        <f>(SUMIF(Fonctionnement[Affectation matrice],$AB$3,Fonctionnement[TVA acquittée])+SUMIF(Invest[Affectation matrice],$AB$3,Invest[TVA acquittée]))*BT29</f>
        <v>0</v>
      </c>
      <c r="CV29" s="200">
        <f>(SUMIF(Fonctionnement[Affectation matrice],$AB$3,Fonctionnement[TVA acquittée])+SUMIF(Invest[Affectation matrice],$AB$3,Invest[TVA acquittée]))*BU29</f>
        <v>0</v>
      </c>
      <c r="CW29" s="200">
        <f>(SUMIF(Fonctionnement[Affectation matrice],$AB$3,Fonctionnement[TVA acquittée])+SUMIF(Invest[Affectation matrice],$AB$3,Invest[TVA acquittée]))*BV29</f>
        <v>0</v>
      </c>
      <c r="CX29" s="200">
        <f>(SUMIF(Fonctionnement[Affectation matrice],$AB$3,Fonctionnement[TVA acquittée])+SUMIF(Invest[Affectation matrice],$AB$3,Invest[TVA acquittée]))*BW29</f>
        <v>0</v>
      </c>
      <c r="CY29" s="200">
        <f>(SUMIF(Fonctionnement[Affectation matrice],$AB$3,Fonctionnement[TVA acquittée])+SUMIF(Invest[Affectation matrice],$AB$3,Invest[TVA acquittée]))*BX29</f>
        <v>0</v>
      </c>
      <c r="CZ29" s="200">
        <f>(SUMIF(Fonctionnement[Affectation matrice],$AB$3,Fonctionnement[TVA acquittée])+SUMIF(Invest[Affectation matrice],$AB$3,Invest[TVA acquittée]))*BY29</f>
        <v>0</v>
      </c>
      <c r="DA29" s="200">
        <f>(SUMIF(Fonctionnement[Affectation matrice],$AB$3,Fonctionnement[TVA acquittée])+SUMIF(Invest[Affectation matrice],$AB$3,Invest[TVA acquittée]))*BZ29</f>
        <v>0</v>
      </c>
      <c r="DB29" s="200">
        <f>(SUMIF(Fonctionnement[Affectation matrice],$AB$3,Fonctionnement[TVA acquittée])+SUMIF(Invest[Affectation matrice],$AB$3,Invest[TVA acquittée]))*CA29</f>
        <v>0</v>
      </c>
    </row>
    <row r="30" spans="1:106" s="22" customFormat="1" ht="12.75" hidden="1" customHeight="1" x14ac:dyDescent="0.25">
      <c r="A30" s="42" t="str">
        <f>Matrice[[#This Row],[Ligne de la matrice]]</f>
        <v>Tous soutiens des sociétés agréées</v>
      </c>
      <c r="B30" s="276">
        <f>(SUMIF(Fonctionnement[Affectation matrice],$AB$3,Fonctionnement[Montant (€HT)])+SUMIF(Invest[Affectation matrice],$AB$3,Invest[Amortissement HT + intérêts]))*BC30</f>
        <v>0</v>
      </c>
      <c r="C30" s="276">
        <f>(SUMIF(Fonctionnement[Affectation matrice],$AB$3,Fonctionnement[Montant (€HT)])+SUMIF(Invest[Affectation matrice],$AB$3,Invest[Amortissement HT + intérêts]))*BD30</f>
        <v>0</v>
      </c>
      <c r="D30" s="276">
        <f>(SUMIF(Fonctionnement[Affectation matrice],$AB$3,Fonctionnement[Montant (€HT)])+SUMIF(Invest[Affectation matrice],$AB$3,Invest[Amortissement HT + intérêts]))*BE30</f>
        <v>0</v>
      </c>
      <c r="E30" s="276">
        <f>(SUMIF(Fonctionnement[Affectation matrice],$AB$3,Fonctionnement[Montant (€HT)])+SUMIF(Invest[Affectation matrice],$AB$3,Invest[Amortissement HT + intérêts]))*BF30</f>
        <v>0</v>
      </c>
      <c r="F30" s="276">
        <f>(SUMIF(Fonctionnement[Affectation matrice],$AB$3,Fonctionnement[Montant (€HT)])+SUMIF(Invest[Affectation matrice],$AB$3,Invest[Amortissement HT + intérêts]))*BG30</f>
        <v>0</v>
      </c>
      <c r="G30" s="276">
        <f>(SUMIF(Fonctionnement[Affectation matrice],$AB$3,Fonctionnement[Montant (€HT)])+SUMIF(Invest[Affectation matrice],$AB$3,Invest[Amortissement HT + intérêts]))*BH30</f>
        <v>0</v>
      </c>
      <c r="H30" s="276">
        <f>(SUMIF(Fonctionnement[Affectation matrice],$AB$3,Fonctionnement[Montant (€HT)])+SUMIF(Invest[Affectation matrice],$AB$3,Invest[Amortissement HT + intérêts]))*BI30</f>
        <v>0</v>
      </c>
      <c r="I30" s="276">
        <f>(SUMIF(Fonctionnement[Affectation matrice],$AB$3,Fonctionnement[Montant (€HT)])+SUMIF(Invest[Affectation matrice],$AB$3,Invest[Amortissement HT + intérêts]))*BJ30</f>
        <v>0</v>
      </c>
      <c r="J30" s="276">
        <f>(SUMIF(Fonctionnement[Affectation matrice],$AB$3,Fonctionnement[Montant (€HT)])+SUMIF(Invest[Affectation matrice],$AB$3,Invest[Amortissement HT + intérêts]))*BK30</f>
        <v>0</v>
      </c>
      <c r="K30" s="276">
        <f>(SUMIF(Fonctionnement[Affectation matrice],$AB$3,Fonctionnement[Montant (€HT)])+SUMIF(Invest[Affectation matrice],$AB$3,Invest[Amortissement HT + intérêts]))*BL30</f>
        <v>0</v>
      </c>
      <c r="L30" s="276">
        <f>(SUMIF(Fonctionnement[Affectation matrice],$AB$3,Fonctionnement[Montant (€HT)])+SUMIF(Invest[Affectation matrice],$AB$3,Invest[Amortissement HT + intérêts]))*BM30</f>
        <v>0</v>
      </c>
      <c r="M30" s="276">
        <f>(SUMIF(Fonctionnement[Affectation matrice],$AB$3,Fonctionnement[Montant (€HT)])+SUMIF(Invest[Affectation matrice],$AB$3,Invest[Amortissement HT + intérêts]))*BN30</f>
        <v>0</v>
      </c>
      <c r="N30" s="276">
        <f>(SUMIF(Fonctionnement[Affectation matrice],$AB$3,Fonctionnement[Montant (€HT)])+SUMIF(Invest[Affectation matrice],$AB$3,Invest[Amortissement HT + intérêts]))*BO30</f>
        <v>0</v>
      </c>
      <c r="O30" s="276">
        <f>(SUMIF(Fonctionnement[Affectation matrice],$AB$3,Fonctionnement[Montant (€HT)])+SUMIF(Invest[Affectation matrice],$AB$3,Invest[Amortissement HT + intérêts]))*BP30</f>
        <v>0</v>
      </c>
      <c r="P30" s="276">
        <f>(SUMIF(Fonctionnement[Affectation matrice],$AB$3,Fonctionnement[Montant (€HT)])+SUMIF(Invest[Affectation matrice],$AB$3,Invest[Amortissement HT + intérêts]))*BQ30</f>
        <v>0</v>
      </c>
      <c r="Q30" s="276">
        <f>(SUMIF(Fonctionnement[Affectation matrice],$AB$3,Fonctionnement[Montant (€HT)])+SUMIF(Invest[Affectation matrice],$AB$3,Invest[Amortissement HT + intérêts]))*BR30</f>
        <v>0</v>
      </c>
      <c r="R30" s="276">
        <f>(SUMIF(Fonctionnement[Affectation matrice],$AB$3,Fonctionnement[Montant (€HT)])+SUMIF(Invest[Affectation matrice],$AB$3,Invest[Amortissement HT + intérêts]))*BS30</f>
        <v>0</v>
      </c>
      <c r="S30" s="276">
        <f>(SUMIF(Fonctionnement[Affectation matrice],$AB$3,Fonctionnement[Montant (€HT)])+SUMIF(Invest[Affectation matrice],$AB$3,Invest[Amortissement HT + intérêts]))*BT30</f>
        <v>0</v>
      </c>
      <c r="T30" s="276">
        <f>(SUMIF(Fonctionnement[Affectation matrice],$AB$3,Fonctionnement[Montant (€HT)])+SUMIF(Invest[Affectation matrice],$AB$3,Invest[Amortissement HT + intérêts]))*BU30</f>
        <v>0</v>
      </c>
      <c r="U30" s="276">
        <f>(SUMIF(Fonctionnement[Affectation matrice],$AB$3,Fonctionnement[Montant (€HT)])+SUMIF(Invest[Affectation matrice],$AB$3,Invest[Amortissement HT + intérêts]))*BV30</f>
        <v>0</v>
      </c>
      <c r="V30" s="276">
        <f>(SUMIF(Fonctionnement[Affectation matrice],$AB$3,Fonctionnement[Montant (€HT)])+SUMIF(Invest[Affectation matrice],$AB$3,Invest[Amortissement HT + intérêts]))*BW30</f>
        <v>0</v>
      </c>
      <c r="W30" s="276">
        <f>(SUMIF(Fonctionnement[Affectation matrice],$AB$3,Fonctionnement[Montant (€HT)])+SUMIF(Invest[Affectation matrice],$AB$3,Invest[Amortissement HT + intérêts]))*BX30</f>
        <v>0</v>
      </c>
      <c r="X30" s="276">
        <f>(SUMIF(Fonctionnement[Affectation matrice],$AB$3,Fonctionnement[Montant (€HT)])+SUMIF(Invest[Affectation matrice],$AB$3,Invest[Amortissement HT + intérêts]))*BY30</f>
        <v>0</v>
      </c>
      <c r="Y30" s="276">
        <f>(SUMIF(Fonctionnement[Affectation matrice],$AB$3,Fonctionnement[Montant (€HT)])+SUMIF(Invest[Affectation matrice],$AB$3,Invest[Amortissement HT + intérêts]))*BZ30</f>
        <v>0</v>
      </c>
      <c r="Z30" s="276">
        <f>(SUMIF(Fonctionnement[Affectation matrice],$AB$3,Fonctionnement[Montant (€HT)])+SUMIF(Invest[Affectation matrice],$AB$3,Invest[Amortissement HT + intérêts]))*CA30</f>
        <v>0</v>
      </c>
      <c r="AA30" s="199"/>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283">
        <f t="shared" si="4"/>
        <v>0</v>
      </c>
      <c r="BB30" s="7"/>
      <c r="BC30" s="61">
        <f t="shared" si="8"/>
        <v>0</v>
      </c>
      <c r="BD30" s="61">
        <f t="shared" si="8"/>
        <v>0</v>
      </c>
      <c r="BE30" s="61">
        <f t="shared" si="8"/>
        <v>0</v>
      </c>
      <c r="BF30" s="61">
        <f t="shared" si="8"/>
        <v>0</v>
      </c>
      <c r="BG30" s="61">
        <f t="shared" si="8"/>
        <v>0</v>
      </c>
      <c r="BH30" s="61">
        <f t="shared" si="8"/>
        <v>0</v>
      </c>
      <c r="BI30" s="61">
        <f t="shared" si="8"/>
        <v>0</v>
      </c>
      <c r="BJ30" s="61">
        <f t="shared" si="8"/>
        <v>0</v>
      </c>
      <c r="BK30" s="61">
        <f t="shared" si="8"/>
        <v>0</v>
      </c>
      <c r="BL30" s="61">
        <f t="shared" si="8"/>
        <v>0</v>
      </c>
      <c r="BM30" s="61">
        <f t="shared" si="8"/>
        <v>0</v>
      </c>
      <c r="BN30" s="61">
        <f t="shared" si="8"/>
        <v>0</v>
      </c>
      <c r="BO30" s="61">
        <f t="shared" si="8"/>
        <v>0</v>
      </c>
      <c r="BP30" s="61">
        <f t="shared" si="8"/>
        <v>0</v>
      </c>
      <c r="BQ30" s="61">
        <f t="shared" si="8"/>
        <v>0</v>
      </c>
      <c r="BR30" s="61">
        <f t="shared" si="8"/>
        <v>0</v>
      </c>
      <c r="BS30" s="61">
        <f t="shared" si="9"/>
        <v>0</v>
      </c>
      <c r="BT30" s="61">
        <f t="shared" si="9"/>
        <v>0</v>
      </c>
      <c r="BU30" s="61">
        <f t="shared" si="9"/>
        <v>0</v>
      </c>
      <c r="BV30" s="61">
        <f t="shared" si="9"/>
        <v>0</v>
      </c>
      <c r="BW30" s="61">
        <f t="shared" si="9"/>
        <v>0</v>
      </c>
      <c r="BX30" s="61">
        <f t="shared" si="9"/>
        <v>0</v>
      </c>
      <c r="BY30" s="61">
        <f t="shared" si="9"/>
        <v>0</v>
      </c>
      <c r="BZ30" s="61">
        <f t="shared" si="9"/>
        <v>0</v>
      </c>
      <c r="CA30" s="61">
        <f t="shared" si="9"/>
        <v>0</v>
      </c>
      <c r="CB30" s="61">
        <f t="shared" si="5"/>
        <v>0</v>
      </c>
      <c r="CD30" s="200">
        <f>(SUMIF(Fonctionnement[Affectation matrice],$AB$3,Fonctionnement[TVA acquittée])+SUMIF(Invest[Affectation matrice],$AB$3,Invest[TVA acquittée]))*BC30</f>
        <v>0</v>
      </c>
      <c r="CE30" s="200">
        <f>(SUMIF(Fonctionnement[Affectation matrice],$AB$3,Fonctionnement[TVA acquittée])+SUMIF(Invest[Affectation matrice],$AB$3,Invest[TVA acquittée]))*BD30</f>
        <v>0</v>
      </c>
      <c r="CF30" s="200">
        <f>(SUMIF(Fonctionnement[Affectation matrice],$AB$3,Fonctionnement[TVA acquittée])+SUMIF(Invest[Affectation matrice],$AB$3,Invest[TVA acquittée]))*BE30</f>
        <v>0</v>
      </c>
      <c r="CG30" s="200">
        <f>(SUMIF(Fonctionnement[Affectation matrice],$AB$3,Fonctionnement[TVA acquittée])+SUMIF(Invest[Affectation matrice],$AB$3,Invest[TVA acquittée]))*BF30</f>
        <v>0</v>
      </c>
      <c r="CH30" s="200">
        <f>(SUMIF(Fonctionnement[Affectation matrice],$AB$3,Fonctionnement[TVA acquittée])+SUMIF(Invest[Affectation matrice],$AB$3,Invest[TVA acquittée]))*BG30</f>
        <v>0</v>
      </c>
      <c r="CI30" s="200">
        <f>(SUMIF(Fonctionnement[Affectation matrice],$AB$3,Fonctionnement[TVA acquittée])+SUMIF(Invest[Affectation matrice],$AB$3,Invest[TVA acquittée]))*BH30</f>
        <v>0</v>
      </c>
      <c r="CJ30" s="200">
        <f>(SUMIF(Fonctionnement[Affectation matrice],$AB$3,Fonctionnement[TVA acquittée])+SUMIF(Invest[Affectation matrice],$AB$3,Invest[TVA acquittée]))*BI30</f>
        <v>0</v>
      </c>
      <c r="CK30" s="200">
        <f>(SUMIF(Fonctionnement[Affectation matrice],$AB$3,Fonctionnement[TVA acquittée])+SUMIF(Invest[Affectation matrice],$AB$3,Invest[TVA acquittée]))*BJ30</f>
        <v>0</v>
      </c>
      <c r="CL30" s="200">
        <f>(SUMIF(Fonctionnement[Affectation matrice],$AB$3,Fonctionnement[TVA acquittée])+SUMIF(Invest[Affectation matrice],$AB$3,Invest[TVA acquittée]))*BK30</f>
        <v>0</v>
      </c>
      <c r="CM30" s="200">
        <f>(SUMIF(Fonctionnement[Affectation matrice],$AB$3,Fonctionnement[TVA acquittée])+SUMIF(Invest[Affectation matrice],$AB$3,Invest[TVA acquittée]))*BL30</f>
        <v>0</v>
      </c>
      <c r="CN30" s="200">
        <f>(SUMIF(Fonctionnement[Affectation matrice],$AB$3,Fonctionnement[TVA acquittée])+SUMIF(Invest[Affectation matrice],$AB$3,Invest[TVA acquittée]))*BM30</f>
        <v>0</v>
      </c>
      <c r="CO30" s="200">
        <f>(SUMIF(Fonctionnement[Affectation matrice],$AB$3,Fonctionnement[TVA acquittée])+SUMIF(Invest[Affectation matrice],$AB$3,Invest[TVA acquittée]))*BN30</f>
        <v>0</v>
      </c>
      <c r="CP30" s="200">
        <f>(SUMIF(Fonctionnement[Affectation matrice],$AB$3,Fonctionnement[TVA acquittée])+SUMIF(Invest[Affectation matrice],$AB$3,Invest[TVA acquittée]))*BO30</f>
        <v>0</v>
      </c>
      <c r="CQ30" s="200">
        <f>(SUMIF(Fonctionnement[Affectation matrice],$AB$3,Fonctionnement[TVA acquittée])+SUMIF(Invest[Affectation matrice],$AB$3,Invest[TVA acquittée]))*BP30</f>
        <v>0</v>
      </c>
      <c r="CR30" s="200">
        <f>(SUMIF(Fonctionnement[Affectation matrice],$AB$3,Fonctionnement[TVA acquittée])+SUMIF(Invest[Affectation matrice],$AB$3,Invest[TVA acquittée]))*BQ30</f>
        <v>0</v>
      </c>
      <c r="CS30" s="200">
        <f>(SUMIF(Fonctionnement[Affectation matrice],$AB$3,Fonctionnement[TVA acquittée])+SUMIF(Invest[Affectation matrice],$AB$3,Invest[TVA acquittée]))*BR30</f>
        <v>0</v>
      </c>
      <c r="CT30" s="200">
        <f>(SUMIF(Fonctionnement[Affectation matrice],$AB$3,Fonctionnement[TVA acquittée])+SUMIF(Invest[Affectation matrice],$AB$3,Invest[TVA acquittée]))*BS30</f>
        <v>0</v>
      </c>
      <c r="CU30" s="200">
        <f>(SUMIF(Fonctionnement[Affectation matrice],$AB$3,Fonctionnement[TVA acquittée])+SUMIF(Invest[Affectation matrice],$AB$3,Invest[TVA acquittée]))*BT30</f>
        <v>0</v>
      </c>
      <c r="CV30" s="200">
        <f>(SUMIF(Fonctionnement[Affectation matrice],$AB$3,Fonctionnement[TVA acquittée])+SUMIF(Invest[Affectation matrice],$AB$3,Invest[TVA acquittée]))*BU30</f>
        <v>0</v>
      </c>
      <c r="CW30" s="200">
        <f>(SUMIF(Fonctionnement[Affectation matrice],$AB$3,Fonctionnement[TVA acquittée])+SUMIF(Invest[Affectation matrice],$AB$3,Invest[TVA acquittée]))*BV30</f>
        <v>0</v>
      </c>
      <c r="CX30" s="200">
        <f>(SUMIF(Fonctionnement[Affectation matrice],$AB$3,Fonctionnement[TVA acquittée])+SUMIF(Invest[Affectation matrice],$AB$3,Invest[TVA acquittée]))*BW30</f>
        <v>0</v>
      </c>
      <c r="CY30" s="200">
        <f>(SUMIF(Fonctionnement[Affectation matrice],$AB$3,Fonctionnement[TVA acquittée])+SUMIF(Invest[Affectation matrice],$AB$3,Invest[TVA acquittée]))*BX30</f>
        <v>0</v>
      </c>
      <c r="CZ30" s="200">
        <f>(SUMIF(Fonctionnement[Affectation matrice],$AB$3,Fonctionnement[TVA acquittée])+SUMIF(Invest[Affectation matrice],$AB$3,Invest[TVA acquittée]))*BY30</f>
        <v>0</v>
      </c>
      <c r="DA30" s="200">
        <f>(SUMIF(Fonctionnement[Affectation matrice],$AB$3,Fonctionnement[TVA acquittée])+SUMIF(Invest[Affectation matrice],$AB$3,Invest[TVA acquittée]))*BZ30</f>
        <v>0</v>
      </c>
      <c r="DB30" s="200">
        <f>(SUMIF(Fonctionnement[Affectation matrice],$AB$3,Fonctionnement[TVA acquittée])+SUMIF(Invest[Affectation matrice],$AB$3,Invest[TVA acquittée]))*CA30</f>
        <v>0</v>
      </c>
    </row>
    <row r="31" spans="1:106" s="22" customFormat="1" ht="12.75" hidden="1" customHeight="1" x14ac:dyDescent="0.25">
      <c r="A31" s="42" t="str">
        <f>Matrice[[#This Row],[Ligne de la matrice]]</f>
        <v>Reprises des subventions d'investissement</v>
      </c>
      <c r="B31" s="276">
        <f>(SUMIF(Fonctionnement[Affectation matrice],$AB$3,Fonctionnement[Montant (€HT)])+SUMIF(Invest[Affectation matrice],$AB$3,Invest[Amortissement HT + intérêts]))*BC31</f>
        <v>0</v>
      </c>
      <c r="C31" s="276">
        <f>(SUMIF(Fonctionnement[Affectation matrice],$AB$3,Fonctionnement[Montant (€HT)])+SUMIF(Invest[Affectation matrice],$AB$3,Invest[Amortissement HT + intérêts]))*BD31</f>
        <v>0</v>
      </c>
      <c r="D31" s="276">
        <f>(SUMIF(Fonctionnement[Affectation matrice],$AB$3,Fonctionnement[Montant (€HT)])+SUMIF(Invest[Affectation matrice],$AB$3,Invest[Amortissement HT + intérêts]))*BE31</f>
        <v>0</v>
      </c>
      <c r="E31" s="276">
        <f>(SUMIF(Fonctionnement[Affectation matrice],$AB$3,Fonctionnement[Montant (€HT)])+SUMIF(Invest[Affectation matrice],$AB$3,Invest[Amortissement HT + intérêts]))*BF31</f>
        <v>0</v>
      </c>
      <c r="F31" s="276">
        <f>(SUMIF(Fonctionnement[Affectation matrice],$AB$3,Fonctionnement[Montant (€HT)])+SUMIF(Invest[Affectation matrice],$AB$3,Invest[Amortissement HT + intérêts]))*BG31</f>
        <v>0</v>
      </c>
      <c r="G31" s="276">
        <f>(SUMIF(Fonctionnement[Affectation matrice],$AB$3,Fonctionnement[Montant (€HT)])+SUMIF(Invest[Affectation matrice],$AB$3,Invest[Amortissement HT + intérêts]))*BH31</f>
        <v>0</v>
      </c>
      <c r="H31" s="276">
        <f>(SUMIF(Fonctionnement[Affectation matrice],$AB$3,Fonctionnement[Montant (€HT)])+SUMIF(Invest[Affectation matrice],$AB$3,Invest[Amortissement HT + intérêts]))*BI31</f>
        <v>0</v>
      </c>
      <c r="I31" s="276">
        <f>(SUMIF(Fonctionnement[Affectation matrice],$AB$3,Fonctionnement[Montant (€HT)])+SUMIF(Invest[Affectation matrice],$AB$3,Invest[Amortissement HT + intérêts]))*BJ31</f>
        <v>0</v>
      </c>
      <c r="J31" s="276">
        <f>(SUMIF(Fonctionnement[Affectation matrice],$AB$3,Fonctionnement[Montant (€HT)])+SUMIF(Invest[Affectation matrice],$AB$3,Invest[Amortissement HT + intérêts]))*BK31</f>
        <v>0</v>
      </c>
      <c r="K31" s="276">
        <f>(SUMIF(Fonctionnement[Affectation matrice],$AB$3,Fonctionnement[Montant (€HT)])+SUMIF(Invest[Affectation matrice],$AB$3,Invest[Amortissement HT + intérêts]))*BL31</f>
        <v>0</v>
      </c>
      <c r="L31" s="276">
        <f>(SUMIF(Fonctionnement[Affectation matrice],$AB$3,Fonctionnement[Montant (€HT)])+SUMIF(Invest[Affectation matrice],$AB$3,Invest[Amortissement HT + intérêts]))*BM31</f>
        <v>0</v>
      </c>
      <c r="M31" s="276">
        <f>(SUMIF(Fonctionnement[Affectation matrice],$AB$3,Fonctionnement[Montant (€HT)])+SUMIF(Invest[Affectation matrice],$AB$3,Invest[Amortissement HT + intérêts]))*BN31</f>
        <v>0</v>
      </c>
      <c r="N31" s="276">
        <f>(SUMIF(Fonctionnement[Affectation matrice],$AB$3,Fonctionnement[Montant (€HT)])+SUMIF(Invest[Affectation matrice],$AB$3,Invest[Amortissement HT + intérêts]))*BO31</f>
        <v>0</v>
      </c>
      <c r="O31" s="276">
        <f>(SUMIF(Fonctionnement[Affectation matrice],$AB$3,Fonctionnement[Montant (€HT)])+SUMIF(Invest[Affectation matrice],$AB$3,Invest[Amortissement HT + intérêts]))*BP31</f>
        <v>0</v>
      </c>
      <c r="P31" s="276">
        <f>(SUMIF(Fonctionnement[Affectation matrice],$AB$3,Fonctionnement[Montant (€HT)])+SUMIF(Invest[Affectation matrice],$AB$3,Invest[Amortissement HT + intérêts]))*BQ31</f>
        <v>0</v>
      </c>
      <c r="Q31" s="276">
        <f>(SUMIF(Fonctionnement[Affectation matrice],$AB$3,Fonctionnement[Montant (€HT)])+SUMIF(Invest[Affectation matrice],$AB$3,Invest[Amortissement HT + intérêts]))*BR31</f>
        <v>0</v>
      </c>
      <c r="R31" s="276">
        <f>(SUMIF(Fonctionnement[Affectation matrice],$AB$3,Fonctionnement[Montant (€HT)])+SUMIF(Invest[Affectation matrice],$AB$3,Invest[Amortissement HT + intérêts]))*BS31</f>
        <v>0</v>
      </c>
      <c r="S31" s="276">
        <f>(SUMIF(Fonctionnement[Affectation matrice],$AB$3,Fonctionnement[Montant (€HT)])+SUMIF(Invest[Affectation matrice],$AB$3,Invest[Amortissement HT + intérêts]))*BT31</f>
        <v>0</v>
      </c>
      <c r="T31" s="276">
        <f>(SUMIF(Fonctionnement[Affectation matrice],$AB$3,Fonctionnement[Montant (€HT)])+SUMIF(Invest[Affectation matrice],$AB$3,Invest[Amortissement HT + intérêts]))*BU31</f>
        <v>0</v>
      </c>
      <c r="U31" s="276">
        <f>(SUMIF(Fonctionnement[Affectation matrice],$AB$3,Fonctionnement[Montant (€HT)])+SUMIF(Invest[Affectation matrice],$AB$3,Invest[Amortissement HT + intérêts]))*BV31</f>
        <v>0</v>
      </c>
      <c r="V31" s="276">
        <f>(SUMIF(Fonctionnement[Affectation matrice],$AB$3,Fonctionnement[Montant (€HT)])+SUMIF(Invest[Affectation matrice],$AB$3,Invest[Amortissement HT + intérêts]))*BW31</f>
        <v>0</v>
      </c>
      <c r="W31" s="276">
        <f>(SUMIF(Fonctionnement[Affectation matrice],$AB$3,Fonctionnement[Montant (€HT)])+SUMIF(Invest[Affectation matrice],$AB$3,Invest[Amortissement HT + intérêts]))*BX31</f>
        <v>0</v>
      </c>
      <c r="X31" s="276">
        <f>(SUMIF(Fonctionnement[Affectation matrice],$AB$3,Fonctionnement[Montant (€HT)])+SUMIF(Invest[Affectation matrice],$AB$3,Invest[Amortissement HT + intérêts]))*BY31</f>
        <v>0</v>
      </c>
      <c r="Y31" s="276">
        <f>(SUMIF(Fonctionnement[Affectation matrice],$AB$3,Fonctionnement[Montant (€HT)])+SUMIF(Invest[Affectation matrice],$AB$3,Invest[Amortissement HT + intérêts]))*BZ31</f>
        <v>0</v>
      </c>
      <c r="Z31" s="276">
        <f>(SUMIF(Fonctionnement[Affectation matrice],$AB$3,Fonctionnement[Montant (€HT)])+SUMIF(Invest[Affectation matrice],$AB$3,Invest[Amortissement HT + intérêts]))*CA31</f>
        <v>0</v>
      </c>
      <c r="AA31" s="199"/>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283">
        <f t="shared" si="4"/>
        <v>0</v>
      </c>
      <c r="BB31" s="7"/>
      <c r="BC31" s="61">
        <f t="shared" si="8"/>
        <v>0</v>
      </c>
      <c r="BD31" s="61">
        <f t="shared" si="8"/>
        <v>0</v>
      </c>
      <c r="BE31" s="61">
        <f t="shared" si="8"/>
        <v>0</v>
      </c>
      <c r="BF31" s="61">
        <f t="shared" si="8"/>
        <v>0</v>
      </c>
      <c r="BG31" s="61">
        <f t="shared" si="8"/>
        <v>0</v>
      </c>
      <c r="BH31" s="61">
        <f t="shared" si="8"/>
        <v>0</v>
      </c>
      <c r="BI31" s="61">
        <f t="shared" si="8"/>
        <v>0</v>
      </c>
      <c r="BJ31" s="61">
        <f t="shared" si="8"/>
        <v>0</v>
      </c>
      <c r="BK31" s="61">
        <f t="shared" si="8"/>
        <v>0</v>
      </c>
      <c r="BL31" s="61">
        <f t="shared" si="8"/>
        <v>0</v>
      </c>
      <c r="BM31" s="61">
        <f t="shared" si="8"/>
        <v>0</v>
      </c>
      <c r="BN31" s="61">
        <f t="shared" si="8"/>
        <v>0</v>
      </c>
      <c r="BO31" s="61">
        <f t="shared" si="8"/>
        <v>0</v>
      </c>
      <c r="BP31" s="61">
        <f t="shared" si="8"/>
        <v>0</v>
      </c>
      <c r="BQ31" s="61">
        <f t="shared" si="8"/>
        <v>0</v>
      </c>
      <c r="BR31" s="61">
        <f t="shared" si="8"/>
        <v>0</v>
      </c>
      <c r="BS31" s="61">
        <f t="shared" si="9"/>
        <v>0</v>
      </c>
      <c r="BT31" s="61">
        <f t="shared" si="9"/>
        <v>0</v>
      </c>
      <c r="BU31" s="61">
        <f t="shared" si="9"/>
        <v>0</v>
      </c>
      <c r="BV31" s="61">
        <f t="shared" si="9"/>
        <v>0</v>
      </c>
      <c r="BW31" s="61">
        <f t="shared" si="9"/>
        <v>0</v>
      </c>
      <c r="BX31" s="61">
        <f t="shared" si="9"/>
        <v>0</v>
      </c>
      <c r="BY31" s="61">
        <f t="shared" si="9"/>
        <v>0</v>
      </c>
      <c r="BZ31" s="61">
        <f t="shared" si="9"/>
        <v>0</v>
      </c>
      <c r="CA31" s="61">
        <f t="shared" si="9"/>
        <v>0</v>
      </c>
      <c r="CB31" s="61">
        <f t="shared" si="5"/>
        <v>0</v>
      </c>
      <c r="CD31" s="200">
        <f>(SUMIF(Fonctionnement[Affectation matrice],$AB$3,Fonctionnement[TVA acquittée])+SUMIF(Invest[Affectation matrice],$AB$3,Invest[TVA acquittée]))*BC31</f>
        <v>0</v>
      </c>
      <c r="CE31" s="200">
        <f>(SUMIF(Fonctionnement[Affectation matrice],$AB$3,Fonctionnement[TVA acquittée])+SUMIF(Invest[Affectation matrice],$AB$3,Invest[TVA acquittée]))*BD31</f>
        <v>0</v>
      </c>
      <c r="CF31" s="200">
        <f>(SUMIF(Fonctionnement[Affectation matrice],$AB$3,Fonctionnement[TVA acquittée])+SUMIF(Invest[Affectation matrice],$AB$3,Invest[TVA acquittée]))*BE31</f>
        <v>0</v>
      </c>
      <c r="CG31" s="200">
        <f>(SUMIF(Fonctionnement[Affectation matrice],$AB$3,Fonctionnement[TVA acquittée])+SUMIF(Invest[Affectation matrice],$AB$3,Invest[TVA acquittée]))*BF31</f>
        <v>0</v>
      </c>
      <c r="CH31" s="200">
        <f>(SUMIF(Fonctionnement[Affectation matrice],$AB$3,Fonctionnement[TVA acquittée])+SUMIF(Invest[Affectation matrice],$AB$3,Invest[TVA acquittée]))*BG31</f>
        <v>0</v>
      </c>
      <c r="CI31" s="200">
        <f>(SUMIF(Fonctionnement[Affectation matrice],$AB$3,Fonctionnement[TVA acquittée])+SUMIF(Invest[Affectation matrice],$AB$3,Invest[TVA acquittée]))*BH31</f>
        <v>0</v>
      </c>
      <c r="CJ31" s="200">
        <f>(SUMIF(Fonctionnement[Affectation matrice],$AB$3,Fonctionnement[TVA acquittée])+SUMIF(Invest[Affectation matrice],$AB$3,Invest[TVA acquittée]))*BI31</f>
        <v>0</v>
      </c>
      <c r="CK31" s="200">
        <f>(SUMIF(Fonctionnement[Affectation matrice],$AB$3,Fonctionnement[TVA acquittée])+SUMIF(Invest[Affectation matrice],$AB$3,Invest[TVA acquittée]))*BJ31</f>
        <v>0</v>
      </c>
      <c r="CL31" s="200">
        <f>(SUMIF(Fonctionnement[Affectation matrice],$AB$3,Fonctionnement[TVA acquittée])+SUMIF(Invest[Affectation matrice],$AB$3,Invest[TVA acquittée]))*BK31</f>
        <v>0</v>
      </c>
      <c r="CM31" s="200">
        <f>(SUMIF(Fonctionnement[Affectation matrice],$AB$3,Fonctionnement[TVA acquittée])+SUMIF(Invest[Affectation matrice],$AB$3,Invest[TVA acquittée]))*BL31</f>
        <v>0</v>
      </c>
      <c r="CN31" s="200">
        <f>(SUMIF(Fonctionnement[Affectation matrice],$AB$3,Fonctionnement[TVA acquittée])+SUMIF(Invest[Affectation matrice],$AB$3,Invest[TVA acquittée]))*BM31</f>
        <v>0</v>
      </c>
      <c r="CO31" s="200">
        <f>(SUMIF(Fonctionnement[Affectation matrice],$AB$3,Fonctionnement[TVA acquittée])+SUMIF(Invest[Affectation matrice],$AB$3,Invest[TVA acquittée]))*BN31</f>
        <v>0</v>
      </c>
      <c r="CP31" s="200">
        <f>(SUMIF(Fonctionnement[Affectation matrice],$AB$3,Fonctionnement[TVA acquittée])+SUMIF(Invest[Affectation matrice],$AB$3,Invest[TVA acquittée]))*BO31</f>
        <v>0</v>
      </c>
      <c r="CQ31" s="200">
        <f>(SUMIF(Fonctionnement[Affectation matrice],$AB$3,Fonctionnement[TVA acquittée])+SUMIF(Invest[Affectation matrice],$AB$3,Invest[TVA acquittée]))*BP31</f>
        <v>0</v>
      </c>
      <c r="CR31" s="200">
        <f>(SUMIF(Fonctionnement[Affectation matrice],$AB$3,Fonctionnement[TVA acquittée])+SUMIF(Invest[Affectation matrice],$AB$3,Invest[TVA acquittée]))*BQ31</f>
        <v>0</v>
      </c>
      <c r="CS31" s="200">
        <f>(SUMIF(Fonctionnement[Affectation matrice],$AB$3,Fonctionnement[TVA acquittée])+SUMIF(Invest[Affectation matrice],$AB$3,Invest[TVA acquittée]))*BR31</f>
        <v>0</v>
      </c>
      <c r="CT31" s="200">
        <f>(SUMIF(Fonctionnement[Affectation matrice],$AB$3,Fonctionnement[TVA acquittée])+SUMIF(Invest[Affectation matrice],$AB$3,Invest[TVA acquittée]))*BS31</f>
        <v>0</v>
      </c>
      <c r="CU31" s="200">
        <f>(SUMIF(Fonctionnement[Affectation matrice],$AB$3,Fonctionnement[TVA acquittée])+SUMIF(Invest[Affectation matrice],$AB$3,Invest[TVA acquittée]))*BT31</f>
        <v>0</v>
      </c>
      <c r="CV31" s="200">
        <f>(SUMIF(Fonctionnement[Affectation matrice],$AB$3,Fonctionnement[TVA acquittée])+SUMIF(Invest[Affectation matrice],$AB$3,Invest[TVA acquittée]))*BU31</f>
        <v>0</v>
      </c>
      <c r="CW31" s="200">
        <f>(SUMIF(Fonctionnement[Affectation matrice],$AB$3,Fonctionnement[TVA acquittée])+SUMIF(Invest[Affectation matrice],$AB$3,Invest[TVA acquittée]))*BV31</f>
        <v>0</v>
      </c>
      <c r="CX31" s="200">
        <f>(SUMIF(Fonctionnement[Affectation matrice],$AB$3,Fonctionnement[TVA acquittée])+SUMIF(Invest[Affectation matrice],$AB$3,Invest[TVA acquittée]))*BW31</f>
        <v>0</v>
      </c>
      <c r="CY31" s="200">
        <f>(SUMIF(Fonctionnement[Affectation matrice],$AB$3,Fonctionnement[TVA acquittée])+SUMIF(Invest[Affectation matrice],$AB$3,Invest[TVA acquittée]))*BX31</f>
        <v>0</v>
      </c>
      <c r="CZ31" s="200">
        <f>(SUMIF(Fonctionnement[Affectation matrice],$AB$3,Fonctionnement[TVA acquittée])+SUMIF(Invest[Affectation matrice],$AB$3,Invest[TVA acquittée]))*BY31</f>
        <v>0</v>
      </c>
      <c r="DA31" s="200">
        <f>(SUMIF(Fonctionnement[Affectation matrice],$AB$3,Fonctionnement[TVA acquittée])+SUMIF(Invest[Affectation matrice],$AB$3,Invest[TVA acquittée]))*BZ31</f>
        <v>0</v>
      </c>
      <c r="DB31" s="200">
        <f>(SUMIF(Fonctionnement[Affectation matrice],$AB$3,Fonctionnement[TVA acquittée])+SUMIF(Invest[Affectation matrice],$AB$3,Invest[TVA acquittée]))*CA31</f>
        <v>0</v>
      </c>
    </row>
    <row r="32" spans="1:106" s="22" customFormat="1" ht="12.75" hidden="1" customHeight="1" x14ac:dyDescent="0.25">
      <c r="A32" s="42" t="str">
        <f>Matrice[[#This Row],[Ligne de la matrice]]</f>
        <v>Subventions de fonctionnement</v>
      </c>
      <c r="B32" s="276">
        <f>(SUMIF(Fonctionnement[Affectation matrice],$AB$3,Fonctionnement[Montant (€HT)])+SUMIF(Invest[Affectation matrice],$AB$3,Invest[Amortissement HT + intérêts]))*BC32</f>
        <v>0</v>
      </c>
      <c r="C32" s="276">
        <f>(SUMIF(Fonctionnement[Affectation matrice],$AB$3,Fonctionnement[Montant (€HT)])+SUMIF(Invest[Affectation matrice],$AB$3,Invest[Amortissement HT + intérêts]))*BD32</f>
        <v>0</v>
      </c>
      <c r="D32" s="276">
        <f>(SUMIF(Fonctionnement[Affectation matrice],$AB$3,Fonctionnement[Montant (€HT)])+SUMIF(Invest[Affectation matrice],$AB$3,Invest[Amortissement HT + intérêts]))*BE32</f>
        <v>0</v>
      </c>
      <c r="E32" s="276">
        <f>(SUMIF(Fonctionnement[Affectation matrice],$AB$3,Fonctionnement[Montant (€HT)])+SUMIF(Invest[Affectation matrice],$AB$3,Invest[Amortissement HT + intérêts]))*BF32</f>
        <v>0</v>
      </c>
      <c r="F32" s="276">
        <f>(SUMIF(Fonctionnement[Affectation matrice],$AB$3,Fonctionnement[Montant (€HT)])+SUMIF(Invest[Affectation matrice],$AB$3,Invest[Amortissement HT + intérêts]))*BG32</f>
        <v>0</v>
      </c>
      <c r="G32" s="276">
        <f>(SUMIF(Fonctionnement[Affectation matrice],$AB$3,Fonctionnement[Montant (€HT)])+SUMIF(Invest[Affectation matrice],$AB$3,Invest[Amortissement HT + intérêts]))*BH32</f>
        <v>0</v>
      </c>
      <c r="H32" s="276">
        <f>(SUMIF(Fonctionnement[Affectation matrice],$AB$3,Fonctionnement[Montant (€HT)])+SUMIF(Invest[Affectation matrice],$AB$3,Invest[Amortissement HT + intérêts]))*BI32</f>
        <v>0</v>
      </c>
      <c r="I32" s="276">
        <f>(SUMIF(Fonctionnement[Affectation matrice],$AB$3,Fonctionnement[Montant (€HT)])+SUMIF(Invest[Affectation matrice],$AB$3,Invest[Amortissement HT + intérêts]))*BJ32</f>
        <v>0</v>
      </c>
      <c r="J32" s="276">
        <f>(SUMIF(Fonctionnement[Affectation matrice],$AB$3,Fonctionnement[Montant (€HT)])+SUMIF(Invest[Affectation matrice],$AB$3,Invest[Amortissement HT + intérêts]))*BK32</f>
        <v>0</v>
      </c>
      <c r="K32" s="276">
        <f>(SUMIF(Fonctionnement[Affectation matrice],$AB$3,Fonctionnement[Montant (€HT)])+SUMIF(Invest[Affectation matrice],$AB$3,Invest[Amortissement HT + intérêts]))*BL32</f>
        <v>0</v>
      </c>
      <c r="L32" s="276">
        <f>(SUMIF(Fonctionnement[Affectation matrice],$AB$3,Fonctionnement[Montant (€HT)])+SUMIF(Invest[Affectation matrice],$AB$3,Invest[Amortissement HT + intérêts]))*BM32</f>
        <v>0</v>
      </c>
      <c r="M32" s="276">
        <f>(SUMIF(Fonctionnement[Affectation matrice],$AB$3,Fonctionnement[Montant (€HT)])+SUMIF(Invest[Affectation matrice],$AB$3,Invest[Amortissement HT + intérêts]))*BN32</f>
        <v>0</v>
      </c>
      <c r="N32" s="276">
        <f>(SUMIF(Fonctionnement[Affectation matrice],$AB$3,Fonctionnement[Montant (€HT)])+SUMIF(Invest[Affectation matrice],$AB$3,Invest[Amortissement HT + intérêts]))*BO32</f>
        <v>0</v>
      </c>
      <c r="O32" s="276">
        <f>(SUMIF(Fonctionnement[Affectation matrice],$AB$3,Fonctionnement[Montant (€HT)])+SUMIF(Invest[Affectation matrice],$AB$3,Invest[Amortissement HT + intérêts]))*BP32</f>
        <v>0</v>
      </c>
      <c r="P32" s="276">
        <f>(SUMIF(Fonctionnement[Affectation matrice],$AB$3,Fonctionnement[Montant (€HT)])+SUMIF(Invest[Affectation matrice],$AB$3,Invest[Amortissement HT + intérêts]))*BQ32</f>
        <v>0</v>
      </c>
      <c r="Q32" s="276">
        <f>(SUMIF(Fonctionnement[Affectation matrice],$AB$3,Fonctionnement[Montant (€HT)])+SUMIF(Invest[Affectation matrice],$AB$3,Invest[Amortissement HT + intérêts]))*BR32</f>
        <v>0</v>
      </c>
      <c r="R32" s="276">
        <f>(SUMIF(Fonctionnement[Affectation matrice],$AB$3,Fonctionnement[Montant (€HT)])+SUMIF(Invest[Affectation matrice],$AB$3,Invest[Amortissement HT + intérêts]))*BS32</f>
        <v>0</v>
      </c>
      <c r="S32" s="276">
        <f>(SUMIF(Fonctionnement[Affectation matrice],$AB$3,Fonctionnement[Montant (€HT)])+SUMIF(Invest[Affectation matrice],$AB$3,Invest[Amortissement HT + intérêts]))*BT32</f>
        <v>0</v>
      </c>
      <c r="T32" s="276">
        <f>(SUMIF(Fonctionnement[Affectation matrice],$AB$3,Fonctionnement[Montant (€HT)])+SUMIF(Invest[Affectation matrice],$AB$3,Invest[Amortissement HT + intérêts]))*BU32</f>
        <v>0</v>
      </c>
      <c r="U32" s="276">
        <f>(SUMIF(Fonctionnement[Affectation matrice],$AB$3,Fonctionnement[Montant (€HT)])+SUMIF(Invest[Affectation matrice],$AB$3,Invest[Amortissement HT + intérêts]))*BV32</f>
        <v>0</v>
      </c>
      <c r="V32" s="276">
        <f>(SUMIF(Fonctionnement[Affectation matrice],$AB$3,Fonctionnement[Montant (€HT)])+SUMIF(Invest[Affectation matrice],$AB$3,Invest[Amortissement HT + intérêts]))*BW32</f>
        <v>0</v>
      </c>
      <c r="W32" s="276">
        <f>(SUMIF(Fonctionnement[Affectation matrice],$AB$3,Fonctionnement[Montant (€HT)])+SUMIF(Invest[Affectation matrice],$AB$3,Invest[Amortissement HT + intérêts]))*BX32</f>
        <v>0</v>
      </c>
      <c r="X32" s="276">
        <f>(SUMIF(Fonctionnement[Affectation matrice],$AB$3,Fonctionnement[Montant (€HT)])+SUMIF(Invest[Affectation matrice],$AB$3,Invest[Amortissement HT + intérêts]))*BY32</f>
        <v>0</v>
      </c>
      <c r="Y32" s="276">
        <f>(SUMIF(Fonctionnement[Affectation matrice],$AB$3,Fonctionnement[Montant (€HT)])+SUMIF(Invest[Affectation matrice],$AB$3,Invest[Amortissement HT + intérêts]))*BZ32</f>
        <v>0</v>
      </c>
      <c r="Z32" s="276">
        <f>(SUMIF(Fonctionnement[Affectation matrice],$AB$3,Fonctionnement[Montant (€HT)])+SUMIF(Invest[Affectation matrice],$AB$3,Invest[Amortissement HT + intérêts]))*CA32</f>
        <v>0</v>
      </c>
      <c r="AA32" s="199"/>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283">
        <f t="shared" si="4"/>
        <v>0</v>
      </c>
      <c r="BB32" s="7"/>
      <c r="BC32" s="61">
        <f t="shared" si="8"/>
        <v>0</v>
      </c>
      <c r="BD32" s="61">
        <f t="shared" si="8"/>
        <v>0</v>
      </c>
      <c r="BE32" s="61">
        <f t="shared" si="8"/>
        <v>0</v>
      </c>
      <c r="BF32" s="61">
        <f t="shared" si="8"/>
        <v>0</v>
      </c>
      <c r="BG32" s="61">
        <f t="shared" si="8"/>
        <v>0</v>
      </c>
      <c r="BH32" s="61">
        <f t="shared" si="8"/>
        <v>0</v>
      </c>
      <c r="BI32" s="61">
        <f t="shared" si="8"/>
        <v>0</v>
      </c>
      <c r="BJ32" s="61">
        <f t="shared" si="8"/>
        <v>0</v>
      </c>
      <c r="BK32" s="61">
        <f t="shared" si="8"/>
        <v>0</v>
      </c>
      <c r="BL32" s="61">
        <f t="shared" si="8"/>
        <v>0</v>
      </c>
      <c r="BM32" s="61">
        <f t="shared" si="8"/>
        <v>0</v>
      </c>
      <c r="BN32" s="61">
        <f t="shared" si="8"/>
        <v>0</v>
      </c>
      <c r="BO32" s="61">
        <f t="shared" si="8"/>
        <v>0</v>
      </c>
      <c r="BP32" s="61">
        <f t="shared" si="8"/>
        <v>0</v>
      </c>
      <c r="BQ32" s="61">
        <f t="shared" si="8"/>
        <v>0</v>
      </c>
      <c r="BR32" s="61">
        <f t="shared" si="8"/>
        <v>0</v>
      </c>
      <c r="BS32" s="61">
        <f t="shared" si="9"/>
        <v>0</v>
      </c>
      <c r="BT32" s="61">
        <f t="shared" si="9"/>
        <v>0</v>
      </c>
      <c r="BU32" s="61">
        <f t="shared" si="9"/>
        <v>0</v>
      </c>
      <c r="BV32" s="61">
        <f t="shared" si="9"/>
        <v>0</v>
      </c>
      <c r="BW32" s="61">
        <f t="shared" si="9"/>
        <v>0</v>
      </c>
      <c r="BX32" s="61">
        <f t="shared" si="9"/>
        <v>0</v>
      </c>
      <c r="BY32" s="61">
        <f t="shared" si="9"/>
        <v>0</v>
      </c>
      <c r="BZ32" s="61">
        <f t="shared" si="9"/>
        <v>0</v>
      </c>
      <c r="CA32" s="61">
        <f t="shared" si="9"/>
        <v>0</v>
      </c>
      <c r="CB32" s="61">
        <f t="shared" si="5"/>
        <v>0</v>
      </c>
      <c r="CD32" s="200">
        <f>(SUMIF(Fonctionnement[Affectation matrice],$AB$3,Fonctionnement[TVA acquittée])+SUMIF(Invest[Affectation matrice],$AB$3,Invest[TVA acquittée]))*BC32</f>
        <v>0</v>
      </c>
      <c r="CE32" s="200">
        <f>(SUMIF(Fonctionnement[Affectation matrice],$AB$3,Fonctionnement[TVA acquittée])+SUMIF(Invest[Affectation matrice],$AB$3,Invest[TVA acquittée]))*BD32</f>
        <v>0</v>
      </c>
      <c r="CF32" s="200">
        <f>(SUMIF(Fonctionnement[Affectation matrice],$AB$3,Fonctionnement[TVA acquittée])+SUMIF(Invest[Affectation matrice],$AB$3,Invest[TVA acquittée]))*BE32</f>
        <v>0</v>
      </c>
      <c r="CG32" s="200">
        <f>(SUMIF(Fonctionnement[Affectation matrice],$AB$3,Fonctionnement[TVA acquittée])+SUMIF(Invest[Affectation matrice],$AB$3,Invest[TVA acquittée]))*BF32</f>
        <v>0</v>
      </c>
      <c r="CH32" s="200">
        <f>(SUMIF(Fonctionnement[Affectation matrice],$AB$3,Fonctionnement[TVA acquittée])+SUMIF(Invest[Affectation matrice],$AB$3,Invest[TVA acquittée]))*BG32</f>
        <v>0</v>
      </c>
      <c r="CI32" s="200">
        <f>(SUMIF(Fonctionnement[Affectation matrice],$AB$3,Fonctionnement[TVA acquittée])+SUMIF(Invest[Affectation matrice],$AB$3,Invest[TVA acquittée]))*BH32</f>
        <v>0</v>
      </c>
      <c r="CJ32" s="200">
        <f>(SUMIF(Fonctionnement[Affectation matrice],$AB$3,Fonctionnement[TVA acquittée])+SUMIF(Invest[Affectation matrice],$AB$3,Invest[TVA acquittée]))*BI32</f>
        <v>0</v>
      </c>
      <c r="CK32" s="200">
        <f>(SUMIF(Fonctionnement[Affectation matrice],$AB$3,Fonctionnement[TVA acquittée])+SUMIF(Invest[Affectation matrice],$AB$3,Invest[TVA acquittée]))*BJ32</f>
        <v>0</v>
      </c>
      <c r="CL32" s="200">
        <f>(SUMIF(Fonctionnement[Affectation matrice],$AB$3,Fonctionnement[TVA acquittée])+SUMIF(Invest[Affectation matrice],$AB$3,Invest[TVA acquittée]))*BK32</f>
        <v>0</v>
      </c>
      <c r="CM32" s="200">
        <f>(SUMIF(Fonctionnement[Affectation matrice],$AB$3,Fonctionnement[TVA acquittée])+SUMIF(Invest[Affectation matrice],$AB$3,Invest[TVA acquittée]))*BL32</f>
        <v>0</v>
      </c>
      <c r="CN32" s="200">
        <f>(SUMIF(Fonctionnement[Affectation matrice],$AB$3,Fonctionnement[TVA acquittée])+SUMIF(Invest[Affectation matrice],$AB$3,Invest[TVA acquittée]))*BM32</f>
        <v>0</v>
      </c>
      <c r="CO32" s="200">
        <f>(SUMIF(Fonctionnement[Affectation matrice],$AB$3,Fonctionnement[TVA acquittée])+SUMIF(Invest[Affectation matrice],$AB$3,Invest[TVA acquittée]))*BN32</f>
        <v>0</v>
      </c>
      <c r="CP32" s="200">
        <f>(SUMIF(Fonctionnement[Affectation matrice],$AB$3,Fonctionnement[TVA acquittée])+SUMIF(Invest[Affectation matrice],$AB$3,Invest[TVA acquittée]))*BO32</f>
        <v>0</v>
      </c>
      <c r="CQ32" s="200">
        <f>(SUMIF(Fonctionnement[Affectation matrice],$AB$3,Fonctionnement[TVA acquittée])+SUMIF(Invest[Affectation matrice],$AB$3,Invest[TVA acquittée]))*BP32</f>
        <v>0</v>
      </c>
      <c r="CR32" s="200">
        <f>(SUMIF(Fonctionnement[Affectation matrice],$AB$3,Fonctionnement[TVA acquittée])+SUMIF(Invest[Affectation matrice],$AB$3,Invest[TVA acquittée]))*BQ32</f>
        <v>0</v>
      </c>
      <c r="CS32" s="200">
        <f>(SUMIF(Fonctionnement[Affectation matrice],$AB$3,Fonctionnement[TVA acquittée])+SUMIF(Invest[Affectation matrice],$AB$3,Invest[TVA acquittée]))*BR32</f>
        <v>0</v>
      </c>
      <c r="CT32" s="200">
        <f>(SUMIF(Fonctionnement[Affectation matrice],$AB$3,Fonctionnement[TVA acquittée])+SUMIF(Invest[Affectation matrice],$AB$3,Invest[TVA acquittée]))*BS32</f>
        <v>0</v>
      </c>
      <c r="CU32" s="200">
        <f>(SUMIF(Fonctionnement[Affectation matrice],$AB$3,Fonctionnement[TVA acquittée])+SUMIF(Invest[Affectation matrice],$AB$3,Invest[TVA acquittée]))*BT32</f>
        <v>0</v>
      </c>
      <c r="CV32" s="200">
        <f>(SUMIF(Fonctionnement[Affectation matrice],$AB$3,Fonctionnement[TVA acquittée])+SUMIF(Invest[Affectation matrice],$AB$3,Invest[TVA acquittée]))*BU32</f>
        <v>0</v>
      </c>
      <c r="CW32" s="200">
        <f>(SUMIF(Fonctionnement[Affectation matrice],$AB$3,Fonctionnement[TVA acquittée])+SUMIF(Invest[Affectation matrice],$AB$3,Invest[TVA acquittée]))*BV32</f>
        <v>0</v>
      </c>
      <c r="CX32" s="200">
        <f>(SUMIF(Fonctionnement[Affectation matrice],$AB$3,Fonctionnement[TVA acquittée])+SUMIF(Invest[Affectation matrice],$AB$3,Invest[TVA acquittée]))*BW32</f>
        <v>0</v>
      </c>
      <c r="CY32" s="200">
        <f>(SUMIF(Fonctionnement[Affectation matrice],$AB$3,Fonctionnement[TVA acquittée])+SUMIF(Invest[Affectation matrice],$AB$3,Invest[TVA acquittée]))*BX32</f>
        <v>0</v>
      </c>
      <c r="CZ32" s="200">
        <f>(SUMIF(Fonctionnement[Affectation matrice],$AB$3,Fonctionnement[TVA acquittée])+SUMIF(Invest[Affectation matrice],$AB$3,Invest[TVA acquittée]))*BY32</f>
        <v>0</v>
      </c>
      <c r="DA32" s="200">
        <f>(SUMIF(Fonctionnement[Affectation matrice],$AB$3,Fonctionnement[TVA acquittée])+SUMIF(Invest[Affectation matrice],$AB$3,Invest[TVA acquittée]))*BZ32</f>
        <v>0</v>
      </c>
      <c r="DB32" s="200">
        <f>(SUMIF(Fonctionnement[Affectation matrice],$AB$3,Fonctionnement[TVA acquittée])+SUMIF(Invest[Affectation matrice],$AB$3,Invest[TVA acquittée]))*CA32</f>
        <v>0</v>
      </c>
    </row>
    <row r="33" spans="1:106" s="22" customFormat="1" ht="12.75" hidden="1" customHeight="1" x14ac:dyDescent="0.25">
      <c r="A33" s="42" t="str">
        <f>Matrice[[#This Row],[Ligne de la matrice]]</f>
        <v>Aides à l'emploi</v>
      </c>
      <c r="B33" s="276">
        <f>(SUMIF(Fonctionnement[Affectation matrice],$AB$3,Fonctionnement[Montant (€HT)])+SUMIF(Invest[Affectation matrice],$AB$3,Invest[Amortissement HT + intérêts]))*BC33</f>
        <v>0</v>
      </c>
      <c r="C33" s="276">
        <f>(SUMIF(Fonctionnement[Affectation matrice],$AB$3,Fonctionnement[Montant (€HT)])+SUMIF(Invest[Affectation matrice],$AB$3,Invest[Amortissement HT + intérêts]))*BD33</f>
        <v>0</v>
      </c>
      <c r="D33" s="276">
        <f>(SUMIF(Fonctionnement[Affectation matrice],$AB$3,Fonctionnement[Montant (€HT)])+SUMIF(Invest[Affectation matrice],$AB$3,Invest[Amortissement HT + intérêts]))*BE33</f>
        <v>0</v>
      </c>
      <c r="E33" s="276">
        <f>(SUMIF(Fonctionnement[Affectation matrice],$AB$3,Fonctionnement[Montant (€HT)])+SUMIF(Invest[Affectation matrice],$AB$3,Invest[Amortissement HT + intérêts]))*BF33</f>
        <v>0</v>
      </c>
      <c r="F33" s="276">
        <f>(SUMIF(Fonctionnement[Affectation matrice],$AB$3,Fonctionnement[Montant (€HT)])+SUMIF(Invest[Affectation matrice],$AB$3,Invest[Amortissement HT + intérêts]))*BG33</f>
        <v>0</v>
      </c>
      <c r="G33" s="276">
        <f>(SUMIF(Fonctionnement[Affectation matrice],$AB$3,Fonctionnement[Montant (€HT)])+SUMIF(Invest[Affectation matrice],$AB$3,Invest[Amortissement HT + intérêts]))*BH33</f>
        <v>0</v>
      </c>
      <c r="H33" s="276">
        <f>(SUMIF(Fonctionnement[Affectation matrice],$AB$3,Fonctionnement[Montant (€HT)])+SUMIF(Invest[Affectation matrice],$AB$3,Invest[Amortissement HT + intérêts]))*BI33</f>
        <v>0</v>
      </c>
      <c r="I33" s="276">
        <f>(SUMIF(Fonctionnement[Affectation matrice],$AB$3,Fonctionnement[Montant (€HT)])+SUMIF(Invest[Affectation matrice],$AB$3,Invest[Amortissement HT + intérêts]))*BJ33</f>
        <v>0</v>
      </c>
      <c r="J33" s="276">
        <f>(SUMIF(Fonctionnement[Affectation matrice],$AB$3,Fonctionnement[Montant (€HT)])+SUMIF(Invest[Affectation matrice],$AB$3,Invest[Amortissement HT + intérêts]))*BK33</f>
        <v>0</v>
      </c>
      <c r="K33" s="276">
        <f>(SUMIF(Fonctionnement[Affectation matrice],$AB$3,Fonctionnement[Montant (€HT)])+SUMIF(Invest[Affectation matrice],$AB$3,Invest[Amortissement HT + intérêts]))*BL33</f>
        <v>0</v>
      </c>
      <c r="L33" s="276">
        <f>(SUMIF(Fonctionnement[Affectation matrice],$AB$3,Fonctionnement[Montant (€HT)])+SUMIF(Invest[Affectation matrice],$AB$3,Invest[Amortissement HT + intérêts]))*BM33</f>
        <v>0</v>
      </c>
      <c r="M33" s="276">
        <f>(SUMIF(Fonctionnement[Affectation matrice],$AB$3,Fonctionnement[Montant (€HT)])+SUMIF(Invest[Affectation matrice],$AB$3,Invest[Amortissement HT + intérêts]))*BN33</f>
        <v>0</v>
      </c>
      <c r="N33" s="276">
        <f>(SUMIF(Fonctionnement[Affectation matrice],$AB$3,Fonctionnement[Montant (€HT)])+SUMIF(Invest[Affectation matrice],$AB$3,Invest[Amortissement HT + intérêts]))*BO33</f>
        <v>0</v>
      </c>
      <c r="O33" s="276">
        <f>(SUMIF(Fonctionnement[Affectation matrice],$AB$3,Fonctionnement[Montant (€HT)])+SUMIF(Invest[Affectation matrice],$AB$3,Invest[Amortissement HT + intérêts]))*BP33</f>
        <v>0</v>
      </c>
      <c r="P33" s="276">
        <f>(SUMIF(Fonctionnement[Affectation matrice],$AB$3,Fonctionnement[Montant (€HT)])+SUMIF(Invest[Affectation matrice],$AB$3,Invest[Amortissement HT + intérêts]))*BQ33</f>
        <v>0</v>
      </c>
      <c r="Q33" s="276">
        <f>(SUMIF(Fonctionnement[Affectation matrice],$AB$3,Fonctionnement[Montant (€HT)])+SUMIF(Invest[Affectation matrice],$AB$3,Invest[Amortissement HT + intérêts]))*BR33</f>
        <v>0</v>
      </c>
      <c r="R33" s="276">
        <f>(SUMIF(Fonctionnement[Affectation matrice],$AB$3,Fonctionnement[Montant (€HT)])+SUMIF(Invest[Affectation matrice],$AB$3,Invest[Amortissement HT + intérêts]))*BS33</f>
        <v>0</v>
      </c>
      <c r="S33" s="276">
        <f>(SUMIF(Fonctionnement[Affectation matrice],$AB$3,Fonctionnement[Montant (€HT)])+SUMIF(Invest[Affectation matrice],$AB$3,Invest[Amortissement HT + intérêts]))*BT33</f>
        <v>0</v>
      </c>
      <c r="T33" s="276">
        <f>(SUMIF(Fonctionnement[Affectation matrice],$AB$3,Fonctionnement[Montant (€HT)])+SUMIF(Invest[Affectation matrice],$AB$3,Invest[Amortissement HT + intérêts]))*BU33</f>
        <v>0</v>
      </c>
      <c r="U33" s="276">
        <f>(SUMIF(Fonctionnement[Affectation matrice],$AB$3,Fonctionnement[Montant (€HT)])+SUMIF(Invest[Affectation matrice],$AB$3,Invest[Amortissement HT + intérêts]))*BV33</f>
        <v>0</v>
      </c>
      <c r="V33" s="276">
        <f>(SUMIF(Fonctionnement[Affectation matrice],$AB$3,Fonctionnement[Montant (€HT)])+SUMIF(Invest[Affectation matrice],$AB$3,Invest[Amortissement HT + intérêts]))*BW33</f>
        <v>0</v>
      </c>
      <c r="W33" s="276">
        <f>(SUMIF(Fonctionnement[Affectation matrice],$AB$3,Fonctionnement[Montant (€HT)])+SUMIF(Invest[Affectation matrice],$AB$3,Invest[Amortissement HT + intérêts]))*BX33</f>
        <v>0</v>
      </c>
      <c r="X33" s="276">
        <f>(SUMIF(Fonctionnement[Affectation matrice],$AB$3,Fonctionnement[Montant (€HT)])+SUMIF(Invest[Affectation matrice],$AB$3,Invest[Amortissement HT + intérêts]))*BY33</f>
        <v>0</v>
      </c>
      <c r="Y33" s="276">
        <f>(SUMIF(Fonctionnement[Affectation matrice],$AB$3,Fonctionnement[Montant (€HT)])+SUMIF(Invest[Affectation matrice],$AB$3,Invest[Amortissement HT + intérêts]))*BZ33</f>
        <v>0</v>
      </c>
      <c r="Z33" s="276">
        <f>(SUMIF(Fonctionnement[Affectation matrice],$AB$3,Fonctionnement[Montant (€HT)])+SUMIF(Invest[Affectation matrice],$AB$3,Invest[Amortissement HT + intérêts]))*CA33</f>
        <v>0</v>
      </c>
      <c r="AA33" s="199"/>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283">
        <f t="shared" si="4"/>
        <v>0</v>
      </c>
      <c r="BB33" s="7"/>
      <c r="BC33" s="61">
        <f t="shared" si="8"/>
        <v>0</v>
      </c>
      <c r="BD33" s="61">
        <f t="shared" si="8"/>
        <v>0</v>
      </c>
      <c r="BE33" s="61">
        <f t="shared" si="8"/>
        <v>0</v>
      </c>
      <c r="BF33" s="61">
        <f t="shared" si="8"/>
        <v>0</v>
      </c>
      <c r="BG33" s="61">
        <f t="shared" si="8"/>
        <v>0</v>
      </c>
      <c r="BH33" s="61">
        <f t="shared" si="8"/>
        <v>0</v>
      </c>
      <c r="BI33" s="61">
        <f t="shared" si="8"/>
        <v>0</v>
      </c>
      <c r="BJ33" s="61">
        <f t="shared" si="8"/>
        <v>0</v>
      </c>
      <c r="BK33" s="61">
        <f t="shared" si="8"/>
        <v>0</v>
      </c>
      <c r="BL33" s="61">
        <f t="shared" si="8"/>
        <v>0</v>
      </c>
      <c r="BM33" s="61">
        <f t="shared" si="8"/>
        <v>0</v>
      </c>
      <c r="BN33" s="61">
        <f t="shared" si="8"/>
        <v>0</v>
      </c>
      <c r="BO33" s="61">
        <f t="shared" si="8"/>
        <v>0</v>
      </c>
      <c r="BP33" s="61">
        <f t="shared" si="8"/>
        <v>0</v>
      </c>
      <c r="BQ33" s="61">
        <f t="shared" si="8"/>
        <v>0</v>
      </c>
      <c r="BR33" s="61">
        <f t="shared" si="8"/>
        <v>0</v>
      </c>
      <c r="BS33" s="61">
        <f t="shared" si="9"/>
        <v>0</v>
      </c>
      <c r="BT33" s="61">
        <f t="shared" si="9"/>
        <v>0</v>
      </c>
      <c r="BU33" s="61">
        <f t="shared" si="9"/>
        <v>0</v>
      </c>
      <c r="BV33" s="61">
        <f t="shared" si="9"/>
        <v>0</v>
      </c>
      <c r="BW33" s="61">
        <f t="shared" si="9"/>
        <v>0</v>
      </c>
      <c r="BX33" s="61">
        <f t="shared" si="9"/>
        <v>0</v>
      </c>
      <c r="BY33" s="61">
        <f t="shared" si="9"/>
        <v>0</v>
      </c>
      <c r="BZ33" s="61">
        <f t="shared" si="9"/>
        <v>0</v>
      </c>
      <c r="CA33" s="61">
        <f t="shared" si="9"/>
        <v>0</v>
      </c>
      <c r="CB33" s="61">
        <f t="shared" si="5"/>
        <v>0</v>
      </c>
      <c r="CD33" s="200">
        <f>(SUMIF(Fonctionnement[Affectation matrice],$AB$3,Fonctionnement[TVA acquittée])+SUMIF(Invest[Affectation matrice],$AB$3,Invest[TVA acquittée]))*BC33</f>
        <v>0</v>
      </c>
      <c r="CE33" s="200">
        <f>(SUMIF(Fonctionnement[Affectation matrice],$AB$3,Fonctionnement[TVA acquittée])+SUMIF(Invest[Affectation matrice],$AB$3,Invest[TVA acquittée]))*BD33</f>
        <v>0</v>
      </c>
      <c r="CF33" s="200">
        <f>(SUMIF(Fonctionnement[Affectation matrice],$AB$3,Fonctionnement[TVA acquittée])+SUMIF(Invest[Affectation matrice],$AB$3,Invest[TVA acquittée]))*BE33</f>
        <v>0</v>
      </c>
      <c r="CG33" s="200">
        <f>(SUMIF(Fonctionnement[Affectation matrice],$AB$3,Fonctionnement[TVA acquittée])+SUMIF(Invest[Affectation matrice],$AB$3,Invest[TVA acquittée]))*BF33</f>
        <v>0</v>
      </c>
      <c r="CH33" s="200">
        <f>(SUMIF(Fonctionnement[Affectation matrice],$AB$3,Fonctionnement[TVA acquittée])+SUMIF(Invest[Affectation matrice],$AB$3,Invest[TVA acquittée]))*BG33</f>
        <v>0</v>
      </c>
      <c r="CI33" s="200">
        <f>(SUMIF(Fonctionnement[Affectation matrice],$AB$3,Fonctionnement[TVA acquittée])+SUMIF(Invest[Affectation matrice],$AB$3,Invest[TVA acquittée]))*BH33</f>
        <v>0</v>
      </c>
      <c r="CJ33" s="200">
        <f>(SUMIF(Fonctionnement[Affectation matrice],$AB$3,Fonctionnement[TVA acquittée])+SUMIF(Invest[Affectation matrice],$AB$3,Invest[TVA acquittée]))*BI33</f>
        <v>0</v>
      </c>
      <c r="CK33" s="200">
        <f>(SUMIF(Fonctionnement[Affectation matrice],$AB$3,Fonctionnement[TVA acquittée])+SUMIF(Invest[Affectation matrice],$AB$3,Invest[TVA acquittée]))*BJ33</f>
        <v>0</v>
      </c>
      <c r="CL33" s="200">
        <f>(SUMIF(Fonctionnement[Affectation matrice],$AB$3,Fonctionnement[TVA acquittée])+SUMIF(Invest[Affectation matrice],$AB$3,Invest[TVA acquittée]))*BK33</f>
        <v>0</v>
      </c>
      <c r="CM33" s="200">
        <f>(SUMIF(Fonctionnement[Affectation matrice],$AB$3,Fonctionnement[TVA acquittée])+SUMIF(Invest[Affectation matrice],$AB$3,Invest[TVA acquittée]))*BL33</f>
        <v>0</v>
      </c>
      <c r="CN33" s="200">
        <f>(SUMIF(Fonctionnement[Affectation matrice],$AB$3,Fonctionnement[TVA acquittée])+SUMIF(Invest[Affectation matrice],$AB$3,Invest[TVA acquittée]))*BM33</f>
        <v>0</v>
      </c>
      <c r="CO33" s="200">
        <f>(SUMIF(Fonctionnement[Affectation matrice],$AB$3,Fonctionnement[TVA acquittée])+SUMIF(Invest[Affectation matrice],$AB$3,Invest[TVA acquittée]))*BN33</f>
        <v>0</v>
      </c>
      <c r="CP33" s="200">
        <f>(SUMIF(Fonctionnement[Affectation matrice],$AB$3,Fonctionnement[TVA acquittée])+SUMIF(Invest[Affectation matrice],$AB$3,Invest[TVA acquittée]))*BO33</f>
        <v>0</v>
      </c>
      <c r="CQ33" s="200">
        <f>(SUMIF(Fonctionnement[Affectation matrice],$AB$3,Fonctionnement[TVA acquittée])+SUMIF(Invest[Affectation matrice],$AB$3,Invest[TVA acquittée]))*BP33</f>
        <v>0</v>
      </c>
      <c r="CR33" s="200">
        <f>(SUMIF(Fonctionnement[Affectation matrice],$AB$3,Fonctionnement[TVA acquittée])+SUMIF(Invest[Affectation matrice],$AB$3,Invest[TVA acquittée]))*BQ33</f>
        <v>0</v>
      </c>
      <c r="CS33" s="200">
        <f>(SUMIF(Fonctionnement[Affectation matrice],$AB$3,Fonctionnement[TVA acquittée])+SUMIF(Invest[Affectation matrice],$AB$3,Invest[TVA acquittée]))*BR33</f>
        <v>0</v>
      </c>
      <c r="CT33" s="200">
        <f>(SUMIF(Fonctionnement[Affectation matrice],$AB$3,Fonctionnement[TVA acquittée])+SUMIF(Invest[Affectation matrice],$AB$3,Invest[TVA acquittée]))*BS33</f>
        <v>0</v>
      </c>
      <c r="CU33" s="200">
        <f>(SUMIF(Fonctionnement[Affectation matrice],$AB$3,Fonctionnement[TVA acquittée])+SUMIF(Invest[Affectation matrice],$AB$3,Invest[TVA acquittée]))*BT33</f>
        <v>0</v>
      </c>
      <c r="CV33" s="200">
        <f>(SUMIF(Fonctionnement[Affectation matrice],$AB$3,Fonctionnement[TVA acquittée])+SUMIF(Invest[Affectation matrice],$AB$3,Invest[TVA acquittée]))*BU33</f>
        <v>0</v>
      </c>
      <c r="CW33" s="200">
        <f>(SUMIF(Fonctionnement[Affectation matrice],$AB$3,Fonctionnement[TVA acquittée])+SUMIF(Invest[Affectation matrice],$AB$3,Invest[TVA acquittée]))*BV33</f>
        <v>0</v>
      </c>
      <c r="CX33" s="200">
        <f>(SUMIF(Fonctionnement[Affectation matrice],$AB$3,Fonctionnement[TVA acquittée])+SUMIF(Invest[Affectation matrice],$AB$3,Invest[TVA acquittée]))*BW33</f>
        <v>0</v>
      </c>
      <c r="CY33" s="200">
        <f>(SUMIF(Fonctionnement[Affectation matrice],$AB$3,Fonctionnement[TVA acquittée])+SUMIF(Invest[Affectation matrice],$AB$3,Invest[TVA acquittée]))*BX33</f>
        <v>0</v>
      </c>
      <c r="CZ33" s="200">
        <f>(SUMIF(Fonctionnement[Affectation matrice],$AB$3,Fonctionnement[TVA acquittée])+SUMIF(Invest[Affectation matrice],$AB$3,Invest[TVA acquittée]))*BY33</f>
        <v>0</v>
      </c>
      <c r="DA33" s="200">
        <f>(SUMIF(Fonctionnement[Affectation matrice],$AB$3,Fonctionnement[TVA acquittée])+SUMIF(Invest[Affectation matrice],$AB$3,Invest[TVA acquittée]))*BZ33</f>
        <v>0</v>
      </c>
      <c r="DB33" s="200">
        <f>(SUMIF(Fonctionnement[Affectation matrice],$AB$3,Fonctionnement[TVA acquittée])+SUMIF(Invest[Affectation matrice],$AB$3,Invest[TVA acquittée]))*CA33</f>
        <v>0</v>
      </c>
    </row>
    <row r="34" spans="1:106" s="205" customFormat="1" ht="12.75" hidden="1" customHeight="1" x14ac:dyDescent="0.25">
      <c r="A34" s="186"/>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02"/>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03"/>
      <c r="BB34" s="204"/>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row>
    <row r="35" spans="1:106" s="22" customFormat="1" ht="12.75" hidden="1" customHeight="1" x14ac:dyDescent="0.25">
      <c r="A35" s="42" t="str">
        <f>Matrice[[#This Row],[Ligne de la matrice]]</f>
        <v>TVA acquittée</v>
      </c>
      <c r="B35" s="276">
        <f>(SUMIF(Fonctionnement[Affectation matrice],$AB$3,Fonctionnement[Montant (€HT)])+SUMIF(Invest[Affectation matrice],$AB$3,Invest[Amortissement HT + intérêts]))*BC35</f>
        <v>0</v>
      </c>
      <c r="C35" s="276">
        <f>(SUMIF(Fonctionnement[Affectation matrice],$AB$3,Fonctionnement[Montant (€HT)])+SUMIF(Invest[Affectation matrice],$AB$3,Invest[Amortissement HT + intérêts]))*BD35</f>
        <v>0</v>
      </c>
      <c r="D35" s="276">
        <f>(SUMIF(Fonctionnement[Affectation matrice],$AB$3,Fonctionnement[Montant (€HT)])+SUMIF(Invest[Affectation matrice],$AB$3,Invest[Amortissement HT + intérêts]))*BE35</f>
        <v>0</v>
      </c>
      <c r="E35" s="276">
        <f>(SUMIF(Fonctionnement[Affectation matrice],$AB$3,Fonctionnement[Montant (€HT)])+SUMIF(Invest[Affectation matrice],$AB$3,Invest[Amortissement HT + intérêts]))*BF35</f>
        <v>0</v>
      </c>
      <c r="F35" s="276">
        <f>(SUMIF(Fonctionnement[Affectation matrice],$AB$3,Fonctionnement[Montant (€HT)])+SUMIF(Invest[Affectation matrice],$AB$3,Invest[Amortissement HT + intérêts]))*BG35</f>
        <v>0</v>
      </c>
      <c r="G35" s="276">
        <f>(SUMIF(Fonctionnement[Affectation matrice],$AB$3,Fonctionnement[Montant (€HT)])+SUMIF(Invest[Affectation matrice],$AB$3,Invest[Amortissement HT + intérêts]))*BH35</f>
        <v>0</v>
      </c>
      <c r="H35" s="276">
        <f>(SUMIF(Fonctionnement[Affectation matrice],$AB$3,Fonctionnement[Montant (€HT)])+SUMIF(Invest[Affectation matrice],$AB$3,Invest[Amortissement HT + intérêts]))*BI35</f>
        <v>0</v>
      </c>
      <c r="I35" s="276">
        <f>(SUMIF(Fonctionnement[Affectation matrice],$AB$3,Fonctionnement[Montant (€HT)])+SUMIF(Invest[Affectation matrice],$AB$3,Invest[Amortissement HT + intérêts]))*BJ35</f>
        <v>0</v>
      </c>
      <c r="J35" s="276">
        <f>(SUMIF(Fonctionnement[Affectation matrice],$AB$3,Fonctionnement[Montant (€HT)])+SUMIF(Invest[Affectation matrice],$AB$3,Invest[Amortissement HT + intérêts]))*BK35</f>
        <v>0</v>
      </c>
      <c r="K35" s="276">
        <f>(SUMIF(Fonctionnement[Affectation matrice],$AB$3,Fonctionnement[Montant (€HT)])+SUMIF(Invest[Affectation matrice],$AB$3,Invest[Amortissement HT + intérêts]))*BL35</f>
        <v>0</v>
      </c>
      <c r="L35" s="276">
        <f>(SUMIF(Fonctionnement[Affectation matrice],$AB$3,Fonctionnement[Montant (€HT)])+SUMIF(Invest[Affectation matrice],$AB$3,Invest[Amortissement HT + intérêts]))*BM35</f>
        <v>0</v>
      </c>
      <c r="M35" s="276">
        <f>(SUMIF(Fonctionnement[Affectation matrice],$AB$3,Fonctionnement[Montant (€HT)])+SUMIF(Invest[Affectation matrice],$AB$3,Invest[Amortissement HT + intérêts]))*BN35</f>
        <v>0</v>
      </c>
      <c r="N35" s="276">
        <f>(SUMIF(Fonctionnement[Affectation matrice],$AB$3,Fonctionnement[Montant (€HT)])+SUMIF(Invest[Affectation matrice],$AB$3,Invest[Amortissement HT + intérêts]))*BO35</f>
        <v>0</v>
      </c>
      <c r="O35" s="276">
        <f>(SUMIF(Fonctionnement[Affectation matrice],$AB$3,Fonctionnement[Montant (€HT)])+SUMIF(Invest[Affectation matrice],$AB$3,Invest[Amortissement HT + intérêts]))*BP35</f>
        <v>0</v>
      </c>
      <c r="P35" s="276">
        <f>(SUMIF(Fonctionnement[Affectation matrice],$AB$3,Fonctionnement[Montant (€HT)])+SUMIF(Invest[Affectation matrice],$AB$3,Invest[Amortissement HT + intérêts]))*BQ35</f>
        <v>0</v>
      </c>
      <c r="Q35" s="276">
        <f>(SUMIF(Fonctionnement[Affectation matrice],$AB$3,Fonctionnement[Montant (€HT)])+SUMIF(Invest[Affectation matrice],$AB$3,Invest[Amortissement HT + intérêts]))*BR35</f>
        <v>0</v>
      </c>
      <c r="R35" s="276">
        <f>(SUMIF(Fonctionnement[Affectation matrice],$AB$3,Fonctionnement[Montant (€HT)])+SUMIF(Invest[Affectation matrice],$AB$3,Invest[Amortissement HT + intérêts]))*BS35</f>
        <v>0</v>
      </c>
      <c r="S35" s="276">
        <f>(SUMIF(Fonctionnement[Affectation matrice],$AB$3,Fonctionnement[Montant (€HT)])+SUMIF(Invest[Affectation matrice],$AB$3,Invest[Amortissement HT + intérêts]))*BT35</f>
        <v>0</v>
      </c>
      <c r="T35" s="276">
        <f>(SUMIF(Fonctionnement[Affectation matrice],$AB$3,Fonctionnement[Montant (€HT)])+SUMIF(Invest[Affectation matrice],$AB$3,Invest[Amortissement HT + intérêts]))*BU35</f>
        <v>0</v>
      </c>
      <c r="U35" s="276">
        <f>(SUMIF(Fonctionnement[Affectation matrice],$AB$3,Fonctionnement[Montant (€HT)])+SUMIF(Invest[Affectation matrice],$AB$3,Invest[Amortissement HT + intérêts]))*BV35</f>
        <v>0</v>
      </c>
      <c r="V35" s="276">
        <f>(SUMIF(Fonctionnement[Affectation matrice],$AB$3,Fonctionnement[Montant (€HT)])+SUMIF(Invest[Affectation matrice],$AB$3,Invest[Amortissement HT + intérêts]))*BW35</f>
        <v>0</v>
      </c>
      <c r="W35" s="276">
        <f>(SUMIF(Fonctionnement[Affectation matrice],$AB$3,Fonctionnement[Montant (€HT)])+SUMIF(Invest[Affectation matrice],$AB$3,Invest[Amortissement HT + intérêts]))*BX35</f>
        <v>0</v>
      </c>
      <c r="X35" s="276">
        <f>(SUMIF(Fonctionnement[Affectation matrice],$AB$3,Fonctionnement[Montant (€HT)])+SUMIF(Invest[Affectation matrice],$AB$3,Invest[Amortissement HT + intérêts]))*BY35</f>
        <v>0</v>
      </c>
      <c r="Y35" s="276">
        <f>(SUMIF(Fonctionnement[Affectation matrice],$AB$3,Fonctionnement[Montant (€HT)])+SUMIF(Invest[Affectation matrice],$AB$3,Invest[Amortissement HT + intérêts]))*BZ35</f>
        <v>0</v>
      </c>
      <c r="Z35" s="276">
        <f>(SUMIF(Fonctionnement[Affectation matrice],$AB$3,Fonctionnement[Montant (€HT)])+SUMIF(Invest[Affectation matrice],$AB$3,Invest[Amortissement HT + intérêts]))*CA35</f>
        <v>0</v>
      </c>
      <c r="AA35" s="199"/>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283">
        <f t="shared" si="4"/>
        <v>0</v>
      </c>
      <c r="BB35" s="7"/>
      <c r="BC35" s="61">
        <f t="shared" ref="BC35:BR41" si="10">IF($BA$53=0,0,AB35/$BA$53)</f>
        <v>0</v>
      </c>
      <c r="BD35" s="61">
        <f t="shared" si="10"/>
        <v>0</v>
      </c>
      <c r="BE35" s="61">
        <f t="shared" si="10"/>
        <v>0</v>
      </c>
      <c r="BF35" s="61">
        <f t="shared" si="10"/>
        <v>0</v>
      </c>
      <c r="BG35" s="61">
        <f t="shared" si="10"/>
        <v>0</v>
      </c>
      <c r="BH35" s="61">
        <f t="shared" si="10"/>
        <v>0</v>
      </c>
      <c r="BI35" s="61">
        <f t="shared" si="10"/>
        <v>0</v>
      </c>
      <c r="BJ35" s="61">
        <f t="shared" si="10"/>
        <v>0</v>
      </c>
      <c r="BK35" s="61">
        <f t="shared" si="10"/>
        <v>0</v>
      </c>
      <c r="BL35" s="61">
        <f t="shared" si="10"/>
        <v>0</v>
      </c>
      <c r="BM35" s="61">
        <f t="shared" si="10"/>
        <v>0</v>
      </c>
      <c r="BN35" s="61">
        <f t="shared" si="10"/>
        <v>0</v>
      </c>
      <c r="BO35" s="61">
        <f t="shared" si="10"/>
        <v>0</v>
      </c>
      <c r="BP35" s="61">
        <f t="shared" si="10"/>
        <v>0</v>
      </c>
      <c r="BQ35" s="61">
        <f t="shared" si="10"/>
        <v>0</v>
      </c>
      <c r="BR35" s="61">
        <f t="shared" si="10"/>
        <v>0</v>
      </c>
      <c r="BS35" s="61">
        <f t="shared" ref="BM35:CA41" si="11">IF($BA$53=0,0,AR35/$BA$53)</f>
        <v>0</v>
      </c>
      <c r="BT35" s="61">
        <f t="shared" si="11"/>
        <v>0</v>
      </c>
      <c r="BU35" s="61">
        <f t="shared" si="11"/>
        <v>0</v>
      </c>
      <c r="BV35" s="61">
        <f t="shared" si="11"/>
        <v>0</v>
      </c>
      <c r="BW35" s="61">
        <f t="shared" si="11"/>
        <v>0</v>
      </c>
      <c r="BX35" s="61">
        <f t="shared" si="11"/>
        <v>0</v>
      </c>
      <c r="BY35" s="61">
        <f t="shared" si="11"/>
        <v>0</v>
      </c>
      <c r="BZ35" s="61">
        <f t="shared" si="11"/>
        <v>0</v>
      </c>
      <c r="CA35" s="61">
        <f t="shared" si="11"/>
        <v>0</v>
      </c>
      <c r="CB35" s="61">
        <f t="shared" si="5"/>
        <v>0</v>
      </c>
      <c r="CD35" s="200">
        <f>(SUMIF(Fonctionnement[Affectation matrice],$AB$3,Fonctionnement[TVA acquittée])+SUMIF(Invest[Affectation matrice],$AB$3,Invest[TVA acquittée]))*BC35</f>
        <v>0</v>
      </c>
      <c r="CE35" s="200">
        <f>(SUMIF(Fonctionnement[Affectation matrice],$AB$3,Fonctionnement[TVA acquittée])+SUMIF(Invest[Affectation matrice],$AB$3,Invest[TVA acquittée]))*BD35</f>
        <v>0</v>
      </c>
      <c r="CF35" s="200">
        <f>(SUMIF(Fonctionnement[Affectation matrice],$AB$3,Fonctionnement[TVA acquittée])+SUMIF(Invest[Affectation matrice],$AB$3,Invest[TVA acquittée]))*BE35</f>
        <v>0</v>
      </c>
      <c r="CG35" s="200">
        <f>(SUMIF(Fonctionnement[Affectation matrice],$AB$3,Fonctionnement[TVA acquittée])+SUMIF(Invest[Affectation matrice],$AB$3,Invest[TVA acquittée]))*BF35</f>
        <v>0</v>
      </c>
      <c r="CH35" s="200">
        <f>(SUMIF(Fonctionnement[Affectation matrice],$AB$3,Fonctionnement[TVA acquittée])+SUMIF(Invest[Affectation matrice],$AB$3,Invest[TVA acquittée]))*BG35</f>
        <v>0</v>
      </c>
      <c r="CI35" s="200">
        <f>(SUMIF(Fonctionnement[Affectation matrice],$AB$3,Fonctionnement[TVA acquittée])+SUMIF(Invest[Affectation matrice],$AB$3,Invest[TVA acquittée]))*BH35</f>
        <v>0</v>
      </c>
      <c r="CJ35" s="200">
        <f>(SUMIF(Fonctionnement[Affectation matrice],$AB$3,Fonctionnement[TVA acquittée])+SUMIF(Invest[Affectation matrice],$AB$3,Invest[TVA acquittée]))*BI35</f>
        <v>0</v>
      </c>
      <c r="CK35" s="200">
        <f>(SUMIF(Fonctionnement[Affectation matrice],$AB$3,Fonctionnement[TVA acquittée])+SUMIF(Invest[Affectation matrice],$AB$3,Invest[TVA acquittée]))*BJ35</f>
        <v>0</v>
      </c>
      <c r="CL35" s="200">
        <f>(SUMIF(Fonctionnement[Affectation matrice],$AB$3,Fonctionnement[TVA acquittée])+SUMIF(Invest[Affectation matrice],$AB$3,Invest[TVA acquittée]))*BK35</f>
        <v>0</v>
      </c>
      <c r="CM35" s="200">
        <f>(SUMIF(Fonctionnement[Affectation matrice],$AB$3,Fonctionnement[TVA acquittée])+SUMIF(Invest[Affectation matrice],$AB$3,Invest[TVA acquittée]))*BL35</f>
        <v>0</v>
      </c>
      <c r="CN35" s="200">
        <f>(SUMIF(Fonctionnement[Affectation matrice],$AB$3,Fonctionnement[TVA acquittée])+SUMIF(Invest[Affectation matrice],$AB$3,Invest[TVA acquittée]))*BM35</f>
        <v>0</v>
      </c>
      <c r="CO35" s="200">
        <f>(SUMIF(Fonctionnement[Affectation matrice],$AB$3,Fonctionnement[TVA acquittée])+SUMIF(Invest[Affectation matrice],$AB$3,Invest[TVA acquittée]))*BN35</f>
        <v>0</v>
      </c>
      <c r="CP35" s="200">
        <f>(SUMIF(Fonctionnement[Affectation matrice],$AB$3,Fonctionnement[TVA acquittée])+SUMIF(Invest[Affectation matrice],$AB$3,Invest[TVA acquittée]))*BO35</f>
        <v>0</v>
      </c>
      <c r="CQ35" s="200">
        <f>(SUMIF(Fonctionnement[Affectation matrice],$AB$3,Fonctionnement[TVA acquittée])+SUMIF(Invest[Affectation matrice],$AB$3,Invest[TVA acquittée]))*BP35</f>
        <v>0</v>
      </c>
      <c r="CR35" s="200">
        <f>(SUMIF(Fonctionnement[Affectation matrice],$AB$3,Fonctionnement[TVA acquittée])+SUMIF(Invest[Affectation matrice],$AB$3,Invest[TVA acquittée]))*BQ35</f>
        <v>0</v>
      </c>
      <c r="CS35" s="200">
        <f>(SUMIF(Fonctionnement[Affectation matrice],$AB$3,Fonctionnement[TVA acquittée])+SUMIF(Invest[Affectation matrice],$AB$3,Invest[TVA acquittée]))*BR35</f>
        <v>0</v>
      </c>
      <c r="CT35" s="200">
        <f>(SUMIF(Fonctionnement[Affectation matrice],$AB$3,Fonctionnement[TVA acquittée])+SUMIF(Invest[Affectation matrice],$AB$3,Invest[TVA acquittée]))*BS35</f>
        <v>0</v>
      </c>
      <c r="CU35" s="200">
        <f>(SUMIF(Fonctionnement[Affectation matrice],$AB$3,Fonctionnement[TVA acquittée])+SUMIF(Invest[Affectation matrice],$AB$3,Invest[TVA acquittée]))*BT35</f>
        <v>0</v>
      </c>
      <c r="CV35" s="200">
        <f>(SUMIF(Fonctionnement[Affectation matrice],$AB$3,Fonctionnement[TVA acquittée])+SUMIF(Invest[Affectation matrice],$AB$3,Invest[TVA acquittée]))*BU35</f>
        <v>0</v>
      </c>
      <c r="CW35" s="200">
        <f>(SUMIF(Fonctionnement[Affectation matrice],$AB$3,Fonctionnement[TVA acquittée])+SUMIF(Invest[Affectation matrice],$AB$3,Invest[TVA acquittée]))*BV35</f>
        <v>0</v>
      </c>
      <c r="CX35" s="200">
        <f>(SUMIF(Fonctionnement[Affectation matrice],$AB$3,Fonctionnement[TVA acquittée])+SUMIF(Invest[Affectation matrice],$AB$3,Invest[TVA acquittée]))*BW35</f>
        <v>0</v>
      </c>
      <c r="CY35" s="200">
        <f>(SUMIF(Fonctionnement[Affectation matrice],$AB$3,Fonctionnement[TVA acquittée])+SUMIF(Invest[Affectation matrice],$AB$3,Invest[TVA acquittée]))*BX35</f>
        <v>0</v>
      </c>
      <c r="CZ35" s="200">
        <f>(SUMIF(Fonctionnement[Affectation matrice],$AB$3,Fonctionnement[TVA acquittée])+SUMIF(Invest[Affectation matrice],$AB$3,Invest[TVA acquittée]))*BY35</f>
        <v>0</v>
      </c>
      <c r="DA35" s="200">
        <f>(SUMIF(Fonctionnement[Affectation matrice],$AB$3,Fonctionnement[TVA acquittée])+SUMIF(Invest[Affectation matrice],$AB$3,Invest[TVA acquittée]))*BZ35</f>
        <v>0</v>
      </c>
      <c r="DB35" s="200">
        <f>(SUMIF(Fonctionnement[Affectation matrice],$AB$3,Fonctionnement[TVA acquittée])+SUMIF(Invest[Affectation matrice],$AB$3,Invest[TVA acquittée]))*CA35</f>
        <v>0</v>
      </c>
    </row>
    <row r="36" spans="1:106" s="22" customFormat="1" ht="12.75" hidden="1" customHeight="1" x14ac:dyDescent="0.25">
      <c r="A36" s="42" t="str">
        <f>Matrice[[#This Row],[Ligne de la matrice]]</f>
        <v>TEOM</v>
      </c>
      <c r="B36" s="276">
        <f>(SUMIF(Fonctionnement[Affectation matrice],$AB$3,Fonctionnement[Montant (€HT)])+SUMIF(Invest[Affectation matrice],$AB$3,Invest[Amortissement HT + intérêts]))*BC36</f>
        <v>0</v>
      </c>
      <c r="C36" s="276">
        <f>(SUMIF(Fonctionnement[Affectation matrice],$AB$3,Fonctionnement[Montant (€HT)])+SUMIF(Invest[Affectation matrice],$AB$3,Invest[Amortissement HT + intérêts]))*BD36</f>
        <v>0</v>
      </c>
      <c r="D36" s="276">
        <f>(SUMIF(Fonctionnement[Affectation matrice],$AB$3,Fonctionnement[Montant (€HT)])+SUMIF(Invest[Affectation matrice],$AB$3,Invest[Amortissement HT + intérêts]))*BE36</f>
        <v>0</v>
      </c>
      <c r="E36" s="276">
        <f>(SUMIF(Fonctionnement[Affectation matrice],$AB$3,Fonctionnement[Montant (€HT)])+SUMIF(Invest[Affectation matrice],$AB$3,Invest[Amortissement HT + intérêts]))*BF36</f>
        <v>0</v>
      </c>
      <c r="F36" s="276">
        <f>(SUMIF(Fonctionnement[Affectation matrice],$AB$3,Fonctionnement[Montant (€HT)])+SUMIF(Invest[Affectation matrice],$AB$3,Invest[Amortissement HT + intérêts]))*BG36</f>
        <v>0</v>
      </c>
      <c r="G36" s="276">
        <f>(SUMIF(Fonctionnement[Affectation matrice],$AB$3,Fonctionnement[Montant (€HT)])+SUMIF(Invest[Affectation matrice],$AB$3,Invest[Amortissement HT + intérêts]))*BH36</f>
        <v>0</v>
      </c>
      <c r="H36" s="276">
        <f>(SUMIF(Fonctionnement[Affectation matrice],$AB$3,Fonctionnement[Montant (€HT)])+SUMIF(Invest[Affectation matrice],$AB$3,Invest[Amortissement HT + intérêts]))*BI36</f>
        <v>0</v>
      </c>
      <c r="I36" s="276">
        <f>(SUMIF(Fonctionnement[Affectation matrice],$AB$3,Fonctionnement[Montant (€HT)])+SUMIF(Invest[Affectation matrice],$AB$3,Invest[Amortissement HT + intérêts]))*BJ36</f>
        <v>0</v>
      </c>
      <c r="J36" s="276">
        <f>(SUMIF(Fonctionnement[Affectation matrice],$AB$3,Fonctionnement[Montant (€HT)])+SUMIF(Invest[Affectation matrice],$AB$3,Invest[Amortissement HT + intérêts]))*BK36</f>
        <v>0</v>
      </c>
      <c r="K36" s="276">
        <f>(SUMIF(Fonctionnement[Affectation matrice],$AB$3,Fonctionnement[Montant (€HT)])+SUMIF(Invest[Affectation matrice],$AB$3,Invest[Amortissement HT + intérêts]))*BL36</f>
        <v>0</v>
      </c>
      <c r="L36" s="276">
        <f>(SUMIF(Fonctionnement[Affectation matrice],$AB$3,Fonctionnement[Montant (€HT)])+SUMIF(Invest[Affectation matrice],$AB$3,Invest[Amortissement HT + intérêts]))*BM36</f>
        <v>0</v>
      </c>
      <c r="M36" s="276">
        <f>(SUMIF(Fonctionnement[Affectation matrice],$AB$3,Fonctionnement[Montant (€HT)])+SUMIF(Invest[Affectation matrice],$AB$3,Invest[Amortissement HT + intérêts]))*BN36</f>
        <v>0</v>
      </c>
      <c r="N36" s="276">
        <f>(SUMIF(Fonctionnement[Affectation matrice],$AB$3,Fonctionnement[Montant (€HT)])+SUMIF(Invest[Affectation matrice],$AB$3,Invest[Amortissement HT + intérêts]))*BO36</f>
        <v>0</v>
      </c>
      <c r="O36" s="276">
        <f>(SUMIF(Fonctionnement[Affectation matrice],$AB$3,Fonctionnement[Montant (€HT)])+SUMIF(Invest[Affectation matrice],$AB$3,Invest[Amortissement HT + intérêts]))*BP36</f>
        <v>0</v>
      </c>
      <c r="P36" s="276">
        <f>(SUMIF(Fonctionnement[Affectation matrice],$AB$3,Fonctionnement[Montant (€HT)])+SUMIF(Invest[Affectation matrice],$AB$3,Invest[Amortissement HT + intérêts]))*BQ36</f>
        <v>0</v>
      </c>
      <c r="Q36" s="276">
        <f>(SUMIF(Fonctionnement[Affectation matrice],$AB$3,Fonctionnement[Montant (€HT)])+SUMIF(Invest[Affectation matrice],$AB$3,Invest[Amortissement HT + intérêts]))*BR36</f>
        <v>0</v>
      </c>
      <c r="R36" s="276">
        <f>(SUMIF(Fonctionnement[Affectation matrice],$AB$3,Fonctionnement[Montant (€HT)])+SUMIF(Invest[Affectation matrice],$AB$3,Invest[Amortissement HT + intérêts]))*BS36</f>
        <v>0</v>
      </c>
      <c r="S36" s="276">
        <f>(SUMIF(Fonctionnement[Affectation matrice],$AB$3,Fonctionnement[Montant (€HT)])+SUMIF(Invest[Affectation matrice],$AB$3,Invest[Amortissement HT + intérêts]))*BT36</f>
        <v>0</v>
      </c>
      <c r="T36" s="276">
        <f>(SUMIF(Fonctionnement[Affectation matrice],$AB$3,Fonctionnement[Montant (€HT)])+SUMIF(Invest[Affectation matrice],$AB$3,Invest[Amortissement HT + intérêts]))*BU36</f>
        <v>0</v>
      </c>
      <c r="U36" s="276">
        <f>(SUMIF(Fonctionnement[Affectation matrice],$AB$3,Fonctionnement[Montant (€HT)])+SUMIF(Invest[Affectation matrice],$AB$3,Invest[Amortissement HT + intérêts]))*BV36</f>
        <v>0</v>
      </c>
      <c r="V36" s="276">
        <f>(SUMIF(Fonctionnement[Affectation matrice],$AB$3,Fonctionnement[Montant (€HT)])+SUMIF(Invest[Affectation matrice],$AB$3,Invest[Amortissement HT + intérêts]))*BW36</f>
        <v>0</v>
      </c>
      <c r="W36" s="276">
        <f>(SUMIF(Fonctionnement[Affectation matrice],$AB$3,Fonctionnement[Montant (€HT)])+SUMIF(Invest[Affectation matrice],$AB$3,Invest[Amortissement HT + intérêts]))*BX36</f>
        <v>0</v>
      </c>
      <c r="X36" s="276">
        <f>(SUMIF(Fonctionnement[Affectation matrice],$AB$3,Fonctionnement[Montant (€HT)])+SUMIF(Invest[Affectation matrice],$AB$3,Invest[Amortissement HT + intérêts]))*BY36</f>
        <v>0</v>
      </c>
      <c r="Y36" s="276">
        <f>(SUMIF(Fonctionnement[Affectation matrice],$AB$3,Fonctionnement[Montant (€HT)])+SUMIF(Invest[Affectation matrice],$AB$3,Invest[Amortissement HT + intérêts]))*BZ36</f>
        <v>0</v>
      </c>
      <c r="Z36" s="276">
        <f>(SUMIF(Fonctionnement[Affectation matrice],$AB$3,Fonctionnement[Montant (€HT)])+SUMIF(Invest[Affectation matrice],$AB$3,Invest[Amortissement HT + intérêts]))*CA36</f>
        <v>0</v>
      </c>
      <c r="AA36" s="199"/>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283">
        <f t="shared" si="4"/>
        <v>0</v>
      </c>
      <c r="BB36" s="7"/>
      <c r="BC36" s="61">
        <f t="shared" si="10"/>
        <v>0</v>
      </c>
      <c r="BD36" s="61">
        <f t="shared" si="10"/>
        <v>0</v>
      </c>
      <c r="BE36" s="61">
        <f t="shared" si="10"/>
        <v>0</v>
      </c>
      <c r="BF36" s="61">
        <f t="shared" si="10"/>
        <v>0</v>
      </c>
      <c r="BG36" s="61">
        <f t="shared" si="10"/>
        <v>0</v>
      </c>
      <c r="BH36" s="61">
        <f t="shared" si="10"/>
        <v>0</v>
      </c>
      <c r="BI36" s="61">
        <f t="shared" si="10"/>
        <v>0</v>
      </c>
      <c r="BJ36" s="61">
        <f t="shared" si="10"/>
        <v>0</v>
      </c>
      <c r="BK36" s="61">
        <f t="shared" si="10"/>
        <v>0</v>
      </c>
      <c r="BL36" s="61">
        <f t="shared" si="10"/>
        <v>0</v>
      </c>
      <c r="BM36" s="61">
        <f t="shared" si="11"/>
        <v>0</v>
      </c>
      <c r="BN36" s="61">
        <f t="shared" si="11"/>
        <v>0</v>
      </c>
      <c r="BO36" s="61">
        <f t="shared" si="11"/>
        <v>0</v>
      </c>
      <c r="BP36" s="61">
        <f t="shared" si="11"/>
        <v>0</v>
      </c>
      <c r="BQ36" s="61">
        <f t="shared" si="11"/>
        <v>0</v>
      </c>
      <c r="BR36" s="61">
        <f t="shared" si="11"/>
        <v>0</v>
      </c>
      <c r="BS36" s="61">
        <f t="shared" si="11"/>
        <v>0</v>
      </c>
      <c r="BT36" s="61">
        <f t="shared" si="11"/>
        <v>0</v>
      </c>
      <c r="BU36" s="61">
        <f t="shared" si="11"/>
        <v>0</v>
      </c>
      <c r="BV36" s="61">
        <f t="shared" si="11"/>
        <v>0</v>
      </c>
      <c r="BW36" s="61">
        <f t="shared" si="11"/>
        <v>0</v>
      </c>
      <c r="BX36" s="61">
        <f t="shared" si="11"/>
        <v>0</v>
      </c>
      <c r="BY36" s="61">
        <f t="shared" si="11"/>
        <v>0</v>
      </c>
      <c r="BZ36" s="61">
        <f t="shared" si="11"/>
        <v>0</v>
      </c>
      <c r="CA36" s="61">
        <f t="shared" si="11"/>
        <v>0</v>
      </c>
      <c r="CB36" s="61">
        <f t="shared" si="5"/>
        <v>0</v>
      </c>
      <c r="CD36" s="200">
        <f>(SUMIF(Fonctionnement[Affectation matrice],$AB$3,Fonctionnement[TVA acquittée])+SUMIF(Invest[Affectation matrice],$AB$3,Invest[TVA acquittée]))*BC36</f>
        <v>0</v>
      </c>
      <c r="CE36" s="200">
        <f>(SUMIF(Fonctionnement[Affectation matrice],$AB$3,Fonctionnement[TVA acquittée])+SUMIF(Invest[Affectation matrice],$AB$3,Invest[TVA acquittée]))*BD36</f>
        <v>0</v>
      </c>
      <c r="CF36" s="200">
        <f>(SUMIF(Fonctionnement[Affectation matrice],$AB$3,Fonctionnement[TVA acquittée])+SUMIF(Invest[Affectation matrice],$AB$3,Invest[TVA acquittée]))*BE36</f>
        <v>0</v>
      </c>
      <c r="CG36" s="200">
        <f>(SUMIF(Fonctionnement[Affectation matrice],$AB$3,Fonctionnement[TVA acquittée])+SUMIF(Invest[Affectation matrice],$AB$3,Invest[TVA acquittée]))*BF36</f>
        <v>0</v>
      </c>
      <c r="CH36" s="200">
        <f>(SUMIF(Fonctionnement[Affectation matrice],$AB$3,Fonctionnement[TVA acquittée])+SUMIF(Invest[Affectation matrice],$AB$3,Invest[TVA acquittée]))*BG36</f>
        <v>0</v>
      </c>
      <c r="CI36" s="200">
        <f>(SUMIF(Fonctionnement[Affectation matrice],$AB$3,Fonctionnement[TVA acquittée])+SUMIF(Invest[Affectation matrice],$AB$3,Invest[TVA acquittée]))*BH36</f>
        <v>0</v>
      </c>
      <c r="CJ36" s="200">
        <f>(SUMIF(Fonctionnement[Affectation matrice],$AB$3,Fonctionnement[TVA acquittée])+SUMIF(Invest[Affectation matrice],$AB$3,Invest[TVA acquittée]))*BI36</f>
        <v>0</v>
      </c>
      <c r="CK36" s="200">
        <f>(SUMIF(Fonctionnement[Affectation matrice],$AB$3,Fonctionnement[TVA acquittée])+SUMIF(Invest[Affectation matrice],$AB$3,Invest[TVA acquittée]))*BJ36</f>
        <v>0</v>
      </c>
      <c r="CL36" s="200">
        <f>(SUMIF(Fonctionnement[Affectation matrice],$AB$3,Fonctionnement[TVA acquittée])+SUMIF(Invest[Affectation matrice],$AB$3,Invest[TVA acquittée]))*BK36</f>
        <v>0</v>
      </c>
      <c r="CM36" s="200">
        <f>(SUMIF(Fonctionnement[Affectation matrice],$AB$3,Fonctionnement[TVA acquittée])+SUMIF(Invest[Affectation matrice],$AB$3,Invest[TVA acquittée]))*BL36</f>
        <v>0</v>
      </c>
      <c r="CN36" s="200">
        <f>(SUMIF(Fonctionnement[Affectation matrice],$AB$3,Fonctionnement[TVA acquittée])+SUMIF(Invest[Affectation matrice],$AB$3,Invest[TVA acquittée]))*BM36</f>
        <v>0</v>
      </c>
      <c r="CO36" s="200">
        <f>(SUMIF(Fonctionnement[Affectation matrice],$AB$3,Fonctionnement[TVA acquittée])+SUMIF(Invest[Affectation matrice],$AB$3,Invest[TVA acquittée]))*BN36</f>
        <v>0</v>
      </c>
      <c r="CP36" s="200">
        <f>(SUMIF(Fonctionnement[Affectation matrice],$AB$3,Fonctionnement[TVA acquittée])+SUMIF(Invest[Affectation matrice],$AB$3,Invest[TVA acquittée]))*BO36</f>
        <v>0</v>
      </c>
      <c r="CQ36" s="200">
        <f>(SUMIF(Fonctionnement[Affectation matrice],$AB$3,Fonctionnement[TVA acquittée])+SUMIF(Invest[Affectation matrice],$AB$3,Invest[TVA acquittée]))*BP36</f>
        <v>0</v>
      </c>
      <c r="CR36" s="200">
        <f>(SUMIF(Fonctionnement[Affectation matrice],$AB$3,Fonctionnement[TVA acquittée])+SUMIF(Invest[Affectation matrice],$AB$3,Invest[TVA acquittée]))*BQ36</f>
        <v>0</v>
      </c>
      <c r="CS36" s="200">
        <f>(SUMIF(Fonctionnement[Affectation matrice],$AB$3,Fonctionnement[TVA acquittée])+SUMIF(Invest[Affectation matrice],$AB$3,Invest[TVA acquittée]))*BR36</f>
        <v>0</v>
      </c>
      <c r="CT36" s="200">
        <f>(SUMIF(Fonctionnement[Affectation matrice],$AB$3,Fonctionnement[TVA acquittée])+SUMIF(Invest[Affectation matrice],$AB$3,Invest[TVA acquittée]))*BS36</f>
        <v>0</v>
      </c>
      <c r="CU36" s="200">
        <f>(SUMIF(Fonctionnement[Affectation matrice],$AB$3,Fonctionnement[TVA acquittée])+SUMIF(Invest[Affectation matrice],$AB$3,Invest[TVA acquittée]))*BT36</f>
        <v>0</v>
      </c>
      <c r="CV36" s="200">
        <f>(SUMIF(Fonctionnement[Affectation matrice],$AB$3,Fonctionnement[TVA acquittée])+SUMIF(Invest[Affectation matrice],$AB$3,Invest[TVA acquittée]))*BU36</f>
        <v>0</v>
      </c>
      <c r="CW36" s="200">
        <f>(SUMIF(Fonctionnement[Affectation matrice],$AB$3,Fonctionnement[TVA acquittée])+SUMIF(Invest[Affectation matrice],$AB$3,Invest[TVA acquittée]))*BV36</f>
        <v>0</v>
      </c>
      <c r="CX36" s="200">
        <f>(SUMIF(Fonctionnement[Affectation matrice],$AB$3,Fonctionnement[TVA acquittée])+SUMIF(Invest[Affectation matrice],$AB$3,Invest[TVA acquittée]))*BW36</f>
        <v>0</v>
      </c>
      <c r="CY36" s="200">
        <f>(SUMIF(Fonctionnement[Affectation matrice],$AB$3,Fonctionnement[TVA acquittée])+SUMIF(Invest[Affectation matrice],$AB$3,Invest[TVA acquittée]))*BX36</f>
        <v>0</v>
      </c>
      <c r="CZ36" s="200">
        <f>(SUMIF(Fonctionnement[Affectation matrice],$AB$3,Fonctionnement[TVA acquittée])+SUMIF(Invest[Affectation matrice],$AB$3,Invest[TVA acquittée]))*BY36</f>
        <v>0</v>
      </c>
      <c r="DA36" s="200">
        <f>(SUMIF(Fonctionnement[Affectation matrice],$AB$3,Fonctionnement[TVA acquittée])+SUMIF(Invest[Affectation matrice],$AB$3,Invest[TVA acquittée]))*BZ36</f>
        <v>0</v>
      </c>
      <c r="DB36" s="200">
        <f>(SUMIF(Fonctionnement[Affectation matrice],$AB$3,Fonctionnement[TVA acquittée])+SUMIF(Invest[Affectation matrice],$AB$3,Invest[TVA acquittée]))*CA36</f>
        <v>0</v>
      </c>
    </row>
    <row r="37" spans="1:106" s="22" customFormat="1" ht="12.75" hidden="1" customHeight="1" x14ac:dyDescent="0.25">
      <c r="A37" s="42" t="str">
        <f>Matrice[[#This Row],[Ligne de la matrice]]</f>
        <v>REOM</v>
      </c>
      <c r="B37" s="276">
        <f>(SUMIF(Fonctionnement[Affectation matrice],$AB$3,Fonctionnement[Montant (€HT)])+SUMIF(Invest[Affectation matrice],$AB$3,Invest[Amortissement HT + intérêts]))*BC37</f>
        <v>0</v>
      </c>
      <c r="C37" s="276">
        <f>(SUMIF(Fonctionnement[Affectation matrice],$AB$3,Fonctionnement[Montant (€HT)])+SUMIF(Invest[Affectation matrice],$AB$3,Invest[Amortissement HT + intérêts]))*BD37</f>
        <v>0</v>
      </c>
      <c r="D37" s="276">
        <f>(SUMIF(Fonctionnement[Affectation matrice],$AB$3,Fonctionnement[Montant (€HT)])+SUMIF(Invest[Affectation matrice],$AB$3,Invest[Amortissement HT + intérêts]))*BE37</f>
        <v>0</v>
      </c>
      <c r="E37" s="276">
        <f>(SUMIF(Fonctionnement[Affectation matrice],$AB$3,Fonctionnement[Montant (€HT)])+SUMIF(Invest[Affectation matrice],$AB$3,Invest[Amortissement HT + intérêts]))*BF37</f>
        <v>0</v>
      </c>
      <c r="F37" s="276">
        <f>(SUMIF(Fonctionnement[Affectation matrice],$AB$3,Fonctionnement[Montant (€HT)])+SUMIF(Invest[Affectation matrice],$AB$3,Invest[Amortissement HT + intérêts]))*BG37</f>
        <v>0</v>
      </c>
      <c r="G37" s="276">
        <f>(SUMIF(Fonctionnement[Affectation matrice],$AB$3,Fonctionnement[Montant (€HT)])+SUMIF(Invest[Affectation matrice],$AB$3,Invest[Amortissement HT + intérêts]))*BH37</f>
        <v>0</v>
      </c>
      <c r="H37" s="276">
        <f>(SUMIF(Fonctionnement[Affectation matrice],$AB$3,Fonctionnement[Montant (€HT)])+SUMIF(Invest[Affectation matrice],$AB$3,Invest[Amortissement HT + intérêts]))*BI37</f>
        <v>0</v>
      </c>
      <c r="I37" s="276">
        <f>(SUMIF(Fonctionnement[Affectation matrice],$AB$3,Fonctionnement[Montant (€HT)])+SUMIF(Invest[Affectation matrice],$AB$3,Invest[Amortissement HT + intérêts]))*BJ37</f>
        <v>0</v>
      </c>
      <c r="J37" s="276">
        <f>(SUMIF(Fonctionnement[Affectation matrice],$AB$3,Fonctionnement[Montant (€HT)])+SUMIF(Invest[Affectation matrice],$AB$3,Invest[Amortissement HT + intérêts]))*BK37</f>
        <v>0</v>
      </c>
      <c r="K37" s="276">
        <f>(SUMIF(Fonctionnement[Affectation matrice],$AB$3,Fonctionnement[Montant (€HT)])+SUMIF(Invest[Affectation matrice],$AB$3,Invest[Amortissement HT + intérêts]))*BL37</f>
        <v>0</v>
      </c>
      <c r="L37" s="276">
        <f>(SUMIF(Fonctionnement[Affectation matrice],$AB$3,Fonctionnement[Montant (€HT)])+SUMIF(Invest[Affectation matrice],$AB$3,Invest[Amortissement HT + intérêts]))*BM37</f>
        <v>0</v>
      </c>
      <c r="M37" s="276">
        <f>(SUMIF(Fonctionnement[Affectation matrice],$AB$3,Fonctionnement[Montant (€HT)])+SUMIF(Invest[Affectation matrice],$AB$3,Invest[Amortissement HT + intérêts]))*BN37</f>
        <v>0</v>
      </c>
      <c r="N37" s="276">
        <f>(SUMIF(Fonctionnement[Affectation matrice],$AB$3,Fonctionnement[Montant (€HT)])+SUMIF(Invest[Affectation matrice],$AB$3,Invest[Amortissement HT + intérêts]))*BO37</f>
        <v>0</v>
      </c>
      <c r="O37" s="276">
        <f>(SUMIF(Fonctionnement[Affectation matrice],$AB$3,Fonctionnement[Montant (€HT)])+SUMIF(Invest[Affectation matrice],$AB$3,Invest[Amortissement HT + intérêts]))*BP37</f>
        <v>0</v>
      </c>
      <c r="P37" s="276">
        <f>(SUMIF(Fonctionnement[Affectation matrice],$AB$3,Fonctionnement[Montant (€HT)])+SUMIF(Invest[Affectation matrice],$AB$3,Invest[Amortissement HT + intérêts]))*BQ37</f>
        <v>0</v>
      </c>
      <c r="Q37" s="276">
        <f>(SUMIF(Fonctionnement[Affectation matrice],$AB$3,Fonctionnement[Montant (€HT)])+SUMIF(Invest[Affectation matrice],$AB$3,Invest[Amortissement HT + intérêts]))*BR37</f>
        <v>0</v>
      </c>
      <c r="R37" s="276">
        <f>(SUMIF(Fonctionnement[Affectation matrice],$AB$3,Fonctionnement[Montant (€HT)])+SUMIF(Invest[Affectation matrice],$AB$3,Invest[Amortissement HT + intérêts]))*BS37</f>
        <v>0</v>
      </c>
      <c r="S37" s="276">
        <f>(SUMIF(Fonctionnement[Affectation matrice],$AB$3,Fonctionnement[Montant (€HT)])+SUMIF(Invest[Affectation matrice],$AB$3,Invest[Amortissement HT + intérêts]))*BT37</f>
        <v>0</v>
      </c>
      <c r="T37" s="276">
        <f>(SUMIF(Fonctionnement[Affectation matrice],$AB$3,Fonctionnement[Montant (€HT)])+SUMIF(Invest[Affectation matrice],$AB$3,Invest[Amortissement HT + intérêts]))*BU37</f>
        <v>0</v>
      </c>
      <c r="U37" s="276">
        <f>(SUMIF(Fonctionnement[Affectation matrice],$AB$3,Fonctionnement[Montant (€HT)])+SUMIF(Invest[Affectation matrice],$AB$3,Invest[Amortissement HT + intérêts]))*BV37</f>
        <v>0</v>
      </c>
      <c r="V37" s="276">
        <f>(SUMIF(Fonctionnement[Affectation matrice],$AB$3,Fonctionnement[Montant (€HT)])+SUMIF(Invest[Affectation matrice],$AB$3,Invest[Amortissement HT + intérêts]))*BW37</f>
        <v>0</v>
      </c>
      <c r="W37" s="276">
        <f>(SUMIF(Fonctionnement[Affectation matrice],$AB$3,Fonctionnement[Montant (€HT)])+SUMIF(Invest[Affectation matrice],$AB$3,Invest[Amortissement HT + intérêts]))*BX37</f>
        <v>0</v>
      </c>
      <c r="X37" s="276">
        <f>(SUMIF(Fonctionnement[Affectation matrice],$AB$3,Fonctionnement[Montant (€HT)])+SUMIF(Invest[Affectation matrice],$AB$3,Invest[Amortissement HT + intérêts]))*BY37</f>
        <v>0</v>
      </c>
      <c r="Y37" s="276">
        <f>(SUMIF(Fonctionnement[Affectation matrice],$AB$3,Fonctionnement[Montant (€HT)])+SUMIF(Invest[Affectation matrice],$AB$3,Invest[Amortissement HT + intérêts]))*BZ37</f>
        <v>0</v>
      </c>
      <c r="Z37" s="276">
        <f>(SUMIF(Fonctionnement[Affectation matrice],$AB$3,Fonctionnement[Montant (€HT)])+SUMIF(Invest[Affectation matrice],$AB$3,Invest[Amortissement HT + intérêts]))*CA37</f>
        <v>0</v>
      </c>
      <c r="AA37" s="199"/>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283">
        <f t="shared" si="4"/>
        <v>0</v>
      </c>
      <c r="BB37" s="7"/>
      <c r="BC37" s="61">
        <f t="shared" si="10"/>
        <v>0</v>
      </c>
      <c r="BD37" s="61">
        <f t="shared" si="10"/>
        <v>0</v>
      </c>
      <c r="BE37" s="61">
        <f t="shared" si="10"/>
        <v>0</v>
      </c>
      <c r="BF37" s="61">
        <f t="shared" si="10"/>
        <v>0</v>
      </c>
      <c r="BG37" s="61">
        <f t="shared" si="10"/>
        <v>0</v>
      </c>
      <c r="BH37" s="61">
        <f t="shared" si="10"/>
        <v>0</v>
      </c>
      <c r="BI37" s="61">
        <f t="shared" si="10"/>
        <v>0</v>
      </c>
      <c r="BJ37" s="61">
        <f t="shared" si="10"/>
        <v>0</v>
      </c>
      <c r="BK37" s="61">
        <f t="shared" si="10"/>
        <v>0</v>
      </c>
      <c r="BL37" s="61">
        <f t="shared" si="10"/>
        <v>0</v>
      </c>
      <c r="BM37" s="61">
        <f t="shared" si="11"/>
        <v>0</v>
      </c>
      <c r="BN37" s="61">
        <f t="shared" si="11"/>
        <v>0</v>
      </c>
      <c r="BO37" s="61">
        <f t="shared" si="11"/>
        <v>0</v>
      </c>
      <c r="BP37" s="61">
        <f t="shared" si="11"/>
        <v>0</v>
      </c>
      <c r="BQ37" s="61">
        <f t="shared" si="11"/>
        <v>0</v>
      </c>
      <c r="BR37" s="61">
        <f t="shared" si="11"/>
        <v>0</v>
      </c>
      <c r="BS37" s="61">
        <f t="shared" si="11"/>
        <v>0</v>
      </c>
      <c r="BT37" s="61">
        <f t="shared" si="11"/>
        <v>0</v>
      </c>
      <c r="BU37" s="61">
        <f t="shared" si="11"/>
        <v>0</v>
      </c>
      <c r="BV37" s="61">
        <f t="shared" si="11"/>
        <v>0</v>
      </c>
      <c r="BW37" s="61">
        <f t="shared" si="11"/>
        <v>0</v>
      </c>
      <c r="BX37" s="61">
        <f t="shared" si="11"/>
        <v>0</v>
      </c>
      <c r="BY37" s="61">
        <f t="shared" si="11"/>
        <v>0</v>
      </c>
      <c r="BZ37" s="61">
        <f t="shared" si="11"/>
        <v>0</v>
      </c>
      <c r="CA37" s="61">
        <f t="shared" si="11"/>
        <v>0</v>
      </c>
      <c r="CB37" s="61">
        <f t="shared" si="5"/>
        <v>0</v>
      </c>
      <c r="CD37" s="200">
        <f>(SUMIF(Fonctionnement[Affectation matrice],$AB$3,Fonctionnement[TVA acquittée])+SUMIF(Invest[Affectation matrice],$AB$3,Invest[TVA acquittée]))*BC37</f>
        <v>0</v>
      </c>
      <c r="CE37" s="200">
        <f>(SUMIF(Fonctionnement[Affectation matrice],$AB$3,Fonctionnement[TVA acquittée])+SUMIF(Invest[Affectation matrice],$AB$3,Invest[TVA acquittée]))*BD37</f>
        <v>0</v>
      </c>
      <c r="CF37" s="200">
        <f>(SUMIF(Fonctionnement[Affectation matrice],$AB$3,Fonctionnement[TVA acquittée])+SUMIF(Invest[Affectation matrice],$AB$3,Invest[TVA acquittée]))*BE37</f>
        <v>0</v>
      </c>
      <c r="CG37" s="200">
        <f>(SUMIF(Fonctionnement[Affectation matrice],$AB$3,Fonctionnement[TVA acquittée])+SUMIF(Invest[Affectation matrice],$AB$3,Invest[TVA acquittée]))*BF37</f>
        <v>0</v>
      </c>
      <c r="CH37" s="200">
        <f>(SUMIF(Fonctionnement[Affectation matrice],$AB$3,Fonctionnement[TVA acquittée])+SUMIF(Invest[Affectation matrice],$AB$3,Invest[TVA acquittée]))*BG37</f>
        <v>0</v>
      </c>
      <c r="CI37" s="200">
        <f>(SUMIF(Fonctionnement[Affectation matrice],$AB$3,Fonctionnement[TVA acquittée])+SUMIF(Invest[Affectation matrice],$AB$3,Invest[TVA acquittée]))*BH37</f>
        <v>0</v>
      </c>
      <c r="CJ37" s="200">
        <f>(SUMIF(Fonctionnement[Affectation matrice],$AB$3,Fonctionnement[TVA acquittée])+SUMIF(Invest[Affectation matrice],$AB$3,Invest[TVA acquittée]))*BI37</f>
        <v>0</v>
      </c>
      <c r="CK37" s="200">
        <f>(SUMIF(Fonctionnement[Affectation matrice],$AB$3,Fonctionnement[TVA acquittée])+SUMIF(Invest[Affectation matrice],$AB$3,Invest[TVA acquittée]))*BJ37</f>
        <v>0</v>
      </c>
      <c r="CL37" s="200">
        <f>(SUMIF(Fonctionnement[Affectation matrice],$AB$3,Fonctionnement[TVA acquittée])+SUMIF(Invest[Affectation matrice],$AB$3,Invest[TVA acquittée]))*BK37</f>
        <v>0</v>
      </c>
      <c r="CM37" s="200">
        <f>(SUMIF(Fonctionnement[Affectation matrice],$AB$3,Fonctionnement[TVA acquittée])+SUMIF(Invest[Affectation matrice],$AB$3,Invest[TVA acquittée]))*BL37</f>
        <v>0</v>
      </c>
      <c r="CN37" s="200">
        <f>(SUMIF(Fonctionnement[Affectation matrice],$AB$3,Fonctionnement[TVA acquittée])+SUMIF(Invest[Affectation matrice],$AB$3,Invest[TVA acquittée]))*BM37</f>
        <v>0</v>
      </c>
      <c r="CO37" s="200">
        <f>(SUMIF(Fonctionnement[Affectation matrice],$AB$3,Fonctionnement[TVA acquittée])+SUMIF(Invest[Affectation matrice],$AB$3,Invest[TVA acquittée]))*BN37</f>
        <v>0</v>
      </c>
      <c r="CP37" s="200">
        <f>(SUMIF(Fonctionnement[Affectation matrice],$AB$3,Fonctionnement[TVA acquittée])+SUMIF(Invest[Affectation matrice],$AB$3,Invest[TVA acquittée]))*BO37</f>
        <v>0</v>
      </c>
      <c r="CQ37" s="200">
        <f>(SUMIF(Fonctionnement[Affectation matrice],$AB$3,Fonctionnement[TVA acquittée])+SUMIF(Invest[Affectation matrice],$AB$3,Invest[TVA acquittée]))*BP37</f>
        <v>0</v>
      </c>
      <c r="CR37" s="200">
        <f>(SUMIF(Fonctionnement[Affectation matrice],$AB$3,Fonctionnement[TVA acquittée])+SUMIF(Invest[Affectation matrice],$AB$3,Invest[TVA acquittée]))*BQ37</f>
        <v>0</v>
      </c>
      <c r="CS37" s="200">
        <f>(SUMIF(Fonctionnement[Affectation matrice],$AB$3,Fonctionnement[TVA acquittée])+SUMIF(Invest[Affectation matrice],$AB$3,Invest[TVA acquittée]))*BR37</f>
        <v>0</v>
      </c>
      <c r="CT37" s="200">
        <f>(SUMIF(Fonctionnement[Affectation matrice],$AB$3,Fonctionnement[TVA acquittée])+SUMIF(Invest[Affectation matrice],$AB$3,Invest[TVA acquittée]))*BS37</f>
        <v>0</v>
      </c>
      <c r="CU37" s="200">
        <f>(SUMIF(Fonctionnement[Affectation matrice],$AB$3,Fonctionnement[TVA acquittée])+SUMIF(Invest[Affectation matrice],$AB$3,Invest[TVA acquittée]))*BT37</f>
        <v>0</v>
      </c>
      <c r="CV37" s="200">
        <f>(SUMIF(Fonctionnement[Affectation matrice],$AB$3,Fonctionnement[TVA acquittée])+SUMIF(Invest[Affectation matrice],$AB$3,Invest[TVA acquittée]))*BU37</f>
        <v>0</v>
      </c>
      <c r="CW37" s="200">
        <f>(SUMIF(Fonctionnement[Affectation matrice],$AB$3,Fonctionnement[TVA acquittée])+SUMIF(Invest[Affectation matrice],$AB$3,Invest[TVA acquittée]))*BV37</f>
        <v>0</v>
      </c>
      <c r="CX37" s="200">
        <f>(SUMIF(Fonctionnement[Affectation matrice],$AB$3,Fonctionnement[TVA acquittée])+SUMIF(Invest[Affectation matrice],$AB$3,Invest[TVA acquittée]))*BW37</f>
        <v>0</v>
      </c>
      <c r="CY37" s="200">
        <f>(SUMIF(Fonctionnement[Affectation matrice],$AB$3,Fonctionnement[TVA acquittée])+SUMIF(Invest[Affectation matrice],$AB$3,Invest[TVA acquittée]))*BX37</f>
        <v>0</v>
      </c>
      <c r="CZ37" s="200">
        <f>(SUMIF(Fonctionnement[Affectation matrice],$AB$3,Fonctionnement[TVA acquittée])+SUMIF(Invest[Affectation matrice],$AB$3,Invest[TVA acquittée]))*BY37</f>
        <v>0</v>
      </c>
      <c r="DA37" s="200">
        <f>(SUMIF(Fonctionnement[Affectation matrice],$AB$3,Fonctionnement[TVA acquittée])+SUMIF(Invest[Affectation matrice],$AB$3,Invest[TVA acquittée]))*BZ37</f>
        <v>0</v>
      </c>
      <c r="DB37" s="200">
        <f>(SUMIF(Fonctionnement[Affectation matrice],$AB$3,Fonctionnement[TVA acquittée])+SUMIF(Invest[Affectation matrice],$AB$3,Invest[TVA acquittée]))*CA37</f>
        <v>0</v>
      </c>
    </row>
    <row r="38" spans="1:106" s="22" customFormat="1" ht="12.75" hidden="1" customHeight="1" x14ac:dyDescent="0.25">
      <c r="A38" s="42" t="str">
        <f>Matrice[[#This Row],[Ligne de la matrice]]</f>
        <v>Redevance spéciale et facturation à l'usager</v>
      </c>
      <c r="B38" s="276">
        <f>(SUMIF(Fonctionnement[Affectation matrice],$AB$3,Fonctionnement[Montant (€HT)])+SUMIF(Invest[Affectation matrice],$AB$3,Invest[Amortissement HT + intérêts]))*BC38</f>
        <v>0</v>
      </c>
      <c r="C38" s="276">
        <f>(SUMIF(Fonctionnement[Affectation matrice],$AB$3,Fonctionnement[Montant (€HT)])+SUMIF(Invest[Affectation matrice],$AB$3,Invest[Amortissement HT + intérêts]))*BD38</f>
        <v>0</v>
      </c>
      <c r="D38" s="276">
        <f>(SUMIF(Fonctionnement[Affectation matrice],$AB$3,Fonctionnement[Montant (€HT)])+SUMIF(Invest[Affectation matrice],$AB$3,Invest[Amortissement HT + intérêts]))*BE38</f>
        <v>0</v>
      </c>
      <c r="E38" s="276">
        <f>(SUMIF(Fonctionnement[Affectation matrice],$AB$3,Fonctionnement[Montant (€HT)])+SUMIF(Invest[Affectation matrice],$AB$3,Invest[Amortissement HT + intérêts]))*BF38</f>
        <v>0</v>
      </c>
      <c r="F38" s="276">
        <f>(SUMIF(Fonctionnement[Affectation matrice],$AB$3,Fonctionnement[Montant (€HT)])+SUMIF(Invest[Affectation matrice],$AB$3,Invest[Amortissement HT + intérêts]))*BG38</f>
        <v>0</v>
      </c>
      <c r="G38" s="276">
        <f>(SUMIF(Fonctionnement[Affectation matrice],$AB$3,Fonctionnement[Montant (€HT)])+SUMIF(Invest[Affectation matrice],$AB$3,Invest[Amortissement HT + intérêts]))*BH38</f>
        <v>0</v>
      </c>
      <c r="H38" s="276">
        <f>(SUMIF(Fonctionnement[Affectation matrice],$AB$3,Fonctionnement[Montant (€HT)])+SUMIF(Invest[Affectation matrice],$AB$3,Invest[Amortissement HT + intérêts]))*BI38</f>
        <v>0</v>
      </c>
      <c r="I38" s="276">
        <f>(SUMIF(Fonctionnement[Affectation matrice],$AB$3,Fonctionnement[Montant (€HT)])+SUMIF(Invest[Affectation matrice],$AB$3,Invest[Amortissement HT + intérêts]))*BJ38</f>
        <v>0</v>
      </c>
      <c r="J38" s="276">
        <f>(SUMIF(Fonctionnement[Affectation matrice],$AB$3,Fonctionnement[Montant (€HT)])+SUMIF(Invest[Affectation matrice],$AB$3,Invest[Amortissement HT + intérêts]))*BK38</f>
        <v>0</v>
      </c>
      <c r="K38" s="276">
        <f>(SUMIF(Fonctionnement[Affectation matrice],$AB$3,Fonctionnement[Montant (€HT)])+SUMIF(Invest[Affectation matrice],$AB$3,Invest[Amortissement HT + intérêts]))*BL38</f>
        <v>0</v>
      </c>
      <c r="L38" s="276">
        <f>(SUMIF(Fonctionnement[Affectation matrice],$AB$3,Fonctionnement[Montant (€HT)])+SUMIF(Invest[Affectation matrice],$AB$3,Invest[Amortissement HT + intérêts]))*BM38</f>
        <v>0</v>
      </c>
      <c r="M38" s="276">
        <f>(SUMIF(Fonctionnement[Affectation matrice],$AB$3,Fonctionnement[Montant (€HT)])+SUMIF(Invest[Affectation matrice],$AB$3,Invest[Amortissement HT + intérêts]))*BN38</f>
        <v>0</v>
      </c>
      <c r="N38" s="276">
        <f>(SUMIF(Fonctionnement[Affectation matrice],$AB$3,Fonctionnement[Montant (€HT)])+SUMIF(Invest[Affectation matrice],$AB$3,Invest[Amortissement HT + intérêts]))*BO38</f>
        <v>0</v>
      </c>
      <c r="O38" s="276">
        <f>(SUMIF(Fonctionnement[Affectation matrice],$AB$3,Fonctionnement[Montant (€HT)])+SUMIF(Invest[Affectation matrice],$AB$3,Invest[Amortissement HT + intérêts]))*BP38</f>
        <v>0</v>
      </c>
      <c r="P38" s="276">
        <f>(SUMIF(Fonctionnement[Affectation matrice],$AB$3,Fonctionnement[Montant (€HT)])+SUMIF(Invest[Affectation matrice],$AB$3,Invest[Amortissement HT + intérêts]))*BQ38</f>
        <v>0</v>
      </c>
      <c r="Q38" s="276">
        <f>(SUMIF(Fonctionnement[Affectation matrice],$AB$3,Fonctionnement[Montant (€HT)])+SUMIF(Invest[Affectation matrice],$AB$3,Invest[Amortissement HT + intérêts]))*BR38</f>
        <v>0</v>
      </c>
      <c r="R38" s="276">
        <f>(SUMIF(Fonctionnement[Affectation matrice],$AB$3,Fonctionnement[Montant (€HT)])+SUMIF(Invest[Affectation matrice],$AB$3,Invest[Amortissement HT + intérêts]))*BS38</f>
        <v>0</v>
      </c>
      <c r="S38" s="276">
        <f>(SUMIF(Fonctionnement[Affectation matrice],$AB$3,Fonctionnement[Montant (€HT)])+SUMIF(Invest[Affectation matrice],$AB$3,Invest[Amortissement HT + intérêts]))*BT38</f>
        <v>0</v>
      </c>
      <c r="T38" s="276">
        <f>(SUMIF(Fonctionnement[Affectation matrice],$AB$3,Fonctionnement[Montant (€HT)])+SUMIF(Invest[Affectation matrice],$AB$3,Invest[Amortissement HT + intérêts]))*BU38</f>
        <v>0</v>
      </c>
      <c r="U38" s="276">
        <f>(SUMIF(Fonctionnement[Affectation matrice],$AB$3,Fonctionnement[Montant (€HT)])+SUMIF(Invest[Affectation matrice],$AB$3,Invest[Amortissement HT + intérêts]))*BV38</f>
        <v>0</v>
      </c>
      <c r="V38" s="276">
        <f>(SUMIF(Fonctionnement[Affectation matrice],$AB$3,Fonctionnement[Montant (€HT)])+SUMIF(Invest[Affectation matrice],$AB$3,Invest[Amortissement HT + intérêts]))*BW38</f>
        <v>0</v>
      </c>
      <c r="W38" s="276">
        <f>(SUMIF(Fonctionnement[Affectation matrice],$AB$3,Fonctionnement[Montant (€HT)])+SUMIF(Invest[Affectation matrice],$AB$3,Invest[Amortissement HT + intérêts]))*BX38</f>
        <v>0</v>
      </c>
      <c r="X38" s="276">
        <f>(SUMIF(Fonctionnement[Affectation matrice],$AB$3,Fonctionnement[Montant (€HT)])+SUMIF(Invest[Affectation matrice],$AB$3,Invest[Amortissement HT + intérêts]))*BY38</f>
        <v>0</v>
      </c>
      <c r="Y38" s="276">
        <f>(SUMIF(Fonctionnement[Affectation matrice],$AB$3,Fonctionnement[Montant (€HT)])+SUMIF(Invest[Affectation matrice],$AB$3,Invest[Amortissement HT + intérêts]))*BZ38</f>
        <v>0</v>
      </c>
      <c r="Z38" s="276">
        <f>(SUMIF(Fonctionnement[Affectation matrice],$AB$3,Fonctionnement[Montant (€HT)])+SUMIF(Invest[Affectation matrice],$AB$3,Invest[Amortissement HT + intérêts]))*CA38</f>
        <v>0</v>
      </c>
      <c r="AA38" s="199"/>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283">
        <f t="shared" si="4"/>
        <v>0</v>
      </c>
      <c r="BB38" s="7"/>
      <c r="BC38" s="61">
        <f t="shared" si="10"/>
        <v>0</v>
      </c>
      <c r="BD38" s="61">
        <f t="shared" si="10"/>
        <v>0</v>
      </c>
      <c r="BE38" s="61">
        <f t="shared" si="10"/>
        <v>0</v>
      </c>
      <c r="BF38" s="61">
        <f t="shared" si="10"/>
        <v>0</v>
      </c>
      <c r="BG38" s="61">
        <f t="shared" si="10"/>
        <v>0</v>
      </c>
      <c r="BH38" s="61">
        <f t="shared" si="10"/>
        <v>0</v>
      </c>
      <c r="BI38" s="61">
        <f t="shared" si="10"/>
        <v>0</v>
      </c>
      <c r="BJ38" s="61">
        <f t="shared" si="10"/>
        <v>0</v>
      </c>
      <c r="BK38" s="61">
        <f t="shared" si="10"/>
        <v>0</v>
      </c>
      <c r="BL38" s="61">
        <f t="shared" si="10"/>
        <v>0</v>
      </c>
      <c r="BM38" s="61">
        <f t="shared" si="11"/>
        <v>0</v>
      </c>
      <c r="BN38" s="61">
        <f t="shared" si="11"/>
        <v>0</v>
      </c>
      <c r="BO38" s="61">
        <f t="shared" si="11"/>
        <v>0</v>
      </c>
      <c r="BP38" s="61">
        <f t="shared" si="11"/>
        <v>0</v>
      </c>
      <c r="BQ38" s="61">
        <f t="shared" si="11"/>
        <v>0</v>
      </c>
      <c r="BR38" s="61">
        <f t="shared" si="11"/>
        <v>0</v>
      </c>
      <c r="BS38" s="61">
        <f t="shared" si="11"/>
        <v>0</v>
      </c>
      <c r="BT38" s="61">
        <f t="shared" si="11"/>
        <v>0</v>
      </c>
      <c r="BU38" s="61">
        <f t="shared" si="11"/>
        <v>0</v>
      </c>
      <c r="BV38" s="61">
        <f t="shared" si="11"/>
        <v>0</v>
      </c>
      <c r="BW38" s="61">
        <f t="shared" si="11"/>
        <v>0</v>
      </c>
      <c r="BX38" s="61">
        <f t="shared" si="11"/>
        <v>0</v>
      </c>
      <c r="BY38" s="61">
        <f t="shared" si="11"/>
        <v>0</v>
      </c>
      <c r="BZ38" s="61">
        <f t="shared" si="11"/>
        <v>0</v>
      </c>
      <c r="CA38" s="61">
        <f t="shared" si="11"/>
        <v>0</v>
      </c>
      <c r="CB38" s="61">
        <f t="shared" si="5"/>
        <v>0</v>
      </c>
      <c r="CD38" s="200">
        <f>(SUMIF(Fonctionnement[Affectation matrice],$AB$3,Fonctionnement[TVA acquittée])+SUMIF(Invest[Affectation matrice],$AB$3,Invest[TVA acquittée]))*BC38</f>
        <v>0</v>
      </c>
      <c r="CE38" s="200">
        <f>(SUMIF(Fonctionnement[Affectation matrice],$AB$3,Fonctionnement[TVA acquittée])+SUMIF(Invest[Affectation matrice],$AB$3,Invest[TVA acquittée]))*BD38</f>
        <v>0</v>
      </c>
      <c r="CF38" s="200">
        <f>(SUMIF(Fonctionnement[Affectation matrice],$AB$3,Fonctionnement[TVA acquittée])+SUMIF(Invest[Affectation matrice],$AB$3,Invest[TVA acquittée]))*BE38</f>
        <v>0</v>
      </c>
      <c r="CG38" s="200">
        <f>(SUMIF(Fonctionnement[Affectation matrice],$AB$3,Fonctionnement[TVA acquittée])+SUMIF(Invest[Affectation matrice],$AB$3,Invest[TVA acquittée]))*BF38</f>
        <v>0</v>
      </c>
      <c r="CH38" s="200">
        <f>(SUMIF(Fonctionnement[Affectation matrice],$AB$3,Fonctionnement[TVA acquittée])+SUMIF(Invest[Affectation matrice],$AB$3,Invest[TVA acquittée]))*BG38</f>
        <v>0</v>
      </c>
      <c r="CI38" s="200">
        <f>(SUMIF(Fonctionnement[Affectation matrice],$AB$3,Fonctionnement[TVA acquittée])+SUMIF(Invest[Affectation matrice],$AB$3,Invest[TVA acquittée]))*BH38</f>
        <v>0</v>
      </c>
      <c r="CJ38" s="200">
        <f>(SUMIF(Fonctionnement[Affectation matrice],$AB$3,Fonctionnement[TVA acquittée])+SUMIF(Invest[Affectation matrice],$AB$3,Invest[TVA acquittée]))*BI38</f>
        <v>0</v>
      </c>
      <c r="CK38" s="200">
        <f>(SUMIF(Fonctionnement[Affectation matrice],$AB$3,Fonctionnement[TVA acquittée])+SUMIF(Invest[Affectation matrice],$AB$3,Invest[TVA acquittée]))*BJ38</f>
        <v>0</v>
      </c>
      <c r="CL38" s="200">
        <f>(SUMIF(Fonctionnement[Affectation matrice],$AB$3,Fonctionnement[TVA acquittée])+SUMIF(Invest[Affectation matrice],$AB$3,Invest[TVA acquittée]))*BK38</f>
        <v>0</v>
      </c>
      <c r="CM38" s="200">
        <f>(SUMIF(Fonctionnement[Affectation matrice],$AB$3,Fonctionnement[TVA acquittée])+SUMIF(Invest[Affectation matrice],$AB$3,Invest[TVA acquittée]))*BL38</f>
        <v>0</v>
      </c>
      <c r="CN38" s="200">
        <f>(SUMIF(Fonctionnement[Affectation matrice],$AB$3,Fonctionnement[TVA acquittée])+SUMIF(Invest[Affectation matrice],$AB$3,Invest[TVA acquittée]))*BM38</f>
        <v>0</v>
      </c>
      <c r="CO38" s="200">
        <f>(SUMIF(Fonctionnement[Affectation matrice],$AB$3,Fonctionnement[TVA acquittée])+SUMIF(Invest[Affectation matrice],$AB$3,Invest[TVA acquittée]))*BN38</f>
        <v>0</v>
      </c>
      <c r="CP38" s="200">
        <f>(SUMIF(Fonctionnement[Affectation matrice],$AB$3,Fonctionnement[TVA acquittée])+SUMIF(Invest[Affectation matrice],$AB$3,Invest[TVA acquittée]))*BO38</f>
        <v>0</v>
      </c>
      <c r="CQ38" s="200">
        <f>(SUMIF(Fonctionnement[Affectation matrice],$AB$3,Fonctionnement[TVA acquittée])+SUMIF(Invest[Affectation matrice],$AB$3,Invest[TVA acquittée]))*BP38</f>
        <v>0</v>
      </c>
      <c r="CR38" s="200">
        <f>(SUMIF(Fonctionnement[Affectation matrice],$AB$3,Fonctionnement[TVA acquittée])+SUMIF(Invest[Affectation matrice],$AB$3,Invest[TVA acquittée]))*BQ38</f>
        <v>0</v>
      </c>
      <c r="CS38" s="200">
        <f>(SUMIF(Fonctionnement[Affectation matrice],$AB$3,Fonctionnement[TVA acquittée])+SUMIF(Invest[Affectation matrice],$AB$3,Invest[TVA acquittée]))*BR38</f>
        <v>0</v>
      </c>
      <c r="CT38" s="200">
        <f>(SUMIF(Fonctionnement[Affectation matrice],$AB$3,Fonctionnement[TVA acquittée])+SUMIF(Invest[Affectation matrice],$AB$3,Invest[TVA acquittée]))*BS38</f>
        <v>0</v>
      </c>
      <c r="CU38" s="200">
        <f>(SUMIF(Fonctionnement[Affectation matrice],$AB$3,Fonctionnement[TVA acquittée])+SUMIF(Invest[Affectation matrice],$AB$3,Invest[TVA acquittée]))*BT38</f>
        <v>0</v>
      </c>
      <c r="CV38" s="200">
        <f>(SUMIF(Fonctionnement[Affectation matrice],$AB$3,Fonctionnement[TVA acquittée])+SUMIF(Invest[Affectation matrice],$AB$3,Invest[TVA acquittée]))*BU38</f>
        <v>0</v>
      </c>
      <c r="CW38" s="200">
        <f>(SUMIF(Fonctionnement[Affectation matrice],$AB$3,Fonctionnement[TVA acquittée])+SUMIF(Invest[Affectation matrice],$AB$3,Invest[TVA acquittée]))*BV38</f>
        <v>0</v>
      </c>
      <c r="CX38" s="200">
        <f>(SUMIF(Fonctionnement[Affectation matrice],$AB$3,Fonctionnement[TVA acquittée])+SUMIF(Invest[Affectation matrice],$AB$3,Invest[TVA acquittée]))*BW38</f>
        <v>0</v>
      </c>
      <c r="CY38" s="200">
        <f>(SUMIF(Fonctionnement[Affectation matrice],$AB$3,Fonctionnement[TVA acquittée])+SUMIF(Invest[Affectation matrice],$AB$3,Invest[TVA acquittée]))*BX38</f>
        <v>0</v>
      </c>
      <c r="CZ38" s="200">
        <f>(SUMIF(Fonctionnement[Affectation matrice],$AB$3,Fonctionnement[TVA acquittée])+SUMIF(Invest[Affectation matrice],$AB$3,Invest[TVA acquittée]))*BY38</f>
        <v>0</v>
      </c>
      <c r="DA38" s="200">
        <f>(SUMIF(Fonctionnement[Affectation matrice],$AB$3,Fonctionnement[TVA acquittée])+SUMIF(Invest[Affectation matrice],$AB$3,Invest[TVA acquittée]))*BZ38</f>
        <v>0</v>
      </c>
      <c r="DB38" s="200">
        <f>(SUMIF(Fonctionnement[Affectation matrice],$AB$3,Fonctionnement[TVA acquittée])+SUMIF(Invest[Affectation matrice],$AB$3,Invest[TVA acquittée]))*CA38</f>
        <v>0</v>
      </c>
    </row>
    <row r="39" spans="1:106" s="22" customFormat="1" ht="12.75" hidden="1" customHeight="1" x14ac:dyDescent="0.25">
      <c r="A39" s="42" t="str">
        <f>Matrice[[#This Row],[Ligne de la matrice]]</f>
        <v>Redevance spéciale</v>
      </c>
      <c r="B39" s="276">
        <f>(SUMIF(Fonctionnement[Affectation matrice],$AB$3,Fonctionnement[Montant (€HT)])+SUMIF(Invest[Affectation matrice],$AB$3,Invest[Amortissement HT + intérêts]))*BC39</f>
        <v>0</v>
      </c>
      <c r="C39" s="276">
        <f>(SUMIF(Fonctionnement[Affectation matrice],$AB$3,Fonctionnement[Montant (€HT)])+SUMIF(Invest[Affectation matrice],$AB$3,Invest[Amortissement HT + intérêts]))*BD39</f>
        <v>0</v>
      </c>
      <c r="D39" s="276">
        <f>(SUMIF(Fonctionnement[Affectation matrice],$AB$3,Fonctionnement[Montant (€HT)])+SUMIF(Invest[Affectation matrice],$AB$3,Invest[Amortissement HT + intérêts]))*BE39</f>
        <v>0</v>
      </c>
      <c r="E39" s="276">
        <f>(SUMIF(Fonctionnement[Affectation matrice],$AB$3,Fonctionnement[Montant (€HT)])+SUMIF(Invest[Affectation matrice],$AB$3,Invest[Amortissement HT + intérêts]))*BF39</f>
        <v>0</v>
      </c>
      <c r="F39" s="276">
        <f>(SUMIF(Fonctionnement[Affectation matrice],$AB$3,Fonctionnement[Montant (€HT)])+SUMIF(Invest[Affectation matrice],$AB$3,Invest[Amortissement HT + intérêts]))*BG39</f>
        <v>0</v>
      </c>
      <c r="G39" s="276">
        <f>(SUMIF(Fonctionnement[Affectation matrice],$AB$3,Fonctionnement[Montant (€HT)])+SUMIF(Invest[Affectation matrice],$AB$3,Invest[Amortissement HT + intérêts]))*BH39</f>
        <v>0</v>
      </c>
      <c r="H39" s="276">
        <f>(SUMIF(Fonctionnement[Affectation matrice],$AB$3,Fonctionnement[Montant (€HT)])+SUMIF(Invest[Affectation matrice],$AB$3,Invest[Amortissement HT + intérêts]))*BI39</f>
        <v>0</v>
      </c>
      <c r="I39" s="276">
        <f>(SUMIF(Fonctionnement[Affectation matrice],$AB$3,Fonctionnement[Montant (€HT)])+SUMIF(Invest[Affectation matrice],$AB$3,Invest[Amortissement HT + intérêts]))*BJ39</f>
        <v>0</v>
      </c>
      <c r="J39" s="276">
        <f>(SUMIF(Fonctionnement[Affectation matrice],$AB$3,Fonctionnement[Montant (€HT)])+SUMIF(Invest[Affectation matrice],$AB$3,Invest[Amortissement HT + intérêts]))*BK39</f>
        <v>0</v>
      </c>
      <c r="K39" s="276">
        <f>(SUMIF(Fonctionnement[Affectation matrice],$AB$3,Fonctionnement[Montant (€HT)])+SUMIF(Invest[Affectation matrice],$AB$3,Invest[Amortissement HT + intérêts]))*BL39</f>
        <v>0</v>
      </c>
      <c r="L39" s="276">
        <f>(SUMIF(Fonctionnement[Affectation matrice],$AB$3,Fonctionnement[Montant (€HT)])+SUMIF(Invest[Affectation matrice],$AB$3,Invest[Amortissement HT + intérêts]))*BM39</f>
        <v>0</v>
      </c>
      <c r="M39" s="276">
        <f>(SUMIF(Fonctionnement[Affectation matrice],$AB$3,Fonctionnement[Montant (€HT)])+SUMIF(Invest[Affectation matrice],$AB$3,Invest[Amortissement HT + intérêts]))*BN39</f>
        <v>0</v>
      </c>
      <c r="N39" s="276">
        <f>(SUMIF(Fonctionnement[Affectation matrice],$AB$3,Fonctionnement[Montant (€HT)])+SUMIF(Invest[Affectation matrice],$AB$3,Invest[Amortissement HT + intérêts]))*BO39</f>
        <v>0</v>
      </c>
      <c r="O39" s="276">
        <f>(SUMIF(Fonctionnement[Affectation matrice],$AB$3,Fonctionnement[Montant (€HT)])+SUMIF(Invest[Affectation matrice],$AB$3,Invest[Amortissement HT + intérêts]))*BP39</f>
        <v>0</v>
      </c>
      <c r="P39" s="276">
        <f>(SUMIF(Fonctionnement[Affectation matrice],$AB$3,Fonctionnement[Montant (€HT)])+SUMIF(Invest[Affectation matrice],$AB$3,Invest[Amortissement HT + intérêts]))*BQ39</f>
        <v>0</v>
      </c>
      <c r="Q39" s="276">
        <f>(SUMIF(Fonctionnement[Affectation matrice],$AB$3,Fonctionnement[Montant (€HT)])+SUMIF(Invest[Affectation matrice],$AB$3,Invest[Amortissement HT + intérêts]))*BR39</f>
        <v>0</v>
      </c>
      <c r="R39" s="276">
        <f>(SUMIF(Fonctionnement[Affectation matrice],$AB$3,Fonctionnement[Montant (€HT)])+SUMIF(Invest[Affectation matrice],$AB$3,Invest[Amortissement HT + intérêts]))*BS39</f>
        <v>0</v>
      </c>
      <c r="S39" s="276">
        <f>(SUMIF(Fonctionnement[Affectation matrice],$AB$3,Fonctionnement[Montant (€HT)])+SUMIF(Invest[Affectation matrice],$AB$3,Invest[Amortissement HT + intérêts]))*BT39</f>
        <v>0</v>
      </c>
      <c r="T39" s="276">
        <f>(SUMIF(Fonctionnement[Affectation matrice],$AB$3,Fonctionnement[Montant (€HT)])+SUMIF(Invest[Affectation matrice],$AB$3,Invest[Amortissement HT + intérêts]))*BU39</f>
        <v>0</v>
      </c>
      <c r="U39" s="276">
        <f>(SUMIF(Fonctionnement[Affectation matrice],$AB$3,Fonctionnement[Montant (€HT)])+SUMIF(Invest[Affectation matrice],$AB$3,Invest[Amortissement HT + intérêts]))*BV39</f>
        <v>0</v>
      </c>
      <c r="V39" s="276">
        <f>(SUMIF(Fonctionnement[Affectation matrice],$AB$3,Fonctionnement[Montant (€HT)])+SUMIF(Invest[Affectation matrice],$AB$3,Invest[Amortissement HT + intérêts]))*BW39</f>
        <v>0</v>
      </c>
      <c r="W39" s="276">
        <f>(SUMIF(Fonctionnement[Affectation matrice],$AB$3,Fonctionnement[Montant (€HT)])+SUMIF(Invest[Affectation matrice],$AB$3,Invest[Amortissement HT + intérêts]))*BX39</f>
        <v>0</v>
      </c>
      <c r="X39" s="276">
        <f>(SUMIF(Fonctionnement[Affectation matrice],$AB$3,Fonctionnement[Montant (€HT)])+SUMIF(Invest[Affectation matrice],$AB$3,Invest[Amortissement HT + intérêts]))*BY39</f>
        <v>0</v>
      </c>
      <c r="Y39" s="276">
        <f>(SUMIF(Fonctionnement[Affectation matrice],$AB$3,Fonctionnement[Montant (€HT)])+SUMIF(Invest[Affectation matrice],$AB$3,Invest[Amortissement HT + intérêts]))*BZ39</f>
        <v>0</v>
      </c>
      <c r="Z39" s="276">
        <f>(SUMIF(Fonctionnement[Affectation matrice],$AB$3,Fonctionnement[Montant (€HT)])+SUMIF(Invest[Affectation matrice],$AB$3,Invest[Amortissement HT + intérêts]))*CA39</f>
        <v>0</v>
      </c>
      <c r="AA39" s="199"/>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283">
        <f t="shared" si="4"/>
        <v>0</v>
      </c>
      <c r="BB39" s="7"/>
      <c r="BC39" s="61">
        <f t="shared" si="10"/>
        <v>0</v>
      </c>
      <c r="BD39" s="61">
        <f t="shared" si="10"/>
        <v>0</v>
      </c>
      <c r="BE39" s="61">
        <f t="shared" si="10"/>
        <v>0</v>
      </c>
      <c r="BF39" s="61">
        <f t="shared" si="10"/>
        <v>0</v>
      </c>
      <c r="BG39" s="61">
        <f t="shared" si="10"/>
        <v>0</v>
      </c>
      <c r="BH39" s="61">
        <f t="shared" si="10"/>
        <v>0</v>
      </c>
      <c r="BI39" s="61">
        <f t="shared" si="10"/>
        <v>0</v>
      </c>
      <c r="BJ39" s="61">
        <f t="shared" si="10"/>
        <v>0</v>
      </c>
      <c r="BK39" s="61">
        <f t="shared" si="10"/>
        <v>0</v>
      </c>
      <c r="BL39" s="61">
        <f t="shared" si="10"/>
        <v>0</v>
      </c>
      <c r="BM39" s="61">
        <f t="shared" si="11"/>
        <v>0</v>
      </c>
      <c r="BN39" s="61">
        <f t="shared" si="11"/>
        <v>0</v>
      </c>
      <c r="BO39" s="61">
        <f t="shared" si="11"/>
        <v>0</v>
      </c>
      <c r="BP39" s="61">
        <f t="shared" si="11"/>
        <v>0</v>
      </c>
      <c r="BQ39" s="61">
        <f t="shared" si="11"/>
        <v>0</v>
      </c>
      <c r="BR39" s="61">
        <f t="shared" si="11"/>
        <v>0</v>
      </c>
      <c r="BS39" s="61">
        <f t="shared" si="11"/>
        <v>0</v>
      </c>
      <c r="BT39" s="61">
        <f t="shared" si="11"/>
        <v>0</v>
      </c>
      <c r="BU39" s="61">
        <f t="shared" si="11"/>
        <v>0</v>
      </c>
      <c r="BV39" s="61">
        <f t="shared" si="11"/>
        <v>0</v>
      </c>
      <c r="BW39" s="61">
        <f t="shared" si="11"/>
        <v>0</v>
      </c>
      <c r="BX39" s="61">
        <f t="shared" si="11"/>
        <v>0</v>
      </c>
      <c r="BY39" s="61">
        <f t="shared" si="11"/>
        <v>0</v>
      </c>
      <c r="BZ39" s="61">
        <f t="shared" si="11"/>
        <v>0</v>
      </c>
      <c r="CA39" s="61">
        <f t="shared" si="11"/>
        <v>0</v>
      </c>
      <c r="CB39" s="61">
        <f t="shared" si="5"/>
        <v>0</v>
      </c>
      <c r="CD39" s="200">
        <f>(SUMIF(Fonctionnement[Affectation matrice],$AB$3,Fonctionnement[TVA acquittée])+SUMIF(Invest[Affectation matrice],$AB$3,Invest[TVA acquittée]))*BC39</f>
        <v>0</v>
      </c>
      <c r="CE39" s="200">
        <f>(SUMIF(Fonctionnement[Affectation matrice],$AB$3,Fonctionnement[TVA acquittée])+SUMIF(Invest[Affectation matrice],$AB$3,Invest[TVA acquittée]))*BD39</f>
        <v>0</v>
      </c>
      <c r="CF39" s="200">
        <f>(SUMIF(Fonctionnement[Affectation matrice],$AB$3,Fonctionnement[TVA acquittée])+SUMIF(Invest[Affectation matrice],$AB$3,Invest[TVA acquittée]))*BE39</f>
        <v>0</v>
      </c>
      <c r="CG39" s="200">
        <f>(SUMIF(Fonctionnement[Affectation matrice],$AB$3,Fonctionnement[TVA acquittée])+SUMIF(Invest[Affectation matrice],$AB$3,Invest[TVA acquittée]))*BF39</f>
        <v>0</v>
      </c>
      <c r="CH39" s="200">
        <f>(SUMIF(Fonctionnement[Affectation matrice],$AB$3,Fonctionnement[TVA acquittée])+SUMIF(Invest[Affectation matrice],$AB$3,Invest[TVA acquittée]))*BG39</f>
        <v>0</v>
      </c>
      <c r="CI39" s="200">
        <f>(SUMIF(Fonctionnement[Affectation matrice],$AB$3,Fonctionnement[TVA acquittée])+SUMIF(Invest[Affectation matrice],$AB$3,Invest[TVA acquittée]))*BH39</f>
        <v>0</v>
      </c>
      <c r="CJ39" s="200">
        <f>(SUMIF(Fonctionnement[Affectation matrice],$AB$3,Fonctionnement[TVA acquittée])+SUMIF(Invest[Affectation matrice],$AB$3,Invest[TVA acquittée]))*BI39</f>
        <v>0</v>
      </c>
      <c r="CK39" s="200">
        <f>(SUMIF(Fonctionnement[Affectation matrice],$AB$3,Fonctionnement[TVA acquittée])+SUMIF(Invest[Affectation matrice],$AB$3,Invest[TVA acquittée]))*BJ39</f>
        <v>0</v>
      </c>
      <c r="CL39" s="200">
        <f>(SUMIF(Fonctionnement[Affectation matrice],$AB$3,Fonctionnement[TVA acquittée])+SUMIF(Invest[Affectation matrice],$AB$3,Invest[TVA acquittée]))*BK39</f>
        <v>0</v>
      </c>
      <c r="CM39" s="200">
        <f>(SUMIF(Fonctionnement[Affectation matrice],$AB$3,Fonctionnement[TVA acquittée])+SUMIF(Invest[Affectation matrice],$AB$3,Invest[TVA acquittée]))*BL39</f>
        <v>0</v>
      </c>
      <c r="CN39" s="200">
        <f>(SUMIF(Fonctionnement[Affectation matrice],$AB$3,Fonctionnement[TVA acquittée])+SUMIF(Invest[Affectation matrice],$AB$3,Invest[TVA acquittée]))*BM39</f>
        <v>0</v>
      </c>
      <c r="CO39" s="200">
        <f>(SUMIF(Fonctionnement[Affectation matrice],$AB$3,Fonctionnement[TVA acquittée])+SUMIF(Invest[Affectation matrice],$AB$3,Invest[TVA acquittée]))*BN39</f>
        <v>0</v>
      </c>
      <c r="CP39" s="200">
        <f>(SUMIF(Fonctionnement[Affectation matrice],$AB$3,Fonctionnement[TVA acquittée])+SUMIF(Invest[Affectation matrice],$AB$3,Invest[TVA acquittée]))*BO39</f>
        <v>0</v>
      </c>
      <c r="CQ39" s="200">
        <f>(SUMIF(Fonctionnement[Affectation matrice],$AB$3,Fonctionnement[TVA acquittée])+SUMIF(Invest[Affectation matrice],$AB$3,Invest[TVA acquittée]))*BP39</f>
        <v>0</v>
      </c>
      <c r="CR39" s="200">
        <f>(SUMIF(Fonctionnement[Affectation matrice],$AB$3,Fonctionnement[TVA acquittée])+SUMIF(Invest[Affectation matrice],$AB$3,Invest[TVA acquittée]))*BQ39</f>
        <v>0</v>
      </c>
      <c r="CS39" s="200">
        <f>(SUMIF(Fonctionnement[Affectation matrice],$AB$3,Fonctionnement[TVA acquittée])+SUMIF(Invest[Affectation matrice],$AB$3,Invest[TVA acquittée]))*BR39</f>
        <v>0</v>
      </c>
      <c r="CT39" s="200">
        <f>(SUMIF(Fonctionnement[Affectation matrice],$AB$3,Fonctionnement[TVA acquittée])+SUMIF(Invest[Affectation matrice],$AB$3,Invest[TVA acquittée]))*BS39</f>
        <v>0</v>
      </c>
      <c r="CU39" s="200">
        <f>(SUMIF(Fonctionnement[Affectation matrice],$AB$3,Fonctionnement[TVA acquittée])+SUMIF(Invest[Affectation matrice],$AB$3,Invest[TVA acquittée]))*BT39</f>
        <v>0</v>
      </c>
      <c r="CV39" s="200">
        <f>(SUMIF(Fonctionnement[Affectation matrice],$AB$3,Fonctionnement[TVA acquittée])+SUMIF(Invest[Affectation matrice],$AB$3,Invest[TVA acquittée]))*BU39</f>
        <v>0</v>
      </c>
      <c r="CW39" s="200">
        <f>(SUMIF(Fonctionnement[Affectation matrice],$AB$3,Fonctionnement[TVA acquittée])+SUMIF(Invest[Affectation matrice],$AB$3,Invest[TVA acquittée]))*BV39</f>
        <v>0</v>
      </c>
      <c r="CX39" s="200">
        <f>(SUMIF(Fonctionnement[Affectation matrice],$AB$3,Fonctionnement[TVA acquittée])+SUMIF(Invest[Affectation matrice],$AB$3,Invest[TVA acquittée]))*BW39</f>
        <v>0</v>
      </c>
      <c r="CY39" s="200">
        <f>(SUMIF(Fonctionnement[Affectation matrice],$AB$3,Fonctionnement[TVA acquittée])+SUMIF(Invest[Affectation matrice],$AB$3,Invest[TVA acquittée]))*BX39</f>
        <v>0</v>
      </c>
      <c r="CZ39" s="200">
        <f>(SUMIF(Fonctionnement[Affectation matrice],$AB$3,Fonctionnement[TVA acquittée])+SUMIF(Invest[Affectation matrice],$AB$3,Invest[TVA acquittée]))*BY39</f>
        <v>0</v>
      </c>
      <c r="DA39" s="200">
        <f>(SUMIF(Fonctionnement[Affectation matrice],$AB$3,Fonctionnement[TVA acquittée])+SUMIF(Invest[Affectation matrice],$AB$3,Invest[TVA acquittée]))*BZ39</f>
        <v>0</v>
      </c>
      <c r="DB39" s="200">
        <f>(SUMIF(Fonctionnement[Affectation matrice],$AB$3,Fonctionnement[TVA acquittée])+SUMIF(Invest[Affectation matrice],$AB$3,Invest[TVA acquittée]))*CA39</f>
        <v>0</v>
      </c>
    </row>
    <row r="40" spans="1:106" s="22" customFormat="1" ht="12.75" hidden="1" customHeight="1" x14ac:dyDescent="0.25">
      <c r="A40" s="42" t="str">
        <f>Matrice[[#This Row],[Ligne de la matrice]]</f>
        <v>Facturation à l'usager</v>
      </c>
      <c r="B40" s="276">
        <f>(SUMIF(Fonctionnement[Affectation matrice],$AB$3,Fonctionnement[Montant (€HT)])+SUMIF(Invest[Affectation matrice],$AB$3,Invest[Amortissement HT + intérêts]))*BC40</f>
        <v>0</v>
      </c>
      <c r="C40" s="276">
        <f>(SUMIF(Fonctionnement[Affectation matrice],$AB$3,Fonctionnement[Montant (€HT)])+SUMIF(Invest[Affectation matrice],$AB$3,Invest[Amortissement HT + intérêts]))*BD40</f>
        <v>0</v>
      </c>
      <c r="D40" s="276">
        <f>(SUMIF(Fonctionnement[Affectation matrice],$AB$3,Fonctionnement[Montant (€HT)])+SUMIF(Invest[Affectation matrice],$AB$3,Invest[Amortissement HT + intérêts]))*BE40</f>
        <v>0</v>
      </c>
      <c r="E40" s="276">
        <f>(SUMIF(Fonctionnement[Affectation matrice],$AB$3,Fonctionnement[Montant (€HT)])+SUMIF(Invest[Affectation matrice],$AB$3,Invest[Amortissement HT + intérêts]))*BF40</f>
        <v>0</v>
      </c>
      <c r="F40" s="276">
        <f>(SUMIF(Fonctionnement[Affectation matrice],$AB$3,Fonctionnement[Montant (€HT)])+SUMIF(Invest[Affectation matrice],$AB$3,Invest[Amortissement HT + intérêts]))*BG40</f>
        <v>0</v>
      </c>
      <c r="G40" s="276">
        <f>(SUMIF(Fonctionnement[Affectation matrice],$AB$3,Fonctionnement[Montant (€HT)])+SUMIF(Invest[Affectation matrice],$AB$3,Invest[Amortissement HT + intérêts]))*BH40</f>
        <v>0</v>
      </c>
      <c r="H40" s="276">
        <f>(SUMIF(Fonctionnement[Affectation matrice],$AB$3,Fonctionnement[Montant (€HT)])+SUMIF(Invest[Affectation matrice],$AB$3,Invest[Amortissement HT + intérêts]))*BI40</f>
        <v>0</v>
      </c>
      <c r="I40" s="276">
        <f>(SUMIF(Fonctionnement[Affectation matrice],$AB$3,Fonctionnement[Montant (€HT)])+SUMIF(Invest[Affectation matrice],$AB$3,Invest[Amortissement HT + intérêts]))*BJ40</f>
        <v>0</v>
      </c>
      <c r="J40" s="276">
        <f>(SUMIF(Fonctionnement[Affectation matrice],$AB$3,Fonctionnement[Montant (€HT)])+SUMIF(Invest[Affectation matrice],$AB$3,Invest[Amortissement HT + intérêts]))*BK40</f>
        <v>0</v>
      </c>
      <c r="K40" s="276">
        <f>(SUMIF(Fonctionnement[Affectation matrice],$AB$3,Fonctionnement[Montant (€HT)])+SUMIF(Invest[Affectation matrice],$AB$3,Invest[Amortissement HT + intérêts]))*BL40</f>
        <v>0</v>
      </c>
      <c r="L40" s="276">
        <f>(SUMIF(Fonctionnement[Affectation matrice],$AB$3,Fonctionnement[Montant (€HT)])+SUMIF(Invest[Affectation matrice],$AB$3,Invest[Amortissement HT + intérêts]))*BM40</f>
        <v>0</v>
      </c>
      <c r="M40" s="276">
        <f>(SUMIF(Fonctionnement[Affectation matrice],$AB$3,Fonctionnement[Montant (€HT)])+SUMIF(Invest[Affectation matrice],$AB$3,Invest[Amortissement HT + intérêts]))*BN40</f>
        <v>0</v>
      </c>
      <c r="N40" s="276">
        <f>(SUMIF(Fonctionnement[Affectation matrice],$AB$3,Fonctionnement[Montant (€HT)])+SUMIF(Invest[Affectation matrice],$AB$3,Invest[Amortissement HT + intérêts]))*BO40</f>
        <v>0</v>
      </c>
      <c r="O40" s="276">
        <f>(SUMIF(Fonctionnement[Affectation matrice],$AB$3,Fonctionnement[Montant (€HT)])+SUMIF(Invest[Affectation matrice],$AB$3,Invest[Amortissement HT + intérêts]))*BP40</f>
        <v>0</v>
      </c>
      <c r="P40" s="276">
        <f>(SUMIF(Fonctionnement[Affectation matrice],$AB$3,Fonctionnement[Montant (€HT)])+SUMIF(Invest[Affectation matrice],$AB$3,Invest[Amortissement HT + intérêts]))*BQ40</f>
        <v>0</v>
      </c>
      <c r="Q40" s="276">
        <f>(SUMIF(Fonctionnement[Affectation matrice],$AB$3,Fonctionnement[Montant (€HT)])+SUMIF(Invest[Affectation matrice],$AB$3,Invest[Amortissement HT + intérêts]))*BR40</f>
        <v>0</v>
      </c>
      <c r="R40" s="276">
        <f>(SUMIF(Fonctionnement[Affectation matrice],$AB$3,Fonctionnement[Montant (€HT)])+SUMIF(Invest[Affectation matrice],$AB$3,Invest[Amortissement HT + intérêts]))*BS40</f>
        <v>0</v>
      </c>
      <c r="S40" s="276">
        <f>(SUMIF(Fonctionnement[Affectation matrice],$AB$3,Fonctionnement[Montant (€HT)])+SUMIF(Invest[Affectation matrice],$AB$3,Invest[Amortissement HT + intérêts]))*BT40</f>
        <v>0</v>
      </c>
      <c r="T40" s="276">
        <f>(SUMIF(Fonctionnement[Affectation matrice],$AB$3,Fonctionnement[Montant (€HT)])+SUMIF(Invest[Affectation matrice],$AB$3,Invest[Amortissement HT + intérêts]))*BU40</f>
        <v>0</v>
      </c>
      <c r="U40" s="276">
        <f>(SUMIF(Fonctionnement[Affectation matrice],$AB$3,Fonctionnement[Montant (€HT)])+SUMIF(Invest[Affectation matrice],$AB$3,Invest[Amortissement HT + intérêts]))*BV40</f>
        <v>0</v>
      </c>
      <c r="V40" s="276">
        <f>(SUMIF(Fonctionnement[Affectation matrice],$AB$3,Fonctionnement[Montant (€HT)])+SUMIF(Invest[Affectation matrice],$AB$3,Invest[Amortissement HT + intérêts]))*BW40</f>
        <v>0</v>
      </c>
      <c r="W40" s="276">
        <f>(SUMIF(Fonctionnement[Affectation matrice],$AB$3,Fonctionnement[Montant (€HT)])+SUMIF(Invest[Affectation matrice],$AB$3,Invest[Amortissement HT + intérêts]))*BX40</f>
        <v>0</v>
      </c>
      <c r="X40" s="276">
        <f>(SUMIF(Fonctionnement[Affectation matrice],$AB$3,Fonctionnement[Montant (€HT)])+SUMIF(Invest[Affectation matrice],$AB$3,Invest[Amortissement HT + intérêts]))*BY40</f>
        <v>0</v>
      </c>
      <c r="Y40" s="276">
        <f>(SUMIF(Fonctionnement[Affectation matrice],$AB$3,Fonctionnement[Montant (€HT)])+SUMIF(Invest[Affectation matrice],$AB$3,Invest[Amortissement HT + intérêts]))*BZ40</f>
        <v>0</v>
      </c>
      <c r="Z40" s="276">
        <f>(SUMIF(Fonctionnement[Affectation matrice],$AB$3,Fonctionnement[Montant (€HT)])+SUMIF(Invest[Affectation matrice],$AB$3,Invest[Amortissement HT + intérêts]))*CA40</f>
        <v>0</v>
      </c>
      <c r="AA40" s="199"/>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283">
        <f t="shared" si="4"/>
        <v>0</v>
      </c>
      <c r="BB40" s="7"/>
      <c r="BC40" s="61">
        <f t="shared" si="10"/>
        <v>0</v>
      </c>
      <c r="BD40" s="61">
        <f t="shared" si="10"/>
        <v>0</v>
      </c>
      <c r="BE40" s="61">
        <f t="shared" si="10"/>
        <v>0</v>
      </c>
      <c r="BF40" s="61">
        <f t="shared" si="10"/>
        <v>0</v>
      </c>
      <c r="BG40" s="61">
        <f t="shared" si="10"/>
        <v>0</v>
      </c>
      <c r="BH40" s="61">
        <f t="shared" si="10"/>
        <v>0</v>
      </c>
      <c r="BI40" s="61">
        <f t="shared" si="10"/>
        <v>0</v>
      </c>
      <c r="BJ40" s="61">
        <f t="shared" si="10"/>
        <v>0</v>
      </c>
      <c r="BK40" s="61">
        <f t="shared" si="10"/>
        <v>0</v>
      </c>
      <c r="BL40" s="61">
        <f t="shared" si="10"/>
        <v>0</v>
      </c>
      <c r="BM40" s="61">
        <f t="shared" si="11"/>
        <v>0</v>
      </c>
      <c r="BN40" s="61">
        <f t="shared" si="11"/>
        <v>0</v>
      </c>
      <c r="BO40" s="61">
        <f t="shared" si="11"/>
        <v>0</v>
      </c>
      <c r="BP40" s="61">
        <f t="shared" si="11"/>
        <v>0</v>
      </c>
      <c r="BQ40" s="61">
        <f t="shared" si="11"/>
        <v>0</v>
      </c>
      <c r="BR40" s="61">
        <f t="shared" si="11"/>
        <v>0</v>
      </c>
      <c r="BS40" s="61">
        <f t="shared" si="11"/>
        <v>0</v>
      </c>
      <c r="BT40" s="61">
        <f t="shared" si="11"/>
        <v>0</v>
      </c>
      <c r="BU40" s="61">
        <f t="shared" si="11"/>
        <v>0</v>
      </c>
      <c r="BV40" s="61">
        <f t="shared" si="11"/>
        <v>0</v>
      </c>
      <c r="BW40" s="61">
        <f t="shared" si="11"/>
        <v>0</v>
      </c>
      <c r="BX40" s="61">
        <f t="shared" si="11"/>
        <v>0</v>
      </c>
      <c r="BY40" s="61">
        <f t="shared" si="11"/>
        <v>0</v>
      </c>
      <c r="BZ40" s="61">
        <f t="shared" si="11"/>
        <v>0</v>
      </c>
      <c r="CA40" s="61">
        <f t="shared" si="11"/>
        <v>0</v>
      </c>
      <c r="CB40" s="61">
        <f t="shared" si="5"/>
        <v>0</v>
      </c>
      <c r="CD40" s="200">
        <f>(SUMIF(Fonctionnement[Affectation matrice],$AB$3,Fonctionnement[TVA acquittée])+SUMIF(Invest[Affectation matrice],$AB$3,Invest[TVA acquittée]))*BC40</f>
        <v>0</v>
      </c>
      <c r="CE40" s="200">
        <f>(SUMIF(Fonctionnement[Affectation matrice],$AB$3,Fonctionnement[TVA acquittée])+SUMIF(Invest[Affectation matrice],$AB$3,Invest[TVA acquittée]))*BD40</f>
        <v>0</v>
      </c>
      <c r="CF40" s="200">
        <f>(SUMIF(Fonctionnement[Affectation matrice],$AB$3,Fonctionnement[TVA acquittée])+SUMIF(Invest[Affectation matrice],$AB$3,Invest[TVA acquittée]))*BE40</f>
        <v>0</v>
      </c>
      <c r="CG40" s="200">
        <f>(SUMIF(Fonctionnement[Affectation matrice],$AB$3,Fonctionnement[TVA acquittée])+SUMIF(Invest[Affectation matrice],$AB$3,Invest[TVA acquittée]))*BF40</f>
        <v>0</v>
      </c>
      <c r="CH40" s="200">
        <f>(SUMIF(Fonctionnement[Affectation matrice],$AB$3,Fonctionnement[TVA acquittée])+SUMIF(Invest[Affectation matrice],$AB$3,Invest[TVA acquittée]))*BG40</f>
        <v>0</v>
      </c>
      <c r="CI40" s="200">
        <f>(SUMIF(Fonctionnement[Affectation matrice],$AB$3,Fonctionnement[TVA acquittée])+SUMIF(Invest[Affectation matrice],$AB$3,Invest[TVA acquittée]))*BH40</f>
        <v>0</v>
      </c>
      <c r="CJ40" s="200">
        <f>(SUMIF(Fonctionnement[Affectation matrice],$AB$3,Fonctionnement[TVA acquittée])+SUMIF(Invest[Affectation matrice],$AB$3,Invest[TVA acquittée]))*BI40</f>
        <v>0</v>
      </c>
      <c r="CK40" s="200">
        <f>(SUMIF(Fonctionnement[Affectation matrice],$AB$3,Fonctionnement[TVA acquittée])+SUMIF(Invest[Affectation matrice],$AB$3,Invest[TVA acquittée]))*BJ40</f>
        <v>0</v>
      </c>
      <c r="CL40" s="200">
        <f>(SUMIF(Fonctionnement[Affectation matrice],$AB$3,Fonctionnement[TVA acquittée])+SUMIF(Invest[Affectation matrice],$AB$3,Invest[TVA acquittée]))*BK40</f>
        <v>0</v>
      </c>
      <c r="CM40" s="200">
        <f>(SUMIF(Fonctionnement[Affectation matrice],$AB$3,Fonctionnement[TVA acquittée])+SUMIF(Invest[Affectation matrice],$AB$3,Invest[TVA acquittée]))*BL40</f>
        <v>0</v>
      </c>
      <c r="CN40" s="200">
        <f>(SUMIF(Fonctionnement[Affectation matrice],$AB$3,Fonctionnement[TVA acquittée])+SUMIF(Invest[Affectation matrice],$AB$3,Invest[TVA acquittée]))*BM40</f>
        <v>0</v>
      </c>
      <c r="CO40" s="200">
        <f>(SUMIF(Fonctionnement[Affectation matrice],$AB$3,Fonctionnement[TVA acquittée])+SUMIF(Invest[Affectation matrice],$AB$3,Invest[TVA acquittée]))*BN40</f>
        <v>0</v>
      </c>
      <c r="CP40" s="200">
        <f>(SUMIF(Fonctionnement[Affectation matrice],$AB$3,Fonctionnement[TVA acquittée])+SUMIF(Invest[Affectation matrice],$AB$3,Invest[TVA acquittée]))*BO40</f>
        <v>0</v>
      </c>
      <c r="CQ40" s="200">
        <f>(SUMIF(Fonctionnement[Affectation matrice],$AB$3,Fonctionnement[TVA acquittée])+SUMIF(Invest[Affectation matrice],$AB$3,Invest[TVA acquittée]))*BP40</f>
        <v>0</v>
      </c>
      <c r="CR40" s="200">
        <f>(SUMIF(Fonctionnement[Affectation matrice],$AB$3,Fonctionnement[TVA acquittée])+SUMIF(Invest[Affectation matrice],$AB$3,Invest[TVA acquittée]))*BQ40</f>
        <v>0</v>
      </c>
      <c r="CS40" s="200">
        <f>(SUMIF(Fonctionnement[Affectation matrice],$AB$3,Fonctionnement[TVA acquittée])+SUMIF(Invest[Affectation matrice],$AB$3,Invest[TVA acquittée]))*BR40</f>
        <v>0</v>
      </c>
      <c r="CT40" s="200">
        <f>(SUMIF(Fonctionnement[Affectation matrice],$AB$3,Fonctionnement[TVA acquittée])+SUMIF(Invest[Affectation matrice],$AB$3,Invest[TVA acquittée]))*BS40</f>
        <v>0</v>
      </c>
      <c r="CU40" s="200">
        <f>(SUMIF(Fonctionnement[Affectation matrice],$AB$3,Fonctionnement[TVA acquittée])+SUMIF(Invest[Affectation matrice],$AB$3,Invest[TVA acquittée]))*BT40</f>
        <v>0</v>
      </c>
      <c r="CV40" s="200">
        <f>(SUMIF(Fonctionnement[Affectation matrice],$AB$3,Fonctionnement[TVA acquittée])+SUMIF(Invest[Affectation matrice],$AB$3,Invest[TVA acquittée]))*BU40</f>
        <v>0</v>
      </c>
      <c r="CW40" s="200">
        <f>(SUMIF(Fonctionnement[Affectation matrice],$AB$3,Fonctionnement[TVA acquittée])+SUMIF(Invest[Affectation matrice],$AB$3,Invest[TVA acquittée]))*BV40</f>
        <v>0</v>
      </c>
      <c r="CX40" s="200">
        <f>(SUMIF(Fonctionnement[Affectation matrice],$AB$3,Fonctionnement[TVA acquittée])+SUMIF(Invest[Affectation matrice],$AB$3,Invest[TVA acquittée]))*BW40</f>
        <v>0</v>
      </c>
      <c r="CY40" s="200">
        <f>(SUMIF(Fonctionnement[Affectation matrice],$AB$3,Fonctionnement[TVA acquittée])+SUMIF(Invest[Affectation matrice],$AB$3,Invest[TVA acquittée]))*BX40</f>
        <v>0</v>
      </c>
      <c r="CZ40" s="200">
        <f>(SUMIF(Fonctionnement[Affectation matrice],$AB$3,Fonctionnement[TVA acquittée])+SUMIF(Invest[Affectation matrice],$AB$3,Invest[TVA acquittée]))*BY40</f>
        <v>0</v>
      </c>
      <c r="DA40" s="200">
        <f>(SUMIF(Fonctionnement[Affectation matrice],$AB$3,Fonctionnement[TVA acquittée])+SUMIF(Invest[Affectation matrice],$AB$3,Invest[TVA acquittée]))*BZ40</f>
        <v>0</v>
      </c>
      <c r="DB40" s="200">
        <f>(SUMIF(Fonctionnement[Affectation matrice],$AB$3,Fonctionnement[TVA acquittée])+SUMIF(Invest[Affectation matrice],$AB$3,Invest[TVA acquittée]))*CA40</f>
        <v>0</v>
      </c>
    </row>
    <row r="41" spans="1:106" s="22" customFormat="1" ht="12.75" hidden="1" customHeight="1" x14ac:dyDescent="0.25">
      <c r="A41" s="42" t="str">
        <f>Matrice[[#This Row],[Ligne de la matrice]]</f>
        <v>Contribution des collectivités</v>
      </c>
      <c r="B41" s="276">
        <f>(SUMIF(Fonctionnement[Affectation matrice],$AB$3,Fonctionnement[Montant (€HT)])+SUMIF(Invest[Affectation matrice],$AB$3,Invest[Amortissement HT + intérêts]))*BC41</f>
        <v>0</v>
      </c>
      <c r="C41" s="276">
        <f>(SUMIF(Fonctionnement[Affectation matrice],$AB$3,Fonctionnement[Montant (€HT)])+SUMIF(Invest[Affectation matrice],$AB$3,Invest[Amortissement HT + intérêts]))*BD41</f>
        <v>0</v>
      </c>
      <c r="D41" s="276">
        <f>(SUMIF(Fonctionnement[Affectation matrice],$AB$3,Fonctionnement[Montant (€HT)])+SUMIF(Invest[Affectation matrice],$AB$3,Invest[Amortissement HT + intérêts]))*BE41</f>
        <v>0</v>
      </c>
      <c r="E41" s="276">
        <f>(SUMIF(Fonctionnement[Affectation matrice],$AB$3,Fonctionnement[Montant (€HT)])+SUMIF(Invest[Affectation matrice],$AB$3,Invest[Amortissement HT + intérêts]))*BF41</f>
        <v>0</v>
      </c>
      <c r="F41" s="276">
        <f>(SUMIF(Fonctionnement[Affectation matrice],$AB$3,Fonctionnement[Montant (€HT)])+SUMIF(Invest[Affectation matrice],$AB$3,Invest[Amortissement HT + intérêts]))*BG41</f>
        <v>0</v>
      </c>
      <c r="G41" s="276">
        <f>(SUMIF(Fonctionnement[Affectation matrice],$AB$3,Fonctionnement[Montant (€HT)])+SUMIF(Invest[Affectation matrice],$AB$3,Invest[Amortissement HT + intérêts]))*BH41</f>
        <v>0</v>
      </c>
      <c r="H41" s="276">
        <f>(SUMIF(Fonctionnement[Affectation matrice],$AB$3,Fonctionnement[Montant (€HT)])+SUMIF(Invest[Affectation matrice],$AB$3,Invest[Amortissement HT + intérêts]))*BI41</f>
        <v>0</v>
      </c>
      <c r="I41" s="276">
        <f>(SUMIF(Fonctionnement[Affectation matrice],$AB$3,Fonctionnement[Montant (€HT)])+SUMIF(Invest[Affectation matrice],$AB$3,Invest[Amortissement HT + intérêts]))*BJ41</f>
        <v>0</v>
      </c>
      <c r="J41" s="276">
        <f>(SUMIF(Fonctionnement[Affectation matrice],$AB$3,Fonctionnement[Montant (€HT)])+SUMIF(Invest[Affectation matrice],$AB$3,Invest[Amortissement HT + intérêts]))*BK41</f>
        <v>0</v>
      </c>
      <c r="K41" s="276">
        <f>(SUMIF(Fonctionnement[Affectation matrice],$AB$3,Fonctionnement[Montant (€HT)])+SUMIF(Invest[Affectation matrice],$AB$3,Invest[Amortissement HT + intérêts]))*BL41</f>
        <v>0</v>
      </c>
      <c r="L41" s="276">
        <f>(SUMIF(Fonctionnement[Affectation matrice],$AB$3,Fonctionnement[Montant (€HT)])+SUMIF(Invest[Affectation matrice],$AB$3,Invest[Amortissement HT + intérêts]))*BM41</f>
        <v>0</v>
      </c>
      <c r="M41" s="276">
        <f>(SUMIF(Fonctionnement[Affectation matrice],$AB$3,Fonctionnement[Montant (€HT)])+SUMIF(Invest[Affectation matrice],$AB$3,Invest[Amortissement HT + intérêts]))*BN41</f>
        <v>0</v>
      </c>
      <c r="N41" s="276">
        <f>(SUMIF(Fonctionnement[Affectation matrice],$AB$3,Fonctionnement[Montant (€HT)])+SUMIF(Invest[Affectation matrice],$AB$3,Invest[Amortissement HT + intérêts]))*BO41</f>
        <v>0</v>
      </c>
      <c r="O41" s="276">
        <f>(SUMIF(Fonctionnement[Affectation matrice],$AB$3,Fonctionnement[Montant (€HT)])+SUMIF(Invest[Affectation matrice],$AB$3,Invest[Amortissement HT + intérêts]))*BP41</f>
        <v>0</v>
      </c>
      <c r="P41" s="276">
        <f>(SUMIF(Fonctionnement[Affectation matrice],$AB$3,Fonctionnement[Montant (€HT)])+SUMIF(Invest[Affectation matrice],$AB$3,Invest[Amortissement HT + intérêts]))*BQ41</f>
        <v>0</v>
      </c>
      <c r="Q41" s="276">
        <f>(SUMIF(Fonctionnement[Affectation matrice],$AB$3,Fonctionnement[Montant (€HT)])+SUMIF(Invest[Affectation matrice],$AB$3,Invest[Amortissement HT + intérêts]))*BR41</f>
        <v>0</v>
      </c>
      <c r="R41" s="276">
        <f>(SUMIF(Fonctionnement[Affectation matrice],$AB$3,Fonctionnement[Montant (€HT)])+SUMIF(Invest[Affectation matrice],$AB$3,Invest[Amortissement HT + intérêts]))*BS41</f>
        <v>0</v>
      </c>
      <c r="S41" s="276">
        <f>(SUMIF(Fonctionnement[Affectation matrice],$AB$3,Fonctionnement[Montant (€HT)])+SUMIF(Invest[Affectation matrice],$AB$3,Invest[Amortissement HT + intérêts]))*BT41</f>
        <v>0</v>
      </c>
      <c r="T41" s="276">
        <f>(SUMIF(Fonctionnement[Affectation matrice],$AB$3,Fonctionnement[Montant (€HT)])+SUMIF(Invest[Affectation matrice],$AB$3,Invest[Amortissement HT + intérêts]))*BU41</f>
        <v>0</v>
      </c>
      <c r="U41" s="276">
        <f>(SUMIF(Fonctionnement[Affectation matrice],$AB$3,Fonctionnement[Montant (€HT)])+SUMIF(Invest[Affectation matrice],$AB$3,Invest[Amortissement HT + intérêts]))*BV41</f>
        <v>0</v>
      </c>
      <c r="V41" s="276">
        <f>(SUMIF(Fonctionnement[Affectation matrice],$AB$3,Fonctionnement[Montant (€HT)])+SUMIF(Invest[Affectation matrice],$AB$3,Invest[Amortissement HT + intérêts]))*BW41</f>
        <v>0</v>
      </c>
      <c r="W41" s="276">
        <f>(SUMIF(Fonctionnement[Affectation matrice],$AB$3,Fonctionnement[Montant (€HT)])+SUMIF(Invest[Affectation matrice],$AB$3,Invest[Amortissement HT + intérêts]))*BX41</f>
        <v>0</v>
      </c>
      <c r="X41" s="276">
        <f>(SUMIF(Fonctionnement[Affectation matrice],$AB$3,Fonctionnement[Montant (€HT)])+SUMIF(Invest[Affectation matrice],$AB$3,Invest[Amortissement HT + intérêts]))*BY41</f>
        <v>0</v>
      </c>
      <c r="Y41" s="276">
        <f>(SUMIF(Fonctionnement[Affectation matrice],$AB$3,Fonctionnement[Montant (€HT)])+SUMIF(Invest[Affectation matrice],$AB$3,Invest[Amortissement HT + intérêts]))*BZ41</f>
        <v>0</v>
      </c>
      <c r="Z41" s="276">
        <f>(SUMIF(Fonctionnement[Affectation matrice],$AB$3,Fonctionnement[Montant (€HT)])+SUMIF(Invest[Affectation matrice],$AB$3,Invest[Amortissement HT + intérêts]))*CA41</f>
        <v>0</v>
      </c>
      <c r="AA41" s="199"/>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283">
        <f t="shared" si="4"/>
        <v>0</v>
      </c>
      <c r="BB41" s="7"/>
      <c r="BC41" s="61">
        <f t="shared" si="10"/>
        <v>0</v>
      </c>
      <c r="BD41" s="61">
        <f t="shared" si="10"/>
        <v>0</v>
      </c>
      <c r="BE41" s="61">
        <f t="shared" si="10"/>
        <v>0</v>
      </c>
      <c r="BF41" s="61">
        <f t="shared" si="10"/>
        <v>0</v>
      </c>
      <c r="BG41" s="61">
        <f t="shared" si="10"/>
        <v>0</v>
      </c>
      <c r="BH41" s="61">
        <f t="shared" si="10"/>
        <v>0</v>
      </c>
      <c r="BI41" s="61">
        <f t="shared" si="10"/>
        <v>0</v>
      </c>
      <c r="BJ41" s="61">
        <f t="shared" si="10"/>
        <v>0</v>
      </c>
      <c r="BK41" s="61">
        <f t="shared" si="10"/>
        <v>0</v>
      </c>
      <c r="BL41" s="61">
        <f t="shared" si="10"/>
        <v>0</v>
      </c>
      <c r="BM41" s="61">
        <f t="shared" si="11"/>
        <v>0</v>
      </c>
      <c r="BN41" s="61">
        <f t="shared" si="11"/>
        <v>0</v>
      </c>
      <c r="BO41" s="61">
        <f t="shared" si="11"/>
        <v>0</v>
      </c>
      <c r="BP41" s="61">
        <f t="shared" si="11"/>
        <v>0</v>
      </c>
      <c r="BQ41" s="61">
        <f t="shared" si="11"/>
        <v>0</v>
      </c>
      <c r="BR41" s="61">
        <f t="shared" si="11"/>
        <v>0</v>
      </c>
      <c r="BS41" s="61">
        <f t="shared" si="11"/>
        <v>0</v>
      </c>
      <c r="BT41" s="61">
        <f t="shared" si="11"/>
        <v>0</v>
      </c>
      <c r="BU41" s="61">
        <f t="shared" si="11"/>
        <v>0</v>
      </c>
      <c r="BV41" s="61">
        <f t="shared" si="11"/>
        <v>0</v>
      </c>
      <c r="BW41" s="61">
        <f t="shared" si="11"/>
        <v>0</v>
      </c>
      <c r="BX41" s="61">
        <f t="shared" si="11"/>
        <v>0</v>
      </c>
      <c r="BY41" s="61">
        <f t="shared" si="11"/>
        <v>0</v>
      </c>
      <c r="BZ41" s="61">
        <f t="shared" si="11"/>
        <v>0</v>
      </c>
      <c r="CA41" s="61">
        <f t="shared" si="11"/>
        <v>0</v>
      </c>
      <c r="CB41" s="61">
        <f t="shared" si="5"/>
        <v>0</v>
      </c>
      <c r="CD41" s="200">
        <f>(SUMIF(Fonctionnement[Affectation matrice],$AB$3,Fonctionnement[TVA acquittée])+SUMIF(Invest[Affectation matrice],$AB$3,Invest[TVA acquittée]))*BC41</f>
        <v>0</v>
      </c>
      <c r="CE41" s="200">
        <f>(SUMIF(Fonctionnement[Affectation matrice],$AB$3,Fonctionnement[TVA acquittée])+SUMIF(Invest[Affectation matrice],$AB$3,Invest[TVA acquittée]))*BD41</f>
        <v>0</v>
      </c>
      <c r="CF41" s="200">
        <f>(SUMIF(Fonctionnement[Affectation matrice],$AB$3,Fonctionnement[TVA acquittée])+SUMIF(Invest[Affectation matrice],$AB$3,Invest[TVA acquittée]))*BE41</f>
        <v>0</v>
      </c>
      <c r="CG41" s="200">
        <f>(SUMIF(Fonctionnement[Affectation matrice],$AB$3,Fonctionnement[TVA acquittée])+SUMIF(Invest[Affectation matrice],$AB$3,Invest[TVA acquittée]))*BF41</f>
        <v>0</v>
      </c>
      <c r="CH41" s="200">
        <f>(SUMIF(Fonctionnement[Affectation matrice],$AB$3,Fonctionnement[TVA acquittée])+SUMIF(Invest[Affectation matrice],$AB$3,Invest[TVA acquittée]))*BG41</f>
        <v>0</v>
      </c>
      <c r="CI41" s="200">
        <f>(SUMIF(Fonctionnement[Affectation matrice],$AB$3,Fonctionnement[TVA acquittée])+SUMIF(Invest[Affectation matrice],$AB$3,Invest[TVA acquittée]))*BH41</f>
        <v>0</v>
      </c>
      <c r="CJ41" s="200">
        <f>(SUMIF(Fonctionnement[Affectation matrice],$AB$3,Fonctionnement[TVA acquittée])+SUMIF(Invest[Affectation matrice],$AB$3,Invest[TVA acquittée]))*BI41</f>
        <v>0</v>
      </c>
      <c r="CK41" s="200">
        <f>(SUMIF(Fonctionnement[Affectation matrice],$AB$3,Fonctionnement[TVA acquittée])+SUMIF(Invest[Affectation matrice],$AB$3,Invest[TVA acquittée]))*BJ41</f>
        <v>0</v>
      </c>
      <c r="CL41" s="200">
        <f>(SUMIF(Fonctionnement[Affectation matrice],$AB$3,Fonctionnement[TVA acquittée])+SUMIF(Invest[Affectation matrice],$AB$3,Invest[TVA acquittée]))*BK41</f>
        <v>0</v>
      </c>
      <c r="CM41" s="200">
        <f>(SUMIF(Fonctionnement[Affectation matrice],$AB$3,Fonctionnement[TVA acquittée])+SUMIF(Invest[Affectation matrice],$AB$3,Invest[TVA acquittée]))*BL41</f>
        <v>0</v>
      </c>
      <c r="CN41" s="200">
        <f>(SUMIF(Fonctionnement[Affectation matrice],$AB$3,Fonctionnement[TVA acquittée])+SUMIF(Invest[Affectation matrice],$AB$3,Invest[TVA acquittée]))*BM41</f>
        <v>0</v>
      </c>
      <c r="CO41" s="200">
        <f>(SUMIF(Fonctionnement[Affectation matrice],$AB$3,Fonctionnement[TVA acquittée])+SUMIF(Invest[Affectation matrice],$AB$3,Invest[TVA acquittée]))*BN41</f>
        <v>0</v>
      </c>
      <c r="CP41" s="200">
        <f>(SUMIF(Fonctionnement[Affectation matrice],$AB$3,Fonctionnement[TVA acquittée])+SUMIF(Invest[Affectation matrice],$AB$3,Invest[TVA acquittée]))*BO41</f>
        <v>0</v>
      </c>
      <c r="CQ41" s="200">
        <f>(SUMIF(Fonctionnement[Affectation matrice],$AB$3,Fonctionnement[TVA acquittée])+SUMIF(Invest[Affectation matrice],$AB$3,Invest[TVA acquittée]))*BP41</f>
        <v>0</v>
      </c>
      <c r="CR41" s="200">
        <f>(SUMIF(Fonctionnement[Affectation matrice],$AB$3,Fonctionnement[TVA acquittée])+SUMIF(Invest[Affectation matrice],$AB$3,Invest[TVA acquittée]))*BQ41</f>
        <v>0</v>
      </c>
      <c r="CS41" s="200">
        <f>(SUMIF(Fonctionnement[Affectation matrice],$AB$3,Fonctionnement[TVA acquittée])+SUMIF(Invest[Affectation matrice],$AB$3,Invest[TVA acquittée]))*BR41</f>
        <v>0</v>
      </c>
      <c r="CT41" s="200">
        <f>(SUMIF(Fonctionnement[Affectation matrice],$AB$3,Fonctionnement[TVA acquittée])+SUMIF(Invest[Affectation matrice],$AB$3,Invest[TVA acquittée]))*BS41</f>
        <v>0</v>
      </c>
      <c r="CU41" s="200">
        <f>(SUMIF(Fonctionnement[Affectation matrice],$AB$3,Fonctionnement[TVA acquittée])+SUMIF(Invest[Affectation matrice],$AB$3,Invest[TVA acquittée]))*BT41</f>
        <v>0</v>
      </c>
      <c r="CV41" s="200">
        <f>(SUMIF(Fonctionnement[Affectation matrice],$AB$3,Fonctionnement[TVA acquittée])+SUMIF(Invest[Affectation matrice],$AB$3,Invest[TVA acquittée]))*BU41</f>
        <v>0</v>
      </c>
      <c r="CW41" s="200">
        <f>(SUMIF(Fonctionnement[Affectation matrice],$AB$3,Fonctionnement[TVA acquittée])+SUMIF(Invest[Affectation matrice],$AB$3,Invest[TVA acquittée]))*BV41</f>
        <v>0</v>
      </c>
      <c r="CX41" s="200">
        <f>(SUMIF(Fonctionnement[Affectation matrice],$AB$3,Fonctionnement[TVA acquittée])+SUMIF(Invest[Affectation matrice],$AB$3,Invest[TVA acquittée]))*BW41</f>
        <v>0</v>
      </c>
      <c r="CY41" s="200">
        <f>(SUMIF(Fonctionnement[Affectation matrice],$AB$3,Fonctionnement[TVA acquittée])+SUMIF(Invest[Affectation matrice],$AB$3,Invest[TVA acquittée]))*BX41</f>
        <v>0</v>
      </c>
      <c r="CZ41" s="200">
        <f>(SUMIF(Fonctionnement[Affectation matrice],$AB$3,Fonctionnement[TVA acquittée])+SUMIF(Invest[Affectation matrice],$AB$3,Invest[TVA acquittée]))*BY41</f>
        <v>0</v>
      </c>
      <c r="DA41" s="200">
        <f>(SUMIF(Fonctionnement[Affectation matrice],$AB$3,Fonctionnement[TVA acquittée])+SUMIF(Invest[Affectation matrice],$AB$3,Invest[TVA acquittée]))*BZ41</f>
        <v>0</v>
      </c>
      <c r="DB41" s="200">
        <f>(SUMIF(Fonctionnement[Affectation matrice],$AB$3,Fonctionnement[TVA acquittée])+SUMIF(Invest[Affectation matrice],$AB$3,Invest[TVA acquittée]))*CA41</f>
        <v>0</v>
      </c>
    </row>
    <row r="42" spans="1:106" s="204" customFormat="1" hidden="1" x14ac:dyDescent="0.25">
      <c r="A42" s="186"/>
      <c r="B42" s="277"/>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02"/>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row>
    <row r="43" spans="1:106" s="204" customFormat="1" ht="12.75" hidden="1" customHeight="1" x14ac:dyDescent="0.25">
      <c r="A43" s="186"/>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02"/>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row>
    <row r="44" spans="1:106" hidden="1" x14ac:dyDescent="0.25">
      <c r="A44" s="42" t="str">
        <f>Matrice[[#This Row],[Ligne de la matrice]]</f>
        <v>Exemple : REG incinération / énergie</v>
      </c>
      <c r="B44" s="276">
        <f>(SUMIF(Fonctionnement[Affectation matrice],$AB$3,Fonctionnement[Montant (€HT)])+SUMIF(Invest[Affectation matrice],$AB$3,Invest[Amortissement HT + intérêts]))*BC44</f>
        <v>0</v>
      </c>
      <c r="C44" s="276">
        <f>(SUMIF(Fonctionnement[Affectation matrice],$AB$3,Fonctionnement[Montant (€HT)])+SUMIF(Invest[Affectation matrice],$AB$3,Invest[Amortissement HT + intérêts]))*BD44</f>
        <v>0</v>
      </c>
      <c r="D44" s="276">
        <f>(SUMIF(Fonctionnement[Affectation matrice],$AB$3,Fonctionnement[Montant (€HT)])+SUMIF(Invest[Affectation matrice],$AB$3,Invest[Amortissement HT + intérêts]))*BE44</f>
        <v>0</v>
      </c>
      <c r="E44" s="276">
        <f>(SUMIF(Fonctionnement[Affectation matrice],$AB$3,Fonctionnement[Montant (€HT)])+SUMIF(Invest[Affectation matrice],$AB$3,Invest[Amortissement HT + intérêts]))*BF44</f>
        <v>0</v>
      </c>
      <c r="F44" s="276">
        <f>(SUMIF(Fonctionnement[Affectation matrice],$AB$3,Fonctionnement[Montant (€HT)])+SUMIF(Invest[Affectation matrice],$AB$3,Invest[Amortissement HT + intérêts]))*BG44</f>
        <v>0</v>
      </c>
      <c r="G44" s="276">
        <f>(SUMIF(Fonctionnement[Affectation matrice],$AB$3,Fonctionnement[Montant (€HT)])+SUMIF(Invest[Affectation matrice],$AB$3,Invest[Amortissement HT + intérêts]))*BH44</f>
        <v>0</v>
      </c>
      <c r="H44" s="276">
        <f>(SUMIF(Fonctionnement[Affectation matrice],$AB$3,Fonctionnement[Montant (€HT)])+SUMIF(Invest[Affectation matrice],$AB$3,Invest[Amortissement HT + intérêts]))*BI44</f>
        <v>0</v>
      </c>
      <c r="I44" s="276">
        <f>(SUMIF(Fonctionnement[Affectation matrice],$AB$3,Fonctionnement[Montant (€HT)])+SUMIF(Invest[Affectation matrice],$AB$3,Invest[Amortissement HT + intérêts]))*BJ44</f>
        <v>0</v>
      </c>
      <c r="J44" s="276">
        <f>(SUMIF(Fonctionnement[Affectation matrice],$AB$3,Fonctionnement[Montant (€HT)])+SUMIF(Invest[Affectation matrice],$AB$3,Invest[Amortissement HT + intérêts]))*BK44</f>
        <v>0</v>
      </c>
      <c r="K44" s="276">
        <f>(SUMIF(Fonctionnement[Affectation matrice],$AB$3,Fonctionnement[Montant (€HT)])+SUMIF(Invest[Affectation matrice],$AB$3,Invest[Amortissement HT + intérêts]))*BL44</f>
        <v>0</v>
      </c>
      <c r="L44" s="276">
        <f>(SUMIF(Fonctionnement[Affectation matrice],$AB$3,Fonctionnement[Montant (€HT)])+SUMIF(Invest[Affectation matrice],$AB$3,Invest[Amortissement HT + intérêts]))*BM44</f>
        <v>0</v>
      </c>
      <c r="M44" s="276">
        <f>(SUMIF(Fonctionnement[Affectation matrice],$AB$3,Fonctionnement[Montant (€HT)])+SUMIF(Invest[Affectation matrice],$AB$3,Invest[Amortissement HT + intérêts]))*BN44</f>
        <v>0</v>
      </c>
      <c r="N44" s="276">
        <f>(SUMIF(Fonctionnement[Affectation matrice],$AB$3,Fonctionnement[Montant (€HT)])+SUMIF(Invest[Affectation matrice],$AB$3,Invest[Amortissement HT + intérêts]))*BO44</f>
        <v>0</v>
      </c>
      <c r="O44" s="276">
        <f>(SUMIF(Fonctionnement[Affectation matrice],$AB$3,Fonctionnement[Montant (€HT)])+SUMIF(Invest[Affectation matrice],$AB$3,Invest[Amortissement HT + intérêts]))*BP44</f>
        <v>0</v>
      </c>
      <c r="P44" s="276">
        <f>(SUMIF(Fonctionnement[Affectation matrice],$AB$3,Fonctionnement[Montant (€HT)])+SUMIF(Invest[Affectation matrice],$AB$3,Invest[Amortissement HT + intérêts]))*BQ44</f>
        <v>0</v>
      </c>
      <c r="Q44" s="276">
        <f>(SUMIF(Fonctionnement[Affectation matrice],$AB$3,Fonctionnement[Montant (€HT)])+SUMIF(Invest[Affectation matrice],$AB$3,Invest[Amortissement HT + intérêts]))*BR44</f>
        <v>0</v>
      </c>
      <c r="R44" s="276">
        <f>(SUMIF(Fonctionnement[Affectation matrice],$AB$3,Fonctionnement[Montant (€HT)])+SUMIF(Invest[Affectation matrice],$AB$3,Invest[Amortissement HT + intérêts]))*BS44</f>
        <v>0</v>
      </c>
      <c r="S44" s="276">
        <f>(SUMIF(Fonctionnement[Affectation matrice],$AB$3,Fonctionnement[Montant (€HT)])+SUMIF(Invest[Affectation matrice],$AB$3,Invest[Amortissement HT + intérêts]))*BT44</f>
        <v>0</v>
      </c>
      <c r="T44" s="276">
        <f>(SUMIF(Fonctionnement[Affectation matrice],$AB$3,Fonctionnement[Montant (€HT)])+SUMIF(Invest[Affectation matrice],$AB$3,Invest[Amortissement HT + intérêts]))*BU44</f>
        <v>0</v>
      </c>
      <c r="U44" s="276">
        <f>(SUMIF(Fonctionnement[Affectation matrice],$AB$3,Fonctionnement[Montant (€HT)])+SUMIF(Invest[Affectation matrice],$AB$3,Invest[Amortissement HT + intérêts]))*BV44</f>
        <v>0</v>
      </c>
      <c r="V44" s="276">
        <f>(SUMIF(Fonctionnement[Affectation matrice],$AB$3,Fonctionnement[Montant (€HT)])+SUMIF(Invest[Affectation matrice],$AB$3,Invest[Amortissement HT + intérêts]))*BW44</f>
        <v>0</v>
      </c>
      <c r="W44" s="276">
        <f>(SUMIF(Fonctionnement[Affectation matrice],$AB$3,Fonctionnement[Montant (€HT)])+SUMIF(Invest[Affectation matrice],$AB$3,Invest[Amortissement HT + intérêts]))*BX44</f>
        <v>0</v>
      </c>
      <c r="X44" s="276">
        <f>(SUMIF(Fonctionnement[Affectation matrice],$AB$3,Fonctionnement[Montant (€HT)])+SUMIF(Invest[Affectation matrice],$AB$3,Invest[Amortissement HT + intérêts]))*BY44</f>
        <v>0</v>
      </c>
      <c r="Y44" s="276">
        <f>(SUMIF(Fonctionnement[Affectation matrice],$AB$3,Fonctionnement[Montant (€HT)])+SUMIF(Invest[Affectation matrice],$AB$3,Invest[Amortissement HT + intérêts]))*BZ44</f>
        <v>0</v>
      </c>
      <c r="Z44" s="276">
        <f>(SUMIF(Fonctionnement[Affectation matrice],$AB$3,Fonctionnement[Montant (€HT)])+SUMIF(Invest[Affectation matrice],$AB$3,Invest[Amortissement HT + intérêts]))*CA44</f>
        <v>0</v>
      </c>
      <c r="AA44" s="199"/>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283">
        <f t="shared" si="4"/>
        <v>0</v>
      </c>
      <c r="BC44" s="61">
        <f t="shared" ref="BC44:BR52" si="12">IF($BA$53=0,0,AB44/$BA$53)</f>
        <v>0</v>
      </c>
      <c r="BD44" s="61">
        <f t="shared" si="12"/>
        <v>0</v>
      </c>
      <c r="BE44" s="61">
        <f t="shared" si="12"/>
        <v>0</v>
      </c>
      <c r="BF44" s="61">
        <f t="shared" si="12"/>
        <v>0</v>
      </c>
      <c r="BG44" s="61">
        <f t="shared" si="12"/>
        <v>0</v>
      </c>
      <c r="BH44" s="61">
        <f t="shared" si="12"/>
        <v>0</v>
      </c>
      <c r="BI44" s="61">
        <f t="shared" si="12"/>
        <v>0</v>
      </c>
      <c r="BJ44" s="61">
        <f t="shared" si="12"/>
        <v>0</v>
      </c>
      <c r="BK44" s="61">
        <f t="shared" si="12"/>
        <v>0</v>
      </c>
      <c r="BL44" s="61">
        <f t="shared" si="12"/>
        <v>0</v>
      </c>
      <c r="BM44" s="61">
        <f t="shared" si="12"/>
        <v>0</v>
      </c>
      <c r="BN44" s="61">
        <f t="shared" si="12"/>
        <v>0</v>
      </c>
      <c r="BO44" s="61">
        <f t="shared" si="12"/>
        <v>0</v>
      </c>
      <c r="BP44" s="61">
        <f t="shared" si="12"/>
        <v>0</v>
      </c>
      <c r="BQ44" s="61">
        <f t="shared" si="12"/>
        <v>0</v>
      </c>
      <c r="BR44" s="61">
        <f t="shared" si="12"/>
        <v>0</v>
      </c>
      <c r="BS44" s="61">
        <f t="shared" ref="BS44:CA52" si="13">IF($BA$53=0,0,AR44/$BA$53)</f>
        <v>0</v>
      </c>
      <c r="BT44" s="61">
        <f t="shared" si="13"/>
        <v>0</v>
      </c>
      <c r="BU44" s="61">
        <f t="shared" si="13"/>
        <v>0</v>
      </c>
      <c r="BV44" s="61">
        <f t="shared" si="13"/>
        <v>0</v>
      </c>
      <c r="BW44" s="61">
        <f t="shared" si="13"/>
        <v>0</v>
      </c>
      <c r="BX44" s="61">
        <f t="shared" si="13"/>
        <v>0</v>
      </c>
      <c r="BY44" s="61">
        <f t="shared" si="13"/>
        <v>0</v>
      </c>
      <c r="BZ44" s="61">
        <f t="shared" si="13"/>
        <v>0</v>
      </c>
      <c r="CA44" s="61">
        <f t="shared" si="13"/>
        <v>0</v>
      </c>
      <c r="CB44" s="61">
        <f t="shared" si="5"/>
        <v>0</v>
      </c>
      <c r="CD44" s="200">
        <f>(SUMIF(Fonctionnement[Affectation matrice],$AB$3,Fonctionnement[TVA acquittée])+SUMIF(Invest[Affectation matrice],$AB$3,Invest[TVA acquittée]))*BC44</f>
        <v>0</v>
      </c>
      <c r="CE44" s="200">
        <f>(SUMIF(Fonctionnement[Affectation matrice],$AB$3,Fonctionnement[TVA acquittée])+SUMIF(Invest[Affectation matrice],$AB$3,Invest[TVA acquittée]))*BD44</f>
        <v>0</v>
      </c>
      <c r="CF44" s="200">
        <f>(SUMIF(Fonctionnement[Affectation matrice],$AB$3,Fonctionnement[TVA acquittée])+SUMIF(Invest[Affectation matrice],$AB$3,Invest[TVA acquittée]))*BE44</f>
        <v>0</v>
      </c>
      <c r="CG44" s="200">
        <f>(SUMIF(Fonctionnement[Affectation matrice],$AB$3,Fonctionnement[TVA acquittée])+SUMIF(Invest[Affectation matrice],$AB$3,Invest[TVA acquittée]))*BF44</f>
        <v>0</v>
      </c>
      <c r="CH44" s="200">
        <f>(SUMIF(Fonctionnement[Affectation matrice],$AB$3,Fonctionnement[TVA acquittée])+SUMIF(Invest[Affectation matrice],$AB$3,Invest[TVA acquittée]))*BG44</f>
        <v>0</v>
      </c>
      <c r="CI44" s="200">
        <f>(SUMIF(Fonctionnement[Affectation matrice],$AB$3,Fonctionnement[TVA acquittée])+SUMIF(Invest[Affectation matrice],$AB$3,Invest[TVA acquittée]))*BH44</f>
        <v>0</v>
      </c>
      <c r="CJ44" s="200">
        <f>(SUMIF(Fonctionnement[Affectation matrice],$AB$3,Fonctionnement[TVA acquittée])+SUMIF(Invest[Affectation matrice],$AB$3,Invest[TVA acquittée]))*BI44</f>
        <v>0</v>
      </c>
      <c r="CK44" s="200">
        <f>(SUMIF(Fonctionnement[Affectation matrice],$AB$3,Fonctionnement[TVA acquittée])+SUMIF(Invest[Affectation matrice],$AB$3,Invest[TVA acquittée]))*BJ44</f>
        <v>0</v>
      </c>
      <c r="CL44" s="200">
        <f>(SUMIF(Fonctionnement[Affectation matrice],$AB$3,Fonctionnement[TVA acquittée])+SUMIF(Invest[Affectation matrice],$AB$3,Invest[TVA acquittée]))*BK44</f>
        <v>0</v>
      </c>
      <c r="CM44" s="200">
        <f>(SUMIF(Fonctionnement[Affectation matrice],$AB$3,Fonctionnement[TVA acquittée])+SUMIF(Invest[Affectation matrice],$AB$3,Invest[TVA acquittée]))*BL44</f>
        <v>0</v>
      </c>
      <c r="CN44" s="200">
        <f>(SUMIF(Fonctionnement[Affectation matrice],$AB$3,Fonctionnement[TVA acquittée])+SUMIF(Invest[Affectation matrice],$AB$3,Invest[TVA acquittée]))*BM44</f>
        <v>0</v>
      </c>
      <c r="CO44" s="200">
        <f>(SUMIF(Fonctionnement[Affectation matrice],$AB$3,Fonctionnement[TVA acquittée])+SUMIF(Invest[Affectation matrice],$AB$3,Invest[TVA acquittée]))*BN44</f>
        <v>0</v>
      </c>
      <c r="CP44" s="200">
        <f>(SUMIF(Fonctionnement[Affectation matrice],$AB$3,Fonctionnement[TVA acquittée])+SUMIF(Invest[Affectation matrice],$AB$3,Invest[TVA acquittée]))*BO44</f>
        <v>0</v>
      </c>
      <c r="CQ44" s="200">
        <f>(SUMIF(Fonctionnement[Affectation matrice],$AB$3,Fonctionnement[TVA acquittée])+SUMIF(Invest[Affectation matrice],$AB$3,Invest[TVA acquittée]))*BP44</f>
        <v>0</v>
      </c>
      <c r="CR44" s="200">
        <f>(SUMIF(Fonctionnement[Affectation matrice],$AB$3,Fonctionnement[TVA acquittée])+SUMIF(Invest[Affectation matrice],$AB$3,Invest[TVA acquittée]))*BQ44</f>
        <v>0</v>
      </c>
      <c r="CS44" s="200">
        <f>(SUMIF(Fonctionnement[Affectation matrice],$AB$3,Fonctionnement[TVA acquittée])+SUMIF(Invest[Affectation matrice],$AB$3,Invest[TVA acquittée]))*BR44</f>
        <v>0</v>
      </c>
      <c r="CT44" s="200">
        <f>(SUMIF(Fonctionnement[Affectation matrice],$AB$3,Fonctionnement[TVA acquittée])+SUMIF(Invest[Affectation matrice],$AB$3,Invest[TVA acquittée]))*BS44</f>
        <v>0</v>
      </c>
      <c r="CU44" s="200">
        <f>(SUMIF(Fonctionnement[Affectation matrice],$AB$3,Fonctionnement[TVA acquittée])+SUMIF(Invest[Affectation matrice],$AB$3,Invest[TVA acquittée]))*BT44</f>
        <v>0</v>
      </c>
      <c r="CV44" s="200">
        <f>(SUMIF(Fonctionnement[Affectation matrice],$AB$3,Fonctionnement[TVA acquittée])+SUMIF(Invest[Affectation matrice],$AB$3,Invest[TVA acquittée]))*BU44</f>
        <v>0</v>
      </c>
      <c r="CW44" s="200">
        <f>(SUMIF(Fonctionnement[Affectation matrice],$AB$3,Fonctionnement[TVA acquittée])+SUMIF(Invest[Affectation matrice],$AB$3,Invest[TVA acquittée]))*BV44</f>
        <v>0</v>
      </c>
      <c r="CX44" s="200">
        <f>(SUMIF(Fonctionnement[Affectation matrice],$AB$3,Fonctionnement[TVA acquittée])+SUMIF(Invest[Affectation matrice],$AB$3,Invest[TVA acquittée]))*BW44</f>
        <v>0</v>
      </c>
      <c r="CY44" s="200">
        <f>(SUMIF(Fonctionnement[Affectation matrice],$AB$3,Fonctionnement[TVA acquittée])+SUMIF(Invest[Affectation matrice],$AB$3,Invest[TVA acquittée]))*BX44</f>
        <v>0</v>
      </c>
      <c r="CZ44" s="200">
        <f>(SUMIF(Fonctionnement[Affectation matrice],$AB$3,Fonctionnement[TVA acquittée])+SUMIF(Invest[Affectation matrice],$AB$3,Invest[TVA acquittée]))*BY44</f>
        <v>0</v>
      </c>
      <c r="DA44" s="200">
        <f>(SUMIF(Fonctionnement[Affectation matrice],$AB$3,Fonctionnement[TVA acquittée])+SUMIF(Invest[Affectation matrice],$AB$3,Invest[TVA acquittée]))*BZ44</f>
        <v>0</v>
      </c>
      <c r="DB44" s="200">
        <f>(SUMIF(Fonctionnement[Affectation matrice],$AB$3,Fonctionnement[TVA acquittée])+SUMIF(Invest[Affectation matrice],$AB$3,Invest[TVA acquittée]))*CA44</f>
        <v>0</v>
      </c>
    </row>
    <row r="45" spans="1:106" hidden="1" x14ac:dyDescent="0.25">
      <c r="A45" s="42">
        <f>Matrice[[#This Row],[Ligne de la matrice]]</f>
        <v>0</v>
      </c>
      <c r="B45" s="276">
        <f>(SUMIF(Fonctionnement[Affectation matrice],$AB$3,Fonctionnement[Montant (€HT)])+SUMIF(Invest[Affectation matrice],$AB$3,Invest[Amortissement HT + intérêts]))*BC45</f>
        <v>0</v>
      </c>
      <c r="C45" s="276">
        <f>(SUMIF(Fonctionnement[Affectation matrice],$AB$3,Fonctionnement[Montant (€HT)])+SUMIF(Invest[Affectation matrice],$AB$3,Invest[Amortissement HT + intérêts]))*BD45</f>
        <v>0</v>
      </c>
      <c r="D45" s="276">
        <f>(SUMIF(Fonctionnement[Affectation matrice],$AB$3,Fonctionnement[Montant (€HT)])+SUMIF(Invest[Affectation matrice],$AB$3,Invest[Amortissement HT + intérêts]))*BE45</f>
        <v>0</v>
      </c>
      <c r="E45" s="276">
        <f>(SUMIF(Fonctionnement[Affectation matrice],$AB$3,Fonctionnement[Montant (€HT)])+SUMIF(Invest[Affectation matrice],$AB$3,Invest[Amortissement HT + intérêts]))*BF45</f>
        <v>0</v>
      </c>
      <c r="F45" s="276">
        <f>(SUMIF(Fonctionnement[Affectation matrice],$AB$3,Fonctionnement[Montant (€HT)])+SUMIF(Invest[Affectation matrice],$AB$3,Invest[Amortissement HT + intérêts]))*BG45</f>
        <v>0</v>
      </c>
      <c r="G45" s="276">
        <f>(SUMIF(Fonctionnement[Affectation matrice],$AB$3,Fonctionnement[Montant (€HT)])+SUMIF(Invest[Affectation matrice],$AB$3,Invest[Amortissement HT + intérêts]))*BH45</f>
        <v>0</v>
      </c>
      <c r="H45" s="276">
        <f>(SUMIF(Fonctionnement[Affectation matrice],$AB$3,Fonctionnement[Montant (€HT)])+SUMIF(Invest[Affectation matrice],$AB$3,Invest[Amortissement HT + intérêts]))*BI45</f>
        <v>0</v>
      </c>
      <c r="I45" s="276">
        <f>(SUMIF(Fonctionnement[Affectation matrice],$AB$3,Fonctionnement[Montant (€HT)])+SUMIF(Invest[Affectation matrice],$AB$3,Invest[Amortissement HT + intérêts]))*BJ45</f>
        <v>0</v>
      </c>
      <c r="J45" s="276">
        <f>(SUMIF(Fonctionnement[Affectation matrice],$AB$3,Fonctionnement[Montant (€HT)])+SUMIF(Invest[Affectation matrice],$AB$3,Invest[Amortissement HT + intérêts]))*BK45</f>
        <v>0</v>
      </c>
      <c r="K45" s="276">
        <f>(SUMIF(Fonctionnement[Affectation matrice],$AB$3,Fonctionnement[Montant (€HT)])+SUMIF(Invest[Affectation matrice],$AB$3,Invest[Amortissement HT + intérêts]))*BL45</f>
        <v>0</v>
      </c>
      <c r="L45" s="276">
        <f>(SUMIF(Fonctionnement[Affectation matrice],$AB$3,Fonctionnement[Montant (€HT)])+SUMIF(Invest[Affectation matrice],$AB$3,Invest[Amortissement HT + intérêts]))*BM45</f>
        <v>0</v>
      </c>
      <c r="M45" s="276">
        <f>(SUMIF(Fonctionnement[Affectation matrice],$AB$3,Fonctionnement[Montant (€HT)])+SUMIF(Invest[Affectation matrice],$AB$3,Invest[Amortissement HT + intérêts]))*BN45</f>
        <v>0</v>
      </c>
      <c r="N45" s="276">
        <f>(SUMIF(Fonctionnement[Affectation matrice],$AB$3,Fonctionnement[Montant (€HT)])+SUMIF(Invest[Affectation matrice],$AB$3,Invest[Amortissement HT + intérêts]))*BO45</f>
        <v>0</v>
      </c>
      <c r="O45" s="276">
        <f>(SUMIF(Fonctionnement[Affectation matrice],$AB$3,Fonctionnement[Montant (€HT)])+SUMIF(Invest[Affectation matrice],$AB$3,Invest[Amortissement HT + intérêts]))*BP45</f>
        <v>0</v>
      </c>
      <c r="P45" s="276">
        <f>(SUMIF(Fonctionnement[Affectation matrice],$AB$3,Fonctionnement[Montant (€HT)])+SUMIF(Invest[Affectation matrice],$AB$3,Invest[Amortissement HT + intérêts]))*BQ45</f>
        <v>0</v>
      </c>
      <c r="Q45" s="276">
        <f>(SUMIF(Fonctionnement[Affectation matrice],$AB$3,Fonctionnement[Montant (€HT)])+SUMIF(Invest[Affectation matrice],$AB$3,Invest[Amortissement HT + intérêts]))*BR45</f>
        <v>0</v>
      </c>
      <c r="R45" s="276">
        <f>(SUMIF(Fonctionnement[Affectation matrice],$AB$3,Fonctionnement[Montant (€HT)])+SUMIF(Invest[Affectation matrice],$AB$3,Invest[Amortissement HT + intérêts]))*BS45</f>
        <v>0</v>
      </c>
      <c r="S45" s="276">
        <f>(SUMIF(Fonctionnement[Affectation matrice],$AB$3,Fonctionnement[Montant (€HT)])+SUMIF(Invest[Affectation matrice],$AB$3,Invest[Amortissement HT + intérêts]))*BT45</f>
        <v>0</v>
      </c>
      <c r="T45" s="276">
        <f>(SUMIF(Fonctionnement[Affectation matrice],$AB$3,Fonctionnement[Montant (€HT)])+SUMIF(Invest[Affectation matrice],$AB$3,Invest[Amortissement HT + intérêts]))*BU45</f>
        <v>0</v>
      </c>
      <c r="U45" s="276">
        <f>(SUMIF(Fonctionnement[Affectation matrice],$AB$3,Fonctionnement[Montant (€HT)])+SUMIF(Invest[Affectation matrice],$AB$3,Invest[Amortissement HT + intérêts]))*BV45</f>
        <v>0</v>
      </c>
      <c r="V45" s="276">
        <f>(SUMIF(Fonctionnement[Affectation matrice],$AB$3,Fonctionnement[Montant (€HT)])+SUMIF(Invest[Affectation matrice],$AB$3,Invest[Amortissement HT + intérêts]))*BW45</f>
        <v>0</v>
      </c>
      <c r="W45" s="276">
        <f>(SUMIF(Fonctionnement[Affectation matrice],$AB$3,Fonctionnement[Montant (€HT)])+SUMIF(Invest[Affectation matrice],$AB$3,Invest[Amortissement HT + intérêts]))*BX45</f>
        <v>0</v>
      </c>
      <c r="X45" s="276">
        <f>(SUMIF(Fonctionnement[Affectation matrice],$AB$3,Fonctionnement[Montant (€HT)])+SUMIF(Invest[Affectation matrice],$AB$3,Invest[Amortissement HT + intérêts]))*BY45</f>
        <v>0</v>
      </c>
      <c r="Y45" s="276">
        <f>(SUMIF(Fonctionnement[Affectation matrice],$AB$3,Fonctionnement[Montant (€HT)])+SUMIF(Invest[Affectation matrice],$AB$3,Invest[Amortissement HT + intérêts]))*BZ45</f>
        <v>0</v>
      </c>
      <c r="Z45" s="276">
        <f>(SUMIF(Fonctionnement[Affectation matrice],$AB$3,Fonctionnement[Montant (€HT)])+SUMIF(Invest[Affectation matrice],$AB$3,Invest[Amortissement HT + intérêts]))*CA45</f>
        <v>0</v>
      </c>
      <c r="AA45" s="199"/>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283">
        <f t="shared" si="4"/>
        <v>0</v>
      </c>
      <c r="BC45" s="61">
        <f t="shared" si="12"/>
        <v>0</v>
      </c>
      <c r="BD45" s="61">
        <f t="shared" si="12"/>
        <v>0</v>
      </c>
      <c r="BE45" s="61">
        <f t="shared" si="12"/>
        <v>0</v>
      </c>
      <c r="BF45" s="61">
        <f t="shared" si="12"/>
        <v>0</v>
      </c>
      <c r="BG45" s="61">
        <f t="shared" si="12"/>
        <v>0</v>
      </c>
      <c r="BH45" s="61">
        <f t="shared" si="12"/>
        <v>0</v>
      </c>
      <c r="BI45" s="61">
        <f t="shared" si="12"/>
        <v>0</v>
      </c>
      <c r="BJ45" s="61">
        <f t="shared" si="12"/>
        <v>0</v>
      </c>
      <c r="BK45" s="61">
        <f t="shared" si="12"/>
        <v>0</v>
      </c>
      <c r="BL45" s="61">
        <f t="shared" si="12"/>
        <v>0</v>
      </c>
      <c r="BM45" s="61">
        <f t="shared" si="12"/>
        <v>0</v>
      </c>
      <c r="BN45" s="61">
        <f t="shared" si="12"/>
        <v>0</v>
      </c>
      <c r="BO45" s="61">
        <f t="shared" si="12"/>
        <v>0</v>
      </c>
      <c r="BP45" s="61">
        <f t="shared" si="12"/>
        <v>0</v>
      </c>
      <c r="BQ45" s="61">
        <f t="shared" si="12"/>
        <v>0</v>
      </c>
      <c r="BR45" s="61">
        <f t="shared" si="12"/>
        <v>0</v>
      </c>
      <c r="BS45" s="61">
        <f t="shared" si="13"/>
        <v>0</v>
      </c>
      <c r="BT45" s="61">
        <f t="shared" si="13"/>
        <v>0</v>
      </c>
      <c r="BU45" s="61">
        <f t="shared" si="13"/>
        <v>0</v>
      </c>
      <c r="BV45" s="61">
        <f t="shared" si="13"/>
        <v>0</v>
      </c>
      <c r="BW45" s="61">
        <f t="shared" si="13"/>
        <v>0</v>
      </c>
      <c r="BX45" s="61">
        <f t="shared" si="13"/>
        <v>0</v>
      </c>
      <c r="BY45" s="61">
        <f t="shared" si="13"/>
        <v>0</v>
      </c>
      <c r="BZ45" s="61">
        <f t="shared" si="13"/>
        <v>0</v>
      </c>
      <c r="CA45" s="61">
        <f t="shared" si="13"/>
        <v>0</v>
      </c>
      <c r="CB45" s="61">
        <f t="shared" si="5"/>
        <v>0</v>
      </c>
      <c r="CD45" s="200">
        <f>(SUMIF(Fonctionnement[Affectation matrice],$AB$3,Fonctionnement[TVA acquittée])+SUMIF(Invest[Affectation matrice],$AB$3,Invest[TVA acquittée]))*BC45</f>
        <v>0</v>
      </c>
      <c r="CE45" s="200">
        <f>(SUMIF(Fonctionnement[Affectation matrice],$AB$3,Fonctionnement[TVA acquittée])+SUMIF(Invest[Affectation matrice],$AB$3,Invest[TVA acquittée]))*BD45</f>
        <v>0</v>
      </c>
      <c r="CF45" s="200">
        <f>(SUMIF(Fonctionnement[Affectation matrice],$AB$3,Fonctionnement[TVA acquittée])+SUMIF(Invest[Affectation matrice],$AB$3,Invest[TVA acquittée]))*BE45</f>
        <v>0</v>
      </c>
      <c r="CG45" s="200">
        <f>(SUMIF(Fonctionnement[Affectation matrice],$AB$3,Fonctionnement[TVA acquittée])+SUMIF(Invest[Affectation matrice],$AB$3,Invest[TVA acquittée]))*BF45</f>
        <v>0</v>
      </c>
      <c r="CH45" s="200">
        <f>(SUMIF(Fonctionnement[Affectation matrice],$AB$3,Fonctionnement[TVA acquittée])+SUMIF(Invest[Affectation matrice],$AB$3,Invest[TVA acquittée]))*BG45</f>
        <v>0</v>
      </c>
      <c r="CI45" s="200">
        <f>(SUMIF(Fonctionnement[Affectation matrice],$AB$3,Fonctionnement[TVA acquittée])+SUMIF(Invest[Affectation matrice],$AB$3,Invest[TVA acquittée]))*BH45</f>
        <v>0</v>
      </c>
      <c r="CJ45" s="200">
        <f>(SUMIF(Fonctionnement[Affectation matrice],$AB$3,Fonctionnement[TVA acquittée])+SUMIF(Invest[Affectation matrice],$AB$3,Invest[TVA acquittée]))*BI45</f>
        <v>0</v>
      </c>
      <c r="CK45" s="200">
        <f>(SUMIF(Fonctionnement[Affectation matrice],$AB$3,Fonctionnement[TVA acquittée])+SUMIF(Invest[Affectation matrice],$AB$3,Invest[TVA acquittée]))*BJ45</f>
        <v>0</v>
      </c>
      <c r="CL45" s="200">
        <f>(SUMIF(Fonctionnement[Affectation matrice],$AB$3,Fonctionnement[TVA acquittée])+SUMIF(Invest[Affectation matrice],$AB$3,Invest[TVA acquittée]))*BK45</f>
        <v>0</v>
      </c>
      <c r="CM45" s="200">
        <f>(SUMIF(Fonctionnement[Affectation matrice],$AB$3,Fonctionnement[TVA acquittée])+SUMIF(Invest[Affectation matrice],$AB$3,Invest[TVA acquittée]))*BL45</f>
        <v>0</v>
      </c>
      <c r="CN45" s="200">
        <f>(SUMIF(Fonctionnement[Affectation matrice],$AB$3,Fonctionnement[TVA acquittée])+SUMIF(Invest[Affectation matrice],$AB$3,Invest[TVA acquittée]))*BM45</f>
        <v>0</v>
      </c>
      <c r="CO45" s="200">
        <f>(SUMIF(Fonctionnement[Affectation matrice],$AB$3,Fonctionnement[TVA acquittée])+SUMIF(Invest[Affectation matrice],$AB$3,Invest[TVA acquittée]))*BN45</f>
        <v>0</v>
      </c>
      <c r="CP45" s="200">
        <f>(SUMIF(Fonctionnement[Affectation matrice],$AB$3,Fonctionnement[TVA acquittée])+SUMIF(Invest[Affectation matrice],$AB$3,Invest[TVA acquittée]))*BO45</f>
        <v>0</v>
      </c>
      <c r="CQ45" s="200">
        <f>(SUMIF(Fonctionnement[Affectation matrice],$AB$3,Fonctionnement[TVA acquittée])+SUMIF(Invest[Affectation matrice],$AB$3,Invest[TVA acquittée]))*BP45</f>
        <v>0</v>
      </c>
      <c r="CR45" s="200">
        <f>(SUMIF(Fonctionnement[Affectation matrice],$AB$3,Fonctionnement[TVA acquittée])+SUMIF(Invest[Affectation matrice],$AB$3,Invest[TVA acquittée]))*BQ45</f>
        <v>0</v>
      </c>
      <c r="CS45" s="200">
        <f>(SUMIF(Fonctionnement[Affectation matrice],$AB$3,Fonctionnement[TVA acquittée])+SUMIF(Invest[Affectation matrice],$AB$3,Invest[TVA acquittée]))*BR45</f>
        <v>0</v>
      </c>
      <c r="CT45" s="200">
        <f>(SUMIF(Fonctionnement[Affectation matrice],$AB$3,Fonctionnement[TVA acquittée])+SUMIF(Invest[Affectation matrice],$AB$3,Invest[TVA acquittée]))*BS45</f>
        <v>0</v>
      </c>
      <c r="CU45" s="200">
        <f>(SUMIF(Fonctionnement[Affectation matrice],$AB$3,Fonctionnement[TVA acquittée])+SUMIF(Invest[Affectation matrice],$AB$3,Invest[TVA acquittée]))*BT45</f>
        <v>0</v>
      </c>
      <c r="CV45" s="200">
        <f>(SUMIF(Fonctionnement[Affectation matrice],$AB$3,Fonctionnement[TVA acquittée])+SUMIF(Invest[Affectation matrice],$AB$3,Invest[TVA acquittée]))*BU45</f>
        <v>0</v>
      </c>
      <c r="CW45" s="200">
        <f>(SUMIF(Fonctionnement[Affectation matrice],$AB$3,Fonctionnement[TVA acquittée])+SUMIF(Invest[Affectation matrice],$AB$3,Invest[TVA acquittée]))*BV45</f>
        <v>0</v>
      </c>
      <c r="CX45" s="200">
        <f>(SUMIF(Fonctionnement[Affectation matrice],$AB$3,Fonctionnement[TVA acquittée])+SUMIF(Invest[Affectation matrice],$AB$3,Invest[TVA acquittée]))*BW45</f>
        <v>0</v>
      </c>
      <c r="CY45" s="200">
        <f>(SUMIF(Fonctionnement[Affectation matrice],$AB$3,Fonctionnement[TVA acquittée])+SUMIF(Invest[Affectation matrice],$AB$3,Invest[TVA acquittée]))*BX45</f>
        <v>0</v>
      </c>
      <c r="CZ45" s="200">
        <f>(SUMIF(Fonctionnement[Affectation matrice],$AB$3,Fonctionnement[TVA acquittée])+SUMIF(Invest[Affectation matrice],$AB$3,Invest[TVA acquittée]))*BY45</f>
        <v>0</v>
      </c>
      <c r="DA45" s="200">
        <f>(SUMIF(Fonctionnement[Affectation matrice],$AB$3,Fonctionnement[TVA acquittée])+SUMIF(Invest[Affectation matrice],$AB$3,Invest[TVA acquittée]))*BZ45</f>
        <v>0</v>
      </c>
      <c r="DB45" s="200">
        <f>(SUMIF(Fonctionnement[Affectation matrice],$AB$3,Fonctionnement[TVA acquittée])+SUMIF(Invest[Affectation matrice],$AB$3,Invest[TVA acquittée]))*CA45</f>
        <v>0</v>
      </c>
    </row>
    <row r="46" spans="1:106" ht="12.75" hidden="1" customHeight="1" x14ac:dyDescent="0.25">
      <c r="A46" s="42">
        <f>Matrice[[#This Row],[Ligne de la matrice]]</f>
        <v>0</v>
      </c>
      <c r="B46" s="276">
        <f>(SUMIF(Fonctionnement[Affectation matrice],$AB$3,Fonctionnement[Montant (€HT)])+SUMIF(Invest[Affectation matrice],$AB$3,Invest[Amortissement HT + intérêts]))*BC46</f>
        <v>0</v>
      </c>
      <c r="C46" s="276">
        <f>(SUMIF(Fonctionnement[Affectation matrice],$AB$3,Fonctionnement[Montant (€HT)])+SUMIF(Invest[Affectation matrice],$AB$3,Invest[Amortissement HT + intérêts]))*BD46</f>
        <v>0</v>
      </c>
      <c r="D46" s="276">
        <f>(SUMIF(Fonctionnement[Affectation matrice],$AB$3,Fonctionnement[Montant (€HT)])+SUMIF(Invest[Affectation matrice],$AB$3,Invest[Amortissement HT + intérêts]))*BE46</f>
        <v>0</v>
      </c>
      <c r="E46" s="276">
        <f>(SUMIF(Fonctionnement[Affectation matrice],$AB$3,Fonctionnement[Montant (€HT)])+SUMIF(Invest[Affectation matrice],$AB$3,Invest[Amortissement HT + intérêts]))*BF46</f>
        <v>0</v>
      </c>
      <c r="F46" s="276">
        <f>(SUMIF(Fonctionnement[Affectation matrice],$AB$3,Fonctionnement[Montant (€HT)])+SUMIF(Invest[Affectation matrice],$AB$3,Invest[Amortissement HT + intérêts]))*BG46</f>
        <v>0</v>
      </c>
      <c r="G46" s="276">
        <f>(SUMIF(Fonctionnement[Affectation matrice],$AB$3,Fonctionnement[Montant (€HT)])+SUMIF(Invest[Affectation matrice],$AB$3,Invest[Amortissement HT + intérêts]))*BH46</f>
        <v>0</v>
      </c>
      <c r="H46" s="276">
        <f>(SUMIF(Fonctionnement[Affectation matrice],$AB$3,Fonctionnement[Montant (€HT)])+SUMIF(Invest[Affectation matrice],$AB$3,Invest[Amortissement HT + intérêts]))*BI46</f>
        <v>0</v>
      </c>
      <c r="I46" s="276">
        <f>(SUMIF(Fonctionnement[Affectation matrice],$AB$3,Fonctionnement[Montant (€HT)])+SUMIF(Invest[Affectation matrice],$AB$3,Invest[Amortissement HT + intérêts]))*BJ46</f>
        <v>0</v>
      </c>
      <c r="J46" s="276">
        <f>(SUMIF(Fonctionnement[Affectation matrice],$AB$3,Fonctionnement[Montant (€HT)])+SUMIF(Invest[Affectation matrice],$AB$3,Invest[Amortissement HT + intérêts]))*BK46</f>
        <v>0</v>
      </c>
      <c r="K46" s="276">
        <f>(SUMIF(Fonctionnement[Affectation matrice],$AB$3,Fonctionnement[Montant (€HT)])+SUMIF(Invest[Affectation matrice],$AB$3,Invest[Amortissement HT + intérêts]))*BL46</f>
        <v>0</v>
      </c>
      <c r="L46" s="276">
        <f>(SUMIF(Fonctionnement[Affectation matrice],$AB$3,Fonctionnement[Montant (€HT)])+SUMIF(Invest[Affectation matrice],$AB$3,Invest[Amortissement HT + intérêts]))*BM46</f>
        <v>0</v>
      </c>
      <c r="M46" s="276">
        <f>(SUMIF(Fonctionnement[Affectation matrice],$AB$3,Fonctionnement[Montant (€HT)])+SUMIF(Invest[Affectation matrice],$AB$3,Invest[Amortissement HT + intérêts]))*BN46</f>
        <v>0</v>
      </c>
      <c r="N46" s="276">
        <f>(SUMIF(Fonctionnement[Affectation matrice],$AB$3,Fonctionnement[Montant (€HT)])+SUMIF(Invest[Affectation matrice],$AB$3,Invest[Amortissement HT + intérêts]))*BO46</f>
        <v>0</v>
      </c>
      <c r="O46" s="276">
        <f>(SUMIF(Fonctionnement[Affectation matrice],$AB$3,Fonctionnement[Montant (€HT)])+SUMIF(Invest[Affectation matrice],$AB$3,Invest[Amortissement HT + intérêts]))*BP46</f>
        <v>0</v>
      </c>
      <c r="P46" s="276">
        <f>(SUMIF(Fonctionnement[Affectation matrice],$AB$3,Fonctionnement[Montant (€HT)])+SUMIF(Invest[Affectation matrice],$AB$3,Invest[Amortissement HT + intérêts]))*BQ46</f>
        <v>0</v>
      </c>
      <c r="Q46" s="276">
        <f>(SUMIF(Fonctionnement[Affectation matrice],$AB$3,Fonctionnement[Montant (€HT)])+SUMIF(Invest[Affectation matrice],$AB$3,Invest[Amortissement HT + intérêts]))*BR46</f>
        <v>0</v>
      </c>
      <c r="R46" s="276">
        <f>(SUMIF(Fonctionnement[Affectation matrice],$AB$3,Fonctionnement[Montant (€HT)])+SUMIF(Invest[Affectation matrice],$AB$3,Invest[Amortissement HT + intérêts]))*BS46</f>
        <v>0</v>
      </c>
      <c r="S46" s="276">
        <f>(SUMIF(Fonctionnement[Affectation matrice],$AB$3,Fonctionnement[Montant (€HT)])+SUMIF(Invest[Affectation matrice],$AB$3,Invest[Amortissement HT + intérêts]))*BT46</f>
        <v>0</v>
      </c>
      <c r="T46" s="276">
        <f>(SUMIF(Fonctionnement[Affectation matrice],$AB$3,Fonctionnement[Montant (€HT)])+SUMIF(Invest[Affectation matrice],$AB$3,Invest[Amortissement HT + intérêts]))*BU46</f>
        <v>0</v>
      </c>
      <c r="U46" s="276">
        <f>(SUMIF(Fonctionnement[Affectation matrice],$AB$3,Fonctionnement[Montant (€HT)])+SUMIF(Invest[Affectation matrice],$AB$3,Invest[Amortissement HT + intérêts]))*BV46</f>
        <v>0</v>
      </c>
      <c r="V46" s="276">
        <f>(SUMIF(Fonctionnement[Affectation matrice],$AB$3,Fonctionnement[Montant (€HT)])+SUMIF(Invest[Affectation matrice],$AB$3,Invest[Amortissement HT + intérêts]))*BW46</f>
        <v>0</v>
      </c>
      <c r="W46" s="276">
        <f>(SUMIF(Fonctionnement[Affectation matrice],$AB$3,Fonctionnement[Montant (€HT)])+SUMIF(Invest[Affectation matrice],$AB$3,Invest[Amortissement HT + intérêts]))*BX46</f>
        <v>0</v>
      </c>
      <c r="X46" s="276">
        <f>(SUMIF(Fonctionnement[Affectation matrice],$AB$3,Fonctionnement[Montant (€HT)])+SUMIF(Invest[Affectation matrice],$AB$3,Invest[Amortissement HT + intérêts]))*BY46</f>
        <v>0</v>
      </c>
      <c r="Y46" s="276">
        <f>(SUMIF(Fonctionnement[Affectation matrice],$AB$3,Fonctionnement[Montant (€HT)])+SUMIF(Invest[Affectation matrice],$AB$3,Invest[Amortissement HT + intérêts]))*BZ46</f>
        <v>0</v>
      </c>
      <c r="Z46" s="276">
        <f>(SUMIF(Fonctionnement[Affectation matrice],$AB$3,Fonctionnement[Montant (€HT)])+SUMIF(Invest[Affectation matrice],$AB$3,Invest[Amortissement HT + intérêts]))*CA46</f>
        <v>0</v>
      </c>
      <c r="AA46" s="199"/>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283">
        <f t="shared" si="4"/>
        <v>0</v>
      </c>
      <c r="BC46" s="61">
        <f t="shared" si="12"/>
        <v>0</v>
      </c>
      <c r="BD46" s="61">
        <f t="shared" si="12"/>
        <v>0</v>
      </c>
      <c r="BE46" s="61">
        <f t="shared" si="12"/>
        <v>0</v>
      </c>
      <c r="BF46" s="61">
        <f t="shared" si="12"/>
        <v>0</v>
      </c>
      <c r="BG46" s="61">
        <f t="shared" si="12"/>
        <v>0</v>
      </c>
      <c r="BH46" s="61">
        <f t="shared" si="12"/>
        <v>0</v>
      </c>
      <c r="BI46" s="61">
        <f t="shared" si="12"/>
        <v>0</v>
      </c>
      <c r="BJ46" s="61">
        <f t="shared" si="12"/>
        <v>0</v>
      </c>
      <c r="BK46" s="61">
        <f t="shared" si="12"/>
        <v>0</v>
      </c>
      <c r="BL46" s="61">
        <f t="shared" si="12"/>
        <v>0</v>
      </c>
      <c r="BM46" s="61">
        <f t="shared" si="12"/>
        <v>0</v>
      </c>
      <c r="BN46" s="61">
        <f t="shared" si="12"/>
        <v>0</v>
      </c>
      <c r="BO46" s="61">
        <f t="shared" si="12"/>
        <v>0</v>
      </c>
      <c r="BP46" s="61">
        <f t="shared" si="12"/>
        <v>0</v>
      </c>
      <c r="BQ46" s="61">
        <f t="shared" si="12"/>
        <v>0</v>
      </c>
      <c r="BR46" s="61">
        <f t="shared" si="12"/>
        <v>0</v>
      </c>
      <c r="BS46" s="61">
        <f t="shared" si="13"/>
        <v>0</v>
      </c>
      <c r="BT46" s="61">
        <f t="shared" si="13"/>
        <v>0</v>
      </c>
      <c r="BU46" s="61">
        <f t="shared" si="13"/>
        <v>0</v>
      </c>
      <c r="BV46" s="61">
        <f t="shared" si="13"/>
        <v>0</v>
      </c>
      <c r="BW46" s="61">
        <f t="shared" si="13"/>
        <v>0</v>
      </c>
      <c r="BX46" s="61">
        <f t="shared" si="13"/>
        <v>0</v>
      </c>
      <c r="BY46" s="61">
        <f t="shared" si="13"/>
        <v>0</v>
      </c>
      <c r="BZ46" s="61">
        <f t="shared" si="13"/>
        <v>0</v>
      </c>
      <c r="CA46" s="61">
        <f t="shared" si="13"/>
        <v>0</v>
      </c>
      <c r="CB46" s="61">
        <f t="shared" si="5"/>
        <v>0</v>
      </c>
      <c r="CD46" s="200">
        <f>(SUMIF(Fonctionnement[Affectation matrice],$AB$3,Fonctionnement[TVA acquittée])+SUMIF(Invest[Affectation matrice],$AB$3,Invest[TVA acquittée]))*BC46</f>
        <v>0</v>
      </c>
      <c r="CE46" s="200">
        <f>(SUMIF(Fonctionnement[Affectation matrice],$AB$3,Fonctionnement[TVA acquittée])+SUMIF(Invest[Affectation matrice],$AB$3,Invest[TVA acquittée]))*BD46</f>
        <v>0</v>
      </c>
      <c r="CF46" s="200">
        <f>(SUMIF(Fonctionnement[Affectation matrice],$AB$3,Fonctionnement[TVA acquittée])+SUMIF(Invest[Affectation matrice],$AB$3,Invest[TVA acquittée]))*BE46</f>
        <v>0</v>
      </c>
      <c r="CG46" s="200">
        <f>(SUMIF(Fonctionnement[Affectation matrice],$AB$3,Fonctionnement[TVA acquittée])+SUMIF(Invest[Affectation matrice],$AB$3,Invest[TVA acquittée]))*BF46</f>
        <v>0</v>
      </c>
      <c r="CH46" s="200">
        <f>(SUMIF(Fonctionnement[Affectation matrice],$AB$3,Fonctionnement[TVA acquittée])+SUMIF(Invest[Affectation matrice],$AB$3,Invest[TVA acquittée]))*BG46</f>
        <v>0</v>
      </c>
      <c r="CI46" s="200">
        <f>(SUMIF(Fonctionnement[Affectation matrice],$AB$3,Fonctionnement[TVA acquittée])+SUMIF(Invest[Affectation matrice],$AB$3,Invest[TVA acquittée]))*BH46</f>
        <v>0</v>
      </c>
      <c r="CJ46" s="200">
        <f>(SUMIF(Fonctionnement[Affectation matrice],$AB$3,Fonctionnement[TVA acquittée])+SUMIF(Invest[Affectation matrice],$AB$3,Invest[TVA acquittée]))*BI46</f>
        <v>0</v>
      </c>
      <c r="CK46" s="200">
        <f>(SUMIF(Fonctionnement[Affectation matrice],$AB$3,Fonctionnement[TVA acquittée])+SUMIF(Invest[Affectation matrice],$AB$3,Invest[TVA acquittée]))*BJ46</f>
        <v>0</v>
      </c>
      <c r="CL46" s="200">
        <f>(SUMIF(Fonctionnement[Affectation matrice],$AB$3,Fonctionnement[TVA acquittée])+SUMIF(Invest[Affectation matrice],$AB$3,Invest[TVA acquittée]))*BK46</f>
        <v>0</v>
      </c>
      <c r="CM46" s="200">
        <f>(SUMIF(Fonctionnement[Affectation matrice],$AB$3,Fonctionnement[TVA acquittée])+SUMIF(Invest[Affectation matrice],$AB$3,Invest[TVA acquittée]))*BL46</f>
        <v>0</v>
      </c>
      <c r="CN46" s="200">
        <f>(SUMIF(Fonctionnement[Affectation matrice],$AB$3,Fonctionnement[TVA acquittée])+SUMIF(Invest[Affectation matrice],$AB$3,Invest[TVA acquittée]))*BM46</f>
        <v>0</v>
      </c>
      <c r="CO46" s="200">
        <f>(SUMIF(Fonctionnement[Affectation matrice],$AB$3,Fonctionnement[TVA acquittée])+SUMIF(Invest[Affectation matrice],$AB$3,Invest[TVA acquittée]))*BN46</f>
        <v>0</v>
      </c>
      <c r="CP46" s="200">
        <f>(SUMIF(Fonctionnement[Affectation matrice],$AB$3,Fonctionnement[TVA acquittée])+SUMIF(Invest[Affectation matrice],$AB$3,Invest[TVA acquittée]))*BO46</f>
        <v>0</v>
      </c>
      <c r="CQ46" s="200">
        <f>(SUMIF(Fonctionnement[Affectation matrice],$AB$3,Fonctionnement[TVA acquittée])+SUMIF(Invest[Affectation matrice],$AB$3,Invest[TVA acquittée]))*BP46</f>
        <v>0</v>
      </c>
      <c r="CR46" s="200">
        <f>(SUMIF(Fonctionnement[Affectation matrice],$AB$3,Fonctionnement[TVA acquittée])+SUMIF(Invest[Affectation matrice],$AB$3,Invest[TVA acquittée]))*BQ46</f>
        <v>0</v>
      </c>
      <c r="CS46" s="200">
        <f>(SUMIF(Fonctionnement[Affectation matrice],$AB$3,Fonctionnement[TVA acquittée])+SUMIF(Invest[Affectation matrice],$AB$3,Invest[TVA acquittée]))*BR46</f>
        <v>0</v>
      </c>
      <c r="CT46" s="200">
        <f>(SUMIF(Fonctionnement[Affectation matrice],$AB$3,Fonctionnement[TVA acquittée])+SUMIF(Invest[Affectation matrice],$AB$3,Invest[TVA acquittée]))*BS46</f>
        <v>0</v>
      </c>
      <c r="CU46" s="200">
        <f>(SUMIF(Fonctionnement[Affectation matrice],$AB$3,Fonctionnement[TVA acquittée])+SUMIF(Invest[Affectation matrice],$AB$3,Invest[TVA acquittée]))*BT46</f>
        <v>0</v>
      </c>
      <c r="CV46" s="200">
        <f>(SUMIF(Fonctionnement[Affectation matrice],$AB$3,Fonctionnement[TVA acquittée])+SUMIF(Invest[Affectation matrice],$AB$3,Invest[TVA acquittée]))*BU46</f>
        <v>0</v>
      </c>
      <c r="CW46" s="200">
        <f>(SUMIF(Fonctionnement[Affectation matrice],$AB$3,Fonctionnement[TVA acquittée])+SUMIF(Invest[Affectation matrice],$AB$3,Invest[TVA acquittée]))*BV46</f>
        <v>0</v>
      </c>
      <c r="CX46" s="200">
        <f>(SUMIF(Fonctionnement[Affectation matrice],$AB$3,Fonctionnement[TVA acquittée])+SUMIF(Invest[Affectation matrice],$AB$3,Invest[TVA acquittée]))*BW46</f>
        <v>0</v>
      </c>
      <c r="CY46" s="200">
        <f>(SUMIF(Fonctionnement[Affectation matrice],$AB$3,Fonctionnement[TVA acquittée])+SUMIF(Invest[Affectation matrice],$AB$3,Invest[TVA acquittée]))*BX46</f>
        <v>0</v>
      </c>
      <c r="CZ46" s="200">
        <f>(SUMIF(Fonctionnement[Affectation matrice],$AB$3,Fonctionnement[TVA acquittée])+SUMIF(Invest[Affectation matrice],$AB$3,Invest[TVA acquittée]))*BY46</f>
        <v>0</v>
      </c>
      <c r="DA46" s="200">
        <f>(SUMIF(Fonctionnement[Affectation matrice],$AB$3,Fonctionnement[TVA acquittée])+SUMIF(Invest[Affectation matrice],$AB$3,Invest[TVA acquittée]))*BZ46</f>
        <v>0</v>
      </c>
      <c r="DB46" s="200">
        <f>(SUMIF(Fonctionnement[Affectation matrice],$AB$3,Fonctionnement[TVA acquittée])+SUMIF(Invest[Affectation matrice],$AB$3,Invest[TVA acquittée]))*CA46</f>
        <v>0</v>
      </c>
    </row>
    <row r="47" spans="1:106" ht="12.75" hidden="1" customHeight="1" x14ac:dyDescent="0.25">
      <c r="A47" s="42">
        <f>Matrice[[#This Row],[Ligne de la matrice]]</f>
        <v>0</v>
      </c>
      <c r="B47" s="276">
        <f>(SUMIF(Fonctionnement[Affectation matrice],$AB$3,Fonctionnement[Montant (€HT)])+SUMIF(Invest[Affectation matrice],$AB$3,Invest[Amortissement HT + intérêts]))*BC47</f>
        <v>0</v>
      </c>
      <c r="C47" s="276">
        <f>(SUMIF(Fonctionnement[Affectation matrice],$AB$3,Fonctionnement[Montant (€HT)])+SUMIF(Invest[Affectation matrice],$AB$3,Invest[Amortissement HT + intérêts]))*BD47</f>
        <v>0</v>
      </c>
      <c r="D47" s="276">
        <f>(SUMIF(Fonctionnement[Affectation matrice],$AB$3,Fonctionnement[Montant (€HT)])+SUMIF(Invest[Affectation matrice],$AB$3,Invest[Amortissement HT + intérêts]))*BE47</f>
        <v>0</v>
      </c>
      <c r="E47" s="276">
        <f>(SUMIF(Fonctionnement[Affectation matrice],$AB$3,Fonctionnement[Montant (€HT)])+SUMIF(Invest[Affectation matrice],$AB$3,Invest[Amortissement HT + intérêts]))*BF47</f>
        <v>0</v>
      </c>
      <c r="F47" s="276">
        <f>(SUMIF(Fonctionnement[Affectation matrice],$AB$3,Fonctionnement[Montant (€HT)])+SUMIF(Invest[Affectation matrice],$AB$3,Invest[Amortissement HT + intérêts]))*BG47</f>
        <v>0</v>
      </c>
      <c r="G47" s="276">
        <f>(SUMIF(Fonctionnement[Affectation matrice],$AB$3,Fonctionnement[Montant (€HT)])+SUMIF(Invest[Affectation matrice],$AB$3,Invest[Amortissement HT + intérêts]))*BH47</f>
        <v>0</v>
      </c>
      <c r="H47" s="276">
        <f>(SUMIF(Fonctionnement[Affectation matrice],$AB$3,Fonctionnement[Montant (€HT)])+SUMIF(Invest[Affectation matrice],$AB$3,Invest[Amortissement HT + intérêts]))*BI47</f>
        <v>0</v>
      </c>
      <c r="I47" s="276">
        <f>(SUMIF(Fonctionnement[Affectation matrice],$AB$3,Fonctionnement[Montant (€HT)])+SUMIF(Invest[Affectation matrice],$AB$3,Invest[Amortissement HT + intérêts]))*BJ47</f>
        <v>0</v>
      </c>
      <c r="J47" s="276">
        <f>(SUMIF(Fonctionnement[Affectation matrice],$AB$3,Fonctionnement[Montant (€HT)])+SUMIF(Invest[Affectation matrice],$AB$3,Invest[Amortissement HT + intérêts]))*BK47</f>
        <v>0</v>
      </c>
      <c r="K47" s="276">
        <f>(SUMIF(Fonctionnement[Affectation matrice],$AB$3,Fonctionnement[Montant (€HT)])+SUMIF(Invest[Affectation matrice],$AB$3,Invest[Amortissement HT + intérêts]))*BL47</f>
        <v>0</v>
      </c>
      <c r="L47" s="276">
        <f>(SUMIF(Fonctionnement[Affectation matrice],$AB$3,Fonctionnement[Montant (€HT)])+SUMIF(Invest[Affectation matrice],$AB$3,Invest[Amortissement HT + intérêts]))*BM47</f>
        <v>0</v>
      </c>
      <c r="M47" s="276">
        <f>(SUMIF(Fonctionnement[Affectation matrice],$AB$3,Fonctionnement[Montant (€HT)])+SUMIF(Invest[Affectation matrice],$AB$3,Invest[Amortissement HT + intérêts]))*BN47</f>
        <v>0</v>
      </c>
      <c r="N47" s="276">
        <f>(SUMIF(Fonctionnement[Affectation matrice],$AB$3,Fonctionnement[Montant (€HT)])+SUMIF(Invest[Affectation matrice],$AB$3,Invest[Amortissement HT + intérêts]))*BO47</f>
        <v>0</v>
      </c>
      <c r="O47" s="276">
        <f>(SUMIF(Fonctionnement[Affectation matrice],$AB$3,Fonctionnement[Montant (€HT)])+SUMIF(Invest[Affectation matrice],$AB$3,Invest[Amortissement HT + intérêts]))*BP47</f>
        <v>0</v>
      </c>
      <c r="P47" s="276">
        <f>(SUMIF(Fonctionnement[Affectation matrice],$AB$3,Fonctionnement[Montant (€HT)])+SUMIF(Invest[Affectation matrice],$AB$3,Invest[Amortissement HT + intérêts]))*BQ47</f>
        <v>0</v>
      </c>
      <c r="Q47" s="276">
        <f>(SUMIF(Fonctionnement[Affectation matrice],$AB$3,Fonctionnement[Montant (€HT)])+SUMIF(Invest[Affectation matrice],$AB$3,Invest[Amortissement HT + intérêts]))*BR47</f>
        <v>0</v>
      </c>
      <c r="R47" s="276">
        <f>(SUMIF(Fonctionnement[Affectation matrice],$AB$3,Fonctionnement[Montant (€HT)])+SUMIF(Invest[Affectation matrice],$AB$3,Invest[Amortissement HT + intérêts]))*BS47</f>
        <v>0</v>
      </c>
      <c r="S47" s="276">
        <f>(SUMIF(Fonctionnement[Affectation matrice],$AB$3,Fonctionnement[Montant (€HT)])+SUMIF(Invest[Affectation matrice],$AB$3,Invest[Amortissement HT + intérêts]))*BT47</f>
        <v>0</v>
      </c>
      <c r="T47" s="276">
        <f>(SUMIF(Fonctionnement[Affectation matrice],$AB$3,Fonctionnement[Montant (€HT)])+SUMIF(Invest[Affectation matrice],$AB$3,Invest[Amortissement HT + intérêts]))*BU47</f>
        <v>0</v>
      </c>
      <c r="U47" s="276">
        <f>(SUMIF(Fonctionnement[Affectation matrice],$AB$3,Fonctionnement[Montant (€HT)])+SUMIF(Invest[Affectation matrice],$AB$3,Invest[Amortissement HT + intérêts]))*BV47</f>
        <v>0</v>
      </c>
      <c r="V47" s="276">
        <f>(SUMIF(Fonctionnement[Affectation matrice],$AB$3,Fonctionnement[Montant (€HT)])+SUMIF(Invest[Affectation matrice],$AB$3,Invest[Amortissement HT + intérêts]))*BW47</f>
        <v>0</v>
      </c>
      <c r="W47" s="276">
        <f>(SUMIF(Fonctionnement[Affectation matrice],$AB$3,Fonctionnement[Montant (€HT)])+SUMIF(Invest[Affectation matrice],$AB$3,Invest[Amortissement HT + intérêts]))*BX47</f>
        <v>0</v>
      </c>
      <c r="X47" s="276">
        <f>(SUMIF(Fonctionnement[Affectation matrice],$AB$3,Fonctionnement[Montant (€HT)])+SUMIF(Invest[Affectation matrice],$AB$3,Invest[Amortissement HT + intérêts]))*BY47</f>
        <v>0</v>
      </c>
      <c r="Y47" s="276">
        <f>(SUMIF(Fonctionnement[Affectation matrice],$AB$3,Fonctionnement[Montant (€HT)])+SUMIF(Invest[Affectation matrice],$AB$3,Invest[Amortissement HT + intérêts]))*BZ47</f>
        <v>0</v>
      </c>
      <c r="Z47" s="276">
        <f>(SUMIF(Fonctionnement[Affectation matrice],$AB$3,Fonctionnement[Montant (€HT)])+SUMIF(Invest[Affectation matrice],$AB$3,Invest[Amortissement HT + intérêts]))*CA47</f>
        <v>0</v>
      </c>
      <c r="AA47" s="199"/>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283">
        <f t="shared" si="4"/>
        <v>0</v>
      </c>
      <c r="BC47" s="61">
        <f t="shared" si="12"/>
        <v>0</v>
      </c>
      <c r="BD47" s="61">
        <f t="shared" si="12"/>
        <v>0</v>
      </c>
      <c r="BE47" s="61">
        <f t="shared" si="12"/>
        <v>0</v>
      </c>
      <c r="BF47" s="61">
        <f t="shared" si="12"/>
        <v>0</v>
      </c>
      <c r="BG47" s="61">
        <f t="shared" si="12"/>
        <v>0</v>
      </c>
      <c r="BH47" s="61">
        <f t="shared" si="12"/>
        <v>0</v>
      </c>
      <c r="BI47" s="61">
        <f t="shared" si="12"/>
        <v>0</v>
      </c>
      <c r="BJ47" s="61">
        <f t="shared" si="12"/>
        <v>0</v>
      </c>
      <c r="BK47" s="61">
        <f t="shared" si="12"/>
        <v>0</v>
      </c>
      <c r="BL47" s="61">
        <f t="shared" si="12"/>
        <v>0</v>
      </c>
      <c r="BM47" s="61">
        <f t="shared" si="12"/>
        <v>0</v>
      </c>
      <c r="BN47" s="61">
        <f t="shared" si="12"/>
        <v>0</v>
      </c>
      <c r="BO47" s="61">
        <f t="shared" si="12"/>
        <v>0</v>
      </c>
      <c r="BP47" s="61">
        <f t="shared" si="12"/>
        <v>0</v>
      </c>
      <c r="BQ47" s="61">
        <f t="shared" si="12"/>
        <v>0</v>
      </c>
      <c r="BR47" s="61">
        <f t="shared" si="12"/>
        <v>0</v>
      </c>
      <c r="BS47" s="61">
        <f t="shared" si="13"/>
        <v>0</v>
      </c>
      <c r="BT47" s="61">
        <f t="shared" si="13"/>
        <v>0</v>
      </c>
      <c r="BU47" s="61">
        <f t="shared" si="13"/>
        <v>0</v>
      </c>
      <c r="BV47" s="61">
        <f t="shared" si="13"/>
        <v>0</v>
      </c>
      <c r="BW47" s="61">
        <f t="shared" si="13"/>
        <v>0</v>
      </c>
      <c r="BX47" s="61">
        <f t="shared" si="13"/>
        <v>0</v>
      </c>
      <c r="BY47" s="61">
        <f t="shared" si="13"/>
        <v>0</v>
      </c>
      <c r="BZ47" s="61">
        <f t="shared" si="13"/>
        <v>0</v>
      </c>
      <c r="CA47" s="61">
        <f t="shared" si="13"/>
        <v>0</v>
      </c>
      <c r="CB47" s="61">
        <f t="shared" si="5"/>
        <v>0</v>
      </c>
      <c r="CD47" s="200">
        <f>(SUMIF(Fonctionnement[Affectation matrice],$AB$3,Fonctionnement[TVA acquittée])+SUMIF(Invest[Affectation matrice],$AB$3,Invest[TVA acquittée]))*BC47</f>
        <v>0</v>
      </c>
      <c r="CE47" s="200">
        <f>(SUMIF(Fonctionnement[Affectation matrice],$AB$3,Fonctionnement[TVA acquittée])+SUMIF(Invest[Affectation matrice],$AB$3,Invest[TVA acquittée]))*BD47</f>
        <v>0</v>
      </c>
      <c r="CF47" s="200">
        <f>(SUMIF(Fonctionnement[Affectation matrice],$AB$3,Fonctionnement[TVA acquittée])+SUMIF(Invest[Affectation matrice],$AB$3,Invest[TVA acquittée]))*BE47</f>
        <v>0</v>
      </c>
      <c r="CG47" s="200">
        <f>(SUMIF(Fonctionnement[Affectation matrice],$AB$3,Fonctionnement[TVA acquittée])+SUMIF(Invest[Affectation matrice],$AB$3,Invest[TVA acquittée]))*BF47</f>
        <v>0</v>
      </c>
      <c r="CH47" s="200">
        <f>(SUMIF(Fonctionnement[Affectation matrice],$AB$3,Fonctionnement[TVA acquittée])+SUMIF(Invest[Affectation matrice],$AB$3,Invest[TVA acquittée]))*BG47</f>
        <v>0</v>
      </c>
      <c r="CI47" s="200">
        <f>(SUMIF(Fonctionnement[Affectation matrice],$AB$3,Fonctionnement[TVA acquittée])+SUMIF(Invest[Affectation matrice],$AB$3,Invest[TVA acquittée]))*BH47</f>
        <v>0</v>
      </c>
      <c r="CJ47" s="200">
        <f>(SUMIF(Fonctionnement[Affectation matrice],$AB$3,Fonctionnement[TVA acquittée])+SUMIF(Invest[Affectation matrice],$AB$3,Invest[TVA acquittée]))*BI47</f>
        <v>0</v>
      </c>
      <c r="CK47" s="200">
        <f>(SUMIF(Fonctionnement[Affectation matrice],$AB$3,Fonctionnement[TVA acquittée])+SUMIF(Invest[Affectation matrice],$AB$3,Invest[TVA acquittée]))*BJ47</f>
        <v>0</v>
      </c>
      <c r="CL47" s="200">
        <f>(SUMIF(Fonctionnement[Affectation matrice],$AB$3,Fonctionnement[TVA acquittée])+SUMIF(Invest[Affectation matrice],$AB$3,Invest[TVA acquittée]))*BK47</f>
        <v>0</v>
      </c>
      <c r="CM47" s="200">
        <f>(SUMIF(Fonctionnement[Affectation matrice],$AB$3,Fonctionnement[TVA acquittée])+SUMIF(Invest[Affectation matrice],$AB$3,Invest[TVA acquittée]))*BL47</f>
        <v>0</v>
      </c>
      <c r="CN47" s="200">
        <f>(SUMIF(Fonctionnement[Affectation matrice],$AB$3,Fonctionnement[TVA acquittée])+SUMIF(Invest[Affectation matrice],$AB$3,Invest[TVA acquittée]))*BM47</f>
        <v>0</v>
      </c>
      <c r="CO47" s="200">
        <f>(SUMIF(Fonctionnement[Affectation matrice],$AB$3,Fonctionnement[TVA acquittée])+SUMIF(Invest[Affectation matrice],$AB$3,Invest[TVA acquittée]))*BN47</f>
        <v>0</v>
      </c>
      <c r="CP47" s="200">
        <f>(SUMIF(Fonctionnement[Affectation matrice],$AB$3,Fonctionnement[TVA acquittée])+SUMIF(Invest[Affectation matrice],$AB$3,Invest[TVA acquittée]))*BO47</f>
        <v>0</v>
      </c>
      <c r="CQ47" s="200">
        <f>(SUMIF(Fonctionnement[Affectation matrice],$AB$3,Fonctionnement[TVA acquittée])+SUMIF(Invest[Affectation matrice],$AB$3,Invest[TVA acquittée]))*BP47</f>
        <v>0</v>
      </c>
      <c r="CR47" s="200">
        <f>(SUMIF(Fonctionnement[Affectation matrice],$AB$3,Fonctionnement[TVA acquittée])+SUMIF(Invest[Affectation matrice],$AB$3,Invest[TVA acquittée]))*BQ47</f>
        <v>0</v>
      </c>
      <c r="CS47" s="200">
        <f>(SUMIF(Fonctionnement[Affectation matrice],$AB$3,Fonctionnement[TVA acquittée])+SUMIF(Invest[Affectation matrice],$AB$3,Invest[TVA acquittée]))*BR47</f>
        <v>0</v>
      </c>
      <c r="CT47" s="200">
        <f>(SUMIF(Fonctionnement[Affectation matrice],$AB$3,Fonctionnement[TVA acquittée])+SUMIF(Invest[Affectation matrice],$AB$3,Invest[TVA acquittée]))*BS47</f>
        <v>0</v>
      </c>
      <c r="CU47" s="200">
        <f>(SUMIF(Fonctionnement[Affectation matrice],$AB$3,Fonctionnement[TVA acquittée])+SUMIF(Invest[Affectation matrice],$AB$3,Invest[TVA acquittée]))*BT47</f>
        <v>0</v>
      </c>
      <c r="CV47" s="200">
        <f>(SUMIF(Fonctionnement[Affectation matrice],$AB$3,Fonctionnement[TVA acquittée])+SUMIF(Invest[Affectation matrice],$AB$3,Invest[TVA acquittée]))*BU47</f>
        <v>0</v>
      </c>
      <c r="CW47" s="200">
        <f>(SUMIF(Fonctionnement[Affectation matrice],$AB$3,Fonctionnement[TVA acquittée])+SUMIF(Invest[Affectation matrice],$AB$3,Invest[TVA acquittée]))*BV47</f>
        <v>0</v>
      </c>
      <c r="CX47" s="200">
        <f>(SUMIF(Fonctionnement[Affectation matrice],$AB$3,Fonctionnement[TVA acquittée])+SUMIF(Invest[Affectation matrice],$AB$3,Invest[TVA acquittée]))*BW47</f>
        <v>0</v>
      </c>
      <c r="CY47" s="200">
        <f>(SUMIF(Fonctionnement[Affectation matrice],$AB$3,Fonctionnement[TVA acquittée])+SUMIF(Invest[Affectation matrice],$AB$3,Invest[TVA acquittée]))*BX47</f>
        <v>0</v>
      </c>
      <c r="CZ47" s="200">
        <f>(SUMIF(Fonctionnement[Affectation matrice],$AB$3,Fonctionnement[TVA acquittée])+SUMIF(Invest[Affectation matrice],$AB$3,Invest[TVA acquittée]))*BY47</f>
        <v>0</v>
      </c>
      <c r="DA47" s="200">
        <f>(SUMIF(Fonctionnement[Affectation matrice],$AB$3,Fonctionnement[TVA acquittée])+SUMIF(Invest[Affectation matrice],$AB$3,Invest[TVA acquittée]))*BZ47</f>
        <v>0</v>
      </c>
      <c r="DB47" s="200">
        <f>(SUMIF(Fonctionnement[Affectation matrice],$AB$3,Fonctionnement[TVA acquittée])+SUMIF(Invest[Affectation matrice],$AB$3,Invest[TVA acquittée]))*CA47</f>
        <v>0</v>
      </c>
    </row>
    <row r="48" spans="1:106" ht="12.75" hidden="1" customHeight="1" x14ac:dyDescent="0.25">
      <c r="A48" s="42">
        <f>Matrice[[#This Row],[Ligne de la matrice]]</f>
        <v>0</v>
      </c>
      <c r="B48" s="276">
        <f>(SUMIF(Fonctionnement[Affectation matrice],$AB$3,Fonctionnement[Montant (€HT)])+SUMIF(Invest[Affectation matrice],$AB$3,Invest[Amortissement HT + intérêts]))*BC48</f>
        <v>0</v>
      </c>
      <c r="C48" s="276">
        <f>(SUMIF(Fonctionnement[Affectation matrice],$AB$3,Fonctionnement[Montant (€HT)])+SUMIF(Invest[Affectation matrice],$AB$3,Invest[Amortissement HT + intérêts]))*BD48</f>
        <v>0</v>
      </c>
      <c r="D48" s="276">
        <f>(SUMIF(Fonctionnement[Affectation matrice],$AB$3,Fonctionnement[Montant (€HT)])+SUMIF(Invest[Affectation matrice],$AB$3,Invest[Amortissement HT + intérêts]))*BE48</f>
        <v>0</v>
      </c>
      <c r="E48" s="276">
        <f>(SUMIF(Fonctionnement[Affectation matrice],$AB$3,Fonctionnement[Montant (€HT)])+SUMIF(Invest[Affectation matrice],$AB$3,Invest[Amortissement HT + intérêts]))*BF48</f>
        <v>0</v>
      </c>
      <c r="F48" s="276">
        <f>(SUMIF(Fonctionnement[Affectation matrice],$AB$3,Fonctionnement[Montant (€HT)])+SUMIF(Invest[Affectation matrice],$AB$3,Invest[Amortissement HT + intérêts]))*BG48</f>
        <v>0</v>
      </c>
      <c r="G48" s="276">
        <f>(SUMIF(Fonctionnement[Affectation matrice],$AB$3,Fonctionnement[Montant (€HT)])+SUMIF(Invest[Affectation matrice],$AB$3,Invest[Amortissement HT + intérêts]))*BH48</f>
        <v>0</v>
      </c>
      <c r="H48" s="276">
        <f>(SUMIF(Fonctionnement[Affectation matrice],$AB$3,Fonctionnement[Montant (€HT)])+SUMIF(Invest[Affectation matrice],$AB$3,Invest[Amortissement HT + intérêts]))*BI48</f>
        <v>0</v>
      </c>
      <c r="I48" s="276">
        <f>(SUMIF(Fonctionnement[Affectation matrice],$AB$3,Fonctionnement[Montant (€HT)])+SUMIF(Invest[Affectation matrice],$AB$3,Invest[Amortissement HT + intérêts]))*BJ48</f>
        <v>0</v>
      </c>
      <c r="J48" s="276">
        <f>(SUMIF(Fonctionnement[Affectation matrice],$AB$3,Fonctionnement[Montant (€HT)])+SUMIF(Invest[Affectation matrice],$AB$3,Invest[Amortissement HT + intérêts]))*BK48</f>
        <v>0</v>
      </c>
      <c r="K48" s="276">
        <f>(SUMIF(Fonctionnement[Affectation matrice],$AB$3,Fonctionnement[Montant (€HT)])+SUMIF(Invest[Affectation matrice],$AB$3,Invest[Amortissement HT + intérêts]))*BL48</f>
        <v>0</v>
      </c>
      <c r="L48" s="276">
        <f>(SUMIF(Fonctionnement[Affectation matrice],$AB$3,Fonctionnement[Montant (€HT)])+SUMIF(Invest[Affectation matrice],$AB$3,Invest[Amortissement HT + intérêts]))*BM48</f>
        <v>0</v>
      </c>
      <c r="M48" s="276">
        <f>(SUMIF(Fonctionnement[Affectation matrice],$AB$3,Fonctionnement[Montant (€HT)])+SUMIF(Invest[Affectation matrice],$AB$3,Invest[Amortissement HT + intérêts]))*BN48</f>
        <v>0</v>
      </c>
      <c r="N48" s="276">
        <f>(SUMIF(Fonctionnement[Affectation matrice],$AB$3,Fonctionnement[Montant (€HT)])+SUMIF(Invest[Affectation matrice],$AB$3,Invest[Amortissement HT + intérêts]))*BO48</f>
        <v>0</v>
      </c>
      <c r="O48" s="276">
        <f>(SUMIF(Fonctionnement[Affectation matrice],$AB$3,Fonctionnement[Montant (€HT)])+SUMIF(Invest[Affectation matrice],$AB$3,Invest[Amortissement HT + intérêts]))*BP48</f>
        <v>0</v>
      </c>
      <c r="P48" s="276">
        <f>(SUMIF(Fonctionnement[Affectation matrice],$AB$3,Fonctionnement[Montant (€HT)])+SUMIF(Invest[Affectation matrice],$AB$3,Invest[Amortissement HT + intérêts]))*BQ48</f>
        <v>0</v>
      </c>
      <c r="Q48" s="276">
        <f>(SUMIF(Fonctionnement[Affectation matrice],$AB$3,Fonctionnement[Montant (€HT)])+SUMIF(Invest[Affectation matrice],$AB$3,Invest[Amortissement HT + intérêts]))*BR48</f>
        <v>0</v>
      </c>
      <c r="R48" s="276">
        <f>(SUMIF(Fonctionnement[Affectation matrice],$AB$3,Fonctionnement[Montant (€HT)])+SUMIF(Invest[Affectation matrice],$AB$3,Invest[Amortissement HT + intérêts]))*BS48</f>
        <v>0</v>
      </c>
      <c r="S48" s="276">
        <f>(SUMIF(Fonctionnement[Affectation matrice],$AB$3,Fonctionnement[Montant (€HT)])+SUMIF(Invest[Affectation matrice],$AB$3,Invest[Amortissement HT + intérêts]))*BT48</f>
        <v>0</v>
      </c>
      <c r="T48" s="276">
        <f>(SUMIF(Fonctionnement[Affectation matrice],$AB$3,Fonctionnement[Montant (€HT)])+SUMIF(Invest[Affectation matrice],$AB$3,Invest[Amortissement HT + intérêts]))*BU48</f>
        <v>0</v>
      </c>
      <c r="U48" s="276">
        <f>(SUMIF(Fonctionnement[Affectation matrice],$AB$3,Fonctionnement[Montant (€HT)])+SUMIF(Invest[Affectation matrice],$AB$3,Invest[Amortissement HT + intérêts]))*BV48</f>
        <v>0</v>
      </c>
      <c r="V48" s="276">
        <f>(SUMIF(Fonctionnement[Affectation matrice],$AB$3,Fonctionnement[Montant (€HT)])+SUMIF(Invest[Affectation matrice],$AB$3,Invest[Amortissement HT + intérêts]))*BW48</f>
        <v>0</v>
      </c>
      <c r="W48" s="276">
        <f>(SUMIF(Fonctionnement[Affectation matrice],$AB$3,Fonctionnement[Montant (€HT)])+SUMIF(Invest[Affectation matrice],$AB$3,Invest[Amortissement HT + intérêts]))*BX48</f>
        <v>0</v>
      </c>
      <c r="X48" s="276">
        <f>(SUMIF(Fonctionnement[Affectation matrice],$AB$3,Fonctionnement[Montant (€HT)])+SUMIF(Invest[Affectation matrice],$AB$3,Invest[Amortissement HT + intérêts]))*BY48</f>
        <v>0</v>
      </c>
      <c r="Y48" s="276">
        <f>(SUMIF(Fonctionnement[Affectation matrice],$AB$3,Fonctionnement[Montant (€HT)])+SUMIF(Invest[Affectation matrice],$AB$3,Invest[Amortissement HT + intérêts]))*BZ48</f>
        <v>0</v>
      </c>
      <c r="Z48" s="276">
        <f>(SUMIF(Fonctionnement[Affectation matrice],$AB$3,Fonctionnement[Montant (€HT)])+SUMIF(Invest[Affectation matrice],$AB$3,Invest[Amortissement HT + intérêts]))*CA48</f>
        <v>0</v>
      </c>
      <c r="AA48" s="199"/>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283">
        <f t="shared" si="4"/>
        <v>0</v>
      </c>
      <c r="BC48" s="61">
        <f t="shared" si="12"/>
        <v>0</v>
      </c>
      <c r="BD48" s="61">
        <f t="shared" si="12"/>
        <v>0</v>
      </c>
      <c r="BE48" s="61">
        <f t="shared" si="12"/>
        <v>0</v>
      </c>
      <c r="BF48" s="61">
        <f t="shared" si="12"/>
        <v>0</v>
      </c>
      <c r="BG48" s="61">
        <f t="shared" si="12"/>
        <v>0</v>
      </c>
      <c r="BH48" s="61">
        <f t="shared" si="12"/>
        <v>0</v>
      </c>
      <c r="BI48" s="61">
        <f t="shared" si="12"/>
        <v>0</v>
      </c>
      <c r="BJ48" s="61">
        <f t="shared" si="12"/>
        <v>0</v>
      </c>
      <c r="BK48" s="61">
        <f t="shared" si="12"/>
        <v>0</v>
      </c>
      <c r="BL48" s="61">
        <f t="shared" si="12"/>
        <v>0</v>
      </c>
      <c r="BM48" s="61">
        <f t="shared" si="12"/>
        <v>0</v>
      </c>
      <c r="BN48" s="61">
        <f t="shared" si="12"/>
        <v>0</v>
      </c>
      <c r="BO48" s="61">
        <f t="shared" si="12"/>
        <v>0</v>
      </c>
      <c r="BP48" s="61">
        <f t="shared" si="12"/>
        <v>0</v>
      </c>
      <c r="BQ48" s="61">
        <f t="shared" si="12"/>
        <v>0</v>
      </c>
      <c r="BR48" s="61">
        <f t="shared" si="12"/>
        <v>0</v>
      </c>
      <c r="BS48" s="61">
        <f t="shared" si="13"/>
        <v>0</v>
      </c>
      <c r="BT48" s="61">
        <f t="shared" si="13"/>
        <v>0</v>
      </c>
      <c r="BU48" s="61">
        <f t="shared" si="13"/>
        <v>0</v>
      </c>
      <c r="BV48" s="61">
        <f t="shared" si="13"/>
        <v>0</v>
      </c>
      <c r="BW48" s="61">
        <f t="shared" si="13"/>
        <v>0</v>
      </c>
      <c r="BX48" s="61">
        <f t="shared" si="13"/>
        <v>0</v>
      </c>
      <c r="BY48" s="61">
        <f t="shared" si="13"/>
        <v>0</v>
      </c>
      <c r="BZ48" s="61">
        <f t="shared" si="13"/>
        <v>0</v>
      </c>
      <c r="CA48" s="61">
        <f t="shared" si="13"/>
        <v>0</v>
      </c>
      <c r="CB48" s="61">
        <f t="shared" si="5"/>
        <v>0</v>
      </c>
      <c r="CD48" s="200">
        <f>(SUMIF(Fonctionnement[Affectation matrice],$AB$3,Fonctionnement[TVA acquittée])+SUMIF(Invest[Affectation matrice],$AB$3,Invest[TVA acquittée]))*BC48</f>
        <v>0</v>
      </c>
      <c r="CE48" s="200">
        <f>(SUMIF(Fonctionnement[Affectation matrice],$AB$3,Fonctionnement[TVA acquittée])+SUMIF(Invest[Affectation matrice],$AB$3,Invest[TVA acquittée]))*BD48</f>
        <v>0</v>
      </c>
      <c r="CF48" s="200">
        <f>(SUMIF(Fonctionnement[Affectation matrice],$AB$3,Fonctionnement[TVA acquittée])+SUMIF(Invest[Affectation matrice],$AB$3,Invest[TVA acquittée]))*BE48</f>
        <v>0</v>
      </c>
      <c r="CG48" s="200">
        <f>(SUMIF(Fonctionnement[Affectation matrice],$AB$3,Fonctionnement[TVA acquittée])+SUMIF(Invest[Affectation matrice],$AB$3,Invest[TVA acquittée]))*BF48</f>
        <v>0</v>
      </c>
      <c r="CH48" s="200">
        <f>(SUMIF(Fonctionnement[Affectation matrice],$AB$3,Fonctionnement[TVA acquittée])+SUMIF(Invest[Affectation matrice],$AB$3,Invest[TVA acquittée]))*BG48</f>
        <v>0</v>
      </c>
      <c r="CI48" s="200">
        <f>(SUMIF(Fonctionnement[Affectation matrice],$AB$3,Fonctionnement[TVA acquittée])+SUMIF(Invest[Affectation matrice],$AB$3,Invest[TVA acquittée]))*BH48</f>
        <v>0</v>
      </c>
      <c r="CJ48" s="200">
        <f>(SUMIF(Fonctionnement[Affectation matrice],$AB$3,Fonctionnement[TVA acquittée])+SUMIF(Invest[Affectation matrice],$AB$3,Invest[TVA acquittée]))*BI48</f>
        <v>0</v>
      </c>
      <c r="CK48" s="200">
        <f>(SUMIF(Fonctionnement[Affectation matrice],$AB$3,Fonctionnement[TVA acquittée])+SUMIF(Invest[Affectation matrice],$AB$3,Invest[TVA acquittée]))*BJ48</f>
        <v>0</v>
      </c>
      <c r="CL48" s="200">
        <f>(SUMIF(Fonctionnement[Affectation matrice],$AB$3,Fonctionnement[TVA acquittée])+SUMIF(Invest[Affectation matrice],$AB$3,Invest[TVA acquittée]))*BK48</f>
        <v>0</v>
      </c>
      <c r="CM48" s="200">
        <f>(SUMIF(Fonctionnement[Affectation matrice],$AB$3,Fonctionnement[TVA acquittée])+SUMIF(Invest[Affectation matrice],$AB$3,Invest[TVA acquittée]))*BL48</f>
        <v>0</v>
      </c>
      <c r="CN48" s="200">
        <f>(SUMIF(Fonctionnement[Affectation matrice],$AB$3,Fonctionnement[TVA acquittée])+SUMIF(Invest[Affectation matrice],$AB$3,Invest[TVA acquittée]))*BM48</f>
        <v>0</v>
      </c>
      <c r="CO48" s="200">
        <f>(SUMIF(Fonctionnement[Affectation matrice],$AB$3,Fonctionnement[TVA acquittée])+SUMIF(Invest[Affectation matrice],$AB$3,Invest[TVA acquittée]))*BN48</f>
        <v>0</v>
      </c>
      <c r="CP48" s="200">
        <f>(SUMIF(Fonctionnement[Affectation matrice],$AB$3,Fonctionnement[TVA acquittée])+SUMIF(Invest[Affectation matrice],$AB$3,Invest[TVA acquittée]))*BO48</f>
        <v>0</v>
      </c>
      <c r="CQ48" s="200">
        <f>(SUMIF(Fonctionnement[Affectation matrice],$AB$3,Fonctionnement[TVA acquittée])+SUMIF(Invest[Affectation matrice],$AB$3,Invest[TVA acquittée]))*BP48</f>
        <v>0</v>
      </c>
      <c r="CR48" s="200">
        <f>(SUMIF(Fonctionnement[Affectation matrice],$AB$3,Fonctionnement[TVA acquittée])+SUMIF(Invest[Affectation matrice],$AB$3,Invest[TVA acquittée]))*BQ48</f>
        <v>0</v>
      </c>
      <c r="CS48" s="200">
        <f>(SUMIF(Fonctionnement[Affectation matrice],$AB$3,Fonctionnement[TVA acquittée])+SUMIF(Invest[Affectation matrice],$AB$3,Invest[TVA acquittée]))*BR48</f>
        <v>0</v>
      </c>
      <c r="CT48" s="200">
        <f>(SUMIF(Fonctionnement[Affectation matrice],$AB$3,Fonctionnement[TVA acquittée])+SUMIF(Invest[Affectation matrice],$AB$3,Invest[TVA acquittée]))*BS48</f>
        <v>0</v>
      </c>
      <c r="CU48" s="200">
        <f>(SUMIF(Fonctionnement[Affectation matrice],$AB$3,Fonctionnement[TVA acquittée])+SUMIF(Invest[Affectation matrice],$AB$3,Invest[TVA acquittée]))*BT48</f>
        <v>0</v>
      </c>
      <c r="CV48" s="200">
        <f>(SUMIF(Fonctionnement[Affectation matrice],$AB$3,Fonctionnement[TVA acquittée])+SUMIF(Invest[Affectation matrice],$AB$3,Invest[TVA acquittée]))*BU48</f>
        <v>0</v>
      </c>
      <c r="CW48" s="200">
        <f>(SUMIF(Fonctionnement[Affectation matrice],$AB$3,Fonctionnement[TVA acquittée])+SUMIF(Invest[Affectation matrice],$AB$3,Invest[TVA acquittée]))*BV48</f>
        <v>0</v>
      </c>
      <c r="CX48" s="200">
        <f>(SUMIF(Fonctionnement[Affectation matrice],$AB$3,Fonctionnement[TVA acquittée])+SUMIF(Invest[Affectation matrice],$AB$3,Invest[TVA acquittée]))*BW48</f>
        <v>0</v>
      </c>
      <c r="CY48" s="200">
        <f>(SUMIF(Fonctionnement[Affectation matrice],$AB$3,Fonctionnement[TVA acquittée])+SUMIF(Invest[Affectation matrice],$AB$3,Invest[TVA acquittée]))*BX48</f>
        <v>0</v>
      </c>
      <c r="CZ48" s="200">
        <f>(SUMIF(Fonctionnement[Affectation matrice],$AB$3,Fonctionnement[TVA acquittée])+SUMIF(Invest[Affectation matrice],$AB$3,Invest[TVA acquittée]))*BY48</f>
        <v>0</v>
      </c>
      <c r="DA48" s="200">
        <f>(SUMIF(Fonctionnement[Affectation matrice],$AB$3,Fonctionnement[TVA acquittée])+SUMIF(Invest[Affectation matrice],$AB$3,Invest[TVA acquittée]))*BZ48</f>
        <v>0</v>
      </c>
      <c r="DB48" s="200">
        <f>(SUMIF(Fonctionnement[Affectation matrice],$AB$3,Fonctionnement[TVA acquittée])+SUMIF(Invest[Affectation matrice],$AB$3,Invest[TVA acquittée]))*CA48</f>
        <v>0</v>
      </c>
    </row>
    <row r="49" spans="1:107" ht="12.75" hidden="1" customHeight="1" x14ac:dyDescent="0.25">
      <c r="A49" s="42">
        <f>Matrice[[#This Row],[Ligne de la matrice]]</f>
        <v>0</v>
      </c>
      <c r="B49" s="276">
        <f>(SUMIF(Fonctionnement[Affectation matrice],$AB$3,Fonctionnement[Montant (€HT)])+SUMIF(Invest[Affectation matrice],$AB$3,Invest[Amortissement HT + intérêts]))*BC49</f>
        <v>0</v>
      </c>
      <c r="C49" s="276">
        <f>(SUMIF(Fonctionnement[Affectation matrice],$AB$3,Fonctionnement[Montant (€HT)])+SUMIF(Invest[Affectation matrice],$AB$3,Invest[Amortissement HT + intérêts]))*BD49</f>
        <v>0</v>
      </c>
      <c r="D49" s="276">
        <f>(SUMIF(Fonctionnement[Affectation matrice],$AB$3,Fonctionnement[Montant (€HT)])+SUMIF(Invest[Affectation matrice],$AB$3,Invest[Amortissement HT + intérêts]))*BE49</f>
        <v>0</v>
      </c>
      <c r="E49" s="276">
        <f>(SUMIF(Fonctionnement[Affectation matrice],$AB$3,Fonctionnement[Montant (€HT)])+SUMIF(Invest[Affectation matrice],$AB$3,Invest[Amortissement HT + intérêts]))*BF49</f>
        <v>0</v>
      </c>
      <c r="F49" s="276">
        <f>(SUMIF(Fonctionnement[Affectation matrice],$AB$3,Fonctionnement[Montant (€HT)])+SUMIF(Invest[Affectation matrice],$AB$3,Invest[Amortissement HT + intérêts]))*BG49</f>
        <v>0</v>
      </c>
      <c r="G49" s="276">
        <f>(SUMIF(Fonctionnement[Affectation matrice],$AB$3,Fonctionnement[Montant (€HT)])+SUMIF(Invest[Affectation matrice],$AB$3,Invest[Amortissement HT + intérêts]))*BH49</f>
        <v>0</v>
      </c>
      <c r="H49" s="276">
        <f>(SUMIF(Fonctionnement[Affectation matrice],$AB$3,Fonctionnement[Montant (€HT)])+SUMIF(Invest[Affectation matrice],$AB$3,Invest[Amortissement HT + intérêts]))*BI49</f>
        <v>0</v>
      </c>
      <c r="I49" s="276">
        <f>(SUMIF(Fonctionnement[Affectation matrice],$AB$3,Fonctionnement[Montant (€HT)])+SUMIF(Invest[Affectation matrice],$AB$3,Invest[Amortissement HT + intérêts]))*BJ49</f>
        <v>0</v>
      </c>
      <c r="J49" s="276">
        <f>(SUMIF(Fonctionnement[Affectation matrice],$AB$3,Fonctionnement[Montant (€HT)])+SUMIF(Invest[Affectation matrice],$AB$3,Invest[Amortissement HT + intérêts]))*BK49</f>
        <v>0</v>
      </c>
      <c r="K49" s="276">
        <f>(SUMIF(Fonctionnement[Affectation matrice],$AB$3,Fonctionnement[Montant (€HT)])+SUMIF(Invest[Affectation matrice],$AB$3,Invest[Amortissement HT + intérêts]))*BL49</f>
        <v>0</v>
      </c>
      <c r="L49" s="276">
        <f>(SUMIF(Fonctionnement[Affectation matrice],$AB$3,Fonctionnement[Montant (€HT)])+SUMIF(Invest[Affectation matrice],$AB$3,Invest[Amortissement HT + intérêts]))*BM49</f>
        <v>0</v>
      </c>
      <c r="M49" s="276">
        <f>(SUMIF(Fonctionnement[Affectation matrice],$AB$3,Fonctionnement[Montant (€HT)])+SUMIF(Invest[Affectation matrice],$AB$3,Invest[Amortissement HT + intérêts]))*BN49</f>
        <v>0</v>
      </c>
      <c r="N49" s="276">
        <f>(SUMIF(Fonctionnement[Affectation matrice],$AB$3,Fonctionnement[Montant (€HT)])+SUMIF(Invest[Affectation matrice],$AB$3,Invest[Amortissement HT + intérêts]))*BO49</f>
        <v>0</v>
      </c>
      <c r="O49" s="276">
        <f>(SUMIF(Fonctionnement[Affectation matrice],$AB$3,Fonctionnement[Montant (€HT)])+SUMIF(Invest[Affectation matrice],$AB$3,Invest[Amortissement HT + intérêts]))*BP49</f>
        <v>0</v>
      </c>
      <c r="P49" s="276">
        <f>(SUMIF(Fonctionnement[Affectation matrice],$AB$3,Fonctionnement[Montant (€HT)])+SUMIF(Invest[Affectation matrice],$AB$3,Invest[Amortissement HT + intérêts]))*BQ49</f>
        <v>0</v>
      </c>
      <c r="Q49" s="276">
        <f>(SUMIF(Fonctionnement[Affectation matrice],$AB$3,Fonctionnement[Montant (€HT)])+SUMIF(Invest[Affectation matrice],$AB$3,Invest[Amortissement HT + intérêts]))*BR49</f>
        <v>0</v>
      </c>
      <c r="R49" s="276">
        <f>(SUMIF(Fonctionnement[Affectation matrice],$AB$3,Fonctionnement[Montant (€HT)])+SUMIF(Invest[Affectation matrice],$AB$3,Invest[Amortissement HT + intérêts]))*BS49</f>
        <v>0</v>
      </c>
      <c r="S49" s="276">
        <f>(SUMIF(Fonctionnement[Affectation matrice],$AB$3,Fonctionnement[Montant (€HT)])+SUMIF(Invest[Affectation matrice],$AB$3,Invest[Amortissement HT + intérêts]))*BT49</f>
        <v>0</v>
      </c>
      <c r="T49" s="276">
        <f>(SUMIF(Fonctionnement[Affectation matrice],$AB$3,Fonctionnement[Montant (€HT)])+SUMIF(Invest[Affectation matrice],$AB$3,Invest[Amortissement HT + intérêts]))*BU49</f>
        <v>0</v>
      </c>
      <c r="U49" s="276">
        <f>(SUMIF(Fonctionnement[Affectation matrice],$AB$3,Fonctionnement[Montant (€HT)])+SUMIF(Invest[Affectation matrice],$AB$3,Invest[Amortissement HT + intérêts]))*BV49</f>
        <v>0</v>
      </c>
      <c r="V49" s="276">
        <f>(SUMIF(Fonctionnement[Affectation matrice],$AB$3,Fonctionnement[Montant (€HT)])+SUMIF(Invest[Affectation matrice],$AB$3,Invest[Amortissement HT + intérêts]))*BW49</f>
        <v>0</v>
      </c>
      <c r="W49" s="276">
        <f>(SUMIF(Fonctionnement[Affectation matrice],$AB$3,Fonctionnement[Montant (€HT)])+SUMIF(Invest[Affectation matrice],$AB$3,Invest[Amortissement HT + intérêts]))*BX49</f>
        <v>0</v>
      </c>
      <c r="X49" s="276">
        <f>(SUMIF(Fonctionnement[Affectation matrice],$AB$3,Fonctionnement[Montant (€HT)])+SUMIF(Invest[Affectation matrice],$AB$3,Invest[Amortissement HT + intérêts]))*BY49</f>
        <v>0</v>
      </c>
      <c r="Y49" s="276">
        <f>(SUMIF(Fonctionnement[Affectation matrice],$AB$3,Fonctionnement[Montant (€HT)])+SUMIF(Invest[Affectation matrice],$AB$3,Invest[Amortissement HT + intérêts]))*BZ49</f>
        <v>0</v>
      </c>
      <c r="Z49" s="276">
        <f>(SUMIF(Fonctionnement[Affectation matrice],$AB$3,Fonctionnement[Montant (€HT)])+SUMIF(Invest[Affectation matrice],$AB$3,Invest[Amortissement HT + intérêts]))*CA49</f>
        <v>0</v>
      </c>
      <c r="AA49" s="199"/>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283">
        <f t="shared" si="4"/>
        <v>0</v>
      </c>
      <c r="BC49" s="61">
        <f t="shared" si="12"/>
        <v>0</v>
      </c>
      <c r="BD49" s="61">
        <f t="shared" si="12"/>
        <v>0</v>
      </c>
      <c r="BE49" s="61">
        <f t="shared" si="12"/>
        <v>0</v>
      </c>
      <c r="BF49" s="61">
        <f t="shared" si="12"/>
        <v>0</v>
      </c>
      <c r="BG49" s="61">
        <f t="shared" si="12"/>
        <v>0</v>
      </c>
      <c r="BH49" s="61">
        <f t="shared" si="12"/>
        <v>0</v>
      </c>
      <c r="BI49" s="61">
        <f t="shared" si="12"/>
        <v>0</v>
      </c>
      <c r="BJ49" s="61">
        <f t="shared" si="12"/>
        <v>0</v>
      </c>
      <c r="BK49" s="61">
        <f t="shared" si="12"/>
        <v>0</v>
      </c>
      <c r="BL49" s="61">
        <f t="shared" si="12"/>
        <v>0</v>
      </c>
      <c r="BM49" s="61">
        <f t="shared" si="12"/>
        <v>0</v>
      </c>
      <c r="BN49" s="61">
        <f t="shared" si="12"/>
        <v>0</v>
      </c>
      <c r="BO49" s="61">
        <f t="shared" si="12"/>
        <v>0</v>
      </c>
      <c r="BP49" s="61">
        <f t="shared" si="12"/>
        <v>0</v>
      </c>
      <c r="BQ49" s="61">
        <f t="shared" si="12"/>
        <v>0</v>
      </c>
      <c r="BR49" s="61">
        <f t="shared" si="12"/>
        <v>0</v>
      </c>
      <c r="BS49" s="61">
        <f t="shared" si="13"/>
        <v>0</v>
      </c>
      <c r="BT49" s="61">
        <f t="shared" si="13"/>
        <v>0</v>
      </c>
      <c r="BU49" s="61">
        <f t="shared" si="13"/>
        <v>0</v>
      </c>
      <c r="BV49" s="61">
        <f t="shared" si="13"/>
        <v>0</v>
      </c>
      <c r="BW49" s="61">
        <f t="shared" si="13"/>
        <v>0</v>
      </c>
      <c r="BX49" s="61">
        <f t="shared" si="13"/>
        <v>0</v>
      </c>
      <c r="BY49" s="61">
        <f t="shared" si="13"/>
        <v>0</v>
      </c>
      <c r="BZ49" s="61">
        <f t="shared" si="13"/>
        <v>0</v>
      </c>
      <c r="CA49" s="61">
        <f t="shared" si="13"/>
        <v>0</v>
      </c>
      <c r="CB49" s="61">
        <f t="shared" si="5"/>
        <v>0</v>
      </c>
      <c r="CD49" s="200">
        <f>(SUMIF(Fonctionnement[Affectation matrice],$AB$3,Fonctionnement[TVA acquittée])+SUMIF(Invest[Affectation matrice],$AB$3,Invest[TVA acquittée]))*BC49</f>
        <v>0</v>
      </c>
      <c r="CE49" s="200">
        <f>(SUMIF(Fonctionnement[Affectation matrice],$AB$3,Fonctionnement[TVA acquittée])+SUMIF(Invest[Affectation matrice],$AB$3,Invest[TVA acquittée]))*BD49</f>
        <v>0</v>
      </c>
      <c r="CF49" s="200">
        <f>(SUMIF(Fonctionnement[Affectation matrice],$AB$3,Fonctionnement[TVA acquittée])+SUMIF(Invest[Affectation matrice],$AB$3,Invest[TVA acquittée]))*BE49</f>
        <v>0</v>
      </c>
      <c r="CG49" s="200">
        <f>(SUMIF(Fonctionnement[Affectation matrice],$AB$3,Fonctionnement[TVA acquittée])+SUMIF(Invest[Affectation matrice],$AB$3,Invest[TVA acquittée]))*BF49</f>
        <v>0</v>
      </c>
      <c r="CH49" s="200">
        <f>(SUMIF(Fonctionnement[Affectation matrice],$AB$3,Fonctionnement[TVA acquittée])+SUMIF(Invest[Affectation matrice],$AB$3,Invest[TVA acquittée]))*BG49</f>
        <v>0</v>
      </c>
      <c r="CI49" s="200">
        <f>(SUMIF(Fonctionnement[Affectation matrice],$AB$3,Fonctionnement[TVA acquittée])+SUMIF(Invest[Affectation matrice],$AB$3,Invest[TVA acquittée]))*BH49</f>
        <v>0</v>
      </c>
      <c r="CJ49" s="200">
        <f>(SUMIF(Fonctionnement[Affectation matrice],$AB$3,Fonctionnement[TVA acquittée])+SUMIF(Invest[Affectation matrice],$AB$3,Invest[TVA acquittée]))*BI49</f>
        <v>0</v>
      </c>
      <c r="CK49" s="200">
        <f>(SUMIF(Fonctionnement[Affectation matrice],$AB$3,Fonctionnement[TVA acquittée])+SUMIF(Invest[Affectation matrice],$AB$3,Invest[TVA acquittée]))*BJ49</f>
        <v>0</v>
      </c>
      <c r="CL49" s="200">
        <f>(SUMIF(Fonctionnement[Affectation matrice],$AB$3,Fonctionnement[TVA acquittée])+SUMIF(Invest[Affectation matrice],$AB$3,Invest[TVA acquittée]))*BK49</f>
        <v>0</v>
      </c>
      <c r="CM49" s="200">
        <f>(SUMIF(Fonctionnement[Affectation matrice],$AB$3,Fonctionnement[TVA acquittée])+SUMIF(Invest[Affectation matrice],$AB$3,Invest[TVA acquittée]))*BL49</f>
        <v>0</v>
      </c>
      <c r="CN49" s="200">
        <f>(SUMIF(Fonctionnement[Affectation matrice],$AB$3,Fonctionnement[TVA acquittée])+SUMIF(Invest[Affectation matrice],$AB$3,Invest[TVA acquittée]))*BM49</f>
        <v>0</v>
      </c>
      <c r="CO49" s="200">
        <f>(SUMIF(Fonctionnement[Affectation matrice],$AB$3,Fonctionnement[TVA acquittée])+SUMIF(Invest[Affectation matrice],$AB$3,Invest[TVA acquittée]))*BN49</f>
        <v>0</v>
      </c>
      <c r="CP49" s="200">
        <f>(SUMIF(Fonctionnement[Affectation matrice],$AB$3,Fonctionnement[TVA acquittée])+SUMIF(Invest[Affectation matrice],$AB$3,Invest[TVA acquittée]))*BO49</f>
        <v>0</v>
      </c>
      <c r="CQ49" s="200">
        <f>(SUMIF(Fonctionnement[Affectation matrice],$AB$3,Fonctionnement[TVA acquittée])+SUMIF(Invest[Affectation matrice],$AB$3,Invest[TVA acquittée]))*BP49</f>
        <v>0</v>
      </c>
      <c r="CR49" s="200">
        <f>(SUMIF(Fonctionnement[Affectation matrice],$AB$3,Fonctionnement[TVA acquittée])+SUMIF(Invest[Affectation matrice],$AB$3,Invest[TVA acquittée]))*BQ49</f>
        <v>0</v>
      </c>
      <c r="CS49" s="200">
        <f>(SUMIF(Fonctionnement[Affectation matrice],$AB$3,Fonctionnement[TVA acquittée])+SUMIF(Invest[Affectation matrice],$AB$3,Invest[TVA acquittée]))*BR49</f>
        <v>0</v>
      </c>
      <c r="CT49" s="200">
        <f>(SUMIF(Fonctionnement[Affectation matrice],$AB$3,Fonctionnement[TVA acquittée])+SUMIF(Invest[Affectation matrice],$AB$3,Invest[TVA acquittée]))*BS49</f>
        <v>0</v>
      </c>
      <c r="CU49" s="200">
        <f>(SUMIF(Fonctionnement[Affectation matrice],$AB$3,Fonctionnement[TVA acquittée])+SUMIF(Invest[Affectation matrice],$AB$3,Invest[TVA acquittée]))*BT49</f>
        <v>0</v>
      </c>
      <c r="CV49" s="200">
        <f>(SUMIF(Fonctionnement[Affectation matrice],$AB$3,Fonctionnement[TVA acquittée])+SUMIF(Invest[Affectation matrice],$AB$3,Invest[TVA acquittée]))*BU49</f>
        <v>0</v>
      </c>
      <c r="CW49" s="200">
        <f>(SUMIF(Fonctionnement[Affectation matrice],$AB$3,Fonctionnement[TVA acquittée])+SUMIF(Invest[Affectation matrice],$AB$3,Invest[TVA acquittée]))*BV49</f>
        <v>0</v>
      </c>
      <c r="CX49" s="200">
        <f>(SUMIF(Fonctionnement[Affectation matrice],$AB$3,Fonctionnement[TVA acquittée])+SUMIF(Invest[Affectation matrice],$AB$3,Invest[TVA acquittée]))*BW49</f>
        <v>0</v>
      </c>
      <c r="CY49" s="200">
        <f>(SUMIF(Fonctionnement[Affectation matrice],$AB$3,Fonctionnement[TVA acquittée])+SUMIF(Invest[Affectation matrice],$AB$3,Invest[TVA acquittée]))*BX49</f>
        <v>0</v>
      </c>
      <c r="CZ49" s="200">
        <f>(SUMIF(Fonctionnement[Affectation matrice],$AB$3,Fonctionnement[TVA acquittée])+SUMIF(Invest[Affectation matrice],$AB$3,Invest[TVA acquittée]))*BY49</f>
        <v>0</v>
      </c>
      <c r="DA49" s="200">
        <f>(SUMIF(Fonctionnement[Affectation matrice],$AB$3,Fonctionnement[TVA acquittée])+SUMIF(Invest[Affectation matrice],$AB$3,Invest[TVA acquittée]))*BZ49</f>
        <v>0</v>
      </c>
      <c r="DB49" s="200">
        <f>(SUMIF(Fonctionnement[Affectation matrice],$AB$3,Fonctionnement[TVA acquittée])+SUMIF(Invest[Affectation matrice],$AB$3,Invest[TVA acquittée]))*CA49</f>
        <v>0</v>
      </c>
    </row>
    <row r="50" spans="1:107" ht="12.75" hidden="1" customHeight="1" x14ac:dyDescent="0.25">
      <c r="A50" s="42">
        <f>Matrice[[#This Row],[Ligne de la matrice]]</f>
        <v>0</v>
      </c>
      <c r="B50" s="276">
        <f>(SUMIF(Fonctionnement[Affectation matrice],$AB$3,Fonctionnement[Montant (€HT)])+SUMIF(Invest[Affectation matrice],$AB$3,Invest[Amortissement HT + intérêts]))*BC50</f>
        <v>0</v>
      </c>
      <c r="C50" s="276">
        <f>(SUMIF(Fonctionnement[Affectation matrice],$AB$3,Fonctionnement[Montant (€HT)])+SUMIF(Invest[Affectation matrice],$AB$3,Invest[Amortissement HT + intérêts]))*BD50</f>
        <v>0</v>
      </c>
      <c r="D50" s="276">
        <f>(SUMIF(Fonctionnement[Affectation matrice],$AB$3,Fonctionnement[Montant (€HT)])+SUMIF(Invest[Affectation matrice],$AB$3,Invest[Amortissement HT + intérêts]))*BE50</f>
        <v>0</v>
      </c>
      <c r="E50" s="276">
        <f>(SUMIF(Fonctionnement[Affectation matrice],$AB$3,Fonctionnement[Montant (€HT)])+SUMIF(Invest[Affectation matrice],$AB$3,Invest[Amortissement HT + intérêts]))*BF50</f>
        <v>0</v>
      </c>
      <c r="F50" s="276">
        <f>(SUMIF(Fonctionnement[Affectation matrice],$AB$3,Fonctionnement[Montant (€HT)])+SUMIF(Invest[Affectation matrice],$AB$3,Invest[Amortissement HT + intérêts]))*BG50</f>
        <v>0</v>
      </c>
      <c r="G50" s="276">
        <f>(SUMIF(Fonctionnement[Affectation matrice],$AB$3,Fonctionnement[Montant (€HT)])+SUMIF(Invest[Affectation matrice],$AB$3,Invest[Amortissement HT + intérêts]))*BH50</f>
        <v>0</v>
      </c>
      <c r="H50" s="276">
        <f>(SUMIF(Fonctionnement[Affectation matrice],$AB$3,Fonctionnement[Montant (€HT)])+SUMIF(Invest[Affectation matrice],$AB$3,Invest[Amortissement HT + intérêts]))*BI50</f>
        <v>0</v>
      </c>
      <c r="I50" s="276">
        <f>(SUMIF(Fonctionnement[Affectation matrice],$AB$3,Fonctionnement[Montant (€HT)])+SUMIF(Invest[Affectation matrice],$AB$3,Invest[Amortissement HT + intérêts]))*BJ50</f>
        <v>0</v>
      </c>
      <c r="J50" s="276">
        <f>(SUMIF(Fonctionnement[Affectation matrice],$AB$3,Fonctionnement[Montant (€HT)])+SUMIF(Invest[Affectation matrice],$AB$3,Invest[Amortissement HT + intérêts]))*BK50</f>
        <v>0</v>
      </c>
      <c r="K50" s="276">
        <f>(SUMIF(Fonctionnement[Affectation matrice],$AB$3,Fonctionnement[Montant (€HT)])+SUMIF(Invest[Affectation matrice],$AB$3,Invest[Amortissement HT + intérêts]))*BL50</f>
        <v>0</v>
      </c>
      <c r="L50" s="276">
        <f>(SUMIF(Fonctionnement[Affectation matrice],$AB$3,Fonctionnement[Montant (€HT)])+SUMIF(Invest[Affectation matrice],$AB$3,Invest[Amortissement HT + intérêts]))*BM50</f>
        <v>0</v>
      </c>
      <c r="M50" s="276">
        <f>(SUMIF(Fonctionnement[Affectation matrice],$AB$3,Fonctionnement[Montant (€HT)])+SUMIF(Invest[Affectation matrice],$AB$3,Invest[Amortissement HT + intérêts]))*BN50</f>
        <v>0</v>
      </c>
      <c r="N50" s="276">
        <f>(SUMIF(Fonctionnement[Affectation matrice],$AB$3,Fonctionnement[Montant (€HT)])+SUMIF(Invest[Affectation matrice],$AB$3,Invest[Amortissement HT + intérêts]))*BO50</f>
        <v>0</v>
      </c>
      <c r="O50" s="276">
        <f>(SUMIF(Fonctionnement[Affectation matrice],$AB$3,Fonctionnement[Montant (€HT)])+SUMIF(Invest[Affectation matrice],$AB$3,Invest[Amortissement HT + intérêts]))*BP50</f>
        <v>0</v>
      </c>
      <c r="P50" s="276">
        <f>(SUMIF(Fonctionnement[Affectation matrice],$AB$3,Fonctionnement[Montant (€HT)])+SUMIF(Invest[Affectation matrice],$AB$3,Invest[Amortissement HT + intérêts]))*BQ50</f>
        <v>0</v>
      </c>
      <c r="Q50" s="276">
        <f>(SUMIF(Fonctionnement[Affectation matrice],$AB$3,Fonctionnement[Montant (€HT)])+SUMIF(Invest[Affectation matrice],$AB$3,Invest[Amortissement HT + intérêts]))*BR50</f>
        <v>0</v>
      </c>
      <c r="R50" s="276">
        <f>(SUMIF(Fonctionnement[Affectation matrice],$AB$3,Fonctionnement[Montant (€HT)])+SUMIF(Invest[Affectation matrice],$AB$3,Invest[Amortissement HT + intérêts]))*BS50</f>
        <v>0</v>
      </c>
      <c r="S50" s="276">
        <f>(SUMIF(Fonctionnement[Affectation matrice],$AB$3,Fonctionnement[Montant (€HT)])+SUMIF(Invest[Affectation matrice],$AB$3,Invest[Amortissement HT + intérêts]))*BT50</f>
        <v>0</v>
      </c>
      <c r="T50" s="276">
        <f>(SUMIF(Fonctionnement[Affectation matrice],$AB$3,Fonctionnement[Montant (€HT)])+SUMIF(Invest[Affectation matrice],$AB$3,Invest[Amortissement HT + intérêts]))*BU50</f>
        <v>0</v>
      </c>
      <c r="U50" s="276">
        <f>(SUMIF(Fonctionnement[Affectation matrice],$AB$3,Fonctionnement[Montant (€HT)])+SUMIF(Invest[Affectation matrice],$AB$3,Invest[Amortissement HT + intérêts]))*BV50</f>
        <v>0</v>
      </c>
      <c r="V50" s="276">
        <f>(SUMIF(Fonctionnement[Affectation matrice],$AB$3,Fonctionnement[Montant (€HT)])+SUMIF(Invest[Affectation matrice],$AB$3,Invest[Amortissement HT + intérêts]))*BW50</f>
        <v>0</v>
      </c>
      <c r="W50" s="276">
        <f>(SUMIF(Fonctionnement[Affectation matrice],$AB$3,Fonctionnement[Montant (€HT)])+SUMIF(Invest[Affectation matrice],$AB$3,Invest[Amortissement HT + intérêts]))*BX50</f>
        <v>0</v>
      </c>
      <c r="X50" s="276">
        <f>(SUMIF(Fonctionnement[Affectation matrice],$AB$3,Fonctionnement[Montant (€HT)])+SUMIF(Invest[Affectation matrice],$AB$3,Invest[Amortissement HT + intérêts]))*BY50</f>
        <v>0</v>
      </c>
      <c r="Y50" s="276">
        <f>(SUMIF(Fonctionnement[Affectation matrice],$AB$3,Fonctionnement[Montant (€HT)])+SUMIF(Invest[Affectation matrice],$AB$3,Invest[Amortissement HT + intérêts]))*BZ50</f>
        <v>0</v>
      </c>
      <c r="Z50" s="276">
        <f>(SUMIF(Fonctionnement[Affectation matrice],$AB$3,Fonctionnement[Montant (€HT)])+SUMIF(Invest[Affectation matrice],$AB$3,Invest[Amortissement HT + intérêts]))*CA50</f>
        <v>0</v>
      </c>
      <c r="AA50" s="199"/>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283">
        <f t="shared" si="4"/>
        <v>0</v>
      </c>
      <c r="BC50" s="61">
        <f t="shared" si="12"/>
        <v>0</v>
      </c>
      <c r="BD50" s="61">
        <f t="shared" si="12"/>
        <v>0</v>
      </c>
      <c r="BE50" s="61">
        <f t="shared" si="12"/>
        <v>0</v>
      </c>
      <c r="BF50" s="61">
        <f t="shared" si="12"/>
        <v>0</v>
      </c>
      <c r="BG50" s="61">
        <f t="shared" si="12"/>
        <v>0</v>
      </c>
      <c r="BH50" s="61">
        <f t="shared" si="12"/>
        <v>0</v>
      </c>
      <c r="BI50" s="61">
        <f t="shared" si="12"/>
        <v>0</v>
      </c>
      <c r="BJ50" s="61">
        <f t="shared" si="12"/>
        <v>0</v>
      </c>
      <c r="BK50" s="61">
        <f t="shared" si="12"/>
        <v>0</v>
      </c>
      <c r="BL50" s="61">
        <f t="shared" si="12"/>
        <v>0</v>
      </c>
      <c r="BM50" s="61">
        <f t="shared" si="12"/>
        <v>0</v>
      </c>
      <c r="BN50" s="61">
        <f t="shared" si="12"/>
        <v>0</v>
      </c>
      <c r="BO50" s="61">
        <f t="shared" si="12"/>
        <v>0</v>
      </c>
      <c r="BP50" s="61">
        <f t="shared" si="12"/>
        <v>0</v>
      </c>
      <c r="BQ50" s="61">
        <f t="shared" si="12"/>
        <v>0</v>
      </c>
      <c r="BR50" s="61">
        <f t="shared" si="12"/>
        <v>0</v>
      </c>
      <c r="BS50" s="61">
        <f t="shared" si="13"/>
        <v>0</v>
      </c>
      <c r="BT50" s="61">
        <f t="shared" si="13"/>
        <v>0</v>
      </c>
      <c r="BU50" s="61">
        <f t="shared" si="13"/>
        <v>0</v>
      </c>
      <c r="BV50" s="61">
        <f t="shared" si="13"/>
        <v>0</v>
      </c>
      <c r="BW50" s="61">
        <f t="shared" si="13"/>
        <v>0</v>
      </c>
      <c r="BX50" s="61">
        <f t="shared" si="13"/>
        <v>0</v>
      </c>
      <c r="BY50" s="61">
        <f t="shared" si="13"/>
        <v>0</v>
      </c>
      <c r="BZ50" s="61">
        <f t="shared" si="13"/>
        <v>0</v>
      </c>
      <c r="CA50" s="61">
        <f t="shared" si="13"/>
        <v>0</v>
      </c>
      <c r="CB50" s="61">
        <f t="shared" si="5"/>
        <v>0</v>
      </c>
      <c r="CD50" s="200">
        <f>(SUMIF(Fonctionnement[Affectation matrice],$AB$3,Fonctionnement[TVA acquittée])+SUMIF(Invest[Affectation matrice],$AB$3,Invest[TVA acquittée]))*BC50</f>
        <v>0</v>
      </c>
      <c r="CE50" s="200">
        <f>(SUMIF(Fonctionnement[Affectation matrice],$AB$3,Fonctionnement[TVA acquittée])+SUMIF(Invest[Affectation matrice],$AB$3,Invest[TVA acquittée]))*BD50</f>
        <v>0</v>
      </c>
      <c r="CF50" s="200">
        <f>(SUMIF(Fonctionnement[Affectation matrice],$AB$3,Fonctionnement[TVA acquittée])+SUMIF(Invest[Affectation matrice],$AB$3,Invest[TVA acquittée]))*BE50</f>
        <v>0</v>
      </c>
      <c r="CG50" s="200">
        <f>(SUMIF(Fonctionnement[Affectation matrice],$AB$3,Fonctionnement[TVA acquittée])+SUMIF(Invest[Affectation matrice],$AB$3,Invest[TVA acquittée]))*BF50</f>
        <v>0</v>
      </c>
      <c r="CH50" s="200">
        <f>(SUMIF(Fonctionnement[Affectation matrice],$AB$3,Fonctionnement[TVA acquittée])+SUMIF(Invest[Affectation matrice],$AB$3,Invest[TVA acquittée]))*BG50</f>
        <v>0</v>
      </c>
      <c r="CI50" s="200">
        <f>(SUMIF(Fonctionnement[Affectation matrice],$AB$3,Fonctionnement[TVA acquittée])+SUMIF(Invest[Affectation matrice],$AB$3,Invest[TVA acquittée]))*BH50</f>
        <v>0</v>
      </c>
      <c r="CJ50" s="200">
        <f>(SUMIF(Fonctionnement[Affectation matrice],$AB$3,Fonctionnement[TVA acquittée])+SUMIF(Invest[Affectation matrice],$AB$3,Invest[TVA acquittée]))*BI50</f>
        <v>0</v>
      </c>
      <c r="CK50" s="200">
        <f>(SUMIF(Fonctionnement[Affectation matrice],$AB$3,Fonctionnement[TVA acquittée])+SUMIF(Invest[Affectation matrice],$AB$3,Invest[TVA acquittée]))*BJ50</f>
        <v>0</v>
      </c>
      <c r="CL50" s="200">
        <f>(SUMIF(Fonctionnement[Affectation matrice],$AB$3,Fonctionnement[TVA acquittée])+SUMIF(Invest[Affectation matrice],$AB$3,Invest[TVA acquittée]))*BK50</f>
        <v>0</v>
      </c>
      <c r="CM50" s="200">
        <f>(SUMIF(Fonctionnement[Affectation matrice],$AB$3,Fonctionnement[TVA acquittée])+SUMIF(Invest[Affectation matrice],$AB$3,Invest[TVA acquittée]))*BL50</f>
        <v>0</v>
      </c>
      <c r="CN50" s="200">
        <f>(SUMIF(Fonctionnement[Affectation matrice],$AB$3,Fonctionnement[TVA acquittée])+SUMIF(Invest[Affectation matrice],$AB$3,Invest[TVA acquittée]))*BM50</f>
        <v>0</v>
      </c>
      <c r="CO50" s="200">
        <f>(SUMIF(Fonctionnement[Affectation matrice],$AB$3,Fonctionnement[TVA acquittée])+SUMIF(Invest[Affectation matrice],$AB$3,Invest[TVA acquittée]))*BN50</f>
        <v>0</v>
      </c>
      <c r="CP50" s="200">
        <f>(SUMIF(Fonctionnement[Affectation matrice],$AB$3,Fonctionnement[TVA acquittée])+SUMIF(Invest[Affectation matrice],$AB$3,Invest[TVA acquittée]))*BO50</f>
        <v>0</v>
      </c>
      <c r="CQ50" s="200">
        <f>(SUMIF(Fonctionnement[Affectation matrice],$AB$3,Fonctionnement[TVA acquittée])+SUMIF(Invest[Affectation matrice],$AB$3,Invest[TVA acquittée]))*BP50</f>
        <v>0</v>
      </c>
      <c r="CR50" s="200">
        <f>(SUMIF(Fonctionnement[Affectation matrice],$AB$3,Fonctionnement[TVA acquittée])+SUMIF(Invest[Affectation matrice],$AB$3,Invest[TVA acquittée]))*BQ50</f>
        <v>0</v>
      </c>
      <c r="CS50" s="200">
        <f>(SUMIF(Fonctionnement[Affectation matrice],$AB$3,Fonctionnement[TVA acquittée])+SUMIF(Invest[Affectation matrice],$AB$3,Invest[TVA acquittée]))*BR50</f>
        <v>0</v>
      </c>
      <c r="CT50" s="200">
        <f>(SUMIF(Fonctionnement[Affectation matrice],$AB$3,Fonctionnement[TVA acquittée])+SUMIF(Invest[Affectation matrice],$AB$3,Invest[TVA acquittée]))*BS50</f>
        <v>0</v>
      </c>
      <c r="CU50" s="200">
        <f>(SUMIF(Fonctionnement[Affectation matrice],$AB$3,Fonctionnement[TVA acquittée])+SUMIF(Invest[Affectation matrice],$AB$3,Invest[TVA acquittée]))*BT50</f>
        <v>0</v>
      </c>
      <c r="CV50" s="200">
        <f>(SUMIF(Fonctionnement[Affectation matrice],$AB$3,Fonctionnement[TVA acquittée])+SUMIF(Invest[Affectation matrice],$AB$3,Invest[TVA acquittée]))*BU50</f>
        <v>0</v>
      </c>
      <c r="CW50" s="200">
        <f>(SUMIF(Fonctionnement[Affectation matrice],$AB$3,Fonctionnement[TVA acquittée])+SUMIF(Invest[Affectation matrice],$AB$3,Invest[TVA acquittée]))*BV50</f>
        <v>0</v>
      </c>
      <c r="CX50" s="200">
        <f>(SUMIF(Fonctionnement[Affectation matrice],$AB$3,Fonctionnement[TVA acquittée])+SUMIF(Invest[Affectation matrice],$AB$3,Invest[TVA acquittée]))*BW50</f>
        <v>0</v>
      </c>
      <c r="CY50" s="200">
        <f>(SUMIF(Fonctionnement[Affectation matrice],$AB$3,Fonctionnement[TVA acquittée])+SUMIF(Invest[Affectation matrice],$AB$3,Invest[TVA acquittée]))*BX50</f>
        <v>0</v>
      </c>
      <c r="CZ50" s="200">
        <f>(SUMIF(Fonctionnement[Affectation matrice],$AB$3,Fonctionnement[TVA acquittée])+SUMIF(Invest[Affectation matrice],$AB$3,Invest[TVA acquittée]))*BY50</f>
        <v>0</v>
      </c>
      <c r="DA50" s="200">
        <f>(SUMIF(Fonctionnement[Affectation matrice],$AB$3,Fonctionnement[TVA acquittée])+SUMIF(Invest[Affectation matrice],$AB$3,Invest[TVA acquittée]))*BZ50</f>
        <v>0</v>
      </c>
      <c r="DB50" s="200">
        <f>(SUMIF(Fonctionnement[Affectation matrice],$AB$3,Fonctionnement[TVA acquittée])+SUMIF(Invest[Affectation matrice],$AB$3,Invest[TVA acquittée]))*CA50</f>
        <v>0</v>
      </c>
    </row>
    <row r="51" spans="1:107" ht="12.75" hidden="1" customHeight="1" x14ac:dyDescent="0.25">
      <c r="A51" s="42">
        <f>Matrice[[#This Row],[Ligne de la matrice]]</f>
        <v>0</v>
      </c>
      <c r="B51" s="276">
        <f>(SUMIF(Fonctionnement[Affectation matrice],$AB$3,Fonctionnement[Montant (€HT)])+SUMIF(Invest[Affectation matrice],$AB$3,Invest[Amortissement HT + intérêts]))*BC51</f>
        <v>0</v>
      </c>
      <c r="C51" s="276">
        <f>(SUMIF(Fonctionnement[Affectation matrice],$AB$3,Fonctionnement[Montant (€HT)])+SUMIF(Invest[Affectation matrice],$AB$3,Invest[Amortissement HT + intérêts]))*BD51</f>
        <v>0</v>
      </c>
      <c r="D51" s="276">
        <f>(SUMIF(Fonctionnement[Affectation matrice],$AB$3,Fonctionnement[Montant (€HT)])+SUMIF(Invest[Affectation matrice],$AB$3,Invest[Amortissement HT + intérêts]))*BE51</f>
        <v>0</v>
      </c>
      <c r="E51" s="276">
        <f>(SUMIF(Fonctionnement[Affectation matrice],$AB$3,Fonctionnement[Montant (€HT)])+SUMIF(Invest[Affectation matrice],$AB$3,Invest[Amortissement HT + intérêts]))*BF51</f>
        <v>0</v>
      </c>
      <c r="F51" s="276">
        <f>(SUMIF(Fonctionnement[Affectation matrice],$AB$3,Fonctionnement[Montant (€HT)])+SUMIF(Invest[Affectation matrice],$AB$3,Invest[Amortissement HT + intérêts]))*BG51</f>
        <v>0</v>
      </c>
      <c r="G51" s="276">
        <f>(SUMIF(Fonctionnement[Affectation matrice],$AB$3,Fonctionnement[Montant (€HT)])+SUMIF(Invest[Affectation matrice],$AB$3,Invest[Amortissement HT + intérêts]))*BH51</f>
        <v>0</v>
      </c>
      <c r="H51" s="276">
        <f>(SUMIF(Fonctionnement[Affectation matrice],$AB$3,Fonctionnement[Montant (€HT)])+SUMIF(Invest[Affectation matrice],$AB$3,Invest[Amortissement HT + intérêts]))*BI51</f>
        <v>0</v>
      </c>
      <c r="I51" s="276">
        <f>(SUMIF(Fonctionnement[Affectation matrice],$AB$3,Fonctionnement[Montant (€HT)])+SUMIF(Invest[Affectation matrice],$AB$3,Invest[Amortissement HT + intérêts]))*BJ51</f>
        <v>0</v>
      </c>
      <c r="J51" s="276">
        <f>(SUMIF(Fonctionnement[Affectation matrice],$AB$3,Fonctionnement[Montant (€HT)])+SUMIF(Invest[Affectation matrice],$AB$3,Invest[Amortissement HT + intérêts]))*BK51</f>
        <v>0</v>
      </c>
      <c r="K51" s="276">
        <f>(SUMIF(Fonctionnement[Affectation matrice],$AB$3,Fonctionnement[Montant (€HT)])+SUMIF(Invest[Affectation matrice],$AB$3,Invest[Amortissement HT + intérêts]))*BL51</f>
        <v>0</v>
      </c>
      <c r="L51" s="276">
        <f>(SUMIF(Fonctionnement[Affectation matrice],$AB$3,Fonctionnement[Montant (€HT)])+SUMIF(Invest[Affectation matrice],$AB$3,Invest[Amortissement HT + intérêts]))*BM51</f>
        <v>0</v>
      </c>
      <c r="M51" s="276">
        <f>(SUMIF(Fonctionnement[Affectation matrice],$AB$3,Fonctionnement[Montant (€HT)])+SUMIF(Invest[Affectation matrice],$AB$3,Invest[Amortissement HT + intérêts]))*BN51</f>
        <v>0</v>
      </c>
      <c r="N51" s="276">
        <f>(SUMIF(Fonctionnement[Affectation matrice],$AB$3,Fonctionnement[Montant (€HT)])+SUMIF(Invest[Affectation matrice],$AB$3,Invest[Amortissement HT + intérêts]))*BO51</f>
        <v>0</v>
      </c>
      <c r="O51" s="276">
        <f>(SUMIF(Fonctionnement[Affectation matrice],$AB$3,Fonctionnement[Montant (€HT)])+SUMIF(Invest[Affectation matrice],$AB$3,Invest[Amortissement HT + intérêts]))*BP51</f>
        <v>0</v>
      </c>
      <c r="P51" s="276">
        <f>(SUMIF(Fonctionnement[Affectation matrice],$AB$3,Fonctionnement[Montant (€HT)])+SUMIF(Invest[Affectation matrice],$AB$3,Invest[Amortissement HT + intérêts]))*BQ51</f>
        <v>0</v>
      </c>
      <c r="Q51" s="276">
        <f>(SUMIF(Fonctionnement[Affectation matrice],$AB$3,Fonctionnement[Montant (€HT)])+SUMIF(Invest[Affectation matrice],$AB$3,Invest[Amortissement HT + intérêts]))*BR51</f>
        <v>0</v>
      </c>
      <c r="R51" s="276">
        <f>(SUMIF(Fonctionnement[Affectation matrice],$AB$3,Fonctionnement[Montant (€HT)])+SUMIF(Invest[Affectation matrice],$AB$3,Invest[Amortissement HT + intérêts]))*BS51</f>
        <v>0</v>
      </c>
      <c r="S51" s="276">
        <f>(SUMIF(Fonctionnement[Affectation matrice],$AB$3,Fonctionnement[Montant (€HT)])+SUMIF(Invest[Affectation matrice],$AB$3,Invest[Amortissement HT + intérêts]))*BT51</f>
        <v>0</v>
      </c>
      <c r="T51" s="276">
        <f>(SUMIF(Fonctionnement[Affectation matrice],$AB$3,Fonctionnement[Montant (€HT)])+SUMIF(Invest[Affectation matrice],$AB$3,Invest[Amortissement HT + intérêts]))*BU51</f>
        <v>0</v>
      </c>
      <c r="U51" s="276">
        <f>(SUMIF(Fonctionnement[Affectation matrice],$AB$3,Fonctionnement[Montant (€HT)])+SUMIF(Invest[Affectation matrice],$AB$3,Invest[Amortissement HT + intérêts]))*BV51</f>
        <v>0</v>
      </c>
      <c r="V51" s="276">
        <f>(SUMIF(Fonctionnement[Affectation matrice],$AB$3,Fonctionnement[Montant (€HT)])+SUMIF(Invest[Affectation matrice],$AB$3,Invest[Amortissement HT + intérêts]))*BW51</f>
        <v>0</v>
      </c>
      <c r="W51" s="276">
        <f>(SUMIF(Fonctionnement[Affectation matrice],$AB$3,Fonctionnement[Montant (€HT)])+SUMIF(Invest[Affectation matrice],$AB$3,Invest[Amortissement HT + intérêts]))*BX51</f>
        <v>0</v>
      </c>
      <c r="X51" s="276">
        <f>(SUMIF(Fonctionnement[Affectation matrice],$AB$3,Fonctionnement[Montant (€HT)])+SUMIF(Invest[Affectation matrice],$AB$3,Invest[Amortissement HT + intérêts]))*BY51</f>
        <v>0</v>
      </c>
      <c r="Y51" s="276">
        <f>(SUMIF(Fonctionnement[Affectation matrice],$AB$3,Fonctionnement[Montant (€HT)])+SUMIF(Invest[Affectation matrice],$AB$3,Invest[Amortissement HT + intérêts]))*BZ51</f>
        <v>0</v>
      </c>
      <c r="Z51" s="276">
        <f>(SUMIF(Fonctionnement[Affectation matrice],$AB$3,Fonctionnement[Montant (€HT)])+SUMIF(Invest[Affectation matrice],$AB$3,Invest[Amortissement HT + intérêts]))*CA51</f>
        <v>0</v>
      </c>
      <c r="AA51" s="199"/>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283">
        <f t="shared" si="4"/>
        <v>0</v>
      </c>
      <c r="BC51" s="61">
        <f t="shared" si="12"/>
        <v>0</v>
      </c>
      <c r="BD51" s="61">
        <f t="shared" si="12"/>
        <v>0</v>
      </c>
      <c r="BE51" s="61">
        <f t="shared" si="12"/>
        <v>0</v>
      </c>
      <c r="BF51" s="61">
        <f t="shared" si="12"/>
        <v>0</v>
      </c>
      <c r="BG51" s="61">
        <f t="shared" si="12"/>
        <v>0</v>
      </c>
      <c r="BH51" s="61">
        <f t="shared" si="12"/>
        <v>0</v>
      </c>
      <c r="BI51" s="61">
        <f t="shared" si="12"/>
        <v>0</v>
      </c>
      <c r="BJ51" s="61">
        <f t="shared" si="12"/>
        <v>0</v>
      </c>
      <c r="BK51" s="61">
        <f t="shared" si="12"/>
        <v>0</v>
      </c>
      <c r="BL51" s="61">
        <f t="shared" si="12"/>
        <v>0</v>
      </c>
      <c r="BM51" s="61">
        <f t="shared" si="12"/>
        <v>0</v>
      </c>
      <c r="BN51" s="61">
        <f t="shared" si="12"/>
        <v>0</v>
      </c>
      <c r="BO51" s="61">
        <f t="shared" si="12"/>
        <v>0</v>
      </c>
      <c r="BP51" s="61">
        <f t="shared" si="12"/>
        <v>0</v>
      </c>
      <c r="BQ51" s="61">
        <f t="shared" si="12"/>
        <v>0</v>
      </c>
      <c r="BR51" s="61">
        <f t="shared" si="12"/>
        <v>0</v>
      </c>
      <c r="BS51" s="61">
        <f t="shared" si="13"/>
        <v>0</v>
      </c>
      <c r="BT51" s="61">
        <f t="shared" si="13"/>
        <v>0</v>
      </c>
      <c r="BU51" s="61">
        <f t="shared" si="13"/>
        <v>0</v>
      </c>
      <c r="BV51" s="61">
        <f t="shared" si="13"/>
        <v>0</v>
      </c>
      <c r="BW51" s="61">
        <f t="shared" si="13"/>
        <v>0</v>
      </c>
      <c r="BX51" s="61">
        <f t="shared" si="13"/>
        <v>0</v>
      </c>
      <c r="BY51" s="61">
        <f t="shared" si="13"/>
        <v>0</v>
      </c>
      <c r="BZ51" s="61">
        <f t="shared" si="13"/>
        <v>0</v>
      </c>
      <c r="CA51" s="61">
        <f t="shared" si="13"/>
        <v>0</v>
      </c>
      <c r="CB51" s="61">
        <f t="shared" si="5"/>
        <v>0</v>
      </c>
      <c r="CD51" s="200">
        <f>(SUMIF(Fonctionnement[Affectation matrice],$AB$3,Fonctionnement[TVA acquittée])+SUMIF(Invest[Affectation matrice],$AB$3,Invest[TVA acquittée]))*BC51</f>
        <v>0</v>
      </c>
      <c r="CE51" s="200">
        <f>(SUMIF(Fonctionnement[Affectation matrice],$AB$3,Fonctionnement[TVA acquittée])+SUMIF(Invest[Affectation matrice],$AB$3,Invest[TVA acquittée]))*BD51</f>
        <v>0</v>
      </c>
      <c r="CF51" s="200">
        <f>(SUMIF(Fonctionnement[Affectation matrice],$AB$3,Fonctionnement[TVA acquittée])+SUMIF(Invest[Affectation matrice],$AB$3,Invest[TVA acquittée]))*BE51</f>
        <v>0</v>
      </c>
      <c r="CG51" s="200">
        <f>(SUMIF(Fonctionnement[Affectation matrice],$AB$3,Fonctionnement[TVA acquittée])+SUMIF(Invest[Affectation matrice],$AB$3,Invest[TVA acquittée]))*BF51</f>
        <v>0</v>
      </c>
      <c r="CH51" s="200">
        <f>(SUMIF(Fonctionnement[Affectation matrice],$AB$3,Fonctionnement[TVA acquittée])+SUMIF(Invest[Affectation matrice],$AB$3,Invest[TVA acquittée]))*BG51</f>
        <v>0</v>
      </c>
      <c r="CI51" s="200">
        <f>(SUMIF(Fonctionnement[Affectation matrice],$AB$3,Fonctionnement[TVA acquittée])+SUMIF(Invest[Affectation matrice],$AB$3,Invest[TVA acquittée]))*BH51</f>
        <v>0</v>
      </c>
      <c r="CJ51" s="200">
        <f>(SUMIF(Fonctionnement[Affectation matrice],$AB$3,Fonctionnement[TVA acquittée])+SUMIF(Invest[Affectation matrice],$AB$3,Invest[TVA acquittée]))*BI51</f>
        <v>0</v>
      </c>
      <c r="CK51" s="200">
        <f>(SUMIF(Fonctionnement[Affectation matrice],$AB$3,Fonctionnement[TVA acquittée])+SUMIF(Invest[Affectation matrice],$AB$3,Invest[TVA acquittée]))*BJ51</f>
        <v>0</v>
      </c>
      <c r="CL51" s="200">
        <f>(SUMIF(Fonctionnement[Affectation matrice],$AB$3,Fonctionnement[TVA acquittée])+SUMIF(Invest[Affectation matrice],$AB$3,Invest[TVA acquittée]))*BK51</f>
        <v>0</v>
      </c>
      <c r="CM51" s="200">
        <f>(SUMIF(Fonctionnement[Affectation matrice],$AB$3,Fonctionnement[TVA acquittée])+SUMIF(Invest[Affectation matrice],$AB$3,Invest[TVA acquittée]))*BL51</f>
        <v>0</v>
      </c>
      <c r="CN51" s="200">
        <f>(SUMIF(Fonctionnement[Affectation matrice],$AB$3,Fonctionnement[TVA acquittée])+SUMIF(Invest[Affectation matrice],$AB$3,Invest[TVA acquittée]))*BM51</f>
        <v>0</v>
      </c>
      <c r="CO51" s="200">
        <f>(SUMIF(Fonctionnement[Affectation matrice],$AB$3,Fonctionnement[TVA acquittée])+SUMIF(Invest[Affectation matrice],$AB$3,Invest[TVA acquittée]))*BN51</f>
        <v>0</v>
      </c>
      <c r="CP51" s="200">
        <f>(SUMIF(Fonctionnement[Affectation matrice],$AB$3,Fonctionnement[TVA acquittée])+SUMIF(Invest[Affectation matrice],$AB$3,Invest[TVA acquittée]))*BO51</f>
        <v>0</v>
      </c>
      <c r="CQ51" s="200">
        <f>(SUMIF(Fonctionnement[Affectation matrice],$AB$3,Fonctionnement[TVA acquittée])+SUMIF(Invest[Affectation matrice],$AB$3,Invest[TVA acquittée]))*BP51</f>
        <v>0</v>
      </c>
      <c r="CR51" s="200">
        <f>(SUMIF(Fonctionnement[Affectation matrice],$AB$3,Fonctionnement[TVA acquittée])+SUMIF(Invest[Affectation matrice],$AB$3,Invest[TVA acquittée]))*BQ51</f>
        <v>0</v>
      </c>
      <c r="CS51" s="200">
        <f>(SUMIF(Fonctionnement[Affectation matrice],$AB$3,Fonctionnement[TVA acquittée])+SUMIF(Invest[Affectation matrice],$AB$3,Invest[TVA acquittée]))*BR51</f>
        <v>0</v>
      </c>
      <c r="CT51" s="200">
        <f>(SUMIF(Fonctionnement[Affectation matrice],$AB$3,Fonctionnement[TVA acquittée])+SUMIF(Invest[Affectation matrice],$AB$3,Invest[TVA acquittée]))*BS51</f>
        <v>0</v>
      </c>
      <c r="CU51" s="200">
        <f>(SUMIF(Fonctionnement[Affectation matrice],$AB$3,Fonctionnement[TVA acquittée])+SUMIF(Invest[Affectation matrice],$AB$3,Invest[TVA acquittée]))*BT51</f>
        <v>0</v>
      </c>
      <c r="CV51" s="200">
        <f>(SUMIF(Fonctionnement[Affectation matrice],$AB$3,Fonctionnement[TVA acquittée])+SUMIF(Invest[Affectation matrice],$AB$3,Invest[TVA acquittée]))*BU51</f>
        <v>0</v>
      </c>
      <c r="CW51" s="200">
        <f>(SUMIF(Fonctionnement[Affectation matrice],$AB$3,Fonctionnement[TVA acquittée])+SUMIF(Invest[Affectation matrice],$AB$3,Invest[TVA acquittée]))*BV51</f>
        <v>0</v>
      </c>
      <c r="CX51" s="200">
        <f>(SUMIF(Fonctionnement[Affectation matrice],$AB$3,Fonctionnement[TVA acquittée])+SUMIF(Invest[Affectation matrice],$AB$3,Invest[TVA acquittée]))*BW51</f>
        <v>0</v>
      </c>
      <c r="CY51" s="200">
        <f>(SUMIF(Fonctionnement[Affectation matrice],$AB$3,Fonctionnement[TVA acquittée])+SUMIF(Invest[Affectation matrice],$AB$3,Invest[TVA acquittée]))*BX51</f>
        <v>0</v>
      </c>
      <c r="CZ51" s="200">
        <f>(SUMIF(Fonctionnement[Affectation matrice],$AB$3,Fonctionnement[TVA acquittée])+SUMIF(Invest[Affectation matrice],$AB$3,Invest[TVA acquittée]))*BY51</f>
        <v>0</v>
      </c>
      <c r="DA51" s="200">
        <f>(SUMIF(Fonctionnement[Affectation matrice],$AB$3,Fonctionnement[TVA acquittée])+SUMIF(Invest[Affectation matrice],$AB$3,Invest[TVA acquittée]))*BZ51</f>
        <v>0</v>
      </c>
      <c r="DB51" s="200">
        <f>(SUMIF(Fonctionnement[Affectation matrice],$AB$3,Fonctionnement[TVA acquittée])+SUMIF(Invest[Affectation matrice],$AB$3,Invest[TVA acquittée]))*CA51</f>
        <v>0</v>
      </c>
    </row>
    <row r="52" spans="1:107" hidden="1" x14ac:dyDescent="0.25">
      <c r="A52" s="42">
        <f>Matrice[[#This Row],[Ligne de la matrice]]</f>
        <v>0</v>
      </c>
      <c r="B52" s="276">
        <f>(SUMIF(Fonctionnement[Affectation matrice],$AB$3,Fonctionnement[Montant (€HT)])+SUMIF(Invest[Affectation matrice],$AB$3,Invest[Amortissement HT + intérêts]))*BC52</f>
        <v>0</v>
      </c>
      <c r="C52" s="276">
        <f>(SUMIF(Fonctionnement[Affectation matrice],$AB$3,Fonctionnement[Montant (€HT)])+SUMIF(Invest[Affectation matrice],$AB$3,Invest[Amortissement HT + intérêts]))*BD52</f>
        <v>0</v>
      </c>
      <c r="D52" s="276">
        <f>(SUMIF(Fonctionnement[Affectation matrice],$AB$3,Fonctionnement[Montant (€HT)])+SUMIF(Invest[Affectation matrice],$AB$3,Invest[Amortissement HT + intérêts]))*BE52</f>
        <v>0</v>
      </c>
      <c r="E52" s="276">
        <f>(SUMIF(Fonctionnement[Affectation matrice],$AB$3,Fonctionnement[Montant (€HT)])+SUMIF(Invest[Affectation matrice],$AB$3,Invest[Amortissement HT + intérêts]))*BF52</f>
        <v>0</v>
      </c>
      <c r="F52" s="276">
        <f>(SUMIF(Fonctionnement[Affectation matrice],$AB$3,Fonctionnement[Montant (€HT)])+SUMIF(Invest[Affectation matrice],$AB$3,Invest[Amortissement HT + intérêts]))*BG52</f>
        <v>0</v>
      </c>
      <c r="G52" s="276">
        <f>(SUMIF(Fonctionnement[Affectation matrice],$AB$3,Fonctionnement[Montant (€HT)])+SUMIF(Invest[Affectation matrice],$AB$3,Invest[Amortissement HT + intérêts]))*BH52</f>
        <v>0</v>
      </c>
      <c r="H52" s="276">
        <f>(SUMIF(Fonctionnement[Affectation matrice],$AB$3,Fonctionnement[Montant (€HT)])+SUMIF(Invest[Affectation matrice],$AB$3,Invest[Amortissement HT + intérêts]))*BI52</f>
        <v>0</v>
      </c>
      <c r="I52" s="276">
        <f>(SUMIF(Fonctionnement[Affectation matrice],$AB$3,Fonctionnement[Montant (€HT)])+SUMIF(Invest[Affectation matrice],$AB$3,Invest[Amortissement HT + intérêts]))*BJ52</f>
        <v>0</v>
      </c>
      <c r="J52" s="276">
        <f>(SUMIF(Fonctionnement[Affectation matrice],$AB$3,Fonctionnement[Montant (€HT)])+SUMIF(Invest[Affectation matrice],$AB$3,Invest[Amortissement HT + intérêts]))*BK52</f>
        <v>0</v>
      </c>
      <c r="K52" s="276">
        <f>(SUMIF(Fonctionnement[Affectation matrice],$AB$3,Fonctionnement[Montant (€HT)])+SUMIF(Invest[Affectation matrice],$AB$3,Invest[Amortissement HT + intérêts]))*BL52</f>
        <v>0</v>
      </c>
      <c r="L52" s="276">
        <f>(SUMIF(Fonctionnement[Affectation matrice],$AB$3,Fonctionnement[Montant (€HT)])+SUMIF(Invest[Affectation matrice],$AB$3,Invest[Amortissement HT + intérêts]))*BM52</f>
        <v>0</v>
      </c>
      <c r="M52" s="276">
        <f>(SUMIF(Fonctionnement[Affectation matrice],$AB$3,Fonctionnement[Montant (€HT)])+SUMIF(Invest[Affectation matrice],$AB$3,Invest[Amortissement HT + intérêts]))*BN52</f>
        <v>0</v>
      </c>
      <c r="N52" s="276">
        <f>(SUMIF(Fonctionnement[Affectation matrice],$AB$3,Fonctionnement[Montant (€HT)])+SUMIF(Invest[Affectation matrice],$AB$3,Invest[Amortissement HT + intérêts]))*BO52</f>
        <v>0</v>
      </c>
      <c r="O52" s="276">
        <f>(SUMIF(Fonctionnement[Affectation matrice],$AB$3,Fonctionnement[Montant (€HT)])+SUMIF(Invest[Affectation matrice],$AB$3,Invest[Amortissement HT + intérêts]))*BP52</f>
        <v>0</v>
      </c>
      <c r="P52" s="276">
        <f>(SUMIF(Fonctionnement[Affectation matrice],$AB$3,Fonctionnement[Montant (€HT)])+SUMIF(Invest[Affectation matrice],$AB$3,Invest[Amortissement HT + intérêts]))*BQ52</f>
        <v>0</v>
      </c>
      <c r="Q52" s="276">
        <f>(SUMIF(Fonctionnement[Affectation matrice],$AB$3,Fonctionnement[Montant (€HT)])+SUMIF(Invest[Affectation matrice],$AB$3,Invest[Amortissement HT + intérêts]))*BR52</f>
        <v>0</v>
      </c>
      <c r="R52" s="276">
        <f>(SUMIF(Fonctionnement[Affectation matrice],$AB$3,Fonctionnement[Montant (€HT)])+SUMIF(Invest[Affectation matrice],$AB$3,Invest[Amortissement HT + intérêts]))*BS52</f>
        <v>0</v>
      </c>
      <c r="S52" s="276">
        <f>(SUMIF(Fonctionnement[Affectation matrice],$AB$3,Fonctionnement[Montant (€HT)])+SUMIF(Invest[Affectation matrice],$AB$3,Invest[Amortissement HT + intérêts]))*BT52</f>
        <v>0</v>
      </c>
      <c r="T52" s="276">
        <f>(SUMIF(Fonctionnement[Affectation matrice],$AB$3,Fonctionnement[Montant (€HT)])+SUMIF(Invest[Affectation matrice],$AB$3,Invest[Amortissement HT + intérêts]))*BU52</f>
        <v>0</v>
      </c>
      <c r="U52" s="276">
        <f>(SUMIF(Fonctionnement[Affectation matrice],$AB$3,Fonctionnement[Montant (€HT)])+SUMIF(Invest[Affectation matrice],$AB$3,Invest[Amortissement HT + intérêts]))*BV52</f>
        <v>0</v>
      </c>
      <c r="V52" s="276">
        <f>(SUMIF(Fonctionnement[Affectation matrice],$AB$3,Fonctionnement[Montant (€HT)])+SUMIF(Invest[Affectation matrice],$AB$3,Invest[Amortissement HT + intérêts]))*BW52</f>
        <v>0</v>
      </c>
      <c r="W52" s="276">
        <f>(SUMIF(Fonctionnement[Affectation matrice],$AB$3,Fonctionnement[Montant (€HT)])+SUMIF(Invest[Affectation matrice],$AB$3,Invest[Amortissement HT + intérêts]))*BX52</f>
        <v>0</v>
      </c>
      <c r="X52" s="276">
        <f>(SUMIF(Fonctionnement[Affectation matrice],$AB$3,Fonctionnement[Montant (€HT)])+SUMIF(Invest[Affectation matrice],$AB$3,Invest[Amortissement HT + intérêts]))*BY52</f>
        <v>0</v>
      </c>
      <c r="Y52" s="276">
        <f>(SUMIF(Fonctionnement[Affectation matrice],$AB$3,Fonctionnement[Montant (€HT)])+SUMIF(Invest[Affectation matrice],$AB$3,Invest[Amortissement HT + intérêts]))*BZ52</f>
        <v>0</v>
      </c>
      <c r="Z52" s="276">
        <f>(SUMIF(Fonctionnement[Affectation matrice],$AB$3,Fonctionnement[Montant (€HT)])+SUMIF(Invest[Affectation matrice],$AB$3,Invest[Amortissement HT + intérêts]))*CA52</f>
        <v>0</v>
      </c>
      <c r="AA52" s="199"/>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283">
        <f t="shared" si="4"/>
        <v>0</v>
      </c>
      <c r="BC52" s="61">
        <f t="shared" si="12"/>
        <v>0</v>
      </c>
      <c r="BD52" s="61">
        <f t="shared" si="12"/>
        <v>0</v>
      </c>
      <c r="BE52" s="61">
        <f t="shared" si="12"/>
        <v>0</v>
      </c>
      <c r="BF52" s="61">
        <f t="shared" si="12"/>
        <v>0</v>
      </c>
      <c r="BG52" s="61">
        <f t="shared" si="12"/>
        <v>0</v>
      </c>
      <c r="BH52" s="61">
        <f t="shared" si="12"/>
        <v>0</v>
      </c>
      <c r="BI52" s="61">
        <f t="shared" si="12"/>
        <v>0</v>
      </c>
      <c r="BJ52" s="61">
        <f t="shared" si="12"/>
        <v>0</v>
      </c>
      <c r="BK52" s="61">
        <f t="shared" si="12"/>
        <v>0</v>
      </c>
      <c r="BL52" s="61">
        <f t="shared" si="12"/>
        <v>0</v>
      </c>
      <c r="BM52" s="61">
        <f t="shared" si="12"/>
        <v>0</v>
      </c>
      <c r="BN52" s="61">
        <f t="shared" si="12"/>
        <v>0</v>
      </c>
      <c r="BO52" s="61">
        <f t="shared" si="12"/>
        <v>0</v>
      </c>
      <c r="BP52" s="61">
        <f t="shared" si="12"/>
        <v>0</v>
      </c>
      <c r="BQ52" s="61">
        <f t="shared" si="12"/>
        <v>0</v>
      </c>
      <c r="BR52" s="61">
        <f t="shared" si="12"/>
        <v>0</v>
      </c>
      <c r="BS52" s="61">
        <f t="shared" si="13"/>
        <v>0</v>
      </c>
      <c r="BT52" s="61">
        <f t="shared" si="13"/>
        <v>0</v>
      </c>
      <c r="BU52" s="61">
        <f t="shared" si="13"/>
        <v>0</v>
      </c>
      <c r="BV52" s="61">
        <f t="shared" si="13"/>
        <v>0</v>
      </c>
      <c r="BW52" s="61">
        <f t="shared" si="13"/>
        <v>0</v>
      </c>
      <c r="BX52" s="61">
        <f t="shared" si="13"/>
        <v>0</v>
      </c>
      <c r="BY52" s="61">
        <f t="shared" si="13"/>
        <v>0</v>
      </c>
      <c r="BZ52" s="61">
        <f t="shared" si="13"/>
        <v>0</v>
      </c>
      <c r="CA52" s="61">
        <f t="shared" si="13"/>
        <v>0</v>
      </c>
      <c r="CB52" s="61">
        <f t="shared" si="5"/>
        <v>0</v>
      </c>
      <c r="CD52" s="200">
        <f>(SUMIF(Fonctionnement[Affectation matrice],$AB$3,Fonctionnement[TVA acquittée])+SUMIF(Invest[Affectation matrice],$AB$3,Invest[TVA acquittée]))*BC52</f>
        <v>0</v>
      </c>
      <c r="CE52" s="200">
        <f>(SUMIF(Fonctionnement[Affectation matrice],$AB$3,Fonctionnement[TVA acquittée])+SUMIF(Invest[Affectation matrice],$AB$3,Invest[TVA acquittée]))*BD52</f>
        <v>0</v>
      </c>
      <c r="CF52" s="200">
        <f>(SUMIF(Fonctionnement[Affectation matrice],$AB$3,Fonctionnement[TVA acquittée])+SUMIF(Invest[Affectation matrice],$AB$3,Invest[TVA acquittée]))*BE52</f>
        <v>0</v>
      </c>
      <c r="CG52" s="200">
        <f>(SUMIF(Fonctionnement[Affectation matrice],$AB$3,Fonctionnement[TVA acquittée])+SUMIF(Invest[Affectation matrice],$AB$3,Invest[TVA acquittée]))*BF52</f>
        <v>0</v>
      </c>
      <c r="CH52" s="200">
        <f>(SUMIF(Fonctionnement[Affectation matrice],$AB$3,Fonctionnement[TVA acquittée])+SUMIF(Invest[Affectation matrice],$AB$3,Invest[TVA acquittée]))*BG52</f>
        <v>0</v>
      </c>
      <c r="CI52" s="200">
        <f>(SUMIF(Fonctionnement[Affectation matrice],$AB$3,Fonctionnement[TVA acquittée])+SUMIF(Invest[Affectation matrice],$AB$3,Invest[TVA acquittée]))*BH52</f>
        <v>0</v>
      </c>
      <c r="CJ52" s="200">
        <f>(SUMIF(Fonctionnement[Affectation matrice],$AB$3,Fonctionnement[TVA acquittée])+SUMIF(Invest[Affectation matrice],$AB$3,Invest[TVA acquittée]))*BI52</f>
        <v>0</v>
      </c>
      <c r="CK52" s="200">
        <f>(SUMIF(Fonctionnement[Affectation matrice],$AB$3,Fonctionnement[TVA acquittée])+SUMIF(Invest[Affectation matrice],$AB$3,Invest[TVA acquittée]))*BJ52</f>
        <v>0</v>
      </c>
      <c r="CL52" s="200">
        <f>(SUMIF(Fonctionnement[Affectation matrice],$AB$3,Fonctionnement[TVA acquittée])+SUMIF(Invest[Affectation matrice],$AB$3,Invest[TVA acquittée]))*BK52</f>
        <v>0</v>
      </c>
      <c r="CM52" s="200">
        <f>(SUMIF(Fonctionnement[Affectation matrice],$AB$3,Fonctionnement[TVA acquittée])+SUMIF(Invest[Affectation matrice],$AB$3,Invest[TVA acquittée]))*BL52</f>
        <v>0</v>
      </c>
      <c r="CN52" s="200">
        <f>(SUMIF(Fonctionnement[Affectation matrice],$AB$3,Fonctionnement[TVA acquittée])+SUMIF(Invest[Affectation matrice],$AB$3,Invest[TVA acquittée]))*BM52</f>
        <v>0</v>
      </c>
      <c r="CO52" s="200">
        <f>(SUMIF(Fonctionnement[Affectation matrice],$AB$3,Fonctionnement[TVA acquittée])+SUMIF(Invest[Affectation matrice],$AB$3,Invest[TVA acquittée]))*BN52</f>
        <v>0</v>
      </c>
      <c r="CP52" s="200">
        <f>(SUMIF(Fonctionnement[Affectation matrice],$AB$3,Fonctionnement[TVA acquittée])+SUMIF(Invest[Affectation matrice],$AB$3,Invest[TVA acquittée]))*BO52</f>
        <v>0</v>
      </c>
      <c r="CQ52" s="200">
        <f>(SUMIF(Fonctionnement[Affectation matrice],$AB$3,Fonctionnement[TVA acquittée])+SUMIF(Invest[Affectation matrice],$AB$3,Invest[TVA acquittée]))*BP52</f>
        <v>0</v>
      </c>
      <c r="CR52" s="200">
        <f>(SUMIF(Fonctionnement[Affectation matrice],$AB$3,Fonctionnement[TVA acquittée])+SUMIF(Invest[Affectation matrice],$AB$3,Invest[TVA acquittée]))*BQ52</f>
        <v>0</v>
      </c>
      <c r="CS52" s="200">
        <f>(SUMIF(Fonctionnement[Affectation matrice],$AB$3,Fonctionnement[TVA acquittée])+SUMIF(Invest[Affectation matrice],$AB$3,Invest[TVA acquittée]))*BR52</f>
        <v>0</v>
      </c>
      <c r="CT52" s="200">
        <f>(SUMIF(Fonctionnement[Affectation matrice],$AB$3,Fonctionnement[TVA acquittée])+SUMIF(Invest[Affectation matrice],$AB$3,Invest[TVA acquittée]))*BS52</f>
        <v>0</v>
      </c>
      <c r="CU52" s="200">
        <f>(SUMIF(Fonctionnement[Affectation matrice],$AB$3,Fonctionnement[TVA acquittée])+SUMIF(Invest[Affectation matrice],$AB$3,Invest[TVA acquittée]))*BT52</f>
        <v>0</v>
      </c>
      <c r="CV52" s="200">
        <f>(SUMIF(Fonctionnement[Affectation matrice],$AB$3,Fonctionnement[TVA acquittée])+SUMIF(Invest[Affectation matrice],$AB$3,Invest[TVA acquittée]))*BU52</f>
        <v>0</v>
      </c>
      <c r="CW52" s="200">
        <f>(SUMIF(Fonctionnement[Affectation matrice],$AB$3,Fonctionnement[TVA acquittée])+SUMIF(Invest[Affectation matrice],$AB$3,Invest[TVA acquittée]))*BV52</f>
        <v>0</v>
      </c>
      <c r="CX52" s="200">
        <f>(SUMIF(Fonctionnement[Affectation matrice],$AB$3,Fonctionnement[TVA acquittée])+SUMIF(Invest[Affectation matrice],$AB$3,Invest[TVA acquittée]))*BW52</f>
        <v>0</v>
      </c>
      <c r="CY52" s="200">
        <f>(SUMIF(Fonctionnement[Affectation matrice],$AB$3,Fonctionnement[TVA acquittée])+SUMIF(Invest[Affectation matrice],$AB$3,Invest[TVA acquittée]))*BX52</f>
        <v>0</v>
      </c>
      <c r="CZ52" s="200">
        <f>(SUMIF(Fonctionnement[Affectation matrice],$AB$3,Fonctionnement[TVA acquittée])+SUMIF(Invest[Affectation matrice],$AB$3,Invest[TVA acquittée]))*BY52</f>
        <v>0</v>
      </c>
      <c r="DA52" s="200">
        <f>(SUMIF(Fonctionnement[Affectation matrice],$AB$3,Fonctionnement[TVA acquittée])+SUMIF(Invest[Affectation matrice],$AB$3,Invest[TVA acquittée]))*BZ52</f>
        <v>0</v>
      </c>
      <c r="DB52" s="200">
        <f>(SUMIF(Fonctionnement[Affectation matrice],$AB$3,Fonctionnement[TVA acquittée])+SUMIF(Invest[Affectation matrice],$AB$3,Invest[TVA acquittée]))*CA52</f>
        <v>0</v>
      </c>
    </row>
    <row r="53" spans="1:107" x14ac:dyDescent="0.25">
      <c r="A53" s="206" t="s">
        <v>1101</v>
      </c>
      <c r="B53" s="279">
        <f>SUM(B5:B52)</f>
        <v>0</v>
      </c>
      <c r="C53" s="279">
        <f t="shared" ref="C53:Z53" si="14">SUM(C5:C52)</f>
        <v>0</v>
      </c>
      <c r="D53" s="279">
        <f t="shared" si="14"/>
        <v>0</v>
      </c>
      <c r="E53" s="279">
        <f t="shared" si="14"/>
        <v>0</v>
      </c>
      <c r="F53" s="279">
        <f t="shared" si="14"/>
        <v>0</v>
      </c>
      <c r="G53" s="279">
        <f t="shared" si="14"/>
        <v>0</v>
      </c>
      <c r="H53" s="279">
        <f t="shared" si="14"/>
        <v>0</v>
      </c>
      <c r="I53" s="279">
        <f t="shared" si="14"/>
        <v>0</v>
      </c>
      <c r="J53" s="279">
        <f t="shared" si="14"/>
        <v>0</v>
      </c>
      <c r="K53" s="279">
        <f t="shared" si="14"/>
        <v>0</v>
      </c>
      <c r="L53" s="279">
        <f t="shared" si="14"/>
        <v>0</v>
      </c>
      <c r="M53" s="279">
        <f t="shared" si="14"/>
        <v>0</v>
      </c>
      <c r="N53" s="279">
        <f t="shared" si="14"/>
        <v>0</v>
      </c>
      <c r="O53" s="279">
        <f t="shared" si="14"/>
        <v>0</v>
      </c>
      <c r="P53" s="279">
        <f t="shared" si="14"/>
        <v>0</v>
      </c>
      <c r="Q53" s="279">
        <f t="shared" si="14"/>
        <v>0</v>
      </c>
      <c r="R53" s="279">
        <f t="shared" si="14"/>
        <v>0</v>
      </c>
      <c r="S53" s="279">
        <f t="shared" si="14"/>
        <v>0</v>
      </c>
      <c r="T53" s="279">
        <f t="shared" si="14"/>
        <v>0</v>
      </c>
      <c r="U53" s="279">
        <f t="shared" si="14"/>
        <v>0</v>
      </c>
      <c r="V53" s="279">
        <f t="shared" si="14"/>
        <v>0</v>
      </c>
      <c r="W53" s="279">
        <f t="shared" si="14"/>
        <v>0</v>
      </c>
      <c r="X53" s="279">
        <f t="shared" si="14"/>
        <v>0</v>
      </c>
      <c r="Y53" s="279">
        <f t="shared" si="14"/>
        <v>0</v>
      </c>
      <c r="Z53" s="279">
        <f t="shared" si="14"/>
        <v>0</v>
      </c>
      <c r="AA53" s="199"/>
      <c r="AB53" s="61">
        <f>SUM(AB5:AB52)</f>
        <v>0</v>
      </c>
      <c r="AC53" s="61">
        <f t="shared" ref="AC53:BA53" si="15">SUM(AC5:AC52)</f>
        <v>0</v>
      </c>
      <c r="AD53" s="61">
        <f t="shared" si="15"/>
        <v>0</v>
      </c>
      <c r="AE53" s="61">
        <f t="shared" si="15"/>
        <v>0</v>
      </c>
      <c r="AF53" s="61">
        <f t="shared" si="15"/>
        <v>0</v>
      </c>
      <c r="AG53" s="61">
        <f t="shared" si="15"/>
        <v>0</v>
      </c>
      <c r="AH53" s="61">
        <f t="shared" si="15"/>
        <v>0</v>
      </c>
      <c r="AI53" s="61">
        <f t="shared" si="15"/>
        <v>0</v>
      </c>
      <c r="AJ53" s="61">
        <f t="shared" si="15"/>
        <v>0</v>
      </c>
      <c r="AK53" s="61">
        <f t="shared" si="15"/>
        <v>0</v>
      </c>
      <c r="AL53" s="61">
        <f t="shared" si="15"/>
        <v>0</v>
      </c>
      <c r="AM53" s="61">
        <f t="shared" si="15"/>
        <v>0</v>
      </c>
      <c r="AN53" s="61">
        <f t="shared" si="15"/>
        <v>0</v>
      </c>
      <c r="AO53" s="61">
        <f t="shared" si="15"/>
        <v>0</v>
      </c>
      <c r="AP53" s="61">
        <f t="shared" si="15"/>
        <v>0</v>
      </c>
      <c r="AQ53" s="61">
        <f t="shared" si="15"/>
        <v>0</v>
      </c>
      <c r="AR53" s="61">
        <f t="shared" si="15"/>
        <v>0</v>
      </c>
      <c r="AS53" s="61">
        <f t="shared" si="15"/>
        <v>0</v>
      </c>
      <c r="AT53" s="61">
        <f t="shared" si="15"/>
        <v>0</v>
      </c>
      <c r="AU53" s="61">
        <f t="shared" si="15"/>
        <v>0</v>
      </c>
      <c r="AV53" s="61">
        <f t="shared" si="15"/>
        <v>0</v>
      </c>
      <c r="AW53" s="61">
        <f t="shared" si="15"/>
        <v>0</v>
      </c>
      <c r="AX53" s="61">
        <f t="shared" si="15"/>
        <v>0</v>
      </c>
      <c r="AY53" s="61">
        <f t="shared" si="15"/>
        <v>0</v>
      </c>
      <c r="AZ53" s="61">
        <f t="shared" si="15"/>
        <v>0</v>
      </c>
      <c r="BA53" s="61">
        <f t="shared" si="15"/>
        <v>0</v>
      </c>
      <c r="BC53" s="61">
        <f t="shared" ref="BC53:CB53" si="16">SUM(BC5:BC52)</f>
        <v>0</v>
      </c>
      <c r="BD53" s="61">
        <f t="shared" si="16"/>
        <v>0</v>
      </c>
      <c r="BE53" s="61">
        <f t="shared" si="16"/>
        <v>0</v>
      </c>
      <c r="BF53" s="61">
        <f t="shared" si="16"/>
        <v>0</v>
      </c>
      <c r="BG53" s="61">
        <f t="shared" si="16"/>
        <v>0</v>
      </c>
      <c r="BH53" s="61">
        <f t="shared" si="16"/>
        <v>0</v>
      </c>
      <c r="BI53" s="61">
        <f t="shared" si="16"/>
        <v>0</v>
      </c>
      <c r="BJ53" s="61">
        <f t="shared" si="16"/>
        <v>0</v>
      </c>
      <c r="BK53" s="61">
        <f t="shared" si="16"/>
        <v>0</v>
      </c>
      <c r="BL53" s="61">
        <f t="shared" si="16"/>
        <v>0</v>
      </c>
      <c r="BM53" s="61">
        <f t="shared" si="16"/>
        <v>0</v>
      </c>
      <c r="BN53" s="61">
        <f t="shared" si="16"/>
        <v>0</v>
      </c>
      <c r="BO53" s="61">
        <f t="shared" si="16"/>
        <v>0</v>
      </c>
      <c r="BP53" s="61">
        <f t="shared" si="16"/>
        <v>0</v>
      </c>
      <c r="BQ53" s="61">
        <f t="shared" si="16"/>
        <v>0</v>
      </c>
      <c r="BR53" s="61">
        <f t="shared" si="16"/>
        <v>0</v>
      </c>
      <c r="BS53" s="61">
        <f t="shared" si="16"/>
        <v>0</v>
      </c>
      <c r="BT53" s="61">
        <f t="shared" si="16"/>
        <v>0</v>
      </c>
      <c r="BU53" s="61">
        <f t="shared" si="16"/>
        <v>0</v>
      </c>
      <c r="BV53" s="61">
        <f t="shared" si="16"/>
        <v>0</v>
      </c>
      <c r="BW53" s="61">
        <f t="shared" si="16"/>
        <v>0</v>
      </c>
      <c r="BX53" s="61">
        <f t="shared" si="16"/>
        <v>0</v>
      </c>
      <c r="BY53" s="61">
        <f t="shared" si="16"/>
        <v>0</v>
      </c>
      <c r="BZ53" s="61">
        <f t="shared" si="16"/>
        <v>0</v>
      </c>
      <c r="CA53" s="61">
        <f t="shared" si="16"/>
        <v>0</v>
      </c>
      <c r="CB53" s="207">
        <f t="shared" si="16"/>
        <v>0</v>
      </c>
      <c r="CD53" s="208">
        <f>(SUMIF(Fonctionnement[Affectation matrice],$AB$3,Fonctionnement[TVA acquittée])+SUMIF(Invest[Affectation matrice],$AB$3,Invest[TVA acquittée]))*BC53</f>
        <v>0</v>
      </c>
      <c r="CE53" s="208">
        <f>(SUMIF(Fonctionnement[Affectation matrice],$AB$3,Fonctionnement[TVA acquittée])+SUMIF(Invest[Affectation matrice],$AB$3,Invest[TVA acquittée]))*BD53</f>
        <v>0</v>
      </c>
      <c r="CF53" s="208">
        <f>(SUMIF(Fonctionnement[Affectation matrice],$AB$3,Fonctionnement[TVA acquittée])+SUMIF(Invest[Affectation matrice],$AB$3,Invest[TVA acquittée]))*BE53</f>
        <v>0</v>
      </c>
      <c r="CG53" s="208">
        <f>(SUMIF(Fonctionnement[Affectation matrice],$AB$3,Fonctionnement[TVA acquittée])+SUMIF(Invest[Affectation matrice],$AB$3,Invest[TVA acquittée]))*BF53</f>
        <v>0</v>
      </c>
      <c r="CH53" s="208">
        <f>(SUMIF(Fonctionnement[Affectation matrice],$AB$3,Fonctionnement[TVA acquittée])+SUMIF(Invest[Affectation matrice],$AB$3,Invest[TVA acquittée]))*BG53</f>
        <v>0</v>
      </c>
      <c r="CI53" s="208">
        <f>(SUMIF(Fonctionnement[Affectation matrice],$AB$3,Fonctionnement[TVA acquittée])+SUMIF(Invest[Affectation matrice],$AB$3,Invest[TVA acquittée]))*BH53</f>
        <v>0</v>
      </c>
      <c r="CJ53" s="208">
        <f>(SUMIF(Fonctionnement[Affectation matrice],$AB$3,Fonctionnement[TVA acquittée])+SUMIF(Invest[Affectation matrice],$AB$3,Invest[TVA acquittée]))*BI53</f>
        <v>0</v>
      </c>
      <c r="CK53" s="208">
        <f>(SUMIF(Fonctionnement[Affectation matrice],$AB$3,Fonctionnement[TVA acquittée])+SUMIF(Invest[Affectation matrice],$AB$3,Invest[TVA acquittée]))*BJ53</f>
        <v>0</v>
      </c>
      <c r="CL53" s="208">
        <f>(SUMIF(Fonctionnement[Affectation matrice],$AB$3,Fonctionnement[TVA acquittée])+SUMIF(Invest[Affectation matrice],$AB$3,Invest[TVA acquittée]))*BK53</f>
        <v>0</v>
      </c>
      <c r="CM53" s="208">
        <f>(SUMIF(Fonctionnement[Affectation matrice],$AB$3,Fonctionnement[TVA acquittée])+SUMIF(Invest[Affectation matrice],$AB$3,Invest[TVA acquittée]))*BL53</f>
        <v>0</v>
      </c>
      <c r="CN53" s="208">
        <f>(SUMIF(Fonctionnement[Affectation matrice],$AB$3,Fonctionnement[TVA acquittée])+SUMIF(Invest[Affectation matrice],$AB$3,Invest[TVA acquittée]))*BM53</f>
        <v>0</v>
      </c>
      <c r="CO53" s="208">
        <f>(SUMIF(Fonctionnement[Affectation matrice],$AB$3,Fonctionnement[TVA acquittée])+SUMIF(Invest[Affectation matrice],$AB$3,Invest[TVA acquittée]))*BN53</f>
        <v>0</v>
      </c>
      <c r="CP53" s="208">
        <f>(SUMIF(Fonctionnement[Affectation matrice],$AB$3,Fonctionnement[TVA acquittée])+SUMIF(Invest[Affectation matrice],$AB$3,Invest[TVA acquittée]))*BO53</f>
        <v>0</v>
      </c>
      <c r="CQ53" s="208">
        <f>(SUMIF(Fonctionnement[Affectation matrice],$AB$3,Fonctionnement[TVA acquittée])+SUMIF(Invest[Affectation matrice],$AB$3,Invest[TVA acquittée]))*BP53</f>
        <v>0</v>
      </c>
      <c r="CR53" s="208">
        <f>(SUMIF(Fonctionnement[Affectation matrice],$AB$3,Fonctionnement[TVA acquittée])+SUMIF(Invest[Affectation matrice],$AB$3,Invest[TVA acquittée]))*BQ53</f>
        <v>0</v>
      </c>
      <c r="CS53" s="208">
        <f>(SUMIF(Fonctionnement[Affectation matrice],$AB$3,Fonctionnement[TVA acquittée])+SUMIF(Invest[Affectation matrice],$AB$3,Invest[TVA acquittée]))*BR53</f>
        <v>0</v>
      </c>
      <c r="CT53" s="208">
        <f>(SUMIF(Fonctionnement[Affectation matrice],$AB$3,Fonctionnement[TVA acquittée])+SUMIF(Invest[Affectation matrice],$AB$3,Invest[TVA acquittée]))*BS53</f>
        <v>0</v>
      </c>
      <c r="CU53" s="208">
        <f>(SUMIF(Fonctionnement[Affectation matrice],$AB$3,Fonctionnement[TVA acquittée])+SUMIF(Invest[Affectation matrice],$AB$3,Invest[TVA acquittée]))*BT53</f>
        <v>0</v>
      </c>
      <c r="CV53" s="208">
        <f>(SUMIF(Fonctionnement[Affectation matrice],$AB$3,Fonctionnement[TVA acquittée])+SUMIF(Invest[Affectation matrice],$AB$3,Invest[TVA acquittée]))*BU53</f>
        <v>0</v>
      </c>
      <c r="CW53" s="208">
        <f>(SUMIF(Fonctionnement[Affectation matrice],$AB$3,Fonctionnement[TVA acquittée])+SUMIF(Invest[Affectation matrice],$AB$3,Invest[TVA acquittée]))*BV53</f>
        <v>0</v>
      </c>
      <c r="CX53" s="208">
        <f>(SUMIF(Fonctionnement[Affectation matrice],$AB$3,Fonctionnement[TVA acquittée])+SUMIF(Invest[Affectation matrice],$AB$3,Invest[TVA acquittée]))*BW53</f>
        <v>0</v>
      </c>
      <c r="CY53" s="208">
        <f>(SUMIF(Fonctionnement[Affectation matrice],$AB$3,Fonctionnement[TVA acquittée])+SUMIF(Invest[Affectation matrice],$AB$3,Invest[TVA acquittée]))*BX53</f>
        <v>0</v>
      </c>
      <c r="CZ53" s="208">
        <f>(SUMIF(Fonctionnement[Affectation matrice],$AB$3,Fonctionnement[TVA acquittée])+SUMIF(Invest[Affectation matrice],$AB$3,Invest[TVA acquittée]))*BY53</f>
        <v>0</v>
      </c>
      <c r="DA53" s="208">
        <f>(SUMIF(Fonctionnement[Affectation matrice],$AB$3,Fonctionnement[TVA acquittée])+SUMIF(Invest[Affectation matrice],$AB$3,Invest[TVA acquittée]))*BZ53</f>
        <v>0</v>
      </c>
      <c r="DB53" s="208">
        <f>(SUMIF(Fonctionnement[Affectation matrice],$AB$3,Fonctionnement[TVA acquittée])+SUMIF(Invest[Affectation matrice],$AB$3,Invest[TVA acquittée]))*CA53</f>
        <v>0</v>
      </c>
    </row>
    <row r="55" spans="1:107" x14ac:dyDescent="0.25">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C55" s="209"/>
      <c r="BD55" s="209"/>
      <c r="BE55" s="209"/>
      <c r="BF55" s="209"/>
      <c r="BG55" s="209"/>
      <c r="BH55" s="209"/>
      <c r="BI55" s="209"/>
      <c r="BJ55" s="209"/>
      <c r="BK55" s="209"/>
      <c r="BL55" s="209"/>
      <c r="BM55" s="209"/>
      <c r="BN55" s="209"/>
      <c r="BO55" s="209"/>
      <c r="BP55" s="209"/>
      <c r="BQ55" s="209"/>
      <c r="BR55" s="209"/>
      <c r="BS55" s="209"/>
      <c r="BT55" s="209"/>
      <c r="BU55" s="209"/>
      <c r="BV55" s="209"/>
      <c r="BW55" s="209"/>
      <c r="BX55" s="209"/>
      <c r="BY55" s="209"/>
      <c r="BZ55" s="209"/>
      <c r="CA55" s="209"/>
      <c r="CB55" s="209"/>
    </row>
    <row r="56" spans="1:107" ht="21" x14ac:dyDescent="0.4">
      <c r="A56" s="257" t="s">
        <v>1102</v>
      </c>
    </row>
    <row r="58" spans="1:107" x14ac:dyDescent="0.25">
      <c r="A58" s="301"/>
      <c r="B58"/>
      <c r="C58"/>
      <c r="D58"/>
      <c r="E58"/>
      <c r="F58"/>
      <c r="G58"/>
      <c r="H58"/>
      <c r="I58"/>
      <c r="J58"/>
      <c r="K58"/>
      <c r="L58"/>
      <c r="M58"/>
      <c r="N58"/>
      <c r="O58"/>
      <c r="P58"/>
      <c r="Q58"/>
      <c r="R58"/>
      <c r="S58"/>
      <c r="T58"/>
      <c r="U58"/>
      <c r="V58"/>
      <c r="W58"/>
      <c r="X58"/>
      <c r="Y58"/>
      <c r="Z58"/>
      <c r="AA58"/>
      <c r="AB58" s="61">
        <f>SUMIF(CODE,$A58,'4 - Codes matrice'!CF$4:CF$99)</f>
        <v>0</v>
      </c>
      <c r="AC58" s="61">
        <f>SUMIF(CODE,$A58,'4 - Codes matrice'!CG$4:CG$99)</f>
        <v>0</v>
      </c>
      <c r="AD58" s="61">
        <f>SUMIF(CODE,$A58,'4 - Codes matrice'!CH$4:CH$99)</f>
        <v>0</v>
      </c>
      <c r="AE58" s="61">
        <f>SUMIF(CODE,$A58,'4 - Codes matrice'!CI$4:CI$99)</f>
        <v>0</v>
      </c>
      <c r="AF58" s="61">
        <f>SUMIF(CODE,$A58,'4 - Codes matrice'!CJ$4:CJ$99)</f>
        <v>0</v>
      </c>
      <c r="AG58" s="61">
        <f>SUMIF(CODE,$A58,'4 - Codes matrice'!CK$4:CK$99)</f>
        <v>0</v>
      </c>
      <c r="AH58" s="61">
        <f>SUMIF(CODE,$A58,'4 - Codes matrice'!CL$4:CL$99)</f>
        <v>0</v>
      </c>
      <c r="AI58" s="61">
        <f>SUMIF(CODE,$A58,'4 - Codes matrice'!CM$4:CM$99)</f>
        <v>0</v>
      </c>
      <c r="AJ58" s="61">
        <f>SUMIF(CODE,$A58,'4 - Codes matrice'!CN$4:CN$99)</f>
        <v>0</v>
      </c>
      <c r="AK58" s="61">
        <f>SUMIF(CODE,$A58,'4 - Codes matrice'!CO$4:CO$99)</f>
        <v>0</v>
      </c>
      <c r="AL58" s="61">
        <f>SUMIF(CODE,$A58,'4 - Codes matrice'!CP$4:CP$99)</f>
        <v>0</v>
      </c>
      <c r="AM58" s="61">
        <f>SUMIF(CODE,$A58,'4 - Codes matrice'!CQ$4:CQ$99)</f>
        <v>0</v>
      </c>
      <c r="AN58" s="61">
        <f>SUMIF(CODE,$A58,'4 - Codes matrice'!CR$4:CR$99)</f>
        <v>0</v>
      </c>
      <c r="AO58" s="61">
        <f>SUMIF(CODE,$A58,'4 - Codes matrice'!CS$4:CS$99)</f>
        <v>0</v>
      </c>
      <c r="AP58" s="61">
        <f>SUMIF(CODE,$A58,'4 - Codes matrice'!CT$4:CT$99)</f>
        <v>0</v>
      </c>
      <c r="AQ58" s="61">
        <f>SUMIF(CODE,$A58,'4 - Codes matrice'!CU$4:CU$99)</f>
        <v>0</v>
      </c>
      <c r="AR58" s="61">
        <f>SUMIF(CODE,$A58,'4 - Codes matrice'!CV$4:CV$99)</f>
        <v>0</v>
      </c>
      <c r="AS58" s="61">
        <f>SUMIF(CODE,$A58,'4 - Codes matrice'!CW$4:CW$99)</f>
        <v>0</v>
      </c>
      <c r="AT58" s="61">
        <f>SUMIF(CODE,$A58,'4 - Codes matrice'!CX$4:CX$99)</f>
        <v>0</v>
      </c>
      <c r="AU58" s="61">
        <f>SUMIF(CODE,$A58,'4 - Codes matrice'!CY$4:CY$99)</f>
        <v>0</v>
      </c>
      <c r="AV58" s="61">
        <f>SUMIF(CODE,$A58,'4 - Codes matrice'!CZ$4:CZ$99)</f>
        <v>0</v>
      </c>
      <c r="AW58" s="61">
        <f>SUMIF(CODE,$A58,'4 - Codes matrice'!DA$4:DA$99)</f>
        <v>0</v>
      </c>
      <c r="AX58" s="61">
        <f>SUMIF(CODE,$A58,'4 - Codes matrice'!DB$4:DB$99)</f>
        <v>0</v>
      </c>
      <c r="AY58" s="61">
        <f>SUMIF(CODE,$A58,'4 - Codes matrice'!DC$4:DC$99)</f>
        <v>0</v>
      </c>
      <c r="AZ58" s="61">
        <f>SUMIF(CODE,$A58,'4 - Codes matrice'!DD$4:DD$99)</f>
        <v>0</v>
      </c>
      <c r="BA58" s="284">
        <f>SUM(AB58:AZ58)</f>
        <v>0</v>
      </c>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row>
    <row r="59" spans="1:107" x14ac:dyDescent="0.25">
      <c r="A59" s="301"/>
      <c r="B59"/>
      <c r="C59"/>
      <c r="D59"/>
      <c r="E59"/>
      <c r="F59"/>
      <c r="G59"/>
      <c r="H59"/>
      <c r="I59"/>
      <c r="J59"/>
      <c r="K59"/>
      <c r="L59"/>
      <c r="M59"/>
      <c r="N59"/>
      <c r="O59"/>
      <c r="P59"/>
      <c r="Q59"/>
      <c r="R59"/>
      <c r="S59"/>
      <c r="T59"/>
      <c r="U59"/>
      <c r="V59"/>
      <c r="W59"/>
      <c r="X59"/>
      <c r="Y59"/>
      <c r="Z59"/>
      <c r="AA59"/>
      <c r="AB59" s="61">
        <f>SUMIF(CODE,$A59,'4 - Codes matrice'!CF$4:CF$99)</f>
        <v>0</v>
      </c>
      <c r="AC59" s="61">
        <f>SUMIF(CODE,$A59,'4 - Codes matrice'!CG$4:CG$99)</f>
        <v>0</v>
      </c>
      <c r="AD59" s="61">
        <f>SUMIF(CODE,$A59,'4 - Codes matrice'!CH$4:CH$99)</f>
        <v>0</v>
      </c>
      <c r="AE59" s="61">
        <f>SUMIF(CODE,$A59,'4 - Codes matrice'!CI$4:CI$99)</f>
        <v>0</v>
      </c>
      <c r="AF59" s="61">
        <f>SUMIF(CODE,$A59,'4 - Codes matrice'!CJ$4:CJ$99)</f>
        <v>0</v>
      </c>
      <c r="AG59" s="61">
        <f>SUMIF(CODE,$A59,'4 - Codes matrice'!CK$4:CK$99)</f>
        <v>0</v>
      </c>
      <c r="AH59" s="61">
        <f>SUMIF(CODE,$A59,'4 - Codes matrice'!CL$4:CL$99)</f>
        <v>0</v>
      </c>
      <c r="AI59" s="61">
        <f>SUMIF(CODE,$A59,'4 - Codes matrice'!CM$4:CM$99)</f>
        <v>0</v>
      </c>
      <c r="AJ59" s="61">
        <f>SUMIF(CODE,$A59,'4 - Codes matrice'!CN$4:CN$99)</f>
        <v>0</v>
      </c>
      <c r="AK59" s="61">
        <f>SUMIF(CODE,$A59,'4 - Codes matrice'!CO$4:CO$99)</f>
        <v>0</v>
      </c>
      <c r="AL59" s="61">
        <f>SUMIF(CODE,$A59,'4 - Codes matrice'!CP$4:CP$99)</f>
        <v>0</v>
      </c>
      <c r="AM59" s="61">
        <f>SUMIF(CODE,$A59,'4 - Codes matrice'!CQ$4:CQ$99)</f>
        <v>0</v>
      </c>
      <c r="AN59" s="61">
        <f>SUMIF(CODE,$A59,'4 - Codes matrice'!CR$4:CR$99)</f>
        <v>0</v>
      </c>
      <c r="AO59" s="61">
        <f>SUMIF(CODE,$A59,'4 - Codes matrice'!CS$4:CS$99)</f>
        <v>0</v>
      </c>
      <c r="AP59" s="61">
        <f>SUMIF(CODE,$A59,'4 - Codes matrice'!CT$4:CT$99)</f>
        <v>0</v>
      </c>
      <c r="AQ59" s="61">
        <f>SUMIF(CODE,$A59,'4 - Codes matrice'!CU$4:CU$99)</f>
        <v>0</v>
      </c>
      <c r="AR59" s="61">
        <f>SUMIF(CODE,$A59,'4 - Codes matrice'!CV$4:CV$99)</f>
        <v>0</v>
      </c>
      <c r="AS59" s="61">
        <f>SUMIF(CODE,$A59,'4 - Codes matrice'!CW$4:CW$99)</f>
        <v>0</v>
      </c>
      <c r="AT59" s="61">
        <f>SUMIF(CODE,$A59,'4 - Codes matrice'!CX$4:CX$99)</f>
        <v>0</v>
      </c>
      <c r="AU59" s="61">
        <f>SUMIF(CODE,$A59,'4 - Codes matrice'!CY$4:CY$99)</f>
        <v>0</v>
      </c>
      <c r="AV59" s="61">
        <f>SUMIF(CODE,$A59,'4 - Codes matrice'!CZ$4:CZ$99)</f>
        <v>0</v>
      </c>
      <c r="AW59" s="61">
        <f>SUMIF(CODE,$A59,'4 - Codes matrice'!DA$4:DA$99)</f>
        <v>0</v>
      </c>
      <c r="AX59" s="61">
        <f>SUMIF(CODE,$A59,'4 - Codes matrice'!DB$4:DB$99)</f>
        <v>0</v>
      </c>
      <c r="AY59" s="61">
        <f>SUMIF(CODE,$A59,'4 - Codes matrice'!DC$4:DC$99)</f>
        <v>0</v>
      </c>
      <c r="AZ59" s="61">
        <f>SUMIF(CODE,$A59,'4 - Codes matrice'!DD$4:DD$99)</f>
        <v>0</v>
      </c>
      <c r="BA59" s="284">
        <f t="shared" ref="BA59:BA64" si="17">SUM(AB59:AZ59)</f>
        <v>0</v>
      </c>
    </row>
    <row r="60" spans="1:107" x14ac:dyDescent="0.25">
      <c r="A60" s="301"/>
      <c r="B60"/>
      <c r="C60"/>
      <c r="D60"/>
      <c r="E60"/>
      <c r="F60"/>
      <c r="G60"/>
      <c r="H60"/>
      <c r="I60"/>
      <c r="J60"/>
      <c r="K60"/>
      <c r="L60"/>
      <c r="M60"/>
      <c r="N60"/>
      <c r="O60"/>
      <c r="P60"/>
      <c r="Q60"/>
      <c r="R60"/>
      <c r="S60"/>
      <c r="T60"/>
      <c r="U60"/>
      <c r="V60"/>
      <c r="W60"/>
      <c r="X60"/>
      <c r="Y60"/>
      <c r="Z60"/>
      <c r="AA60"/>
      <c r="AB60" s="61">
        <f>SUMIF(CODE,$A60,'4 - Codes matrice'!CF$4:CF$99)</f>
        <v>0</v>
      </c>
      <c r="AC60" s="61">
        <f>SUMIF(CODE,$A60,'4 - Codes matrice'!CG$4:CG$99)</f>
        <v>0</v>
      </c>
      <c r="AD60" s="61">
        <f>SUMIF(CODE,$A60,'4 - Codes matrice'!CH$4:CH$99)</f>
        <v>0</v>
      </c>
      <c r="AE60" s="61">
        <f>SUMIF(CODE,$A60,'4 - Codes matrice'!CI$4:CI$99)</f>
        <v>0</v>
      </c>
      <c r="AF60" s="61">
        <f>SUMIF(CODE,$A60,'4 - Codes matrice'!CJ$4:CJ$99)</f>
        <v>0</v>
      </c>
      <c r="AG60" s="61">
        <f>SUMIF(CODE,$A60,'4 - Codes matrice'!CK$4:CK$99)</f>
        <v>0</v>
      </c>
      <c r="AH60" s="61">
        <f>SUMIF(CODE,$A60,'4 - Codes matrice'!CL$4:CL$99)</f>
        <v>0</v>
      </c>
      <c r="AI60" s="61">
        <f>SUMIF(CODE,$A60,'4 - Codes matrice'!CM$4:CM$99)</f>
        <v>0</v>
      </c>
      <c r="AJ60" s="61">
        <f>SUMIF(CODE,$A60,'4 - Codes matrice'!CN$4:CN$99)</f>
        <v>0</v>
      </c>
      <c r="AK60" s="61">
        <f>SUMIF(CODE,$A60,'4 - Codes matrice'!CO$4:CO$99)</f>
        <v>0</v>
      </c>
      <c r="AL60" s="61">
        <f>SUMIF(CODE,$A60,'4 - Codes matrice'!CP$4:CP$99)</f>
        <v>0</v>
      </c>
      <c r="AM60" s="61">
        <f>SUMIF(CODE,$A60,'4 - Codes matrice'!CQ$4:CQ$99)</f>
        <v>0</v>
      </c>
      <c r="AN60" s="61">
        <f>SUMIF(CODE,$A60,'4 - Codes matrice'!CR$4:CR$99)</f>
        <v>0</v>
      </c>
      <c r="AO60" s="61">
        <f>SUMIF(CODE,$A60,'4 - Codes matrice'!CS$4:CS$99)</f>
        <v>0</v>
      </c>
      <c r="AP60" s="61">
        <f>SUMIF(CODE,$A60,'4 - Codes matrice'!CT$4:CT$99)</f>
        <v>0</v>
      </c>
      <c r="AQ60" s="61">
        <f>SUMIF(CODE,$A60,'4 - Codes matrice'!CU$4:CU$99)</f>
        <v>0</v>
      </c>
      <c r="AR60" s="61">
        <f>SUMIF(CODE,$A60,'4 - Codes matrice'!CV$4:CV$99)</f>
        <v>0</v>
      </c>
      <c r="AS60" s="61">
        <f>SUMIF(CODE,$A60,'4 - Codes matrice'!CW$4:CW$99)</f>
        <v>0</v>
      </c>
      <c r="AT60" s="61">
        <f>SUMIF(CODE,$A60,'4 - Codes matrice'!CX$4:CX$99)</f>
        <v>0</v>
      </c>
      <c r="AU60" s="61">
        <f>SUMIF(CODE,$A60,'4 - Codes matrice'!CY$4:CY$99)</f>
        <v>0</v>
      </c>
      <c r="AV60" s="61">
        <f>SUMIF(CODE,$A60,'4 - Codes matrice'!CZ$4:CZ$99)</f>
        <v>0</v>
      </c>
      <c r="AW60" s="61">
        <f>SUMIF(CODE,$A60,'4 - Codes matrice'!DA$4:DA$99)</f>
        <v>0</v>
      </c>
      <c r="AX60" s="61">
        <f>SUMIF(CODE,$A60,'4 - Codes matrice'!DB$4:DB$99)</f>
        <v>0</v>
      </c>
      <c r="AY60" s="61">
        <f>SUMIF(CODE,$A60,'4 - Codes matrice'!DC$4:DC$99)</f>
        <v>0</v>
      </c>
      <c r="AZ60" s="61">
        <f>SUMIF(CODE,$A60,'4 - Codes matrice'!DD$4:DD$99)</f>
        <v>0</v>
      </c>
      <c r="BA60" s="284">
        <f t="shared" si="17"/>
        <v>0</v>
      </c>
    </row>
    <row r="61" spans="1:107" x14ac:dyDescent="0.25">
      <c r="A61" s="301"/>
      <c r="B61"/>
      <c r="C61"/>
      <c r="D61"/>
      <c r="E61"/>
      <c r="F61"/>
      <c r="G61"/>
      <c r="H61"/>
      <c r="I61"/>
      <c r="J61"/>
      <c r="K61"/>
      <c r="L61"/>
      <c r="M61"/>
      <c r="N61"/>
      <c r="O61"/>
      <c r="P61"/>
      <c r="Q61"/>
      <c r="R61"/>
      <c r="S61"/>
      <c r="T61"/>
      <c r="U61"/>
      <c r="V61"/>
      <c r="W61"/>
      <c r="X61"/>
      <c r="Y61"/>
      <c r="Z61"/>
      <c r="AA61"/>
      <c r="AB61" s="61">
        <f>SUMIF(CODE,$A61,'4 - Codes matrice'!CF$4:CF$99)</f>
        <v>0</v>
      </c>
      <c r="AC61" s="61">
        <f>SUMIF(CODE,$A61,'4 - Codes matrice'!CG$4:CG$99)</f>
        <v>0</v>
      </c>
      <c r="AD61" s="61">
        <f>SUMIF(CODE,$A61,'4 - Codes matrice'!CH$4:CH$99)</f>
        <v>0</v>
      </c>
      <c r="AE61" s="61">
        <f>SUMIF(CODE,$A61,'4 - Codes matrice'!CI$4:CI$99)</f>
        <v>0</v>
      </c>
      <c r="AF61" s="61">
        <f>SUMIF(CODE,$A61,'4 - Codes matrice'!CJ$4:CJ$99)</f>
        <v>0</v>
      </c>
      <c r="AG61" s="61">
        <f>SUMIF(CODE,$A61,'4 - Codes matrice'!CK$4:CK$99)</f>
        <v>0</v>
      </c>
      <c r="AH61" s="61">
        <f>SUMIF(CODE,$A61,'4 - Codes matrice'!CL$4:CL$99)</f>
        <v>0</v>
      </c>
      <c r="AI61" s="61">
        <f>SUMIF(CODE,$A61,'4 - Codes matrice'!CM$4:CM$99)</f>
        <v>0</v>
      </c>
      <c r="AJ61" s="61">
        <f>SUMIF(CODE,$A61,'4 - Codes matrice'!CN$4:CN$99)</f>
        <v>0</v>
      </c>
      <c r="AK61" s="61">
        <f>SUMIF(CODE,$A61,'4 - Codes matrice'!CO$4:CO$99)</f>
        <v>0</v>
      </c>
      <c r="AL61" s="61">
        <f>SUMIF(CODE,$A61,'4 - Codes matrice'!CP$4:CP$99)</f>
        <v>0</v>
      </c>
      <c r="AM61" s="61">
        <f>SUMIF(CODE,$A61,'4 - Codes matrice'!CQ$4:CQ$99)</f>
        <v>0</v>
      </c>
      <c r="AN61" s="61">
        <f>SUMIF(CODE,$A61,'4 - Codes matrice'!CR$4:CR$99)</f>
        <v>0</v>
      </c>
      <c r="AO61" s="61">
        <f>SUMIF(CODE,$A61,'4 - Codes matrice'!CS$4:CS$99)</f>
        <v>0</v>
      </c>
      <c r="AP61" s="61">
        <f>SUMIF(CODE,$A61,'4 - Codes matrice'!CT$4:CT$99)</f>
        <v>0</v>
      </c>
      <c r="AQ61" s="61">
        <f>SUMIF(CODE,$A61,'4 - Codes matrice'!CU$4:CU$99)</f>
        <v>0</v>
      </c>
      <c r="AR61" s="61">
        <f>SUMIF(CODE,$A61,'4 - Codes matrice'!CV$4:CV$99)</f>
        <v>0</v>
      </c>
      <c r="AS61" s="61">
        <f>SUMIF(CODE,$A61,'4 - Codes matrice'!CW$4:CW$99)</f>
        <v>0</v>
      </c>
      <c r="AT61" s="61">
        <f>SUMIF(CODE,$A61,'4 - Codes matrice'!CX$4:CX$99)</f>
        <v>0</v>
      </c>
      <c r="AU61" s="61">
        <f>SUMIF(CODE,$A61,'4 - Codes matrice'!CY$4:CY$99)</f>
        <v>0</v>
      </c>
      <c r="AV61" s="61">
        <f>SUMIF(CODE,$A61,'4 - Codes matrice'!CZ$4:CZ$99)</f>
        <v>0</v>
      </c>
      <c r="AW61" s="61">
        <f>SUMIF(CODE,$A61,'4 - Codes matrice'!DA$4:DA$99)</f>
        <v>0</v>
      </c>
      <c r="AX61" s="61">
        <f>SUMIF(CODE,$A61,'4 - Codes matrice'!DB$4:DB$99)</f>
        <v>0</v>
      </c>
      <c r="AY61" s="61">
        <f>SUMIF(CODE,$A61,'4 - Codes matrice'!DC$4:DC$99)</f>
        <v>0</v>
      </c>
      <c r="AZ61" s="61">
        <f>SUMIF(CODE,$A61,'4 - Codes matrice'!DD$4:DD$99)</f>
        <v>0</v>
      </c>
      <c r="BA61" s="284">
        <f t="shared" si="17"/>
        <v>0</v>
      </c>
    </row>
    <row r="62" spans="1:107" x14ac:dyDescent="0.25">
      <c r="A62" s="301"/>
      <c r="B62"/>
      <c r="C62"/>
      <c r="D62"/>
      <c r="E62"/>
      <c r="F62"/>
      <c r="G62"/>
      <c r="H62"/>
      <c r="I62"/>
      <c r="J62"/>
      <c r="K62"/>
      <c r="L62"/>
      <c r="M62"/>
      <c r="N62"/>
      <c r="O62"/>
      <c r="P62"/>
      <c r="Q62"/>
      <c r="R62"/>
      <c r="S62"/>
      <c r="T62"/>
      <c r="U62"/>
      <c r="V62"/>
      <c r="W62"/>
      <c r="X62"/>
      <c r="Y62"/>
      <c r="Z62"/>
      <c r="AA62"/>
      <c r="AB62" s="61">
        <f>SUMIF(CODE,$A62,'4 - Codes matrice'!CF$4:CF$99)</f>
        <v>0</v>
      </c>
      <c r="AC62" s="61">
        <f>SUMIF(CODE,$A62,'4 - Codes matrice'!CG$4:CG$99)</f>
        <v>0</v>
      </c>
      <c r="AD62" s="61">
        <f>SUMIF(CODE,$A62,'4 - Codes matrice'!CH$4:CH$99)</f>
        <v>0</v>
      </c>
      <c r="AE62" s="61">
        <f>SUMIF(CODE,$A62,'4 - Codes matrice'!CI$4:CI$99)</f>
        <v>0</v>
      </c>
      <c r="AF62" s="61">
        <f>SUMIF(CODE,$A62,'4 - Codes matrice'!CJ$4:CJ$99)</f>
        <v>0</v>
      </c>
      <c r="AG62" s="61">
        <f>SUMIF(CODE,$A62,'4 - Codes matrice'!CK$4:CK$99)</f>
        <v>0</v>
      </c>
      <c r="AH62" s="61">
        <f>SUMIF(CODE,$A62,'4 - Codes matrice'!CL$4:CL$99)</f>
        <v>0</v>
      </c>
      <c r="AI62" s="61">
        <f>SUMIF(CODE,$A62,'4 - Codes matrice'!CM$4:CM$99)</f>
        <v>0</v>
      </c>
      <c r="AJ62" s="61">
        <f>SUMIF(CODE,$A62,'4 - Codes matrice'!CN$4:CN$99)</f>
        <v>0</v>
      </c>
      <c r="AK62" s="61">
        <f>SUMIF(CODE,$A62,'4 - Codes matrice'!CO$4:CO$99)</f>
        <v>0</v>
      </c>
      <c r="AL62" s="61">
        <f>SUMIF(CODE,$A62,'4 - Codes matrice'!CP$4:CP$99)</f>
        <v>0</v>
      </c>
      <c r="AM62" s="61">
        <f>SUMIF(CODE,$A62,'4 - Codes matrice'!CQ$4:CQ$99)</f>
        <v>0</v>
      </c>
      <c r="AN62" s="61">
        <f>SUMIF(CODE,$A62,'4 - Codes matrice'!CR$4:CR$99)</f>
        <v>0</v>
      </c>
      <c r="AO62" s="61">
        <f>SUMIF(CODE,$A62,'4 - Codes matrice'!CS$4:CS$99)</f>
        <v>0</v>
      </c>
      <c r="AP62" s="61">
        <f>SUMIF(CODE,$A62,'4 - Codes matrice'!CT$4:CT$99)</f>
        <v>0</v>
      </c>
      <c r="AQ62" s="61">
        <f>SUMIF(CODE,$A62,'4 - Codes matrice'!CU$4:CU$99)</f>
        <v>0</v>
      </c>
      <c r="AR62" s="61">
        <f>SUMIF(CODE,$A62,'4 - Codes matrice'!CV$4:CV$99)</f>
        <v>0</v>
      </c>
      <c r="AS62" s="61">
        <f>SUMIF(CODE,$A62,'4 - Codes matrice'!CW$4:CW$99)</f>
        <v>0</v>
      </c>
      <c r="AT62" s="61">
        <f>SUMIF(CODE,$A62,'4 - Codes matrice'!CX$4:CX$99)</f>
        <v>0</v>
      </c>
      <c r="AU62" s="61">
        <f>SUMIF(CODE,$A62,'4 - Codes matrice'!CY$4:CY$99)</f>
        <v>0</v>
      </c>
      <c r="AV62" s="61">
        <f>SUMIF(CODE,$A62,'4 - Codes matrice'!CZ$4:CZ$99)</f>
        <v>0</v>
      </c>
      <c r="AW62" s="61">
        <f>SUMIF(CODE,$A62,'4 - Codes matrice'!DA$4:DA$99)</f>
        <v>0</v>
      </c>
      <c r="AX62" s="61">
        <f>SUMIF(CODE,$A62,'4 - Codes matrice'!DB$4:DB$99)</f>
        <v>0</v>
      </c>
      <c r="AY62" s="61">
        <f>SUMIF(CODE,$A62,'4 - Codes matrice'!DC$4:DC$99)</f>
        <v>0</v>
      </c>
      <c r="AZ62" s="61">
        <f>SUMIF(CODE,$A62,'4 - Codes matrice'!DD$4:DD$99)</f>
        <v>0</v>
      </c>
      <c r="BA62" s="284">
        <f t="shared" si="17"/>
        <v>0</v>
      </c>
    </row>
    <row r="63" spans="1:107" x14ac:dyDescent="0.25">
      <c r="A63" s="301"/>
      <c r="B63"/>
      <c r="C63"/>
      <c r="D63"/>
      <c r="E63"/>
      <c r="F63"/>
      <c r="G63"/>
      <c r="H63"/>
      <c r="I63"/>
      <c r="J63"/>
      <c r="K63"/>
      <c r="L63"/>
      <c r="M63"/>
      <c r="N63"/>
      <c r="O63"/>
      <c r="P63"/>
      <c r="Q63"/>
      <c r="R63"/>
      <c r="S63"/>
      <c r="T63"/>
      <c r="U63"/>
      <c r="V63"/>
      <c r="W63"/>
      <c r="X63"/>
      <c r="Y63"/>
      <c r="Z63"/>
      <c r="AA63"/>
      <c r="AB63" s="61">
        <f>SUMIF(CODE,$A63,'4 - Codes matrice'!CF$4:CF$99)</f>
        <v>0</v>
      </c>
      <c r="AC63" s="61">
        <f>SUMIF(CODE,$A63,'4 - Codes matrice'!CG$4:CG$99)</f>
        <v>0</v>
      </c>
      <c r="AD63" s="61">
        <f>SUMIF(CODE,$A63,'4 - Codes matrice'!CH$4:CH$99)</f>
        <v>0</v>
      </c>
      <c r="AE63" s="61">
        <f>SUMIF(CODE,$A63,'4 - Codes matrice'!CI$4:CI$99)</f>
        <v>0</v>
      </c>
      <c r="AF63" s="61">
        <f>SUMIF(CODE,$A63,'4 - Codes matrice'!CJ$4:CJ$99)</f>
        <v>0</v>
      </c>
      <c r="AG63" s="61">
        <f>SUMIF(CODE,$A63,'4 - Codes matrice'!CK$4:CK$99)</f>
        <v>0</v>
      </c>
      <c r="AH63" s="61">
        <f>SUMIF(CODE,$A63,'4 - Codes matrice'!CL$4:CL$99)</f>
        <v>0</v>
      </c>
      <c r="AI63" s="61">
        <f>SUMIF(CODE,$A63,'4 - Codes matrice'!CM$4:CM$99)</f>
        <v>0</v>
      </c>
      <c r="AJ63" s="61">
        <f>SUMIF(CODE,$A63,'4 - Codes matrice'!CN$4:CN$99)</f>
        <v>0</v>
      </c>
      <c r="AK63" s="61">
        <f>SUMIF(CODE,$A63,'4 - Codes matrice'!CO$4:CO$99)</f>
        <v>0</v>
      </c>
      <c r="AL63" s="61">
        <f>SUMIF(CODE,$A63,'4 - Codes matrice'!CP$4:CP$99)</f>
        <v>0</v>
      </c>
      <c r="AM63" s="61">
        <f>SUMIF(CODE,$A63,'4 - Codes matrice'!CQ$4:CQ$99)</f>
        <v>0</v>
      </c>
      <c r="AN63" s="61">
        <f>SUMIF(CODE,$A63,'4 - Codes matrice'!CR$4:CR$99)</f>
        <v>0</v>
      </c>
      <c r="AO63" s="61">
        <f>SUMIF(CODE,$A63,'4 - Codes matrice'!CS$4:CS$99)</f>
        <v>0</v>
      </c>
      <c r="AP63" s="61">
        <f>SUMIF(CODE,$A63,'4 - Codes matrice'!CT$4:CT$99)</f>
        <v>0</v>
      </c>
      <c r="AQ63" s="61">
        <f>SUMIF(CODE,$A63,'4 - Codes matrice'!CU$4:CU$99)</f>
        <v>0</v>
      </c>
      <c r="AR63" s="61">
        <f>SUMIF(CODE,$A63,'4 - Codes matrice'!CV$4:CV$99)</f>
        <v>0</v>
      </c>
      <c r="AS63" s="61">
        <f>SUMIF(CODE,$A63,'4 - Codes matrice'!CW$4:CW$99)</f>
        <v>0</v>
      </c>
      <c r="AT63" s="61">
        <f>SUMIF(CODE,$A63,'4 - Codes matrice'!CX$4:CX$99)</f>
        <v>0</v>
      </c>
      <c r="AU63" s="61">
        <f>SUMIF(CODE,$A63,'4 - Codes matrice'!CY$4:CY$99)</f>
        <v>0</v>
      </c>
      <c r="AV63" s="61">
        <f>SUMIF(CODE,$A63,'4 - Codes matrice'!CZ$4:CZ$99)</f>
        <v>0</v>
      </c>
      <c r="AW63" s="61">
        <f>SUMIF(CODE,$A63,'4 - Codes matrice'!DA$4:DA$99)</f>
        <v>0</v>
      </c>
      <c r="AX63" s="61">
        <f>SUMIF(CODE,$A63,'4 - Codes matrice'!DB$4:DB$99)</f>
        <v>0</v>
      </c>
      <c r="AY63" s="61">
        <f>SUMIF(CODE,$A63,'4 - Codes matrice'!DC$4:DC$99)</f>
        <v>0</v>
      </c>
      <c r="AZ63" s="61">
        <f>SUMIF(CODE,$A63,'4 - Codes matrice'!DD$4:DD$99)</f>
        <v>0</v>
      </c>
      <c r="BA63" s="284">
        <f t="shared" si="17"/>
        <v>0</v>
      </c>
    </row>
    <row r="64" spans="1:107" x14ac:dyDescent="0.25">
      <c r="A64" s="301"/>
      <c r="B64"/>
      <c r="C64"/>
      <c r="D64"/>
      <c r="E64"/>
      <c r="F64"/>
      <c r="G64"/>
      <c r="H64"/>
      <c r="I64"/>
      <c r="J64"/>
      <c r="K64"/>
      <c r="L64"/>
      <c r="M64"/>
      <c r="N64"/>
      <c r="O64"/>
      <c r="P64"/>
      <c r="Q64"/>
      <c r="R64"/>
      <c r="S64"/>
      <c r="T64"/>
      <c r="U64"/>
      <c r="V64"/>
      <c r="W64"/>
      <c r="X64"/>
      <c r="Y64"/>
      <c r="Z64"/>
      <c r="AA64"/>
      <c r="AB64" s="61">
        <f>SUMIF(CODE,$A64,'4 - Codes matrice'!CF$4:CF$99)</f>
        <v>0</v>
      </c>
      <c r="AC64" s="61">
        <f>SUMIF(CODE,$A64,'4 - Codes matrice'!CG$4:CG$99)</f>
        <v>0</v>
      </c>
      <c r="AD64" s="61">
        <f>SUMIF(CODE,$A64,'4 - Codes matrice'!CH$4:CH$99)</f>
        <v>0</v>
      </c>
      <c r="AE64" s="61">
        <f>SUMIF(CODE,$A64,'4 - Codes matrice'!CI$4:CI$99)</f>
        <v>0</v>
      </c>
      <c r="AF64" s="61">
        <f>SUMIF(CODE,$A64,'4 - Codes matrice'!CJ$4:CJ$99)</f>
        <v>0</v>
      </c>
      <c r="AG64" s="61">
        <f>SUMIF(CODE,$A64,'4 - Codes matrice'!CK$4:CK$99)</f>
        <v>0</v>
      </c>
      <c r="AH64" s="61">
        <f>SUMIF(CODE,$A64,'4 - Codes matrice'!CL$4:CL$99)</f>
        <v>0</v>
      </c>
      <c r="AI64" s="61">
        <f>SUMIF(CODE,$A64,'4 - Codes matrice'!CM$4:CM$99)</f>
        <v>0</v>
      </c>
      <c r="AJ64" s="61">
        <f>SUMIF(CODE,$A64,'4 - Codes matrice'!CN$4:CN$99)</f>
        <v>0</v>
      </c>
      <c r="AK64" s="61">
        <f>SUMIF(CODE,$A64,'4 - Codes matrice'!CO$4:CO$99)</f>
        <v>0</v>
      </c>
      <c r="AL64" s="61">
        <f>SUMIF(CODE,$A64,'4 - Codes matrice'!CP$4:CP$99)</f>
        <v>0</v>
      </c>
      <c r="AM64" s="61">
        <f>SUMIF(CODE,$A64,'4 - Codes matrice'!CQ$4:CQ$99)</f>
        <v>0</v>
      </c>
      <c r="AN64" s="61">
        <f>SUMIF(CODE,$A64,'4 - Codes matrice'!CR$4:CR$99)</f>
        <v>0</v>
      </c>
      <c r="AO64" s="61">
        <f>SUMIF(CODE,$A64,'4 - Codes matrice'!CS$4:CS$99)</f>
        <v>0</v>
      </c>
      <c r="AP64" s="61">
        <f>SUMIF(CODE,$A64,'4 - Codes matrice'!CT$4:CT$99)</f>
        <v>0</v>
      </c>
      <c r="AQ64" s="61">
        <f>SUMIF(CODE,$A64,'4 - Codes matrice'!CU$4:CU$99)</f>
        <v>0</v>
      </c>
      <c r="AR64" s="61">
        <f>SUMIF(CODE,$A64,'4 - Codes matrice'!CV$4:CV$99)</f>
        <v>0</v>
      </c>
      <c r="AS64" s="61">
        <f>SUMIF(CODE,$A64,'4 - Codes matrice'!CW$4:CW$99)</f>
        <v>0</v>
      </c>
      <c r="AT64" s="61">
        <f>SUMIF(CODE,$A64,'4 - Codes matrice'!CX$4:CX$99)</f>
        <v>0</v>
      </c>
      <c r="AU64" s="61">
        <f>SUMIF(CODE,$A64,'4 - Codes matrice'!CY$4:CY$99)</f>
        <v>0</v>
      </c>
      <c r="AV64" s="61">
        <f>SUMIF(CODE,$A64,'4 - Codes matrice'!CZ$4:CZ$99)</f>
        <v>0</v>
      </c>
      <c r="AW64" s="61">
        <f>SUMIF(CODE,$A64,'4 - Codes matrice'!DA$4:DA$99)</f>
        <v>0</v>
      </c>
      <c r="AX64" s="61">
        <f>SUMIF(CODE,$A64,'4 - Codes matrice'!DB$4:DB$99)</f>
        <v>0</v>
      </c>
      <c r="AY64" s="61">
        <f>SUMIF(CODE,$A64,'4 - Codes matrice'!DC$4:DC$99)</f>
        <v>0</v>
      </c>
      <c r="AZ64" s="61">
        <f>SUMIF(CODE,$A64,'4 - Codes matrice'!DD$4:DD$99)</f>
        <v>0</v>
      </c>
      <c r="BA64" s="284">
        <f t="shared" si="17"/>
        <v>0</v>
      </c>
    </row>
    <row r="66" spans="1:107" ht="21" x14ac:dyDescent="0.4">
      <c r="A66" s="257" t="s">
        <v>1103</v>
      </c>
    </row>
    <row r="68" spans="1:107" x14ac:dyDescent="0.25">
      <c r="A68" s="253" t="s">
        <v>219</v>
      </c>
      <c r="B68"/>
      <c r="C68"/>
      <c r="D68"/>
      <c r="E68"/>
      <c r="F68"/>
      <c r="G68"/>
      <c r="H68"/>
      <c r="I68"/>
      <c r="J68"/>
      <c r="K68"/>
      <c r="L68"/>
      <c r="M68"/>
      <c r="N68"/>
      <c r="O68"/>
      <c r="P68"/>
      <c r="Q68"/>
      <c r="R68"/>
      <c r="S68"/>
      <c r="T68"/>
      <c r="U68"/>
      <c r="V68"/>
      <c r="W68"/>
      <c r="X68"/>
      <c r="Y68"/>
      <c r="Z68"/>
      <c r="AA68"/>
      <c r="AB68" s="282">
        <f>'2 - Matrice finale'!B58</f>
        <v>0</v>
      </c>
      <c r="AC68" s="282">
        <f>'2 - Matrice finale'!C58</f>
        <v>0</v>
      </c>
      <c r="AD68" s="282">
        <f>'2 - Matrice finale'!D58</f>
        <v>0</v>
      </c>
      <c r="AE68" s="282">
        <f>'2 - Matrice finale'!E58</f>
        <v>0</v>
      </c>
      <c r="AF68" s="282">
        <f>'2 - Matrice finale'!F58</f>
        <v>0</v>
      </c>
      <c r="AG68" s="282">
        <f>'2 - Matrice finale'!G58</f>
        <v>0</v>
      </c>
      <c r="AH68" s="282">
        <f>'2 - Matrice finale'!H58</f>
        <v>0</v>
      </c>
      <c r="AI68" s="282">
        <f>'2 - Matrice finale'!I58</f>
        <v>0</v>
      </c>
      <c r="AJ68" s="282">
        <f>'2 - Matrice finale'!J58</f>
        <v>0</v>
      </c>
      <c r="AK68" s="282">
        <f>'2 - Matrice finale'!K58</f>
        <v>0</v>
      </c>
      <c r="AL68" s="282">
        <f>'2 - Matrice finale'!L58</f>
        <v>0</v>
      </c>
      <c r="AM68" s="282">
        <f>'2 - Matrice finale'!M58</f>
        <v>0</v>
      </c>
      <c r="AN68" s="282">
        <f>'2 - Matrice finale'!N58</f>
        <v>0</v>
      </c>
      <c r="AO68" s="282">
        <f>'2 - Matrice finale'!O58</f>
        <v>0</v>
      </c>
      <c r="AP68" s="282">
        <f>'2 - Matrice finale'!P58</f>
        <v>0</v>
      </c>
      <c r="AQ68" s="282">
        <f>'2 - Matrice finale'!Q58</f>
        <v>0</v>
      </c>
      <c r="AR68" s="282">
        <f>'2 - Matrice finale'!R58</f>
        <v>0</v>
      </c>
      <c r="AS68" s="282">
        <f>'2 - Matrice finale'!S58</f>
        <v>0</v>
      </c>
      <c r="AT68" s="282">
        <f>'2 - Matrice finale'!T58</f>
        <v>0</v>
      </c>
      <c r="AU68" s="282">
        <f>'2 - Matrice finale'!U58</f>
        <v>0</v>
      </c>
      <c r="AV68" s="282">
        <f>'2 - Matrice finale'!V58</f>
        <v>0</v>
      </c>
      <c r="AW68" s="282">
        <f>'2 - Matrice finale'!W58</f>
        <v>0</v>
      </c>
      <c r="AX68" s="282">
        <f>'2 - Matrice finale'!X58</f>
        <v>0</v>
      </c>
      <c r="AY68" s="282">
        <f>'2 - Matrice finale'!Y58</f>
        <v>0</v>
      </c>
      <c r="AZ68" s="282">
        <f>'2 - Matrice finale'!Z58</f>
        <v>0</v>
      </c>
      <c r="BA68" s="285"/>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row>
  </sheetData>
  <sheetProtection sheet="1" objects="1" scenarios="1" formatCells="0" formatColumns="0" formatRows="0"/>
  <mergeCells count="7">
    <mergeCell ref="CD3:DB3"/>
    <mergeCell ref="AC2:AE2"/>
    <mergeCell ref="B3:Z3"/>
    <mergeCell ref="AC3:AZ3"/>
    <mergeCell ref="BA3:BA4"/>
    <mergeCell ref="BC3:CA3"/>
    <mergeCell ref="CB3:CB4"/>
  </mergeCells>
  <conditionalFormatting sqref="A58:A64">
    <cfRule type="expression" dxfId="59" priority="2">
      <formula>OR(XFD58="Amortissement extra-comptable",XFD58="Reprise extra-comptable",XFD58="Non incorporable")</formula>
    </cfRule>
    <cfRule type="expression" dxfId="58" priority="3">
      <formula>AND(A58=0,OR(XFD58="Incorporable",XFD58="Supplétif",XFD58="Reprise",XFD58="Amortissement",XFD58="Atténuation de produit",XFD58="atténuation de charge"))</formula>
    </cfRule>
  </conditionalFormatting>
  <conditionalFormatting sqref="A68">
    <cfRule type="duplicateValues" dxfId="57" priority="1"/>
  </conditionalFormatting>
  <dataValidations count="1">
    <dataValidation type="list" showInputMessage="1" showErrorMessage="1" sqref="AB3 A58:A64" xr:uid="{00000000-0002-0000-0F00-000000000000}">
      <formula1>OFFSET(CODE_1,0,0,COUNTA(CODE),1)</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DC68"/>
  <sheetViews>
    <sheetView showGridLines="0" zoomScaleNormal="100" workbookViewId="0">
      <pane xSplit="27" ySplit="4" topLeftCell="AB5" activePane="bottomRight" state="frozen"/>
      <selection pane="topRight" activeCell="AB55" sqref="AB55"/>
      <selection pane="bottomLeft" activeCell="AB55" sqref="AB55"/>
      <selection pane="bottomRight" activeCell="AE8" sqref="AE8"/>
    </sheetView>
  </sheetViews>
  <sheetFormatPr baseColWidth="10" defaultColWidth="11.44140625" defaultRowHeight="13.2" x14ac:dyDescent="0.25"/>
  <cols>
    <col min="1" max="1" width="36" style="20" customWidth="1"/>
    <col min="2" max="2" width="10.33203125" style="20" hidden="1" customWidth="1"/>
    <col min="3" max="26" width="8.5546875" style="20" hidden="1" customWidth="1"/>
    <col min="27" max="27" width="3.6640625" style="7" hidden="1" customWidth="1"/>
    <col min="28" max="32" width="13.44140625" style="7" customWidth="1"/>
    <col min="33" max="35" width="13.44140625" style="7" hidden="1" customWidth="1"/>
    <col min="36" max="52" width="2.44140625" style="7" hidden="1" customWidth="1"/>
    <col min="53" max="53" width="12.88671875" style="7" customWidth="1"/>
    <col min="54" max="54" width="2.44140625" style="7" customWidth="1"/>
    <col min="55" max="59" width="13.44140625" style="7" customWidth="1"/>
    <col min="60" max="62" width="13.44140625" style="7" hidden="1" customWidth="1"/>
    <col min="63" max="79" width="2.44140625" style="7" hidden="1" customWidth="1"/>
    <col min="80" max="80" width="12.88671875" style="7" customWidth="1"/>
    <col min="81" max="81" width="2.44140625" style="7" customWidth="1"/>
    <col min="82" max="106" width="11.44140625" style="7" hidden="1" customWidth="1"/>
    <col min="107" max="16384" width="11.44140625" style="7"/>
  </cols>
  <sheetData>
    <row r="1" spans="1:106" ht="21" x14ac:dyDescent="0.4">
      <c r="A1" s="19" t="s">
        <v>1106</v>
      </c>
    </row>
    <row r="2" spans="1:106" ht="16.2" thickBot="1" x14ac:dyDescent="0.35">
      <c r="A2" s="7"/>
      <c r="AA2" s="196"/>
      <c r="AC2" s="740" t="s">
        <v>245</v>
      </c>
      <c r="AD2" s="741"/>
      <c r="AE2" s="741"/>
      <c r="BA2" s="53" t="str">
        <f ca="1">IF(AND(CELL("format",BA53)="%0",BA53&lt;&gt;1,BA53&gt;0),"Le total ne fait pas 100%","")</f>
        <v/>
      </c>
      <c r="BC2" s="196"/>
      <c r="BD2" s="196"/>
      <c r="BE2" s="196"/>
      <c r="BF2" s="196"/>
      <c r="BG2" s="196"/>
      <c r="BH2" s="196"/>
      <c r="BI2" s="196"/>
      <c r="BJ2" s="196"/>
      <c r="BK2" s="196"/>
      <c r="BL2" s="196"/>
      <c r="BM2" s="196"/>
      <c r="BN2" s="196"/>
      <c r="BO2" s="196"/>
      <c r="BP2" s="196"/>
      <c r="BQ2" s="196"/>
      <c r="BR2" s="196"/>
      <c r="BS2" s="196"/>
      <c r="BT2" s="196"/>
      <c r="BU2" s="196"/>
      <c r="BV2" s="196"/>
      <c r="BW2" s="196"/>
      <c r="BX2" s="196"/>
      <c r="BY2" s="196"/>
      <c r="BZ2" s="196"/>
      <c r="CA2" s="196"/>
      <c r="CB2" s="196"/>
    </row>
    <row r="3" spans="1:106" ht="39" customHeight="1" thickBot="1" x14ac:dyDescent="0.3">
      <c r="A3" s="184"/>
      <c r="B3" s="742" t="s">
        <v>1098</v>
      </c>
      <c r="C3" s="743"/>
      <c r="D3" s="743"/>
      <c r="E3" s="743"/>
      <c r="F3" s="743"/>
      <c r="G3" s="743"/>
      <c r="H3" s="743"/>
      <c r="I3" s="743"/>
      <c r="J3" s="743"/>
      <c r="K3" s="743"/>
      <c r="L3" s="743"/>
      <c r="M3" s="743"/>
      <c r="N3" s="743"/>
      <c r="O3" s="743"/>
      <c r="P3" s="743"/>
      <c r="Q3" s="743"/>
      <c r="R3" s="743"/>
      <c r="S3" s="743"/>
      <c r="T3" s="743"/>
      <c r="U3" s="743"/>
      <c r="V3" s="743"/>
      <c r="W3" s="743"/>
      <c r="X3" s="743"/>
      <c r="Y3" s="743"/>
      <c r="Z3" s="744"/>
      <c r="AB3" s="190"/>
      <c r="AC3" s="745"/>
      <c r="AD3" s="746"/>
      <c r="AE3" s="746"/>
      <c r="AF3" s="746"/>
      <c r="AG3" s="746"/>
      <c r="AH3" s="746"/>
      <c r="AI3" s="746"/>
      <c r="AJ3" s="746"/>
      <c r="AK3" s="746"/>
      <c r="AL3" s="746"/>
      <c r="AM3" s="746"/>
      <c r="AN3" s="746"/>
      <c r="AO3" s="746"/>
      <c r="AP3" s="746"/>
      <c r="AQ3" s="746"/>
      <c r="AR3" s="746"/>
      <c r="AS3" s="746"/>
      <c r="AT3" s="746"/>
      <c r="AU3" s="746"/>
      <c r="AV3" s="746"/>
      <c r="AW3" s="746"/>
      <c r="AX3" s="746"/>
      <c r="AY3" s="746"/>
      <c r="AZ3" s="747"/>
      <c r="BA3" s="748" t="s">
        <v>172</v>
      </c>
      <c r="BC3" s="674" t="s">
        <v>1099</v>
      </c>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t="s">
        <v>172</v>
      </c>
      <c r="CD3" s="737" t="s">
        <v>1100</v>
      </c>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9"/>
    </row>
    <row r="4" spans="1:106" ht="42" customHeight="1" x14ac:dyDescent="0.25">
      <c r="A4" s="44" t="s">
        <v>173</v>
      </c>
      <c r="B4" s="640" t="str">
        <f>Matrice[[#Headers],[OMR]]</f>
        <v>OMR</v>
      </c>
      <c r="C4" s="640" t="str">
        <f>Matrice[[#Headers],[Verre]]</f>
        <v>Verre</v>
      </c>
      <c r="D4" s="640" t="str">
        <f>Matrice[[#Headers],[RSOM hors verre]]</f>
        <v>RSOM hors verre</v>
      </c>
      <c r="E4" s="640" t="str">
        <f>Matrice[[#Headers],[Déchets des déchèteries]]</f>
        <v>Déchets des déchèteries</v>
      </c>
      <c r="F4" s="640" t="str">
        <f>Matrice[[#Headers],[Flux 5]]</f>
        <v>Flux 5</v>
      </c>
      <c r="G4" s="640" t="str">
        <f>Matrice[[#Headers],[Flux 6]]</f>
        <v>Flux 6</v>
      </c>
      <c r="H4" s="640" t="str">
        <f>Matrice[[#Headers],[Flux 7]]</f>
        <v>Flux 7</v>
      </c>
      <c r="I4" s="640" t="str">
        <f>Matrice[[#Headers],[Flux 8]]</f>
        <v>Flux 8</v>
      </c>
      <c r="J4" s="640" t="str">
        <f>Matrice[[#Headers],[Flux 9]]</f>
        <v>Flux 9</v>
      </c>
      <c r="K4" s="640" t="str">
        <f>Matrice[[#Headers],[Flux 10]]</f>
        <v>Flux 10</v>
      </c>
      <c r="L4" s="640" t="str">
        <f>Matrice[[#Headers],[Flux 11]]</f>
        <v>Flux 11</v>
      </c>
      <c r="M4" s="640" t="str">
        <f>Matrice[[#Headers],[Flux 12]]</f>
        <v>Flux 12</v>
      </c>
      <c r="N4" s="640" t="str">
        <f>Matrice[[#Headers],[Flux 13]]</f>
        <v>Flux 13</v>
      </c>
      <c r="O4" s="640" t="str">
        <f>Matrice[[#Headers],[Flux 14]]</f>
        <v>Flux 14</v>
      </c>
      <c r="P4" s="640" t="str">
        <f>Matrice[[#Headers],[Flux 15]]</f>
        <v>Flux 15</v>
      </c>
      <c r="Q4" s="640" t="str">
        <f>Matrice[[#Headers],[Flux 16]]</f>
        <v>Flux 16</v>
      </c>
      <c r="R4" s="640" t="str">
        <f>Matrice[[#Headers],[Flux 17]]</f>
        <v>Flux 17</v>
      </c>
      <c r="S4" s="640" t="str">
        <f>Matrice[[#Headers],[Flux 18]]</f>
        <v>Flux 18</v>
      </c>
      <c r="T4" s="640" t="str">
        <f>Matrice[[#Headers],[Flux 19]]</f>
        <v>Flux 19</v>
      </c>
      <c r="U4" s="640" t="str">
        <f>Matrice[[#Headers],[Flux 20]]</f>
        <v>Flux 20</v>
      </c>
      <c r="V4" s="640" t="str">
        <f>Matrice[[#Headers],[Flux 21]]</f>
        <v>Flux 21</v>
      </c>
      <c r="W4" s="640" t="str">
        <f>Matrice[[#Headers],[Flux 22]]</f>
        <v>Flux 22</v>
      </c>
      <c r="X4" s="640" t="str">
        <f>Matrice[[#Headers],[Flux 23]]</f>
        <v>Flux 23</v>
      </c>
      <c r="Y4" s="640" t="str">
        <f>Matrice[[#Headers],[Flux 24]]</f>
        <v>Flux 24</v>
      </c>
      <c r="Z4" s="640" t="str">
        <f>Matrice[[#Headers],[Flux 25]]</f>
        <v>Flux 25</v>
      </c>
      <c r="AA4" s="197"/>
      <c r="AB4" s="640" t="str">
        <f t="shared" ref="AB4:AZ4" si="0">B4</f>
        <v>OMR</v>
      </c>
      <c r="AC4" s="187" t="str">
        <f t="shared" si="0"/>
        <v>Verre</v>
      </c>
      <c r="AD4" s="187" t="str">
        <f t="shared" si="0"/>
        <v>RSOM hors verre</v>
      </c>
      <c r="AE4" s="187" t="str">
        <f t="shared" si="0"/>
        <v>Déchets des déchèteries</v>
      </c>
      <c r="AF4" s="187" t="str">
        <f t="shared" si="0"/>
        <v>Flux 5</v>
      </c>
      <c r="AG4" s="187" t="str">
        <f t="shared" si="0"/>
        <v>Flux 6</v>
      </c>
      <c r="AH4" s="187" t="str">
        <f t="shared" si="0"/>
        <v>Flux 7</v>
      </c>
      <c r="AI4" s="187" t="str">
        <f t="shared" si="0"/>
        <v>Flux 8</v>
      </c>
      <c r="AJ4" s="187" t="str">
        <f t="shared" si="0"/>
        <v>Flux 9</v>
      </c>
      <c r="AK4" s="187" t="str">
        <f t="shared" si="0"/>
        <v>Flux 10</v>
      </c>
      <c r="AL4" s="187" t="str">
        <f t="shared" si="0"/>
        <v>Flux 11</v>
      </c>
      <c r="AM4" s="187" t="str">
        <f t="shared" si="0"/>
        <v>Flux 12</v>
      </c>
      <c r="AN4" s="187" t="str">
        <f t="shared" si="0"/>
        <v>Flux 13</v>
      </c>
      <c r="AO4" s="187" t="str">
        <f t="shared" si="0"/>
        <v>Flux 14</v>
      </c>
      <c r="AP4" s="187" t="str">
        <f t="shared" si="0"/>
        <v>Flux 15</v>
      </c>
      <c r="AQ4" s="187" t="str">
        <f t="shared" si="0"/>
        <v>Flux 16</v>
      </c>
      <c r="AR4" s="187" t="str">
        <f t="shared" si="0"/>
        <v>Flux 17</v>
      </c>
      <c r="AS4" s="187" t="str">
        <f t="shared" si="0"/>
        <v>Flux 18</v>
      </c>
      <c r="AT4" s="187" t="str">
        <f t="shared" si="0"/>
        <v>Flux 19</v>
      </c>
      <c r="AU4" s="187" t="str">
        <f t="shared" si="0"/>
        <v>Flux 20</v>
      </c>
      <c r="AV4" s="187" t="str">
        <f t="shared" si="0"/>
        <v>Flux 21</v>
      </c>
      <c r="AW4" s="187" t="str">
        <f t="shared" si="0"/>
        <v>Flux 22</v>
      </c>
      <c r="AX4" s="187" t="str">
        <f t="shared" si="0"/>
        <v>Flux 23</v>
      </c>
      <c r="AY4" s="187" t="str">
        <f t="shared" si="0"/>
        <v>Flux 24</v>
      </c>
      <c r="AZ4" s="187" t="str">
        <f t="shared" si="0"/>
        <v>Flux 25</v>
      </c>
      <c r="BA4" s="675"/>
      <c r="BC4" s="640" t="str">
        <f>AB4</f>
        <v>OMR</v>
      </c>
      <c r="BD4" s="640" t="str">
        <f t="shared" ref="BD4:CA4" si="1">AC4</f>
        <v>Verre</v>
      </c>
      <c r="BE4" s="640" t="str">
        <f t="shared" si="1"/>
        <v>RSOM hors verre</v>
      </c>
      <c r="BF4" s="640" t="str">
        <f t="shared" si="1"/>
        <v>Déchets des déchèteries</v>
      </c>
      <c r="BG4" s="640" t="str">
        <f t="shared" si="1"/>
        <v>Flux 5</v>
      </c>
      <c r="BH4" s="640" t="str">
        <f t="shared" si="1"/>
        <v>Flux 6</v>
      </c>
      <c r="BI4" s="640" t="str">
        <f t="shared" si="1"/>
        <v>Flux 7</v>
      </c>
      <c r="BJ4" s="640" t="str">
        <f t="shared" si="1"/>
        <v>Flux 8</v>
      </c>
      <c r="BK4" s="640" t="str">
        <f t="shared" si="1"/>
        <v>Flux 9</v>
      </c>
      <c r="BL4" s="640" t="str">
        <f t="shared" si="1"/>
        <v>Flux 10</v>
      </c>
      <c r="BM4" s="640" t="str">
        <f t="shared" si="1"/>
        <v>Flux 11</v>
      </c>
      <c r="BN4" s="640" t="str">
        <f t="shared" si="1"/>
        <v>Flux 12</v>
      </c>
      <c r="BO4" s="640" t="str">
        <f t="shared" si="1"/>
        <v>Flux 13</v>
      </c>
      <c r="BP4" s="640" t="str">
        <f t="shared" si="1"/>
        <v>Flux 14</v>
      </c>
      <c r="BQ4" s="640" t="str">
        <f t="shared" si="1"/>
        <v>Flux 15</v>
      </c>
      <c r="BR4" s="640" t="str">
        <f t="shared" si="1"/>
        <v>Flux 16</v>
      </c>
      <c r="BS4" s="640" t="str">
        <f t="shared" si="1"/>
        <v>Flux 17</v>
      </c>
      <c r="BT4" s="640" t="str">
        <f t="shared" si="1"/>
        <v>Flux 18</v>
      </c>
      <c r="BU4" s="640" t="str">
        <f t="shared" si="1"/>
        <v>Flux 19</v>
      </c>
      <c r="BV4" s="640" t="str">
        <f t="shared" si="1"/>
        <v>Flux 20</v>
      </c>
      <c r="BW4" s="640" t="str">
        <f t="shared" si="1"/>
        <v>Flux 21</v>
      </c>
      <c r="BX4" s="640" t="str">
        <f t="shared" si="1"/>
        <v>Flux 22</v>
      </c>
      <c r="BY4" s="640" t="str">
        <f t="shared" si="1"/>
        <v>Flux 23</v>
      </c>
      <c r="BZ4" s="640" t="str">
        <f t="shared" si="1"/>
        <v>Flux 24</v>
      </c>
      <c r="CA4" s="640" t="str">
        <f t="shared" si="1"/>
        <v>Flux 25</v>
      </c>
      <c r="CB4" s="675"/>
      <c r="CD4" s="185" t="str">
        <f>Matrice[[#Headers],[OMR]]</f>
        <v>OMR</v>
      </c>
      <c r="CE4" s="185" t="str">
        <f>Matrice[[#Headers],[Verre]]</f>
        <v>Verre</v>
      </c>
      <c r="CF4" s="185" t="str">
        <f>Matrice[[#Headers],[RSOM hors verre]]</f>
        <v>RSOM hors verre</v>
      </c>
      <c r="CG4" s="185" t="str">
        <f>Matrice[[#Headers],[Déchets des déchèteries]]</f>
        <v>Déchets des déchèteries</v>
      </c>
      <c r="CH4" s="185" t="str">
        <f>Matrice[[#Headers],[Flux 5]]</f>
        <v>Flux 5</v>
      </c>
      <c r="CI4" s="185" t="str">
        <f>Matrice[[#Headers],[Flux 6]]</f>
        <v>Flux 6</v>
      </c>
      <c r="CJ4" s="185" t="str">
        <f>Matrice[[#Headers],[Flux 7]]</f>
        <v>Flux 7</v>
      </c>
      <c r="CK4" s="185" t="str">
        <f>Matrice[[#Headers],[Flux 8]]</f>
        <v>Flux 8</v>
      </c>
      <c r="CL4" s="185" t="str">
        <f>Matrice[[#Headers],[Flux 9]]</f>
        <v>Flux 9</v>
      </c>
      <c r="CM4" s="185" t="str">
        <f>Matrice[[#Headers],[Flux 10]]</f>
        <v>Flux 10</v>
      </c>
      <c r="CN4" s="185" t="str">
        <f>Matrice[[#Headers],[Flux 11]]</f>
        <v>Flux 11</v>
      </c>
      <c r="CO4" s="185" t="str">
        <f>Matrice[[#Headers],[Flux 12]]</f>
        <v>Flux 12</v>
      </c>
      <c r="CP4" s="185" t="str">
        <f>Matrice[[#Headers],[Flux 13]]</f>
        <v>Flux 13</v>
      </c>
      <c r="CQ4" s="185" t="str">
        <f>Matrice[[#Headers],[Flux 14]]</f>
        <v>Flux 14</v>
      </c>
      <c r="CR4" s="185" t="str">
        <f>Matrice[[#Headers],[Flux 15]]</f>
        <v>Flux 15</v>
      </c>
      <c r="CS4" s="185" t="str">
        <f>Matrice[[#Headers],[Flux 16]]</f>
        <v>Flux 16</v>
      </c>
      <c r="CT4" s="185" t="str">
        <f>Matrice[[#Headers],[Flux 17]]</f>
        <v>Flux 17</v>
      </c>
      <c r="CU4" s="185" t="str">
        <f>Matrice[[#Headers],[Flux 18]]</f>
        <v>Flux 18</v>
      </c>
      <c r="CV4" s="185" t="str">
        <f>Matrice[[#Headers],[Flux 19]]</f>
        <v>Flux 19</v>
      </c>
      <c r="CW4" s="185" t="str">
        <f>Matrice[[#Headers],[Flux 20]]</f>
        <v>Flux 20</v>
      </c>
      <c r="CX4" s="185" t="str">
        <f>Matrice[[#Headers],[Flux 21]]</f>
        <v>Flux 21</v>
      </c>
      <c r="CY4" s="185" t="str">
        <f>Matrice[[#Headers],[Flux 22]]</f>
        <v>Flux 22</v>
      </c>
      <c r="CZ4" s="185" t="str">
        <f>Matrice[[#Headers],[Flux 23]]</f>
        <v>Flux 23</v>
      </c>
      <c r="DA4" s="185" t="str">
        <f>Matrice[[#Headers],[Flux 24]]</f>
        <v>Flux 24</v>
      </c>
      <c r="DB4" s="185" t="str">
        <f>Matrice[[#Headers],[Flux 25]]</f>
        <v>Flux 25</v>
      </c>
    </row>
    <row r="5" spans="1:106" x14ac:dyDescent="0.25">
      <c r="A5" s="42" t="str">
        <f>Matrice[[#This Row],[Ligne de la matrice]]</f>
        <v>Charges de structure</v>
      </c>
      <c r="B5" s="276">
        <f>(SUMIF(Fonctionnement[Affectation matrice],$AB$3,Fonctionnement[Montant (€HT)])+SUMIF(Invest[Affectation matrice],$AB$3,Invest[Amortissement HT + intérêts]))*BC5</f>
        <v>0</v>
      </c>
      <c r="C5" s="276">
        <f>(SUMIF(Fonctionnement[Affectation matrice],$AB$3,Fonctionnement[Montant (€HT)])+SUMIF(Invest[Affectation matrice],$AB$3,Invest[Amortissement HT + intérêts]))*BD5</f>
        <v>0</v>
      </c>
      <c r="D5" s="276">
        <f>(SUMIF(Fonctionnement[Affectation matrice],$AB$3,Fonctionnement[Montant (€HT)])+SUMIF(Invest[Affectation matrice],$AB$3,Invest[Amortissement HT + intérêts]))*BE5</f>
        <v>0</v>
      </c>
      <c r="E5" s="276">
        <f>(SUMIF(Fonctionnement[Affectation matrice],$AB$3,Fonctionnement[Montant (€HT)])+SUMIF(Invest[Affectation matrice],$AB$3,Invest[Amortissement HT + intérêts]))*BF5</f>
        <v>0</v>
      </c>
      <c r="F5" s="276">
        <f>(SUMIF(Fonctionnement[Affectation matrice],$AB$3,Fonctionnement[Montant (€HT)])+SUMIF(Invest[Affectation matrice],$AB$3,Invest[Amortissement HT + intérêts]))*BG5</f>
        <v>0</v>
      </c>
      <c r="G5" s="276">
        <f>(SUMIF(Fonctionnement[Affectation matrice],$AB$3,Fonctionnement[Montant (€HT)])+SUMIF(Invest[Affectation matrice],$AB$3,Invest[Amortissement HT + intérêts]))*BH5</f>
        <v>0</v>
      </c>
      <c r="H5" s="276">
        <f>(SUMIF(Fonctionnement[Affectation matrice],$AB$3,Fonctionnement[Montant (€HT)])+SUMIF(Invest[Affectation matrice],$AB$3,Invest[Amortissement HT + intérêts]))*BI5</f>
        <v>0</v>
      </c>
      <c r="I5" s="276">
        <f>(SUMIF(Fonctionnement[Affectation matrice],$AB$3,Fonctionnement[Montant (€HT)])+SUMIF(Invest[Affectation matrice],$AB$3,Invest[Amortissement HT + intérêts]))*BJ5</f>
        <v>0</v>
      </c>
      <c r="J5" s="276">
        <f>(SUMIF(Fonctionnement[Affectation matrice],$AB$3,Fonctionnement[Montant (€HT)])+SUMIF(Invest[Affectation matrice],$AB$3,Invest[Amortissement HT + intérêts]))*BK5</f>
        <v>0</v>
      </c>
      <c r="K5" s="276">
        <f>(SUMIF(Fonctionnement[Affectation matrice],$AB$3,Fonctionnement[Montant (€HT)])+SUMIF(Invest[Affectation matrice],$AB$3,Invest[Amortissement HT + intérêts]))*BL5</f>
        <v>0</v>
      </c>
      <c r="L5" s="276">
        <f>(SUMIF(Fonctionnement[Affectation matrice],$AB$3,Fonctionnement[Montant (€HT)])+SUMIF(Invest[Affectation matrice],$AB$3,Invest[Amortissement HT + intérêts]))*BM5</f>
        <v>0</v>
      </c>
      <c r="M5" s="276">
        <f>(SUMIF(Fonctionnement[Affectation matrice],$AB$3,Fonctionnement[Montant (€HT)])+SUMIF(Invest[Affectation matrice],$AB$3,Invest[Amortissement HT + intérêts]))*BN5</f>
        <v>0</v>
      </c>
      <c r="N5" s="276">
        <f>(SUMIF(Fonctionnement[Affectation matrice],$AB$3,Fonctionnement[Montant (€HT)])+SUMIF(Invest[Affectation matrice],$AB$3,Invest[Amortissement HT + intérêts]))*BO5</f>
        <v>0</v>
      </c>
      <c r="O5" s="276">
        <f>(SUMIF(Fonctionnement[Affectation matrice],$AB$3,Fonctionnement[Montant (€HT)])+SUMIF(Invest[Affectation matrice],$AB$3,Invest[Amortissement HT + intérêts]))*BP5</f>
        <v>0</v>
      </c>
      <c r="P5" s="276">
        <f>(SUMIF(Fonctionnement[Affectation matrice],$AB$3,Fonctionnement[Montant (€HT)])+SUMIF(Invest[Affectation matrice],$AB$3,Invest[Amortissement HT + intérêts]))*BQ5</f>
        <v>0</v>
      </c>
      <c r="Q5" s="276">
        <f>(SUMIF(Fonctionnement[Affectation matrice],$AB$3,Fonctionnement[Montant (€HT)])+SUMIF(Invest[Affectation matrice],$AB$3,Invest[Amortissement HT + intérêts]))*BR5</f>
        <v>0</v>
      </c>
      <c r="R5" s="276">
        <f>(SUMIF(Fonctionnement[Affectation matrice],$AB$3,Fonctionnement[Montant (€HT)])+SUMIF(Invest[Affectation matrice],$AB$3,Invest[Amortissement HT + intérêts]))*BS5</f>
        <v>0</v>
      </c>
      <c r="S5" s="276">
        <f>(SUMIF(Fonctionnement[Affectation matrice],$AB$3,Fonctionnement[Montant (€HT)])+SUMIF(Invest[Affectation matrice],$AB$3,Invest[Amortissement HT + intérêts]))*BT5</f>
        <v>0</v>
      </c>
      <c r="T5" s="276">
        <f>(SUMIF(Fonctionnement[Affectation matrice],$AB$3,Fonctionnement[Montant (€HT)])+SUMIF(Invest[Affectation matrice],$AB$3,Invest[Amortissement HT + intérêts]))*BU5</f>
        <v>0</v>
      </c>
      <c r="U5" s="276">
        <f>(SUMIF(Fonctionnement[Affectation matrice],$AB$3,Fonctionnement[Montant (€HT)])+SUMIF(Invest[Affectation matrice],$AB$3,Invest[Amortissement HT + intérêts]))*BV5</f>
        <v>0</v>
      </c>
      <c r="V5" s="276">
        <f>(SUMIF(Fonctionnement[Affectation matrice],$AB$3,Fonctionnement[Montant (€HT)])+SUMIF(Invest[Affectation matrice],$AB$3,Invest[Amortissement HT + intérêts]))*BW5</f>
        <v>0</v>
      </c>
      <c r="W5" s="276">
        <f>(SUMIF(Fonctionnement[Affectation matrice],$AB$3,Fonctionnement[Montant (€HT)])+SUMIF(Invest[Affectation matrice],$AB$3,Invest[Amortissement HT + intérêts]))*BX5</f>
        <v>0</v>
      </c>
      <c r="X5" s="276">
        <f>(SUMIF(Fonctionnement[Affectation matrice],$AB$3,Fonctionnement[Montant (€HT)])+SUMIF(Invest[Affectation matrice],$AB$3,Invest[Amortissement HT + intérêts]))*BY5</f>
        <v>0</v>
      </c>
      <c r="Y5" s="276">
        <f>(SUMIF(Fonctionnement[Affectation matrice],$AB$3,Fonctionnement[Montant (€HT)])+SUMIF(Invest[Affectation matrice],$AB$3,Invest[Amortissement HT + intérêts]))*BZ5</f>
        <v>0</v>
      </c>
      <c r="Z5" s="276">
        <f>(SUMIF(Fonctionnement[Affectation matrice],$AB$3,Fonctionnement[Montant (€HT)])+SUMIF(Invest[Affectation matrice],$AB$3,Invest[Amortissement HT + intérêts]))*CA5</f>
        <v>0</v>
      </c>
      <c r="AA5" s="199"/>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83">
        <f>SUM(AB5:AZ5)</f>
        <v>0</v>
      </c>
      <c r="BC5" s="61">
        <f t="shared" ref="BC5:BR20" si="2">IF($BA$53=0,0,AB5/$BA$53)</f>
        <v>0</v>
      </c>
      <c r="BD5" s="61">
        <f t="shared" si="2"/>
        <v>0</v>
      </c>
      <c r="BE5" s="61">
        <f t="shared" si="2"/>
        <v>0</v>
      </c>
      <c r="BF5" s="61">
        <f t="shared" si="2"/>
        <v>0</v>
      </c>
      <c r="BG5" s="61">
        <f t="shared" si="2"/>
        <v>0</v>
      </c>
      <c r="BH5" s="61">
        <f t="shared" si="2"/>
        <v>0</v>
      </c>
      <c r="BI5" s="61">
        <f t="shared" si="2"/>
        <v>0</v>
      </c>
      <c r="BJ5" s="61">
        <f t="shared" si="2"/>
        <v>0</v>
      </c>
      <c r="BK5" s="61">
        <f t="shared" si="2"/>
        <v>0</v>
      </c>
      <c r="BL5" s="61">
        <f t="shared" si="2"/>
        <v>0</v>
      </c>
      <c r="BM5" s="61">
        <f t="shared" si="2"/>
        <v>0</v>
      </c>
      <c r="BN5" s="61">
        <f t="shared" si="2"/>
        <v>0</v>
      </c>
      <c r="BO5" s="61">
        <f t="shared" si="2"/>
        <v>0</v>
      </c>
      <c r="BP5" s="61">
        <f t="shared" si="2"/>
        <v>0</v>
      </c>
      <c r="BQ5" s="61">
        <f t="shared" si="2"/>
        <v>0</v>
      </c>
      <c r="BR5" s="61">
        <f t="shared" si="2"/>
        <v>0</v>
      </c>
      <c r="BS5" s="61">
        <f t="shared" ref="BS5:CA22" si="3">IF($BA$53=0,0,AR5/$BA$53)</f>
        <v>0</v>
      </c>
      <c r="BT5" s="61">
        <f t="shared" si="3"/>
        <v>0</v>
      </c>
      <c r="BU5" s="61">
        <f t="shared" si="3"/>
        <v>0</v>
      </c>
      <c r="BV5" s="61">
        <f t="shared" si="3"/>
        <v>0</v>
      </c>
      <c r="BW5" s="61">
        <f t="shared" si="3"/>
        <v>0</v>
      </c>
      <c r="BX5" s="61">
        <f t="shared" si="3"/>
        <v>0</v>
      </c>
      <c r="BY5" s="61">
        <f t="shared" si="3"/>
        <v>0</v>
      </c>
      <c r="BZ5" s="61">
        <f t="shared" si="3"/>
        <v>0</v>
      </c>
      <c r="CA5" s="61">
        <f t="shared" si="3"/>
        <v>0</v>
      </c>
      <c r="CB5" s="61">
        <f>SUM(BC5:CA5)</f>
        <v>0</v>
      </c>
      <c r="CD5" s="200">
        <f>(SUMIF(Fonctionnement[Affectation matrice],$AB$3,Fonctionnement[TVA acquittée])+SUMIF(Invest[Affectation matrice],$AB$3,Invest[TVA acquittée]))*BC5</f>
        <v>0</v>
      </c>
      <c r="CE5" s="200">
        <f>(SUMIF(Fonctionnement[Affectation matrice],$AB$3,Fonctionnement[TVA acquittée])+SUMIF(Invest[Affectation matrice],$AB$3,Invest[TVA acquittée]))*BD5</f>
        <v>0</v>
      </c>
      <c r="CF5" s="200">
        <f>(SUMIF(Fonctionnement[Affectation matrice],$AB$3,Fonctionnement[TVA acquittée])+SUMIF(Invest[Affectation matrice],$AB$3,Invest[TVA acquittée]))*BE5</f>
        <v>0</v>
      </c>
      <c r="CG5" s="200">
        <f>(SUMIF(Fonctionnement[Affectation matrice],$AB$3,Fonctionnement[TVA acquittée])+SUMIF(Invest[Affectation matrice],$AB$3,Invest[TVA acquittée]))*BF5</f>
        <v>0</v>
      </c>
      <c r="CH5" s="200">
        <f>(SUMIF(Fonctionnement[Affectation matrice],$AB$3,Fonctionnement[TVA acquittée])+SUMIF(Invest[Affectation matrice],$AB$3,Invest[TVA acquittée]))*BG5</f>
        <v>0</v>
      </c>
      <c r="CI5" s="200">
        <f>(SUMIF(Fonctionnement[Affectation matrice],$AB$3,Fonctionnement[TVA acquittée])+SUMIF(Invest[Affectation matrice],$AB$3,Invest[TVA acquittée]))*BH5</f>
        <v>0</v>
      </c>
      <c r="CJ5" s="200">
        <f>(SUMIF(Fonctionnement[Affectation matrice],$AB$3,Fonctionnement[TVA acquittée])+SUMIF(Invest[Affectation matrice],$AB$3,Invest[TVA acquittée]))*BI5</f>
        <v>0</v>
      </c>
      <c r="CK5" s="200">
        <f>(SUMIF(Fonctionnement[Affectation matrice],$AB$3,Fonctionnement[TVA acquittée])+SUMIF(Invest[Affectation matrice],$AB$3,Invest[TVA acquittée]))*BJ5</f>
        <v>0</v>
      </c>
      <c r="CL5" s="200">
        <f>(SUMIF(Fonctionnement[Affectation matrice],$AB$3,Fonctionnement[TVA acquittée])+SUMIF(Invest[Affectation matrice],$AB$3,Invest[TVA acquittée]))*BK5</f>
        <v>0</v>
      </c>
      <c r="CM5" s="200">
        <f>(SUMIF(Fonctionnement[Affectation matrice],$AB$3,Fonctionnement[TVA acquittée])+SUMIF(Invest[Affectation matrice],$AB$3,Invest[TVA acquittée]))*BL5</f>
        <v>0</v>
      </c>
      <c r="CN5" s="200">
        <f>(SUMIF(Fonctionnement[Affectation matrice],$AB$3,Fonctionnement[TVA acquittée])+SUMIF(Invest[Affectation matrice],$AB$3,Invest[TVA acquittée]))*BM5</f>
        <v>0</v>
      </c>
      <c r="CO5" s="200">
        <f>(SUMIF(Fonctionnement[Affectation matrice],$AB$3,Fonctionnement[TVA acquittée])+SUMIF(Invest[Affectation matrice],$AB$3,Invest[TVA acquittée]))*BN5</f>
        <v>0</v>
      </c>
      <c r="CP5" s="200">
        <f>(SUMIF(Fonctionnement[Affectation matrice],$AB$3,Fonctionnement[TVA acquittée])+SUMIF(Invest[Affectation matrice],$AB$3,Invest[TVA acquittée]))*BO5</f>
        <v>0</v>
      </c>
      <c r="CQ5" s="200">
        <f>(SUMIF(Fonctionnement[Affectation matrice],$AB$3,Fonctionnement[TVA acquittée])+SUMIF(Invest[Affectation matrice],$AB$3,Invest[TVA acquittée]))*BP5</f>
        <v>0</v>
      </c>
      <c r="CR5" s="200">
        <f>(SUMIF(Fonctionnement[Affectation matrice],$AB$3,Fonctionnement[TVA acquittée])+SUMIF(Invest[Affectation matrice],$AB$3,Invest[TVA acquittée]))*BQ5</f>
        <v>0</v>
      </c>
      <c r="CS5" s="200">
        <f>(SUMIF(Fonctionnement[Affectation matrice],$AB$3,Fonctionnement[TVA acquittée])+SUMIF(Invest[Affectation matrice],$AB$3,Invest[TVA acquittée]))*BR5</f>
        <v>0</v>
      </c>
      <c r="CT5" s="200">
        <f>(SUMIF(Fonctionnement[Affectation matrice],$AB$3,Fonctionnement[TVA acquittée])+SUMIF(Invest[Affectation matrice],$AB$3,Invest[TVA acquittée]))*BS5</f>
        <v>0</v>
      </c>
      <c r="CU5" s="200">
        <f>(SUMIF(Fonctionnement[Affectation matrice],$AB$3,Fonctionnement[TVA acquittée])+SUMIF(Invest[Affectation matrice],$AB$3,Invest[TVA acquittée]))*BT5</f>
        <v>0</v>
      </c>
      <c r="CV5" s="200">
        <f>(SUMIF(Fonctionnement[Affectation matrice],$AB$3,Fonctionnement[TVA acquittée])+SUMIF(Invest[Affectation matrice],$AB$3,Invest[TVA acquittée]))*BU5</f>
        <v>0</v>
      </c>
      <c r="CW5" s="200">
        <f>(SUMIF(Fonctionnement[Affectation matrice],$AB$3,Fonctionnement[TVA acquittée])+SUMIF(Invest[Affectation matrice],$AB$3,Invest[TVA acquittée]))*BV5</f>
        <v>0</v>
      </c>
      <c r="CX5" s="200">
        <f>(SUMIF(Fonctionnement[Affectation matrice],$AB$3,Fonctionnement[TVA acquittée])+SUMIF(Invest[Affectation matrice],$AB$3,Invest[TVA acquittée]))*BW5</f>
        <v>0</v>
      </c>
      <c r="CY5" s="200">
        <f>(SUMIF(Fonctionnement[Affectation matrice],$AB$3,Fonctionnement[TVA acquittée])+SUMIF(Invest[Affectation matrice],$AB$3,Invest[TVA acquittée]))*BX5</f>
        <v>0</v>
      </c>
      <c r="CZ5" s="200">
        <f>(SUMIF(Fonctionnement[Affectation matrice],$AB$3,Fonctionnement[TVA acquittée])+SUMIF(Invest[Affectation matrice],$AB$3,Invest[TVA acquittée]))*BY5</f>
        <v>0</v>
      </c>
      <c r="DA5" s="200">
        <f>(SUMIF(Fonctionnement[Affectation matrice],$AB$3,Fonctionnement[TVA acquittée])+SUMIF(Invest[Affectation matrice],$AB$3,Invest[TVA acquittée]))*BZ5</f>
        <v>0</v>
      </c>
      <c r="DB5" s="200">
        <f>(SUMIF(Fonctionnement[Affectation matrice],$AB$3,Fonctionnement[TVA acquittée])+SUMIF(Invest[Affectation matrice],$AB$3,Invest[TVA acquittée]))*CA5</f>
        <v>0</v>
      </c>
    </row>
    <row r="6" spans="1:106" ht="15" customHeight="1" x14ac:dyDescent="0.25">
      <c r="A6" s="42" t="str">
        <f>Matrice[[#This Row],[Ligne de la matrice]]</f>
        <v>Communication</v>
      </c>
      <c r="B6" s="276">
        <f>(SUMIF(Fonctionnement[Affectation matrice],$AB$3,Fonctionnement[Montant (€HT)])+SUMIF(Invest[Affectation matrice],$AB$3,Invest[Amortissement HT + intérêts]))*BC6</f>
        <v>0</v>
      </c>
      <c r="C6" s="276">
        <f>(SUMIF(Fonctionnement[Affectation matrice],$AB$3,Fonctionnement[Montant (€HT)])+SUMIF(Invest[Affectation matrice],$AB$3,Invest[Amortissement HT + intérêts]))*BD6</f>
        <v>0</v>
      </c>
      <c r="D6" s="276">
        <f>(SUMIF(Fonctionnement[Affectation matrice],$AB$3,Fonctionnement[Montant (€HT)])+SUMIF(Invest[Affectation matrice],$AB$3,Invest[Amortissement HT + intérêts]))*BE6</f>
        <v>0</v>
      </c>
      <c r="E6" s="276">
        <f>(SUMIF(Fonctionnement[Affectation matrice],$AB$3,Fonctionnement[Montant (€HT)])+SUMIF(Invest[Affectation matrice],$AB$3,Invest[Amortissement HT + intérêts]))*BF6</f>
        <v>0</v>
      </c>
      <c r="F6" s="276">
        <f>(SUMIF(Fonctionnement[Affectation matrice],$AB$3,Fonctionnement[Montant (€HT)])+SUMIF(Invest[Affectation matrice],$AB$3,Invest[Amortissement HT + intérêts]))*BG6</f>
        <v>0</v>
      </c>
      <c r="G6" s="276">
        <f>(SUMIF(Fonctionnement[Affectation matrice],$AB$3,Fonctionnement[Montant (€HT)])+SUMIF(Invest[Affectation matrice],$AB$3,Invest[Amortissement HT + intérêts]))*BH6</f>
        <v>0</v>
      </c>
      <c r="H6" s="276">
        <f>(SUMIF(Fonctionnement[Affectation matrice],$AB$3,Fonctionnement[Montant (€HT)])+SUMIF(Invest[Affectation matrice],$AB$3,Invest[Amortissement HT + intérêts]))*BI6</f>
        <v>0</v>
      </c>
      <c r="I6" s="276">
        <f>(SUMIF(Fonctionnement[Affectation matrice],$AB$3,Fonctionnement[Montant (€HT)])+SUMIF(Invest[Affectation matrice],$AB$3,Invest[Amortissement HT + intérêts]))*BJ6</f>
        <v>0</v>
      </c>
      <c r="J6" s="276">
        <f>(SUMIF(Fonctionnement[Affectation matrice],$AB$3,Fonctionnement[Montant (€HT)])+SUMIF(Invest[Affectation matrice],$AB$3,Invest[Amortissement HT + intérêts]))*BK6</f>
        <v>0</v>
      </c>
      <c r="K6" s="276">
        <f>(SUMIF(Fonctionnement[Affectation matrice],$AB$3,Fonctionnement[Montant (€HT)])+SUMIF(Invest[Affectation matrice],$AB$3,Invest[Amortissement HT + intérêts]))*BL6</f>
        <v>0</v>
      </c>
      <c r="L6" s="276">
        <f>(SUMIF(Fonctionnement[Affectation matrice],$AB$3,Fonctionnement[Montant (€HT)])+SUMIF(Invest[Affectation matrice],$AB$3,Invest[Amortissement HT + intérêts]))*BM6</f>
        <v>0</v>
      </c>
      <c r="M6" s="276">
        <f>(SUMIF(Fonctionnement[Affectation matrice],$AB$3,Fonctionnement[Montant (€HT)])+SUMIF(Invest[Affectation matrice],$AB$3,Invest[Amortissement HT + intérêts]))*BN6</f>
        <v>0</v>
      </c>
      <c r="N6" s="276">
        <f>(SUMIF(Fonctionnement[Affectation matrice],$AB$3,Fonctionnement[Montant (€HT)])+SUMIF(Invest[Affectation matrice],$AB$3,Invest[Amortissement HT + intérêts]))*BO6</f>
        <v>0</v>
      </c>
      <c r="O6" s="276">
        <f>(SUMIF(Fonctionnement[Affectation matrice],$AB$3,Fonctionnement[Montant (€HT)])+SUMIF(Invest[Affectation matrice],$AB$3,Invest[Amortissement HT + intérêts]))*BP6</f>
        <v>0</v>
      </c>
      <c r="P6" s="276">
        <f>(SUMIF(Fonctionnement[Affectation matrice],$AB$3,Fonctionnement[Montant (€HT)])+SUMIF(Invest[Affectation matrice],$AB$3,Invest[Amortissement HT + intérêts]))*BQ6</f>
        <v>0</v>
      </c>
      <c r="Q6" s="276">
        <f>(SUMIF(Fonctionnement[Affectation matrice],$AB$3,Fonctionnement[Montant (€HT)])+SUMIF(Invest[Affectation matrice],$AB$3,Invest[Amortissement HT + intérêts]))*BR6</f>
        <v>0</v>
      </c>
      <c r="R6" s="276">
        <f>(SUMIF(Fonctionnement[Affectation matrice],$AB$3,Fonctionnement[Montant (€HT)])+SUMIF(Invest[Affectation matrice],$AB$3,Invest[Amortissement HT + intérêts]))*BS6</f>
        <v>0</v>
      </c>
      <c r="S6" s="276">
        <f>(SUMIF(Fonctionnement[Affectation matrice],$AB$3,Fonctionnement[Montant (€HT)])+SUMIF(Invest[Affectation matrice],$AB$3,Invest[Amortissement HT + intérêts]))*BT6</f>
        <v>0</v>
      </c>
      <c r="T6" s="276">
        <f>(SUMIF(Fonctionnement[Affectation matrice],$AB$3,Fonctionnement[Montant (€HT)])+SUMIF(Invest[Affectation matrice],$AB$3,Invest[Amortissement HT + intérêts]))*BU6</f>
        <v>0</v>
      </c>
      <c r="U6" s="276">
        <f>(SUMIF(Fonctionnement[Affectation matrice],$AB$3,Fonctionnement[Montant (€HT)])+SUMIF(Invest[Affectation matrice],$AB$3,Invest[Amortissement HT + intérêts]))*BV6</f>
        <v>0</v>
      </c>
      <c r="V6" s="276">
        <f>(SUMIF(Fonctionnement[Affectation matrice],$AB$3,Fonctionnement[Montant (€HT)])+SUMIF(Invest[Affectation matrice],$AB$3,Invest[Amortissement HT + intérêts]))*BW6</f>
        <v>0</v>
      </c>
      <c r="W6" s="276">
        <f>(SUMIF(Fonctionnement[Affectation matrice],$AB$3,Fonctionnement[Montant (€HT)])+SUMIF(Invest[Affectation matrice],$AB$3,Invest[Amortissement HT + intérêts]))*BX6</f>
        <v>0</v>
      </c>
      <c r="X6" s="276">
        <f>(SUMIF(Fonctionnement[Affectation matrice],$AB$3,Fonctionnement[Montant (€HT)])+SUMIF(Invest[Affectation matrice],$AB$3,Invest[Amortissement HT + intérêts]))*BY6</f>
        <v>0</v>
      </c>
      <c r="Y6" s="276">
        <f>(SUMIF(Fonctionnement[Affectation matrice],$AB$3,Fonctionnement[Montant (€HT)])+SUMIF(Invest[Affectation matrice],$AB$3,Invest[Amortissement HT + intérêts]))*BZ6</f>
        <v>0</v>
      </c>
      <c r="Z6" s="276">
        <f>(SUMIF(Fonctionnement[Affectation matrice],$AB$3,Fonctionnement[Montant (€HT)])+SUMIF(Invest[Affectation matrice],$AB$3,Invest[Amortissement HT + intérêts]))*CA6</f>
        <v>0</v>
      </c>
      <c r="AA6" s="199"/>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283">
        <f>SUM(AB6:AZ6)</f>
        <v>0</v>
      </c>
      <c r="BC6" s="61">
        <f t="shared" si="2"/>
        <v>0</v>
      </c>
      <c r="BD6" s="61">
        <f t="shared" si="2"/>
        <v>0</v>
      </c>
      <c r="BE6" s="61">
        <f t="shared" si="2"/>
        <v>0</v>
      </c>
      <c r="BF6" s="61">
        <f t="shared" si="2"/>
        <v>0</v>
      </c>
      <c r="BG6" s="61">
        <f t="shared" si="2"/>
        <v>0</v>
      </c>
      <c r="BH6" s="61">
        <f t="shared" si="2"/>
        <v>0</v>
      </c>
      <c r="BI6" s="61">
        <f t="shared" si="2"/>
        <v>0</v>
      </c>
      <c r="BJ6" s="61">
        <f t="shared" si="2"/>
        <v>0</v>
      </c>
      <c r="BK6" s="61">
        <f t="shared" si="2"/>
        <v>0</v>
      </c>
      <c r="BL6" s="61">
        <f t="shared" si="2"/>
        <v>0</v>
      </c>
      <c r="BM6" s="61">
        <f t="shared" si="2"/>
        <v>0</v>
      </c>
      <c r="BN6" s="61">
        <f t="shared" si="2"/>
        <v>0</v>
      </c>
      <c r="BO6" s="61">
        <f t="shared" si="2"/>
        <v>0</v>
      </c>
      <c r="BP6" s="61">
        <f t="shared" si="2"/>
        <v>0</v>
      </c>
      <c r="BQ6" s="61">
        <f t="shared" si="2"/>
        <v>0</v>
      </c>
      <c r="BR6" s="61">
        <f t="shared" si="2"/>
        <v>0</v>
      </c>
      <c r="BS6" s="61">
        <f t="shared" si="3"/>
        <v>0</v>
      </c>
      <c r="BT6" s="61">
        <f t="shared" si="3"/>
        <v>0</v>
      </c>
      <c r="BU6" s="61">
        <f t="shared" si="3"/>
        <v>0</v>
      </c>
      <c r="BV6" s="61">
        <f t="shared" si="3"/>
        <v>0</v>
      </c>
      <c r="BW6" s="61">
        <f t="shared" si="3"/>
        <v>0</v>
      </c>
      <c r="BX6" s="61">
        <f t="shared" si="3"/>
        <v>0</v>
      </c>
      <c r="BY6" s="61">
        <f t="shared" si="3"/>
        <v>0</v>
      </c>
      <c r="BZ6" s="61">
        <f t="shared" si="3"/>
        <v>0</v>
      </c>
      <c r="CA6" s="61">
        <f t="shared" si="3"/>
        <v>0</v>
      </c>
      <c r="CB6" s="61">
        <f>SUM(BC6:CA6)</f>
        <v>0</v>
      </c>
      <c r="CD6" s="200">
        <f>(SUMIF(Fonctionnement[Affectation matrice],$AB$3,Fonctionnement[TVA acquittée])+SUMIF(Invest[Affectation matrice],$AB$3,Invest[TVA acquittée]))*BC6</f>
        <v>0</v>
      </c>
      <c r="CE6" s="200">
        <f>(SUMIF(Fonctionnement[Affectation matrice],$AB$3,Fonctionnement[TVA acquittée])+SUMIF(Invest[Affectation matrice],$AB$3,Invest[TVA acquittée]))*BD6</f>
        <v>0</v>
      </c>
      <c r="CF6" s="200">
        <f>(SUMIF(Fonctionnement[Affectation matrice],$AB$3,Fonctionnement[TVA acquittée])+SUMIF(Invest[Affectation matrice],$AB$3,Invest[TVA acquittée]))*BE6</f>
        <v>0</v>
      </c>
      <c r="CG6" s="200">
        <f>(SUMIF(Fonctionnement[Affectation matrice],$AB$3,Fonctionnement[TVA acquittée])+SUMIF(Invest[Affectation matrice],$AB$3,Invest[TVA acquittée]))*BF6</f>
        <v>0</v>
      </c>
      <c r="CH6" s="200">
        <f>(SUMIF(Fonctionnement[Affectation matrice],$AB$3,Fonctionnement[TVA acquittée])+SUMIF(Invest[Affectation matrice],$AB$3,Invest[TVA acquittée]))*BG6</f>
        <v>0</v>
      </c>
      <c r="CI6" s="200">
        <f>(SUMIF(Fonctionnement[Affectation matrice],$AB$3,Fonctionnement[TVA acquittée])+SUMIF(Invest[Affectation matrice],$AB$3,Invest[TVA acquittée]))*BH6</f>
        <v>0</v>
      </c>
      <c r="CJ6" s="200">
        <f>(SUMIF(Fonctionnement[Affectation matrice],$AB$3,Fonctionnement[TVA acquittée])+SUMIF(Invest[Affectation matrice],$AB$3,Invest[TVA acquittée]))*BI6</f>
        <v>0</v>
      </c>
      <c r="CK6" s="200">
        <f>(SUMIF(Fonctionnement[Affectation matrice],$AB$3,Fonctionnement[TVA acquittée])+SUMIF(Invest[Affectation matrice],$AB$3,Invest[TVA acquittée]))*BJ6</f>
        <v>0</v>
      </c>
      <c r="CL6" s="200">
        <f>(SUMIF(Fonctionnement[Affectation matrice],$AB$3,Fonctionnement[TVA acquittée])+SUMIF(Invest[Affectation matrice],$AB$3,Invest[TVA acquittée]))*BK6</f>
        <v>0</v>
      </c>
      <c r="CM6" s="200">
        <f>(SUMIF(Fonctionnement[Affectation matrice],$AB$3,Fonctionnement[TVA acquittée])+SUMIF(Invest[Affectation matrice],$AB$3,Invest[TVA acquittée]))*BL6</f>
        <v>0</v>
      </c>
      <c r="CN6" s="200">
        <f>(SUMIF(Fonctionnement[Affectation matrice],$AB$3,Fonctionnement[TVA acquittée])+SUMIF(Invest[Affectation matrice],$AB$3,Invest[TVA acquittée]))*BM6</f>
        <v>0</v>
      </c>
      <c r="CO6" s="200">
        <f>(SUMIF(Fonctionnement[Affectation matrice],$AB$3,Fonctionnement[TVA acquittée])+SUMIF(Invest[Affectation matrice],$AB$3,Invest[TVA acquittée]))*BN6</f>
        <v>0</v>
      </c>
      <c r="CP6" s="200">
        <f>(SUMIF(Fonctionnement[Affectation matrice],$AB$3,Fonctionnement[TVA acquittée])+SUMIF(Invest[Affectation matrice],$AB$3,Invest[TVA acquittée]))*BO6</f>
        <v>0</v>
      </c>
      <c r="CQ6" s="200">
        <f>(SUMIF(Fonctionnement[Affectation matrice],$AB$3,Fonctionnement[TVA acquittée])+SUMIF(Invest[Affectation matrice],$AB$3,Invest[TVA acquittée]))*BP6</f>
        <v>0</v>
      </c>
      <c r="CR6" s="200">
        <f>(SUMIF(Fonctionnement[Affectation matrice],$AB$3,Fonctionnement[TVA acquittée])+SUMIF(Invest[Affectation matrice],$AB$3,Invest[TVA acquittée]))*BQ6</f>
        <v>0</v>
      </c>
      <c r="CS6" s="200">
        <f>(SUMIF(Fonctionnement[Affectation matrice],$AB$3,Fonctionnement[TVA acquittée])+SUMIF(Invest[Affectation matrice],$AB$3,Invest[TVA acquittée]))*BR6</f>
        <v>0</v>
      </c>
      <c r="CT6" s="200">
        <f>(SUMIF(Fonctionnement[Affectation matrice],$AB$3,Fonctionnement[TVA acquittée])+SUMIF(Invest[Affectation matrice],$AB$3,Invest[TVA acquittée]))*BS6</f>
        <v>0</v>
      </c>
      <c r="CU6" s="200">
        <f>(SUMIF(Fonctionnement[Affectation matrice],$AB$3,Fonctionnement[TVA acquittée])+SUMIF(Invest[Affectation matrice],$AB$3,Invest[TVA acquittée]))*BT6</f>
        <v>0</v>
      </c>
      <c r="CV6" s="200">
        <f>(SUMIF(Fonctionnement[Affectation matrice],$AB$3,Fonctionnement[TVA acquittée])+SUMIF(Invest[Affectation matrice],$AB$3,Invest[TVA acquittée]))*BU6</f>
        <v>0</v>
      </c>
      <c r="CW6" s="200">
        <f>(SUMIF(Fonctionnement[Affectation matrice],$AB$3,Fonctionnement[TVA acquittée])+SUMIF(Invest[Affectation matrice],$AB$3,Invest[TVA acquittée]))*BV6</f>
        <v>0</v>
      </c>
      <c r="CX6" s="200">
        <f>(SUMIF(Fonctionnement[Affectation matrice],$AB$3,Fonctionnement[TVA acquittée])+SUMIF(Invest[Affectation matrice],$AB$3,Invest[TVA acquittée]))*BW6</f>
        <v>0</v>
      </c>
      <c r="CY6" s="200">
        <f>(SUMIF(Fonctionnement[Affectation matrice],$AB$3,Fonctionnement[TVA acquittée])+SUMIF(Invest[Affectation matrice],$AB$3,Invest[TVA acquittée]))*BX6</f>
        <v>0</v>
      </c>
      <c r="CZ6" s="200">
        <f>(SUMIF(Fonctionnement[Affectation matrice],$AB$3,Fonctionnement[TVA acquittée])+SUMIF(Invest[Affectation matrice],$AB$3,Invest[TVA acquittée]))*BY6</f>
        <v>0</v>
      </c>
      <c r="DA6" s="200">
        <f>(SUMIF(Fonctionnement[Affectation matrice],$AB$3,Fonctionnement[TVA acquittée])+SUMIF(Invest[Affectation matrice],$AB$3,Invest[TVA acquittée]))*BZ6</f>
        <v>0</v>
      </c>
      <c r="DB6" s="200">
        <f>(SUMIF(Fonctionnement[Affectation matrice],$AB$3,Fonctionnement[TVA acquittée])+SUMIF(Invest[Affectation matrice],$AB$3,Invest[TVA acquittée]))*CA6</f>
        <v>0</v>
      </c>
    </row>
    <row r="7" spans="1:106" ht="15" customHeight="1" x14ac:dyDescent="0.25">
      <c r="A7" s="42" t="str">
        <f>Matrice[[#This Row],[Ligne de la matrice]]</f>
        <v>Prévention</v>
      </c>
      <c r="B7" s="276">
        <f>(SUMIF(Fonctionnement[Affectation matrice],$AB$3,Fonctionnement[Montant (€HT)])+SUMIF(Invest[Affectation matrice],$AB$3,Invest[Amortissement HT + intérêts]))*BC7</f>
        <v>0</v>
      </c>
      <c r="C7" s="276">
        <f>(SUMIF(Fonctionnement[Affectation matrice],$AB$3,Fonctionnement[Montant (€HT)])+SUMIF(Invest[Affectation matrice],$AB$3,Invest[Amortissement HT + intérêts]))*BD7</f>
        <v>0</v>
      </c>
      <c r="D7" s="276">
        <f>(SUMIF(Fonctionnement[Affectation matrice],$AB$3,Fonctionnement[Montant (€HT)])+SUMIF(Invest[Affectation matrice],$AB$3,Invest[Amortissement HT + intérêts]))*BE7</f>
        <v>0</v>
      </c>
      <c r="E7" s="276">
        <f>(SUMIF(Fonctionnement[Affectation matrice],$AB$3,Fonctionnement[Montant (€HT)])+SUMIF(Invest[Affectation matrice],$AB$3,Invest[Amortissement HT + intérêts]))*BF7</f>
        <v>0</v>
      </c>
      <c r="F7" s="276">
        <f>(SUMIF(Fonctionnement[Affectation matrice],$AB$3,Fonctionnement[Montant (€HT)])+SUMIF(Invest[Affectation matrice],$AB$3,Invest[Amortissement HT + intérêts]))*BG7</f>
        <v>0</v>
      </c>
      <c r="G7" s="276">
        <f>(SUMIF(Fonctionnement[Affectation matrice],$AB$3,Fonctionnement[Montant (€HT)])+SUMIF(Invest[Affectation matrice],$AB$3,Invest[Amortissement HT + intérêts]))*BH7</f>
        <v>0</v>
      </c>
      <c r="H7" s="276">
        <f>(SUMIF(Fonctionnement[Affectation matrice],$AB$3,Fonctionnement[Montant (€HT)])+SUMIF(Invest[Affectation matrice],$AB$3,Invest[Amortissement HT + intérêts]))*BI7</f>
        <v>0</v>
      </c>
      <c r="I7" s="276">
        <f>(SUMIF(Fonctionnement[Affectation matrice],$AB$3,Fonctionnement[Montant (€HT)])+SUMIF(Invest[Affectation matrice],$AB$3,Invest[Amortissement HT + intérêts]))*BJ7</f>
        <v>0</v>
      </c>
      <c r="J7" s="276">
        <f>(SUMIF(Fonctionnement[Affectation matrice],$AB$3,Fonctionnement[Montant (€HT)])+SUMIF(Invest[Affectation matrice],$AB$3,Invest[Amortissement HT + intérêts]))*BK7</f>
        <v>0</v>
      </c>
      <c r="K7" s="276">
        <f>(SUMIF(Fonctionnement[Affectation matrice],$AB$3,Fonctionnement[Montant (€HT)])+SUMIF(Invest[Affectation matrice],$AB$3,Invest[Amortissement HT + intérêts]))*BL7</f>
        <v>0</v>
      </c>
      <c r="L7" s="276">
        <f>(SUMIF(Fonctionnement[Affectation matrice],$AB$3,Fonctionnement[Montant (€HT)])+SUMIF(Invest[Affectation matrice],$AB$3,Invest[Amortissement HT + intérêts]))*BM7</f>
        <v>0</v>
      </c>
      <c r="M7" s="276">
        <f>(SUMIF(Fonctionnement[Affectation matrice],$AB$3,Fonctionnement[Montant (€HT)])+SUMIF(Invest[Affectation matrice],$AB$3,Invest[Amortissement HT + intérêts]))*BN7</f>
        <v>0</v>
      </c>
      <c r="N7" s="276">
        <f>(SUMIF(Fonctionnement[Affectation matrice],$AB$3,Fonctionnement[Montant (€HT)])+SUMIF(Invest[Affectation matrice],$AB$3,Invest[Amortissement HT + intérêts]))*BO7</f>
        <v>0</v>
      </c>
      <c r="O7" s="276">
        <f>(SUMIF(Fonctionnement[Affectation matrice],$AB$3,Fonctionnement[Montant (€HT)])+SUMIF(Invest[Affectation matrice],$AB$3,Invest[Amortissement HT + intérêts]))*BP7</f>
        <v>0</v>
      </c>
      <c r="P7" s="276">
        <f>(SUMIF(Fonctionnement[Affectation matrice],$AB$3,Fonctionnement[Montant (€HT)])+SUMIF(Invest[Affectation matrice],$AB$3,Invest[Amortissement HT + intérêts]))*BQ7</f>
        <v>0</v>
      </c>
      <c r="Q7" s="276">
        <f>(SUMIF(Fonctionnement[Affectation matrice],$AB$3,Fonctionnement[Montant (€HT)])+SUMIF(Invest[Affectation matrice],$AB$3,Invest[Amortissement HT + intérêts]))*BR7</f>
        <v>0</v>
      </c>
      <c r="R7" s="276">
        <f>(SUMIF(Fonctionnement[Affectation matrice],$AB$3,Fonctionnement[Montant (€HT)])+SUMIF(Invest[Affectation matrice],$AB$3,Invest[Amortissement HT + intérêts]))*BS7</f>
        <v>0</v>
      </c>
      <c r="S7" s="276">
        <f>(SUMIF(Fonctionnement[Affectation matrice],$AB$3,Fonctionnement[Montant (€HT)])+SUMIF(Invest[Affectation matrice],$AB$3,Invest[Amortissement HT + intérêts]))*BT7</f>
        <v>0</v>
      </c>
      <c r="T7" s="276">
        <f>(SUMIF(Fonctionnement[Affectation matrice],$AB$3,Fonctionnement[Montant (€HT)])+SUMIF(Invest[Affectation matrice],$AB$3,Invest[Amortissement HT + intérêts]))*BU7</f>
        <v>0</v>
      </c>
      <c r="U7" s="276">
        <f>(SUMIF(Fonctionnement[Affectation matrice],$AB$3,Fonctionnement[Montant (€HT)])+SUMIF(Invest[Affectation matrice],$AB$3,Invest[Amortissement HT + intérêts]))*BV7</f>
        <v>0</v>
      </c>
      <c r="V7" s="276">
        <f>(SUMIF(Fonctionnement[Affectation matrice],$AB$3,Fonctionnement[Montant (€HT)])+SUMIF(Invest[Affectation matrice],$AB$3,Invest[Amortissement HT + intérêts]))*BW7</f>
        <v>0</v>
      </c>
      <c r="W7" s="276">
        <f>(SUMIF(Fonctionnement[Affectation matrice],$AB$3,Fonctionnement[Montant (€HT)])+SUMIF(Invest[Affectation matrice],$AB$3,Invest[Amortissement HT + intérêts]))*BX7</f>
        <v>0</v>
      </c>
      <c r="X7" s="276">
        <f>(SUMIF(Fonctionnement[Affectation matrice],$AB$3,Fonctionnement[Montant (€HT)])+SUMIF(Invest[Affectation matrice],$AB$3,Invest[Amortissement HT + intérêts]))*BY7</f>
        <v>0</v>
      </c>
      <c r="Y7" s="276">
        <f>(SUMIF(Fonctionnement[Affectation matrice],$AB$3,Fonctionnement[Montant (€HT)])+SUMIF(Invest[Affectation matrice],$AB$3,Invest[Amortissement HT + intérêts]))*BZ7</f>
        <v>0</v>
      </c>
      <c r="Z7" s="276">
        <f>(SUMIF(Fonctionnement[Affectation matrice],$AB$3,Fonctionnement[Montant (€HT)])+SUMIF(Invest[Affectation matrice],$AB$3,Invest[Amortissement HT + intérêts]))*CA7</f>
        <v>0</v>
      </c>
      <c r="AA7" s="199"/>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283">
        <f t="shared" ref="BA7:BA52" si="4">SUM(AB7:AZ7)</f>
        <v>0</v>
      </c>
      <c r="BC7" s="61">
        <f t="shared" si="2"/>
        <v>0</v>
      </c>
      <c r="BD7" s="61">
        <f t="shared" si="2"/>
        <v>0</v>
      </c>
      <c r="BE7" s="61">
        <f t="shared" si="2"/>
        <v>0</v>
      </c>
      <c r="BF7" s="61">
        <f t="shared" si="2"/>
        <v>0</v>
      </c>
      <c r="BG7" s="61">
        <f t="shared" si="2"/>
        <v>0</v>
      </c>
      <c r="BH7" s="61">
        <f t="shared" si="2"/>
        <v>0</v>
      </c>
      <c r="BI7" s="61">
        <f t="shared" si="2"/>
        <v>0</v>
      </c>
      <c r="BJ7" s="61">
        <f t="shared" si="2"/>
        <v>0</v>
      </c>
      <c r="BK7" s="61">
        <f t="shared" si="2"/>
        <v>0</v>
      </c>
      <c r="BL7" s="61">
        <f t="shared" si="2"/>
        <v>0</v>
      </c>
      <c r="BM7" s="61">
        <f t="shared" si="2"/>
        <v>0</v>
      </c>
      <c r="BN7" s="61">
        <f t="shared" si="2"/>
        <v>0</v>
      </c>
      <c r="BO7" s="61">
        <f t="shared" si="2"/>
        <v>0</v>
      </c>
      <c r="BP7" s="61">
        <f t="shared" si="2"/>
        <v>0</v>
      </c>
      <c r="BQ7" s="61">
        <f t="shared" si="2"/>
        <v>0</v>
      </c>
      <c r="BR7" s="61">
        <f t="shared" si="2"/>
        <v>0</v>
      </c>
      <c r="BS7" s="61">
        <f t="shared" si="3"/>
        <v>0</v>
      </c>
      <c r="BT7" s="61">
        <f t="shared" si="3"/>
        <v>0</v>
      </c>
      <c r="BU7" s="61">
        <f t="shared" si="3"/>
        <v>0</v>
      </c>
      <c r="BV7" s="61">
        <f t="shared" si="3"/>
        <v>0</v>
      </c>
      <c r="BW7" s="61">
        <f t="shared" si="3"/>
        <v>0</v>
      </c>
      <c r="BX7" s="61">
        <f t="shared" si="3"/>
        <v>0</v>
      </c>
      <c r="BY7" s="61">
        <f t="shared" si="3"/>
        <v>0</v>
      </c>
      <c r="BZ7" s="61">
        <f t="shared" si="3"/>
        <v>0</v>
      </c>
      <c r="CA7" s="61">
        <f t="shared" si="3"/>
        <v>0</v>
      </c>
      <c r="CB7" s="61">
        <f t="shared" ref="CB7:CB52" si="5">SUM(BC7:CA7)</f>
        <v>0</v>
      </c>
      <c r="CD7" s="200">
        <f>(SUMIF(Fonctionnement[Affectation matrice],$AB$3,Fonctionnement[TVA acquittée])+SUMIF(Invest[Affectation matrice],$AB$3,Invest[TVA acquittée]))*BC7</f>
        <v>0</v>
      </c>
      <c r="CE7" s="200">
        <f>(SUMIF(Fonctionnement[Affectation matrice],$AB$3,Fonctionnement[TVA acquittée])+SUMIF(Invest[Affectation matrice],$AB$3,Invest[TVA acquittée]))*BD7</f>
        <v>0</v>
      </c>
      <c r="CF7" s="200">
        <f>(SUMIF(Fonctionnement[Affectation matrice],$AB$3,Fonctionnement[TVA acquittée])+SUMIF(Invest[Affectation matrice],$AB$3,Invest[TVA acquittée]))*BE7</f>
        <v>0</v>
      </c>
      <c r="CG7" s="200">
        <f>(SUMIF(Fonctionnement[Affectation matrice],$AB$3,Fonctionnement[TVA acquittée])+SUMIF(Invest[Affectation matrice],$AB$3,Invest[TVA acquittée]))*BF7</f>
        <v>0</v>
      </c>
      <c r="CH7" s="200">
        <f>(SUMIF(Fonctionnement[Affectation matrice],$AB$3,Fonctionnement[TVA acquittée])+SUMIF(Invest[Affectation matrice],$AB$3,Invest[TVA acquittée]))*BG7</f>
        <v>0</v>
      </c>
      <c r="CI7" s="200">
        <f>(SUMIF(Fonctionnement[Affectation matrice],$AB$3,Fonctionnement[TVA acquittée])+SUMIF(Invest[Affectation matrice],$AB$3,Invest[TVA acquittée]))*BH7</f>
        <v>0</v>
      </c>
      <c r="CJ7" s="200">
        <f>(SUMIF(Fonctionnement[Affectation matrice],$AB$3,Fonctionnement[TVA acquittée])+SUMIF(Invest[Affectation matrice],$AB$3,Invest[TVA acquittée]))*BI7</f>
        <v>0</v>
      </c>
      <c r="CK7" s="200">
        <f>(SUMIF(Fonctionnement[Affectation matrice],$AB$3,Fonctionnement[TVA acquittée])+SUMIF(Invest[Affectation matrice],$AB$3,Invest[TVA acquittée]))*BJ7</f>
        <v>0</v>
      </c>
      <c r="CL7" s="200">
        <f>(SUMIF(Fonctionnement[Affectation matrice],$AB$3,Fonctionnement[TVA acquittée])+SUMIF(Invest[Affectation matrice],$AB$3,Invest[TVA acquittée]))*BK7</f>
        <v>0</v>
      </c>
      <c r="CM7" s="200">
        <f>(SUMIF(Fonctionnement[Affectation matrice],$AB$3,Fonctionnement[TVA acquittée])+SUMIF(Invest[Affectation matrice],$AB$3,Invest[TVA acquittée]))*BL7</f>
        <v>0</v>
      </c>
      <c r="CN7" s="200">
        <f>(SUMIF(Fonctionnement[Affectation matrice],$AB$3,Fonctionnement[TVA acquittée])+SUMIF(Invest[Affectation matrice],$AB$3,Invest[TVA acquittée]))*BM7</f>
        <v>0</v>
      </c>
      <c r="CO7" s="200">
        <f>(SUMIF(Fonctionnement[Affectation matrice],$AB$3,Fonctionnement[TVA acquittée])+SUMIF(Invest[Affectation matrice],$AB$3,Invest[TVA acquittée]))*BN7</f>
        <v>0</v>
      </c>
      <c r="CP7" s="200">
        <f>(SUMIF(Fonctionnement[Affectation matrice],$AB$3,Fonctionnement[TVA acquittée])+SUMIF(Invest[Affectation matrice],$AB$3,Invest[TVA acquittée]))*BO7</f>
        <v>0</v>
      </c>
      <c r="CQ7" s="200">
        <f>(SUMIF(Fonctionnement[Affectation matrice],$AB$3,Fonctionnement[TVA acquittée])+SUMIF(Invest[Affectation matrice],$AB$3,Invest[TVA acquittée]))*BP7</f>
        <v>0</v>
      </c>
      <c r="CR7" s="200">
        <f>(SUMIF(Fonctionnement[Affectation matrice],$AB$3,Fonctionnement[TVA acquittée])+SUMIF(Invest[Affectation matrice],$AB$3,Invest[TVA acquittée]))*BQ7</f>
        <v>0</v>
      </c>
      <c r="CS7" s="200">
        <f>(SUMIF(Fonctionnement[Affectation matrice],$AB$3,Fonctionnement[TVA acquittée])+SUMIF(Invest[Affectation matrice],$AB$3,Invest[TVA acquittée]))*BR7</f>
        <v>0</v>
      </c>
      <c r="CT7" s="200">
        <f>(SUMIF(Fonctionnement[Affectation matrice],$AB$3,Fonctionnement[TVA acquittée])+SUMIF(Invest[Affectation matrice],$AB$3,Invest[TVA acquittée]))*BS7</f>
        <v>0</v>
      </c>
      <c r="CU7" s="200">
        <f>(SUMIF(Fonctionnement[Affectation matrice],$AB$3,Fonctionnement[TVA acquittée])+SUMIF(Invest[Affectation matrice],$AB$3,Invest[TVA acquittée]))*BT7</f>
        <v>0</v>
      </c>
      <c r="CV7" s="200">
        <f>(SUMIF(Fonctionnement[Affectation matrice],$AB$3,Fonctionnement[TVA acquittée])+SUMIF(Invest[Affectation matrice],$AB$3,Invest[TVA acquittée]))*BU7</f>
        <v>0</v>
      </c>
      <c r="CW7" s="200">
        <f>(SUMIF(Fonctionnement[Affectation matrice],$AB$3,Fonctionnement[TVA acquittée])+SUMIF(Invest[Affectation matrice],$AB$3,Invest[TVA acquittée]))*BV7</f>
        <v>0</v>
      </c>
      <c r="CX7" s="200">
        <f>(SUMIF(Fonctionnement[Affectation matrice],$AB$3,Fonctionnement[TVA acquittée])+SUMIF(Invest[Affectation matrice],$AB$3,Invest[TVA acquittée]))*BW7</f>
        <v>0</v>
      </c>
      <c r="CY7" s="200">
        <f>(SUMIF(Fonctionnement[Affectation matrice],$AB$3,Fonctionnement[TVA acquittée])+SUMIF(Invest[Affectation matrice],$AB$3,Invest[TVA acquittée]))*BX7</f>
        <v>0</v>
      </c>
      <c r="CZ7" s="200">
        <f>(SUMIF(Fonctionnement[Affectation matrice],$AB$3,Fonctionnement[TVA acquittée])+SUMIF(Invest[Affectation matrice],$AB$3,Invest[TVA acquittée]))*BY7</f>
        <v>0</v>
      </c>
      <c r="DA7" s="200">
        <f>(SUMIF(Fonctionnement[Affectation matrice],$AB$3,Fonctionnement[TVA acquittée])+SUMIF(Invest[Affectation matrice],$AB$3,Invest[TVA acquittée]))*BZ7</f>
        <v>0</v>
      </c>
      <c r="DB7" s="200">
        <f>(SUMIF(Fonctionnement[Affectation matrice],$AB$3,Fonctionnement[TVA acquittée])+SUMIF(Invest[Affectation matrice],$AB$3,Invest[TVA acquittée]))*CA7</f>
        <v>0</v>
      </c>
    </row>
    <row r="8" spans="1:106" ht="12.75" customHeight="1" x14ac:dyDescent="0.25">
      <c r="A8" s="42" t="str">
        <f>Matrice[[#This Row],[Ligne de la matrice]]</f>
        <v>Pré-collecte</v>
      </c>
      <c r="B8" s="276">
        <f>(SUMIF(Fonctionnement[Affectation matrice],$AB$3,Fonctionnement[Montant (€HT)])+SUMIF(Invest[Affectation matrice],$AB$3,Invest[Amortissement HT + intérêts]))*BC8</f>
        <v>0</v>
      </c>
      <c r="C8" s="276">
        <f>(SUMIF(Fonctionnement[Affectation matrice],$AB$3,Fonctionnement[Montant (€HT)])+SUMIF(Invest[Affectation matrice],$AB$3,Invest[Amortissement HT + intérêts]))*BD8</f>
        <v>0</v>
      </c>
      <c r="D8" s="276">
        <f>(SUMIF(Fonctionnement[Affectation matrice],$AB$3,Fonctionnement[Montant (€HT)])+SUMIF(Invest[Affectation matrice],$AB$3,Invest[Amortissement HT + intérêts]))*BE8</f>
        <v>0</v>
      </c>
      <c r="E8" s="276">
        <f>(SUMIF(Fonctionnement[Affectation matrice],$AB$3,Fonctionnement[Montant (€HT)])+SUMIF(Invest[Affectation matrice],$AB$3,Invest[Amortissement HT + intérêts]))*BF8</f>
        <v>0</v>
      </c>
      <c r="F8" s="276">
        <f>(SUMIF(Fonctionnement[Affectation matrice],$AB$3,Fonctionnement[Montant (€HT)])+SUMIF(Invest[Affectation matrice],$AB$3,Invest[Amortissement HT + intérêts]))*BG8</f>
        <v>0</v>
      </c>
      <c r="G8" s="276">
        <f>(SUMIF(Fonctionnement[Affectation matrice],$AB$3,Fonctionnement[Montant (€HT)])+SUMIF(Invest[Affectation matrice],$AB$3,Invest[Amortissement HT + intérêts]))*BH8</f>
        <v>0</v>
      </c>
      <c r="H8" s="276">
        <f>(SUMIF(Fonctionnement[Affectation matrice],$AB$3,Fonctionnement[Montant (€HT)])+SUMIF(Invest[Affectation matrice],$AB$3,Invest[Amortissement HT + intérêts]))*BI8</f>
        <v>0</v>
      </c>
      <c r="I8" s="276">
        <f>(SUMIF(Fonctionnement[Affectation matrice],$AB$3,Fonctionnement[Montant (€HT)])+SUMIF(Invest[Affectation matrice],$AB$3,Invest[Amortissement HT + intérêts]))*BJ8</f>
        <v>0</v>
      </c>
      <c r="J8" s="276">
        <f>(SUMIF(Fonctionnement[Affectation matrice],$AB$3,Fonctionnement[Montant (€HT)])+SUMIF(Invest[Affectation matrice],$AB$3,Invest[Amortissement HT + intérêts]))*BK8</f>
        <v>0</v>
      </c>
      <c r="K8" s="276">
        <f>(SUMIF(Fonctionnement[Affectation matrice],$AB$3,Fonctionnement[Montant (€HT)])+SUMIF(Invest[Affectation matrice],$AB$3,Invest[Amortissement HT + intérêts]))*BL8</f>
        <v>0</v>
      </c>
      <c r="L8" s="276">
        <f>(SUMIF(Fonctionnement[Affectation matrice],$AB$3,Fonctionnement[Montant (€HT)])+SUMIF(Invest[Affectation matrice],$AB$3,Invest[Amortissement HT + intérêts]))*BM8</f>
        <v>0</v>
      </c>
      <c r="M8" s="276">
        <f>(SUMIF(Fonctionnement[Affectation matrice],$AB$3,Fonctionnement[Montant (€HT)])+SUMIF(Invest[Affectation matrice],$AB$3,Invest[Amortissement HT + intérêts]))*BN8</f>
        <v>0</v>
      </c>
      <c r="N8" s="276">
        <f>(SUMIF(Fonctionnement[Affectation matrice],$AB$3,Fonctionnement[Montant (€HT)])+SUMIF(Invest[Affectation matrice],$AB$3,Invest[Amortissement HT + intérêts]))*BO8</f>
        <v>0</v>
      </c>
      <c r="O8" s="276">
        <f>(SUMIF(Fonctionnement[Affectation matrice],$AB$3,Fonctionnement[Montant (€HT)])+SUMIF(Invest[Affectation matrice],$AB$3,Invest[Amortissement HT + intérêts]))*BP8</f>
        <v>0</v>
      </c>
      <c r="P8" s="276">
        <f>(SUMIF(Fonctionnement[Affectation matrice],$AB$3,Fonctionnement[Montant (€HT)])+SUMIF(Invest[Affectation matrice],$AB$3,Invest[Amortissement HT + intérêts]))*BQ8</f>
        <v>0</v>
      </c>
      <c r="Q8" s="276">
        <f>(SUMIF(Fonctionnement[Affectation matrice],$AB$3,Fonctionnement[Montant (€HT)])+SUMIF(Invest[Affectation matrice],$AB$3,Invest[Amortissement HT + intérêts]))*BR8</f>
        <v>0</v>
      </c>
      <c r="R8" s="276">
        <f>(SUMIF(Fonctionnement[Affectation matrice],$AB$3,Fonctionnement[Montant (€HT)])+SUMIF(Invest[Affectation matrice],$AB$3,Invest[Amortissement HT + intérêts]))*BS8</f>
        <v>0</v>
      </c>
      <c r="S8" s="276">
        <f>(SUMIF(Fonctionnement[Affectation matrice],$AB$3,Fonctionnement[Montant (€HT)])+SUMIF(Invest[Affectation matrice],$AB$3,Invest[Amortissement HT + intérêts]))*BT8</f>
        <v>0</v>
      </c>
      <c r="T8" s="276">
        <f>(SUMIF(Fonctionnement[Affectation matrice],$AB$3,Fonctionnement[Montant (€HT)])+SUMIF(Invest[Affectation matrice],$AB$3,Invest[Amortissement HT + intérêts]))*BU8</f>
        <v>0</v>
      </c>
      <c r="U8" s="276">
        <f>(SUMIF(Fonctionnement[Affectation matrice],$AB$3,Fonctionnement[Montant (€HT)])+SUMIF(Invest[Affectation matrice],$AB$3,Invest[Amortissement HT + intérêts]))*BV8</f>
        <v>0</v>
      </c>
      <c r="V8" s="276">
        <f>(SUMIF(Fonctionnement[Affectation matrice],$AB$3,Fonctionnement[Montant (€HT)])+SUMIF(Invest[Affectation matrice],$AB$3,Invest[Amortissement HT + intérêts]))*BW8</f>
        <v>0</v>
      </c>
      <c r="W8" s="276">
        <f>(SUMIF(Fonctionnement[Affectation matrice],$AB$3,Fonctionnement[Montant (€HT)])+SUMIF(Invest[Affectation matrice],$AB$3,Invest[Amortissement HT + intérêts]))*BX8</f>
        <v>0</v>
      </c>
      <c r="X8" s="276">
        <f>(SUMIF(Fonctionnement[Affectation matrice],$AB$3,Fonctionnement[Montant (€HT)])+SUMIF(Invest[Affectation matrice],$AB$3,Invest[Amortissement HT + intérêts]))*BY8</f>
        <v>0</v>
      </c>
      <c r="Y8" s="276">
        <f>(SUMIF(Fonctionnement[Affectation matrice],$AB$3,Fonctionnement[Montant (€HT)])+SUMIF(Invest[Affectation matrice],$AB$3,Invest[Amortissement HT + intérêts]))*BZ8</f>
        <v>0</v>
      </c>
      <c r="Z8" s="276">
        <f>(SUMIF(Fonctionnement[Affectation matrice],$AB$3,Fonctionnement[Montant (€HT)])+SUMIF(Invest[Affectation matrice],$AB$3,Invest[Amortissement HT + intérêts]))*CA8</f>
        <v>0</v>
      </c>
      <c r="AA8" s="199"/>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283">
        <f t="shared" si="4"/>
        <v>0</v>
      </c>
      <c r="BC8" s="61">
        <f t="shared" si="2"/>
        <v>0</v>
      </c>
      <c r="BD8" s="61">
        <f t="shared" si="2"/>
        <v>0</v>
      </c>
      <c r="BE8" s="61">
        <f t="shared" si="2"/>
        <v>0</v>
      </c>
      <c r="BF8" s="61">
        <f t="shared" si="2"/>
        <v>0</v>
      </c>
      <c r="BG8" s="61">
        <f t="shared" si="2"/>
        <v>0</v>
      </c>
      <c r="BH8" s="61">
        <f t="shared" si="2"/>
        <v>0</v>
      </c>
      <c r="BI8" s="61">
        <f t="shared" si="2"/>
        <v>0</v>
      </c>
      <c r="BJ8" s="61">
        <f t="shared" si="2"/>
        <v>0</v>
      </c>
      <c r="BK8" s="61">
        <f t="shared" si="2"/>
        <v>0</v>
      </c>
      <c r="BL8" s="61">
        <f t="shared" si="2"/>
        <v>0</v>
      </c>
      <c r="BM8" s="61">
        <f t="shared" si="2"/>
        <v>0</v>
      </c>
      <c r="BN8" s="61">
        <f t="shared" si="2"/>
        <v>0</v>
      </c>
      <c r="BO8" s="61">
        <f t="shared" si="2"/>
        <v>0</v>
      </c>
      <c r="BP8" s="61">
        <f t="shared" si="2"/>
        <v>0</v>
      </c>
      <c r="BQ8" s="61">
        <f t="shared" si="2"/>
        <v>0</v>
      </c>
      <c r="BR8" s="61">
        <f t="shared" si="2"/>
        <v>0</v>
      </c>
      <c r="BS8" s="61">
        <f t="shared" si="3"/>
        <v>0</v>
      </c>
      <c r="BT8" s="61">
        <f t="shared" si="3"/>
        <v>0</v>
      </c>
      <c r="BU8" s="61">
        <f t="shared" si="3"/>
        <v>0</v>
      </c>
      <c r="BV8" s="61">
        <f t="shared" si="3"/>
        <v>0</v>
      </c>
      <c r="BW8" s="61">
        <f t="shared" si="3"/>
        <v>0</v>
      </c>
      <c r="BX8" s="61">
        <f t="shared" si="3"/>
        <v>0</v>
      </c>
      <c r="BY8" s="61">
        <f t="shared" si="3"/>
        <v>0</v>
      </c>
      <c r="BZ8" s="61">
        <f t="shared" si="3"/>
        <v>0</v>
      </c>
      <c r="CA8" s="61">
        <f t="shared" si="3"/>
        <v>0</v>
      </c>
      <c r="CB8" s="61">
        <f t="shared" si="5"/>
        <v>0</v>
      </c>
      <c r="CD8" s="200">
        <f>(SUMIF(Fonctionnement[Affectation matrice],$AB$3,Fonctionnement[TVA acquittée])+SUMIF(Invest[Affectation matrice],$AB$3,Invest[TVA acquittée]))*BC8</f>
        <v>0</v>
      </c>
      <c r="CE8" s="200">
        <f>(SUMIF(Fonctionnement[Affectation matrice],$AB$3,Fonctionnement[TVA acquittée])+SUMIF(Invest[Affectation matrice],$AB$3,Invest[TVA acquittée]))*BD8</f>
        <v>0</v>
      </c>
      <c r="CF8" s="200">
        <f>(SUMIF(Fonctionnement[Affectation matrice],$AB$3,Fonctionnement[TVA acquittée])+SUMIF(Invest[Affectation matrice],$AB$3,Invest[TVA acquittée]))*BE8</f>
        <v>0</v>
      </c>
      <c r="CG8" s="200">
        <f>(SUMIF(Fonctionnement[Affectation matrice],$AB$3,Fonctionnement[TVA acquittée])+SUMIF(Invest[Affectation matrice],$AB$3,Invest[TVA acquittée]))*BF8</f>
        <v>0</v>
      </c>
      <c r="CH8" s="200">
        <f>(SUMIF(Fonctionnement[Affectation matrice],$AB$3,Fonctionnement[TVA acquittée])+SUMIF(Invest[Affectation matrice],$AB$3,Invest[TVA acquittée]))*BG8</f>
        <v>0</v>
      </c>
      <c r="CI8" s="200">
        <f>(SUMIF(Fonctionnement[Affectation matrice],$AB$3,Fonctionnement[TVA acquittée])+SUMIF(Invest[Affectation matrice],$AB$3,Invest[TVA acquittée]))*BH8</f>
        <v>0</v>
      </c>
      <c r="CJ8" s="200">
        <f>(SUMIF(Fonctionnement[Affectation matrice],$AB$3,Fonctionnement[TVA acquittée])+SUMIF(Invest[Affectation matrice],$AB$3,Invest[TVA acquittée]))*BI8</f>
        <v>0</v>
      </c>
      <c r="CK8" s="200">
        <f>(SUMIF(Fonctionnement[Affectation matrice],$AB$3,Fonctionnement[TVA acquittée])+SUMIF(Invest[Affectation matrice],$AB$3,Invest[TVA acquittée]))*BJ8</f>
        <v>0</v>
      </c>
      <c r="CL8" s="200">
        <f>(SUMIF(Fonctionnement[Affectation matrice],$AB$3,Fonctionnement[TVA acquittée])+SUMIF(Invest[Affectation matrice],$AB$3,Invest[TVA acquittée]))*BK8</f>
        <v>0</v>
      </c>
      <c r="CM8" s="200">
        <f>(SUMIF(Fonctionnement[Affectation matrice],$AB$3,Fonctionnement[TVA acquittée])+SUMIF(Invest[Affectation matrice],$AB$3,Invest[TVA acquittée]))*BL8</f>
        <v>0</v>
      </c>
      <c r="CN8" s="200">
        <f>(SUMIF(Fonctionnement[Affectation matrice],$AB$3,Fonctionnement[TVA acquittée])+SUMIF(Invest[Affectation matrice],$AB$3,Invest[TVA acquittée]))*BM8</f>
        <v>0</v>
      </c>
      <c r="CO8" s="200">
        <f>(SUMIF(Fonctionnement[Affectation matrice],$AB$3,Fonctionnement[TVA acquittée])+SUMIF(Invest[Affectation matrice],$AB$3,Invest[TVA acquittée]))*BN8</f>
        <v>0</v>
      </c>
      <c r="CP8" s="200">
        <f>(SUMIF(Fonctionnement[Affectation matrice],$AB$3,Fonctionnement[TVA acquittée])+SUMIF(Invest[Affectation matrice],$AB$3,Invest[TVA acquittée]))*BO8</f>
        <v>0</v>
      </c>
      <c r="CQ8" s="200">
        <f>(SUMIF(Fonctionnement[Affectation matrice],$AB$3,Fonctionnement[TVA acquittée])+SUMIF(Invest[Affectation matrice],$AB$3,Invest[TVA acquittée]))*BP8</f>
        <v>0</v>
      </c>
      <c r="CR8" s="200">
        <f>(SUMIF(Fonctionnement[Affectation matrice],$AB$3,Fonctionnement[TVA acquittée])+SUMIF(Invest[Affectation matrice],$AB$3,Invest[TVA acquittée]))*BQ8</f>
        <v>0</v>
      </c>
      <c r="CS8" s="200">
        <f>(SUMIF(Fonctionnement[Affectation matrice],$AB$3,Fonctionnement[TVA acquittée])+SUMIF(Invest[Affectation matrice],$AB$3,Invest[TVA acquittée]))*BR8</f>
        <v>0</v>
      </c>
      <c r="CT8" s="200">
        <f>(SUMIF(Fonctionnement[Affectation matrice],$AB$3,Fonctionnement[TVA acquittée])+SUMIF(Invest[Affectation matrice],$AB$3,Invest[TVA acquittée]))*BS8</f>
        <v>0</v>
      </c>
      <c r="CU8" s="200">
        <f>(SUMIF(Fonctionnement[Affectation matrice],$AB$3,Fonctionnement[TVA acquittée])+SUMIF(Invest[Affectation matrice],$AB$3,Invest[TVA acquittée]))*BT8</f>
        <v>0</v>
      </c>
      <c r="CV8" s="200">
        <f>(SUMIF(Fonctionnement[Affectation matrice],$AB$3,Fonctionnement[TVA acquittée])+SUMIF(Invest[Affectation matrice],$AB$3,Invest[TVA acquittée]))*BU8</f>
        <v>0</v>
      </c>
      <c r="CW8" s="200">
        <f>(SUMIF(Fonctionnement[Affectation matrice],$AB$3,Fonctionnement[TVA acquittée])+SUMIF(Invest[Affectation matrice],$AB$3,Invest[TVA acquittée]))*BV8</f>
        <v>0</v>
      </c>
      <c r="CX8" s="200">
        <f>(SUMIF(Fonctionnement[Affectation matrice],$AB$3,Fonctionnement[TVA acquittée])+SUMIF(Invest[Affectation matrice],$AB$3,Invest[TVA acquittée]))*BW8</f>
        <v>0</v>
      </c>
      <c r="CY8" s="200">
        <f>(SUMIF(Fonctionnement[Affectation matrice],$AB$3,Fonctionnement[TVA acquittée])+SUMIF(Invest[Affectation matrice],$AB$3,Invest[TVA acquittée]))*BX8</f>
        <v>0</v>
      </c>
      <c r="CZ8" s="200">
        <f>(SUMIF(Fonctionnement[Affectation matrice],$AB$3,Fonctionnement[TVA acquittée])+SUMIF(Invest[Affectation matrice],$AB$3,Invest[TVA acquittée]))*BY8</f>
        <v>0</v>
      </c>
      <c r="DA8" s="200">
        <f>(SUMIF(Fonctionnement[Affectation matrice],$AB$3,Fonctionnement[TVA acquittée])+SUMIF(Invest[Affectation matrice],$AB$3,Invest[TVA acquittée]))*BZ8</f>
        <v>0</v>
      </c>
      <c r="DB8" s="200">
        <f>(SUMIF(Fonctionnement[Affectation matrice],$AB$3,Fonctionnement[TVA acquittée])+SUMIF(Invest[Affectation matrice],$AB$3,Invest[TVA acquittée]))*CA8</f>
        <v>0</v>
      </c>
    </row>
    <row r="9" spans="1:106" s="22" customFormat="1" ht="12.75" customHeight="1" x14ac:dyDescent="0.25">
      <c r="A9" s="42" t="str">
        <f>Matrice[[#This Row],[Ligne de la matrice]]</f>
        <v>Collecte</v>
      </c>
      <c r="B9" s="276">
        <f>(SUMIF(Fonctionnement[Affectation matrice],$AB$3,Fonctionnement[Montant (€HT)])+SUMIF(Invest[Affectation matrice],$AB$3,Invest[Amortissement HT + intérêts]))*BC9</f>
        <v>0</v>
      </c>
      <c r="C9" s="276">
        <f>(SUMIF(Fonctionnement[Affectation matrice],$AB$3,Fonctionnement[Montant (€HT)])+SUMIF(Invest[Affectation matrice],$AB$3,Invest[Amortissement HT + intérêts]))*BD9</f>
        <v>0</v>
      </c>
      <c r="D9" s="276">
        <f>(SUMIF(Fonctionnement[Affectation matrice],$AB$3,Fonctionnement[Montant (€HT)])+SUMIF(Invest[Affectation matrice],$AB$3,Invest[Amortissement HT + intérêts]))*BE9</f>
        <v>0</v>
      </c>
      <c r="E9" s="276">
        <f>(SUMIF(Fonctionnement[Affectation matrice],$AB$3,Fonctionnement[Montant (€HT)])+SUMIF(Invest[Affectation matrice],$AB$3,Invest[Amortissement HT + intérêts]))*BF9</f>
        <v>0</v>
      </c>
      <c r="F9" s="276">
        <f>(SUMIF(Fonctionnement[Affectation matrice],$AB$3,Fonctionnement[Montant (€HT)])+SUMIF(Invest[Affectation matrice],$AB$3,Invest[Amortissement HT + intérêts]))*BG9</f>
        <v>0</v>
      </c>
      <c r="G9" s="276">
        <f>(SUMIF(Fonctionnement[Affectation matrice],$AB$3,Fonctionnement[Montant (€HT)])+SUMIF(Invest[Affectation matrice],$AB$3,Invest[Amortissement HT + intérêts]))*BH9</f>
        <v>0</v>
      </c>
      <c r="H9" s="276">
        <f>(SUMIF(Fonctionnement[Affectation matrice],$AB$3,Fonctionnement[Montant (€HT)])+SUMIF(Invest[Affectation matrice],$AB$3,Invest[Amortissement HT + intérêts]))*BI9</f>
        <v>0</v>
      </c>
      <c r="I9" s="276">
        <f>(SUMIF(Fonctionnement[Affectation matrice],$AB$3,Fonctionnement[Montant (€HT)])+SUMIF(Invest[Affectation matrice],$AB$3,Invest[Amortissement HT + intérêts]))*BJ9</f>
        <v>0</v>
      </c>
      <c r="J9" s="276">
        <f>(SUMIF(Fonctionnement[Affectation matrice],$AB$3,Fonctionnement[Montant (€HT)])+SUMIF(Invest[Affectation matrice],$AB$3,Invest[Amortissement HT + intérêts]))*BK9</f>
        <v>0</v>
      </c>
      <c r="K9" s="276">
        <f>(SUMIF(Fonctionnement[Affectation matrice],$AB$3,Fonctionnement[Montant (€HT)])+SUMIF(Invest[Affectation matrice],$AB$3,Invest[Amortissement HT + intérêts]))*BL9</f>
        <v>0</v>
      </c>
      <c r="L9" s="276">
        <f>(SUMIF(Fonctionnement[Affectation matrice],$AB$3,Fonctionnement[Montant (€HT)])+SUMIF(Invest[Affectation matrice],$AB$3,Invest[Amortissement HT + intérêts]))*BM9</f>
        <v>0</v>
      </c>
      <c r="M9" s="276">
        <f>(SUMIF(Fonctionnement[Affectation matrice],$AB$3,Fonctionnement[Montant (€HT)])+SUMIF(Invest[Affectation matrice],$AB$3,Invest[Amortissement HT + intérêts]))*BN9</f>
        <v>0</v>
      </c>
      <c r="N9" s="276">
        <f>(SUMIF(Fonctionnement[Affectation matrice],$AB$3,Fonctionnement[Montant (€HT)])+SUMIF(Invest[Affectation matrice],$AB$3,Invest[Amortissement HT + intérêts]))*BO9</f>
        <v>0</v>
      </c>
      <c r="O9" s="276">
        <f>(SUMIF(Fonctionnement[Affectation matrice],$AB$3,Fonctionnement[Montant (€HT)])+SUMIF(Invest[Affectation matrice],$AB$3,Invest[Amortissement HT + intérêts]))*BP9</f>
        <v>0</v>
      </c>
      <c r="P9" s="276">
        <f>(SUMIF(Fonctionnement[Affectation matrice],$AB$3,Fonctionnement[Montant (€HT)])+SUMIF(Invest[Affectation matrice],$AB$3,Invest[Amortissement HT + intérêts]))*BQ9</f>
        <v>0</v>
      </c>
      <c r="Q9" s="276">
        <f>(SUMIF(Fonctionnement[Affectation matrice],$AB$3,Fonctionnement[Montant (€HT)])+SUMIF(Invest[Affectation matrice],$AB$3,Invest[Amortissement HT + intérêts]))*BR9</f>
        <v>0</v>
      </c>
      <c r="R9" s="276">
        <f>(SUMIF(Fonctionnement[Affectation matrice],$AB$3,Fonctionnement[Montant (€HT)])+SUMIF(Invest[Affectation matrice],$AB$3,Invest[Amortissement HT + intérêts]))*BS9</f>
        <v>0</v>
      </c>
      <c r="S9" s="276">
        <f>(SUMIF(Fonctionnement[Affectation matrice],$AB$3,Fonctionnement[Montant (€HT)])+SUMIF(Invest[Affectation matrice],$AB$3,Invest[Amortissement HT + intérêts]))*BT9</f>
        <v>0</v>
      </c>
      <c r="T9" s="276">
        <f>(SUMIF(Fonctionnement[Affectation matrice],$AB$3,Fonctionnement[Montant (€HT)])+SUMIF(Invest[Affectation matrice],$AB$3,Invest[Amortissement HT + intérêts]))*BU9</f>
        <v>0</v>
      </c>
      <c r="U9" s="276">
        <f>(SUMIF(Fonctionnement[Affectation matrice],$AB$3,Fonctionnement[Montant (€HT)])+SUMIF(Invest[Affectation matrice],$AB$3,Invest[Amortissement HT + intérêts]))*BV9</f>
        <v>0</v>
      </c>
      <c r="V9" s="276">
        <f>(SUMIF(Fonctionnement[Affectation matrice],$AB$3,Fonctionnement[Montant (€HT)])+SUMIF(Invest[Affectation matrice],$AB$3,Invest[Amortissement HT + intérêts]))*BW9</f>
        <v>0</v>
      </c>
      <c r="W9" s="276">
        <f>(SUMIF(Fonctionnement[Affectation matrice],$AB$3,Fonctionnement[Montant (€HT)])+SUMIF(Invest[Affectation matrice],$AB$3,Invest[Amortissement HT + intérêts]))*BX9</f>
        <v>0</v>
      </c>
      <c r="X9" s="276">
        <f>(SUMIF(Fonctionnement[Affectation matrice],$AB$3,Fonctionnement[Montant (€HT)])+SUMIF(Invest[Affectation matrice],$AB$3,Invest[Amortissement HT + intérêts]))*BY9</f>
        <v>0</v>
      </c>
      <c r="Y9" s="276">
        <f>(SUMIF(Fonctionnement[Affectation matrice],$AB$3,Fonctionnement[Montant (€HT)])+SUMIF(Invest[Affectation matrice],$AB$3,Invest[Amortissement HT + intérêts]))*BZ9</f>
        <v>0</v>
      </c>
      <c r="Z9" s="276">
        <f>(SUMIF(Fonctionnement[Affectation matrice],$AB$3,Fonctionnement[Montant (€HT)])+SUMIF(Invest[Affectation matrice],$AB$3,Invest[Amortissement HT + intérêts]))*CA9</f>
        <v>0</v>
      </c>
      <c r="AA9" s="199"/>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283">
        <f t="shared" si="4"/>
        <v>0</v>
      </c>
      <c r="BB9" s="7"/>
      <c r="BC9" s="61">
        <f t="shared" si="2"/>
        <v>0</v>
      </c>
      <c r="BD9" s="61">
        <f t="shared" si="2"/>
        <v>0</v>
      </c>
      <c r="BE9" s="61">
        <f t="shared" si="2"/>
        <v>0</v>
      </c>
      <c r="BF9" s="61">
        <f t="shared" si="2"/>
        <v>0</v>
      </c>
      <c r="BG9" s="61">
        <f t="shared" si="2"/>
        <v>0</v>
      </c>
      <c r="BH9" s="61">
        <f t="shared" si="2"/>
        <v>0</v>
      </c>
      <c r="BI9" s="61">
        <f t="shared" si="2"/>
        <v>0</v>
      </c>
      <c r="BJ9" s="61">
        <f t="shared" si="2"/>
        <v>0</v>
      </c>
      <c r="BK9" s="61">
        <f t="shared" si="2"/>
        <v>0</v>
      </c>
      <c r="BL9" s="61">
        <f t="shared" si="2"/>
        <v>0</v>
      </c>
      <c r="BM9" s="61">
        <f t="shared" si="2"/>
        <v>0</v>
      </c>
      <c r="BN9" s="61">
        <f t="shared" si="2"/>
        <v>0</v>
      </c>
      <c r="BO9" s="61">
        <f t="shared" si="2"/>
        <v>0</v>
      </c>
      <c r="BP9" s="61">
        <f t="shared" si="2"/>
        <v>0</v>
      </c>
      <c r="BQ9" s="61">
        <f t="shared" si="2"/>
        <v>0</v>
      </c>
      <c r="BR9" s="61">
        <f t="shared" si="2"/>
        <v>0</v>
      </c>
      <c r="BS9" s="61">
        <f t="shared" si="3"/>
        <v>0</v>
      </c>
      <c r="BT9" s="61">
        <f t="shared" si="3"/>
        <v>0</v>
      </c>
      <c r="BU9" s="61">
        <f t="shared" si="3"/>
        <v>0</v>
      </c>
      <c r="BV9" s="61">
        <f t="shared" si="3"/>
        <v>0</v>
      </c>
      <c r="BW9" s="61">
        <f t="shared" si="3"/>
        <v>0</v>
      </c>
      <c r="BX9" s="61">
        <f t="shared" si="3"/>
        <v>0</v>
      </c>
      <c r="BY9" s="61">
        <f t="shared" si="3"/>
        <v>0</v>
      </c>
      <c r="BZ9" s="61">
        <f t="shared" si="3"/>
        <v>0</v>
      </c>
      <c r="CA9" s="61">
        <f t="shared" si="3"/>
        <v>0</v>
      </c>
      <c r="CB9" s="61">
        <f t="shared" si="5"/>
        <v>0</v>
      </c>
      <c r="CD9" s="200">
        <f>(SUMIF(Fonctionnement[Affectation matrice],$AB$3,Fonctionnement[TVA acquittée])+SUMIF(Invest[Affectation matrice],$AB$3,Invest[TVA acquittée]))*BC9</f>
        <v>0</v>
      </c>
      <c r="CE9" s="200">
        <f>(SUMIF(Fonctionnement[Affectation matrice],$AB$3,Fonctionnement[TVA acquittée])+SUMIF(Invest[Affectation matrice],$AB$3,Invest[TVA acquittée]))*BD9</f>
        <v>0</v>
      </c>
      <c r="CF9" s="200">
        <f>(SUMIF(Fonctionnement[Affectation matrice],$AB$3,Fonctionnement[TVA acquittée])+SUMIF(Invest[Affectation matrice],$AB$3,Invest[TVA acquittée]))*BE9</f>
        <v>0</v>
      </c>
      <c r="CG9" s="200">
        <f>(SUMIF(Fonctionnement[Affectation matrice],$AB$3,Fonctionnement[TVA acquittée])+SUMIF(Invest[Affectation matrice],$AB$3,Invest[TVA acquittée]))*BF9</f>
        <v>0</v>
      </c>
      <c r="CH9" s="200">
        <f>(SUMIF(Fonctionnement[Affectation matrice],$AB$3,Fonctionnement[TVA acquittée])+SUMIF(Invest[Affectation matrice],$AB$3,Invest[TVA acquittée]))*BG9</f>
        <v>0</v>
      </c>
      <c r="CI9" s="200">
        <f>(SUMIF(Fonctionnement[Affectation matrice],$AB$3,Fonctionnement[TVA acquittée])+SUMIF(Invest[Affectation matrice],$AB$3,Invest[TVA acquittée]))*BH9</f>
        <v>0</v>
      </c>
      <c r="CJ9" s="200">
        <f>(SUMIF(Fonctionnement[Affectation matrice],$AB$3,Fonctionnement[TVA acquittée])+SUMIF(Invest[Affectation matrice],$AB$3,Invest[TVA acquittée]))*BI9</f>
        <v>0</v>
      </c>
      <c r="CK9" s="200">
        <f>(SUMIF(Fonctionnement[Affectation matrice],$AB$3,Fonctionnement[TVA acquittée])+SUMIF(Invest[Affectation matrice],$AB$3,Invest[TVA acquittée]))*BJ9</f>
        <v>0</v>
      </c>
      <c r="CL9" s="200">
        <f>(SUMIF(Fonctionnement[Affectation matrice],$AB$3,Fonctionnement[TVA acquittée])+SUMIF(Invest[Affectation matrice],$AB$3,Invest[TVA acquittée]))*BK9</f>
        <v>0</v>
      </c>
      <c r="CM9" s="200">
        <f>(SUMIF(Fonctionnement[Affectation matrice],$AB$3,Fonctionnement[TVA acquittée])+SUMIF(Invest[Affectation matrice],$AB$3,Invest[TVA acquittée]))*BL9</f>
        <v>0</v>
      </c>
      <c r="CN9" s="200">
        <f>(SUMIF(Fonctionnement[Affectation matrice],$AB$3,Fonctionnement[TVA acquittée])+SUMIF(Invest[Affectation matrice],$AB$3,Invest[TVA acquittée]))*BM9</f>
        <v>0</v>
      </c>
      <c r="CO9" s="200">
        <f>(SUMIF(Fonctionnement[Affectation matrice],$AB$3,Fonctionnement[TVA acquittée])+SUMIF(Invest[Affectation matrice],$AB$3,Invest[TVA acquittée]))*BN9</f>
        <v>0</v>
      </c>
      <c r="CP9" s="200">
        <f>(SUMIF(Fonctionnement[Affectation matrice],$AB$3,Fonctionnement[TVA acquittée])+SUMIF(Invest[Affectation matrice],$AB$3,Invest[TVA acquittée]))*BO9</f>
        <v>0</v>
      </c>
      <c r="CQ9" s="200">
        <f>(SUMIF(Fonctionnement[Affectation matrice],$AB$3,Fonctionnement[TVA acquittée])+SUMIF(Invest[Affectation matrice],$AB$3,Invest[TVA acquittée]))*BP9</f>
        <v>0</v>
      </c>
      <c r="CR9" s="200">
        <f>(SUMIF(Fonctionnement[Affectation matrice],$AB$3,Fonctionnement[TVA acquittée])+SUMIF(Invest[Affectation matrice],$AB$3,Invest[TVA acquittée]))*BQ9</f>
        <v>0</v>
      </c>
      <c r="CS9" s="200">
        <f>(SUMIF(Fonctionnement[Affectation matrice],$AB$3,Fonctionnement[TVA acquittée])+SUMIF(Invest[Affectation matrice],$AB$3,Invest[TVA acquittée]))*BR9</f>
        <v>0</v>
      </c>
      <c r="CT9" s="200">
        <f>(SUMIF(Fonctionnement[Affectation matrice],$AB$3,Fonctionnement[TVA acquittée])+SUMIF(Invest[Affectation matrice],$AB$3,Invest[TVA acquittée]))*BS9</f>
        <v>0</v>
      </c>
      <c r="CU9" s="200">
        <f>(SUMIF(Fonctionnement[Affectation matrice],$AB$3,Fonctionnement[TVA acquittée])+SUMIF(Invest[Affectation matrice],$AB$3,Invest[TVA acquittée]))*BT9</f>
        <v>0</v>
      </c>
      <c r="CV9" s="200">
        <f>(SUMIF(Fonctionnement[Affectation matrice],$AB$3,Fonctionnement[TVA acquittée])+SUMIF(Invest[Affectation matrice],$AB$3,Invest[TVA acquittée]))*BU9</f>
        <v>0</v>
      </c>
      <c r="CW9" s="200">
        <f>(SUMIF(Fonctionnement[Affectation matrice],$AB$3,Fonctionnement[TVA acquittée])+SUMIF(Invest[Affectation matrice],$AB$3,Invest[TVA acquittée]))*BV9</f>
        <v>0</v>
      </c>
      <c r="CX9" s="200">
        <f>(SUMIF(Fonctionnement[Affectation matrice],$AB$3,Fonctionnement[TVA acquittée])+SUMIF(Invest[Affectation matrice],$AB$3,Invest[TVA acquittée]))*BW9</f>
        <v>0</v>
      </c>
      <c r="CY9" s="200">
        <f>(SUMIF(Fonctionnement[Affectation matrice],$AB$3,Fonctionnement[TVA acquittée])+SUMIF(Invest[Affectation matrice],$AB$3,Invest[TVA acquittée]))*BX9</f>
        <v>0</v>
      </c>
      <c r="CZ9" s="200">
        <f>(SUMIF(Fonctionnement[Affectation matrice],$AB$3,Fonctionnement[TVA acquittée])+SUMIF(Invest[Affectation matrice],$AB$3,Invest[TVA acquittée]))*BY9</f>
        <v>0</v>
      </c>
      <c r="DA9" s="200">
        <f>(SUMIF(Fonctionnement[Affectation matrice],$AB$3,Fonctionnement[TVA acquittée])+SUMIF(Invest[Affectation matrice],$AB$3,Invest[TVA acquittée]))*BZ9</f>
        <v>0</v>
      </c>
      <c r="DB9" s="200">
        <f>(SUMIF(Fonctionnement[Affectation matrice],$AB$3,Fonctionnement[TVA acquittée])+SUMIF(Invest[Affectation matrice],$AB$3,Invest[TVA acquittée]))*CA9</f>
        <v>0</v>
      </c>
    </row>
    <row r="10" spans="1:106" s="22" customFormat="1" ht="12.75" customHeight="1" x14ac:dyDescent="0.25">
      <c r="A10" s="42" t="str">
        <f>Matrice[[#This Row],[Ligne de la matrice]]</f>
        <v>Transfert/Transport</v>
      </c>
      <c r="B10" s="276">
        <f>(SUMIF(Fonctionnement[Affectation matrice],$AB$3,Fonctionnement[Montant (€HT)])+SUMIF(Invest[Affectation matrice],$AB$3,Invest[Amortissement HT + intérêts]))*BC10</f>
        <v>0</v>
      </c>
      <c r="C10" s="276">
        <f>(SUMIF(Fonctionnement[Affectation matrice],$AB$3,Fonctionnement[Montant (€HT)])+SUMIF(Invest[Affectation matrice],$AB$3,Invest[Amortissement HT + intérêts]))*BD10</f>
        <v>0</v>
      </c>
      <c r="D10" s="276">
        <f>(SUMIF(Fonctionnement[Affectation matrice],$AB$3,Fonctionnement[Montant (€HT)])+SUMIF(Invest[Affectation matrice],$AB$3,Invest[Amortissement HT + intérêts]))*BE10</f>
        <v>0</v>
      </c>
      <c r="E10" s="276">
        <f>(SUMIF(Fonctionnement[Affectation matrice],$AB$3,Fonctionnement[Montant (€HT)])+SUMIF(Invest[Affectation matrice],$AB$3,Invest[Amortissement HT + intérêts]))*BF10</f>
        <v>0</v>
      </c>
      <c r="F10" s="276">
        <f>(SUMIF(Fonctionnement[Affectation matrice],$AB$3,Fonctionnement[Montant (€HT)])+SUMIF(Invest[Affectation matrice],$AB$3,Invest[Amortissement HT + intérêts]))*BG10</f>
        <v>0</v>
      </c>
      <c r="G10" s="276">
        <f>(SUMIF(Fonctionnement[Affectation matrice],$AB$3,Fonctionnement[Montant (€HT)])+SUMIF(Invest[Affectation matrice],$AB$3,Invest[Amortissement HT + intérêts]))*BH10</f>
        <v>0</v>
      </c>
      <c r="H10" s="276">
        <f>(SUMIF(Fonctionnement[Affectation matrice],$AB$3,Fonctionnement[Montant (€HT)])+SUMIF(Invest[Affectation matrice],$AB$3,Invest[Amortissement HT + intérêts]))*BI10</f>
        <v>0</v>
      </c>
      <c r="I10" s="276">
        <f>(SUMIF(Fonctionnement[Affectation matrice],$AB$3,Fonctionnement[Montant (€HT)])+SUMIF(Invest[Affectation matrice],$AB$3,Invest[Amortissement HT + intérêts]))*BJ10</f>
        <v>0</v>
      </c>
      <c r="J10" s="276">
        <f>(SUMIF(Fonctionnement[Affectation matrice],$AB$3,Fonctionnement[Montant (€HT)])+SUMIF(Invest[Affectation matrice],$AB$3,Invest[Amortissement HT + intérêts]))*BK10</f>
        <v>0</v>
      </c>
      <c r="K10" s="276">
        <f>(SUMIF(Fonctionnement[Affectation matrice],$AB$3,Fonctionnement[Montant (€HT)])+SUMIF(Invest[Affectation matrice],$AB$3,Invest[Amortissement HT + intérêts]))*BL10</f>
        <v>0</v>
      </c>
      <c r="L10" s="276">
        <f>(SUMIF(Fonctionnement[Affectation matrice],$AB$3,Fonctionnement[Montant (€HT)])+SUMIF(Invest[Affectation matrice],$AB$3,Invest[Amortissement HT + intérêts]))*BM10</f>
        <v>0</v>
      </c>
      <c r="M10" s="276">
        <f>(SUMIF(Fonctionnement[Affectation matrice],$AB$3,Fonctionnement[Montant (€HT)])+SUMIF(Invest[Affectation matrice],$AB$3,Invest[Amortissement HT + intérêts]))*BN10</f>
        <v>0</v>
      </c>
      <c r="N10" s="276">
        <f>(SUMIF(Fonctionnement[Affectation matrice],$AB$3,Fonctionnement[Montant (€HT)])+SUMIF(Invest[Affectation matrice],$AB$3,Invest[Amortissement HT + intérêts]))*BO10</f>
        <v>0</v>
      </c>
      <c r="O10" s="276">
        <f>(SUMIF(Fonctionnement[Affectation matrice],$AB$3,Fonctionnement[Montant (€HT)])+SUMIF(Invest[Affectation matrice],$AB$3,Invest[Amortissement HT + intérêts]))*BP10</f>
        <v>0</v>
      </c>
      <c r="P10" s="276">
        <f>(SUMIF(Fonctionnement[Affectation matrice],$AB$3,Fonctionnement[Montant (€HT)])+SUMIF(Invest[Affectation matrice],$AB$3,Invest[Amortissement HT + intérêts]))*BQ10</f>
        <v>0</v>
      </c>
      <c r="Q10" s="276">
        <f>(SUMIF(Fonctionnement[Affectation matrice],$AB$3,Fonctionnement[Montant (€HT)])+SUMIF(Invest[Affectation matrice],$AB$3,Invest[Amortissement HT + intérêts]))*BR10</f>
        <v>0</v>
      </c>
      <c r="R10" s="276">
        <f>(SUMIF(Fonctionnement[Affectation matrice],$AB$3,Fonctionnement[Montant (€HT)])+SUMIF(Invest[Affectation matrice],$AB$3,Invest[Amortissement HT + intérêts]))*BS10</f>
        <v>0</v>
      </c>
      <c r="S10" s="276">
        <f>(SUMIF(Fonctionnement[Affectation matrice],$AB$3,Fonctionnement[Montant (€HT)])+SUMIF(Invest[Affectation matrice],$AB$3,Invest[Amortissement HT + intérêts]))*BT10</f>
        <v>0</v>
      </c>
      <c r="T10" s="276">
        <f>(SUMIF(Fonctionnement[Affectation matrice],$AB$3,Fonctionnement[Montant (€HT)])+SUMIF(Invest[Affectation matrice],$AB$3,Invest[Amortissement HT + intérêts]))*BU10</f>
        <v>0</v>
      </c>
      <c r="U10" s="276">
        <f>(SUMIF(Fonctionnement[Affectation matrice],$AB$3,Fonctionnement[Montant (€HT)])+SUMIF(Invest[Affectation matrice],$AB$3,Invest[Amortissement HT + intérêts]))*BV10</f>
        <v>0</v>
      </c>
      <c r="V10" s="276">
        <f>(SUMIF(Fonctionnement[Affectation matrice],$AB$3,Fonctionnement[Montant (€HT)])+SUMIF(Invest[Affectation matrice],$AB$3,Invest[Amortissement HT + intérêts]))*BW10</f>
        <v>0</v>
      </c>
      <c r="W10" s="276">
        <f>(SUMIF(Fonctionnement[Affectation matrice],$AB$3,Fonctionnement[Montant (€HT)])+SUMIF(Invest[Affectation matrice],$AB$3,Invest[Amortissement HT + intérêts]))*BX10</f>
        <v>0</v>
      </c>
      <c r="X10" s="276">
        <f>(SUMIF(Fonctionnement[Affectation matrice],$AB$3,Fonctionnement[Montant (€HT)])+SUMIF(Invest[Affectation matrice],$AB$3,Invest[Amortissement HT + intérêts]))*BY10</f>
        <v>0</v>
      </c>
      <c r="Y10" s="276">
        <f>(SUMIF(Fonctionnement[Affectation matrice],$AB$3,Fonctionnement[Montant (€HT)])+SUMIF(Invest[Affectation matrice],$AB$3,Invest[Amortissement HT + intérêts]))*BZ10</f>
        <v>0</v>
      </c>
      <c r="Z10" s="276">
        <f>(SUMIF(Fonctionnement[Affectation matrice],$AB$3,Fonctionnement[Montant (€HT)])+SUMIF(Invest[Affectation matrice],$AB$3,Invest[Amortissement HT + intérêts]))*CA10</f>
        <v>0</v>
      </c>
      <c r="AA10" s="199"/>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283">
        <f t="shared" si="4"/>
        <v>0</v>
      </c>
      <c r="BB10" s="7"/>
      <c r="BC10" s="61">
        <f t="shared" si="2"/>
        <v>0</v>
      </c>
      <c r="BD10" s="61">
        <f t="shared" si="2"/>
        <v>0</v>
      </c>
      <c r="BE10" s="61">
        <f t="shared" si="2"/>
        <v>0</v>
      </c>
      <c r="BF10" s="61">
        <f t="shared" si="2"/>
        <v>0</v>
      </c>
      <c r="BG10" s="61">
        <f t="shared" si="2"/>
        <v>0</v>
      </c>
      <c r="BH10" s="61">
        <f t="shared" si="2"/>
        <v>0</v>
      </c>
      <c r="BI10" s="61">
        <f t="shared" si="2"/>
        <v>0</v>
      </c>
      <c r="BJ10" s="61">
        <f t="shared" si="2"/>
        <v>0</v>
      </c>
      <c r="BK10" s="61">
        <f t="shared" si="2"/>
        <v>0</v>
      </c>
      <c r="BL10" s="61">
        <f t="shared" si="2"/>
        <v>0</v>
      </c>
      <c r="BM10" s="61">
        <f t="shared" si="2"/>
        <v>0</v>
      </c>
      <c r="BN10" s="61">
        <f t="shared" si="2"/>
        <v>0</v>
      </c>
      <c r="BO10" s="61">
        <f t="shared" si="2"/>
        <v>0</v>
      </c>
      <c r="BP10" s="61">
        <f t="shared" si="2"/>
        <v>0</v>
      </c>
      <c r="BQ10" s="61">
        <f t="shared" si="2"/>
        <v>0</v>
      </c>
      <c r="BR10" s="61">
        <f t="shared" si="2"/>
        <v>0</v>
      </c>
      <c r="BS10" s="61">
        <f t="shared" si="3"/>
        <v>0</v>
      </c>
      <c r="BT10" s="61">
        <f t="shared" si="3"/>
        <v>0</v>
      </c>
      <c r="BU10" s="61">
        <f t="shared" si="3"/>
        <v>0</v>
      </c>
      <c r="BV10" s="61">
        <f t="shared" si="3"/>
        <v>0</v>
      </c>
      <c r="BW10" s="61">
        <f t="shared" si="3"/>
        <v>0</v>
      </c>
      <c r="BX10" s="61">
        <f t="shared" si="3"/>
        <v>0</v>
      </c>
      <c r="BY10" s="61">
        <f t="shared" si="3"/>
        <v>0</v>
      </c>
      <c r="BZ10" s="61">
        <f t="shared" si="3"/>
        <v>0</v>
      </c>
      <c r="CA10" s="61">
        <f t="shared" si="3"/>
        <v>0</v>
      </c>
      <c r="CB10" s="61">
        <f t="shared" si="5"/>
        <v>0</v>
      </c>
      <c r="CD10" s="200">
        <f>(SUMIF(Fonctionnement[Affectation matrice],$AB$3,Fonctionnement[TVA acquittée])+SUMIF(Invest[Affectation matrice],$AB$3,Invest[TVA acquittée]))*BC10</f>
        <v>0</v>
      </c>
      <c r="CE10" s="200">
        <f>(SUMIF(Fonctionnement[Affectation matrice],$AB$3,Fonctionnement[TVA acquittée])+SUMIF(Invest[Affectation matrice],$AB$3,Invest[TVA acquittée]))*BD10</f>
        <v>0</v>
      </c>
      <c r="CF10" s="200">
        <f>(SUMIF(Fonctionnement[Affectation matrice],$AB$3,Fonctionnement[TVA acquittée])+SUMIF(Invest[Affectation matrice],$AB$3,Invest[TVA acquittée]))*BE10</f>
        <v>0</v>
      </c>
      <c r="CG10" s="200">
        <f>(SUMIF(Fonctionnement[Affectation matrice],$AB$3,Fonctionnement[TVA acquittée])+SUMIF(Invest[Affectation matrice],$AB$3,Invest[TVA acquittée]))*BF10</f>
        <v>0</v>
      </c>
      <c r="CH10" s="200">
        <f>(SUMIF(Fonctionnement[Affectation matrice],$AB$3,Fonctionnement[TVA acquittée])+SUMIF(Invest[Affectation matrice],$AB$3,Invest[TVA acquittée]))*BG10</f>
        <v>0</v>
      </c>
      <c r="CI10" s="200">
        <f>(SUMIF(Fonctionnement[Affectation matrice],$AB$3,Fonctionnement[TVA acquittée])+SUMIF(Invest[Affectation matrice],$AB$3,Invest[TVA acquittée]))*BH10</f>
        <v>0</v>
      </c>
      <c r="CJ10" s="200">
        <f>(SUMIF(Fonctionnement[Affectation matrice],$AB$3,Fonctionnement[TVA acquittée])+SUMIF(Invest[Affectation matrice],$AB$3,Invest[TVA acquittée]))*BI10</f>
        <v>0</v>
      </c>
      <c r="CK10" s="200">
        <f>(SUMIF(Fonctionnement[Affectation matrice],$AB$3,Fonctionnement[TVA acquittée])+SUMIF(Invest[Affectation matrice],$AB$3,Invest[TVA acquittée]))*BJ10</f>
        <v>0</v>
      </c>
      <c r="CL10" s="200">
        <f>(SUMIF(Fonctionnement[Affectation matrice],$AB$3,Fonctionnement[TVA acquittée])+SUMIF(Invest[Affectation matrice],$AB$3,Invest[TVA acquittée]))*BK10</f>
        <v>0</v>
      </c>
      <c r="CM10" s="200">
        <f>(SUMIF(Fonctionnement[Affectation matrice],$AB$3,Fonctionnement[TVA acquittée])+SUMIF(Invest[Affectation matrice],$AB$3,Invest[TVA acquittée]))*BL10</f>
        <v>0</v>
      </c>
      <c r="CN10" s="200">
        <f>(SUMIF(Fonctionnement[Affectation matrice],$AB$3,Fonctionnement[TVA acquittée])+SUMIF(Invest[Affectation matrice],$AB$3,Invest[TVA acquittée]))*BM10</f>
        <v>0</v>
      </c>
      <c r="CO10" s="200">
        <f>(SUMIF(Fonctionnement[Affectation matrice],$AB$3,Fonctionnement[TVA acquittée])+SUMIF(Invest[Affectation matrice],$AB$3,Invest[TVA acquittée]))*BN10</f>
        <v>0</v>
      </c>
      <c r="CP10" s="200">
        <f>(SUMIF(Fonctionnement[Affectation matrice],$AB$3,Fonctionnement[TVA acquittée])+SUMIF(Invest[Affectation matrice],$AB$3,Invest[TVA acquittée]))*BO10</f>
        <v>0</v>
      </c>
      <c r="CQ10" s="200">
        <f>(SUMIF(Fonctionnement[Affectation matrice],$AB$3,Fonctionnement[TVA acquittée])+SUMIF(Invest[Affectation matrice],$AB$3,Invest[TVA acquittée]))*BP10</f>
        <v>0</v>
      </c>
      <c r="CR10" s="200">
        <f>(SUMIF(Fonctionnement[Affectation matrice],$AB$3,Fonctionnement[TVA acquittée])+SUMIF(Invest[Affectation matrice],$AB$3,Invest[TVA acquittée]))*BQ10</f>
        <v>0</v>
      </c>
      <c r="CS10" s="200">
        <f>(SUMIF(Fonctionnement[Affectation matrice],$AB$3,Fonctionnement[TVA acquittée])+SUMIF(Invest[Affectation matrice],$AB$3,Invest[TVA acquittée]))*BR10</f>
        <v>0</v>
      </c>
      <c r="CT10" s="200">
        <f>(SUMIF(Fonctionnement[Affectation matrice],$AB$3,Fonctionnement[TVA acquittée])+SUMIF(Invest[Affectation matrice],$AB$3,Invest[TVA acquittée]))*BS10</f>
        <v>0</v>
      </c>
      <c r="CU10" s="200">
        <f>(SUMIF(Fonctionnement[Affectation matrice],$AB$3,Fonctionnement[TVA acquittée])+SUMIF(Invest[Affectation matrice],$AB$3,Invest[TVA acquittée]))*BT10</f>
        <v>0</v>
      </c>
      <c r="CV10" s="200">
        <f>(SUMIF(Fonctionnement[Affectation matrice],$AB$3,Fonctionnement[TVA acquittée])+SUMIF(Invest[Affectation matrice],$AB$3,Invest[TVA acquittée]))*BU10</f>
        <v>0</v>
      </c>
      <c r="CW10" s="200">
        <f>(SUMIF(Fonctionnement[Affectation matrice],$AB$3,Fonctionnement[TVA acquittée])+SUMIF(Invest[Affectation matrice],$AB$3,Invest[TVA acquittée]))*BV10</f>
        <v>0</v>
      </c>
      <c r="CX10" s="200">
        <f>(SUMIF(Fonctionnement[Affectation matrice],$AB$3,Fonctionnement[TVA acquittée])+SUMIF(Invest[Affectation matrice],$AB$3,Invest[TVA acquittée]))*BW10</f>
        <v>0</v>
      </c>
      <c r="CY10" s="200">
        <f>(SUMIF(Fonctionnement[Affectation matrice],$AB$3,Fonctionnement[TVA acquittée])+SUMIF(Invest[Affectation matrice],$AB$3,Invest[TVA acquittée]))*BX10</f>
        <v>0</v>
      </c>
      <c r="CZ10" s="200">
        <f>(SUMIF(Fonctionnement[Affectation matrice],$AB$3,Fonctionnement[TVA acquittée])+SUMIF(Invest[Affectation matrice],$AB$3,Invest[TVA acquittée]))*BY10</f>
        <v>0</v>
      </c>
      <c r="DA10" s="200">
        <f>(SUMIF(Fonctionnement[Affectation matrice],$AB$3,Fonctionnement[TVA acquittée])+SUMIF(Invest[Affectation matrice],$AB$3,Invest[TVA acquittée]))*BZ10</f>
        <v>0</v>
      </c>
      <c r="DB10" s="200">
        <f>(SUMIF(Fonctionnement[Affectation matrice],$AB$3,Fonctionnement[TVA acquittée])+SUMIF(Invest[Affectation matrice],$AB$3,Invest[TVA acquittée]))*CA10</f>
        <v>0</v>
      </c>
    </row>
    <row r="11" spans="1:106" s="22" customFormat="1" ht="12.75" customHeight="1" x14ac:dyDescent="0.25">
      <c r="A11" s="42" t="str">
        <f>Matrice[[#This Row],[Ligne de la matrice]]</f>
        <v>Traitement des déchets non dangereux</v>
      </c>
      <c r="B11" s="276">
        <f>(SUMIF(Fonctionnement[Affectation matrice],$AB$3,Fonctionnement[Montant (€HT)])+SUMIF(Invest[Affectation matrice],$AB$3,Invest[Amortissement HT + intérêts]))*BC11</f>
        <v>0</v>
      </c>
      <c r="C11" s="276">
        <f>(SUMIF(Fonctionnement[Affectation matrice],$AB$3,Fonctionnement[Montant (€HT)])+SUMIF(Invest[Affectation matrice],$AB$3,Invest[Amortissement HT + intérêts]))*BD11</f>
        <v>0</v>
      </c>
      <c r="D11" s="276">
        <f>(SUMIF(Fonctionnement[Affectation matrice],$AB$3,Fonctionnement[Montant (€HT)])+SUMIF(Invest[Affectation matrice],$AB$3,Invest[Amortissement HT + intérêts]))*BE11</f>
        <v>0</v>
      </c>
      <c r="E11" s="276">
        <f>(SUMIF(Fonctionnement[Affectation matrice],$AB$3,Fonctionnement[Montant (€HT)])+SUMIF(Invest[Affectation matrice],$AB$3,Invest[Amortissement HT + intérêts]))*BF11</f>
        <v>0</v>
      </c>
      <c r="F11" s="276">
        <f>(SUMIF(Fonctionnement[Affectation matrice],$AB$3,Fonctionnement[Montant (€HT)])+SUMIF(Invest[Affectation matrice],$AB$3,Invest[Amortissement HT + intérêts]))*BG11</f>
        <v>0</v>
      </c>
      <c r="G11" s="276">
        <f>(SUMIF(Fonctionnement[Affectation matrice],$AB$3,Fonctionnement[Montant (€HT)])+SUMIF(Invest[Affectation matrice],$AB$3,Invest[Amortissement HT + intérêts]))*BH11</f>
        <v>0</v>
      </c>
      <c r="H11" s="276">
        <f>(SUMIF(Fonctionnement[Affectation matrice],$AB$3,Fonctionnement[Montant (€HT)])+SUMIF(Invest[Affectation matrice],$AB$3,Invest[Amortissement HT + intérêts]))*BI11</f>
        <v>0</v>
      </c>
      <c r="I11" s="276">
        <f>(SUMIF(Fonctionnement[Affectation matrice],$AB$3,Fonctionnement[Montant (€HT)])+SUMIF(Invest[Affectation matrice],$AB$3,Invest[Amortissement HT + intérêts]))*BJ11</f>
        <v>0</v>
      </c>
      <c r="J11" s="276">
        <f>(SUMIF(Fonctionnement[Affectation matrice],$AB$3,Fonctionnement[Montant (€HT)])+SUMIF(Invest[Affectation matrice],$AB$3,Invest[Amortissement HT + intérêts]))*BK11</f>
        <v>0</v>
      </c>
      <c r="K11" s="276">
        <f>(SUMIF(Fonctionnement[Affectation matrice],$AB$3,Fonctionnement[Montant (€HT)])+SUMIF(Invest[Affectation matrice],$AB$3,Invest[Amortissement HT + intérêts]))*BL11</f>
        <v>0</v>
      </c>
      <c r="L11" s="276">
        <f>(SUMIF(Fonctionnement[Affectation matrice],$AB$3,Fonctionnement[Montant (€HT)])+SUMIF(Invest[Affectation matrice],$AB$3,Invest[Amortissement HT + intérêts]))*BM11</f>
        <v>0</v>
      </c>
      <c r="M11" s="276">
        <f>(SUMIF(Fonctionnement[Affectation matrice],$AB$3,Fonctionnement[Montant (€HT)])+SUMIF(Invest[Affectation matrice],$AB$3,Invest[Amortissement HT + intérêts]))*BN11</f>
        <v>0</v>
      </c>
      <c r="N11" s="276">
        <f>(SUMIF(Fonctionnement[Affectation matrice],$AB$3,Fonctionnement[Montant (€HT)])+SUMIF(Invest[Affectation matrice],$AB$3,Invest[Amortissement HT + intérêts]))*BO11</f>
        <v>0</v>
      </c>
      <c r="O11" s="276">
        <f>(SUMIF(Fonctionnement[Affectation matrice],$AB$3,Fonctionnement[Montant (€HT)])+SUMIF(Invest[Affectation matrice],$AB$3,Invest[Amortissement HT + intérêts]))*BP11</f>
        <v>0</v>
      </c>
      <c r="P11" s="276">
        <f>(SUMIF(Fonctionnement[Affectation matrice],$AB$3,Fonctionnement[Montant (€HT)])+SUMIF(Invest[Affectation matrice],$AB$3,Invest[Amortissement HT + intérêts]))*BQ11</f>
        <v>0</v>
      </c>
      <c r="Q11" s="276">
        <f>(SUMIF(Fonctionnement[Affectation matrice],$AB$3,Fonctionnement[Montant (€HT)])+SUMIF(Invest[Affectation matrice],$AB$3,Invest[Amortissement HT + intérêts]))*BR11</f>
        <v>0</v>
      </c>
      <c r="R11" s="276">
        <f>(SUMIF(Fonctionnement[Affectation matrice],$AB$3,Fonctionnement[Montant (€HT)])+SUMIF(Invest[Affectation matrice],$AB$3,Invest[Amortissement HT + intérêts]))*BS11</f>
        <v>0</v>
      </c>
      <c r="S11" s="276">
        <f>(SUMIF(Fonctionnement[Affectation matrice],$AB$3,Fonctionnement[Montant (€HT)])+SUMIF(Invest[Affectation matrice],$AB$3,Invest[Amortissement HT + intérêts]))*BT11</f>
        <v>0</v>
      </c>
      <c r="T11" s="276">
        <f>(SUMIF(Fonctionnement[Affectation matrice],$AB$3,Fonctionnement[Montant (€HT)])+SUMIF(Invest[Affectation matrice],$AB$3,Invest[Amortissement HT + intérêts]))*BU11</f>
        <v>0</v>
      </c>
      <c r="U11" s="276">
        <f>(SUMIF(Fonctionnement[Affectation matrice],$AB$3,Fonctionnement[Montant (€HT)])+SUMIF(Invest[Affectation matrice],$AB$3,Invest[Amortissement HT + intérêts]))*BV11</f>
        <v>0</v>
      </c>
      <c r="V11" s="276">
        <f>(SUMIF(Fonctionnement[Affectation matrice],$AB$3,Fonctionnement[Montant (€HT)])+SUMIF(Invest[Affectation matrice],$AB$3,Invest[Amortissement HT + intérêts]))*BW11</f>
        <v>0</v>
      </c>
      <c r="W11" s="276">
        <f>(SUMIF(Fonctionnement[Affectation matrice],$AB$3,Fonctionnement[Montant (€HT)])+SUMIF(Invest[Affectation matrice],$AB$3,Invest[Amortissement HT + intérêts]))*BX11</f>
        <v>0</v>
      </c>
      <c r="X11" s="276">
        <f>(SUMIF(Fonctionnement[Affectation matrice],$AB$3,Fonctionnement[Montant (€HT)])+SUMIF(Invest[Affectation matrice],$AB$3,Invest[Amortissement HT + intérêts]))*BY11</f>
        <v>0</v>
      </c>
      <c r="Y11" s="276">
        <f>(SUMIF(Fonctionnement[Affectation matrice],$AB$3,Fonctionnement[Montant (€HT)])+SUMIF(Invest[Affectation matrice],$AB$3,Invest[Amortissement HT + intérêts]))*BZ11</f>
        <v>0</v>
      </c>
      <c r="Z11" s="276">
        <f>(SUMIF(Fonctionnement[Affectation matrice],$AB$3,Fonctionnement[Montant (€HT)])+SUMIF(Invest[Affectation matrice],$AB$3,Invest[Amortissement HT + intérêts]))*CA11</f>
        <v>0</v>
      </c>
      <c r="AA11" s="199"/>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283">
        <f t="shared" si="4"/>
        <v>0</v>
      </c>
      <c r="BB11" s="7"/>
      <c r="BC11" s="61">
        <f t="shared" si="2"/>
        <v>0</v>
      </c>
      <c r="BD11" s="61">
        <f t="shared" si="2"/>
        <v>0</v>
      </c>
      <c r="BE11" s="61">
        <f t="shared" si="2"/>
        <v>0</v>
      </c>
      <c r="BF11" s="61">
        <f t="shared" si="2"/>
        <v>0</v>
      </c>
      <c r="BG11" s="61">
        <f t="shared" si="2"/>
        <v>0</v>
      </c>
      <c r="BH11" s="61">
        <f t="shared" si="2"/>
        <v>0</v>
      </c>
      <c r="BI11" s="61">
        <f t="shared" si="2"/>
        <v>0</v>
      </c>
      <c r="BJ11" s="61">
        <f t="shared" si="2"/>
        <v>0</v>
      </c>
      <c r="BK11" s="61">
        <f t="shared" si="2"/>
        <v>0</v>
      </c>
      <c r="BL11" s="61">
        <f t="shared" si="2"/>
        <v>0</v>
      </c>
      <c r="BM11" s="61">
        <f t="shared" si="2"/>
        <v>0</v>
      </c>
      <c r="BN11" s="61">
        <f t="shared" si="2"/>
        <v>0</v>
      </c>
      <c r="BO11" s="61">
        <f t="shared" si="2"/>
        <v>0</v>
      </c>
      <c r="BP11" s="61">
        <f t="shared" si="2"/>
        <v>0</v>
      </c>
      <c r="BQ11" s="61">
        <f t="shared" si="2"/>
        <v>0</v>
      </c>
      <c r="BR11" s="61">
        <f t="shared" si="2"/>
        <v>0</v>
      </c>
      <c r="BS11" s="61">
        <f t="shared" si="3"/>
        <v>0</v>
      </c>
      <c r="BT11" s="61">
        <f t="shared" si="3"/>
        <v>0</v>
      </c>
      <c r="BU11" s="61">
        <f t="shared" si="3"/>
        <v>0</v>
      </c>
      <c r="BV11" s="61">
        <f t="shared" si="3"/>
        <v>0</v>
      </c>
      <c r="BW11" s="61">
        <f t="shared" si="3"/>
        <v>0</v>
      </c>
      <c r="BX11" s="61">
        <f t="shared" si="3"/>
        <v>0</v>
      </c>
      <c r="BY11" s="61">
        <f t="shared" si="3"/>
        <v>0</v>
      </c>
      <c r="BZ11" s="61">
        <f t="shared" si="3"/>
        <v>0</v>
      </c>
      <c r="CA11" s="61">
        <f t="shared" si="3"/>
        <v>0</v>
      </c>
      <c r="CB11" s="61">
        <f t="shared" si="5"/>
        <v>0</v>
      </c>
      <c r="CD11" s="200">
        <f>(SUMIF(Fonctionnement[Affectation matrice],$AB$3,Fonctionnement[TVA acquittée])+SUMIF(Invest[Affectation matrice],$AB$3,Invest[TVA acquittée]))*BC11</f>
        <v>0</v>
      </c>
      <c r="CE11" s="200">
        <f>(SUMIF(Fonctionnement[Affectation matrice],$AB$3,Fonctionnement[TVA acquittée])+SUMIF(Invest[Affectation matrice],$AB$3,Invest[TVA acquittée]))*BD11</f>
        <v>0</v>
      </c>
      <c r="CF11" s="200">
        <f>(SUMIF(Fonctionnement[Affectation matrice],$AB$3,Fonctionnement[TVA acquittée])+SUMIF(Invest[Affectation matrice],$AB$3,Invest[TVA acquittée]))*BE11</f>
        <v>0</v>
      </c>
      <c r="CG11" s="200">
        <f>(SUMIF(Fonctionnement[Affectation matrice],$AB$3,Fonctionnement[TVA acquittée])+SUMIF(Invest[Affectation matrice],$AB$3,Invest[TVA acquittée]))*BF11</f>
        <v>0</v>
      </c>
      <c r="CH11" s="200">
        <f>(SUMIF(Fonctionnement[Affectation matrice],$AB$3,Fonctionnement[TVA acquittée])+SUMIF(Invest[Affectation matrice],$AB$3,Invest[TVA acquittée]))*BG11</f>
        <v>0</v>
      </c>
      <c r="CI11" s="200">
        <f>(SUMIF(Fonctionnement[Affectation matrice],$AB$3,Fonctionnement[TVA acquittée])+SUMIF(Invest[Affectation matrice],$AB$3,Invest[TVA acquittée]))*BH11</f>
        <v>0</v>
      </c>
      <c r="CJ11" s="200">
        <f>(SUMIF(Fonctionnement[Affectation matrice],$AB$3,Fonctionnement[TVA acquittée])+SUMIF(Invest[Affectation matrice],$AB$3,Invest[TVA acquittée]))*BI11</f>
        <v>0</v>
      </c>
      <c r="CK11" s="200">
        <f>(SUMIF(Fonctionnement[Affectation matrice],$AB$3,Fonctionnement[TVA acquittée])+SUMIF(Invest[Affectation matrice],$AB$3,Invest[TVA acquittée]))*BJ11</f>
        <v>0</v>
      </c>
      <c r="CL11" s="200">
        <f>(SUMIF(Fonctionnement[Affectation matrice],$AB$3,Fonctionnement[TVA acquittée])+SUMIF(Invest[Affectation matrice],$AB$3,Invest[TVA acquittée]))*BK11</f>
        <v>0</v>
      </c>
      <c r="CM11" s="200">
        <f>(SUMIF(Fonctionnement[Affectation matrice],$AB$3,Fonctionnement[TVA acquittée])+SUMIF(Invest[Affectation matrice],$AB$3,Invest[TVA acquittée]))*BL11</f>
        <v>0</v>
      </c>
      <c r="CN11" s="200">
        <f>(SUMIF(Fonctionnement[Affectation matrice],$AB$3,Fonctionnement[TVA acquittée])+SUMIF(Invest[Affectation matrice],$AB$3,Invest[TVA acquittée]))*BM11</f>
        <v>0</v>
      </c>
      <c r="CO11" s="200">
        <f>(SUMIF(Fonctionnement[Affectation matrice],$AB$3,Fonctionnement[TVA acquittée])+SUMIF(Invest[Affectation matrice],$AB$3,Invest[TVA acquittée]))*BN11</f>
        <v>0</v>
      </c>
      <c r="CP11" s="200">
        <f>(SUMIF(Fonctionnement[Affectation matrice],$AB$3,Fonctionnement[TVA acquittée])+SUMIF(Invest[Affectation matrice],$AB$3,Invest[TVA acquittée]))*BO11</f>
        <v>0</v>
      </c>
      <c r="CQ11" s="200">
        <f>(SUMIF(Fonctionnement[Affectation matrice],$AB$3,Fonctionnement[TVA acquittée])+SUMIF(Invest[Affectation matrice],$AB$3,Invest[TVA acquittée]))*BP11</f>
        <v>0</v>
      </c>
      <c r="CR11" s="200">
        <f>(SUMIF(Fonctionnement[Affectation matrice],$AB$3,Fonctionnement[TVA acquittée])+SUMIF(Invest[Affectation matrice],$AB$3,Invest[TVA acquittée]))*BQ11</f>
        <v>0</v>
      </c>
      <c r="CS11" s="200">
        <f>(SUMIF(Fonctionnement[Affectation matrice],$AB$3,Fonctionnement[TVA acquittée])+SUMIF(Invest[Affectation matrice],$AB$3,Invest[TVA acquittée]))*BR11</f>
        <v>0</v>
      </c>
      <c r="CT11" s="200">
        <f>(SUMIF(Fonctionnement[Affectation matrice],$AB$3,Fonctionnement[TVA acquittée])+SUMIF(Invest[Affectation matrice],$AB$3,Invest[TVA acquittée]))*BS11</f>
        <v>0</v>
      </c>
      <c r="CU11" s="200">
        <f>(SUMIF(Fonctionnement[Affectation matrice],$AB$3,Fonctionnement[TVA acquittée])+SUMIF(Invest[Affectation matrice],$AB$3,Invest[TVA acquittée]))*BT11</f>
        <v>0</v>
      </c>
      <c r="CV11" s="200">
        <f>(SUMIF(Fonctionnement[Affectation matrice],$AB$3,Fonctionnement[TVA acquittée])+SUMIF(Invest[Affectation matrice],$AB$3,Invest[TVA acquittée]))*BU11</f>
        <v>0</v>
      </c>
      <c r="CW11" s="200">
        <f>(SUMIF(Fonctionnement[Affectation matrice],$AB$3,Fonctionnement[TVA acquittée])+SUMIF(Invest[Affectation matrice],$AB$3,Invest[TVA acquittée]))*BV11</f>
        <v>0</v>
      </c>
      <c r="CX11" s="200">
        <f>(SUMIF(Fonctionnement[Affectation matrice],$AB$3,Fonctionnement[TVA acquittée])+SUMIF(Invest[Affectation matrice],$AB$3,Invest[TVA acquittée]))*BW11</f>
        <v>0</v>
      </c>
      <c r="CY11" s="200">
        <f>(SUMIF(Fonctionnement[Affectation matrice],$AB$3,Fonctionnement[TVA acquittée])+SUMIF(Invest[Affectation matrice],$AB$3,Invest[TVA acquittée]))*BX11</f>
        <v>0</v>
      </c>
      <c r="CZ11" s="200">
        <f>(SUMIF(Fonctionnement[Affectation matrice],$AB$3,Fonctionnement[TVA acquittée])+SUMIF(Invest[Affectation matrice],$AB$3,Invest[TVA acquittée]))*BY11</f>
        <v>0</v>
      </c>
      <c r="DA11" s="200">
        <f>(SUMIF(Fonctionnement[Affectation matrice],$AB$3,Fonctionnement[TVA acquittée])+SUMIF(Invest[Affectation matrice],$AB$3,Invest[TVA acquittée]))*BZ11</f>
        <v>0</v>
      </c>
      <c r="DB11" s="200">
        <f>(SUMIF(Fonctionnement[Affectation matrice],$AB$3,Fonctionnement[TVA acquittée])+SUMIF(Invest[Affectation matrice],$AB$3,Invest[TVA acquittée]))*CA11</f>
        <v>0</v>
      </c>
    </row>
    <row r="12" spans="1:106" s="22" customFormat="1" ht="12.75" customHeight="1" x14ac:dyDescent="0.25">
      <c r="A12" s="42" t="str">
        <f>Matrice[[#This Row],[Ligne de la matrice]]</f>
        <v>Enlèvement et traitement des déchets dangereux</v>
      </c>
      <c r="B12" s="276">
        <f>(SUMIF(Fonctionnement[Affectation matrice],$AB$3,Fonctionnement[Montant (€HT)])+SUMIF(Invest[Affectation matrice],$AB$3,Invest[Amortissement HT + intérêts]))*BC12</f>
        <v>0</v>
      </c>
      <c r="C12" s="276">
        <f>(SUMIF(Fonctionnement[Affectation matrice],$AB$3,Fonctionnement[Montant (€HT)])+SUMIF(Invest[Affectation matrice],$AB$3,Invest[Amortissement HT + intérêts]))*BD12</f>
        <v>0</v>
      </c>
      <c r="D12" s="276">
        <f>(SUMIF(Fonctionnement[Affectation matrice],$AB$3,Fonctionnement[Montant (€HT)])+SUMIF(Invest[Affectation matrice],$AB$3,Invest[Amortissement HT + intérêts]))*BE12</f>
        <v>0</v>
      </c>
      <c r="E12" s="276">
        <f>(SUMIF(Fonctionnement[Affectation matrice],$AB$3,Fonctionnement[Montant (€HT)])+SUMIF(Invest[Affectation matrice],$AB$3,Invest[Amortissement HT + intérêts]))*BF12</f>
        <v>0</v>
      </c>
      <c r="F12" s="276">
        <f>(SUMIF(Fonctionnement[Affectation matrice],$AB$3,Fonctionnement[Montant (€HT)])+SUMIF(Invest[Affectation matrice],$AB$3,Invest[Amortissement HT + intérêts]))*BG12</f>
        <v>0</v>
      </c>
      <c r="G12" s="276">
        <f>(SUMIF(Fonctionnement[Affectation matrice],$AB$3,Fonctionnement[Montant (€HT)])+SUMIF(Invest[Affectation matrice],$AB$3,Invest[Amortissement HT + intérêts]))*BH12</f>
        <v>0</v>
      </c>
      <c r="H12" s="276">
        <f>(SUMIF(Fonctionnement[Affectation matrice],$AB$3,Fonctionnement[Montant (€HT)])+SUMIF(Invest[Affectation matrice],$AB$3,Invest[Amortissement HT + intérêts]))*BI12</f>
        <v>0</v>
      </c>
      <c r="I12" s="276">
        <f>(SUMIF(Fonctionnement[Affectation matrice],$AB$3,Fonctionnement[Montant (€HT)])+SUMIF(Invest[Affectation matrice],$AB$3,Invest[Amortissement HT + intérêts]))*BJ12</f>
        <v>0</v>
      </c>
      <c r="J12" s="276">
        <f>(SUMIF(Fonctionnement[Affectation matrice],$AB$3,Fonctionnement[Montant (€HT)])+SUMIF(Invest[Affectation matrice],$AB$3,Invest[Amortissement HT + intérêts]))*BK12</f>
        <v>0</v>
      </c>
      <c r="K12" s="276">
        <f>(SUMIF(Fonctionnement[Affectation matrice],$AB$3,Fonctionnement[Montant (€HT)])+SUMIF(Invest[Affectation matrice],$AB$3,Invest[Amortissement HT + intérêts]))*BL12</f>
        <v>0</v>
      </c>
      <c r="L12" s="276">
        <f>(SUMIF(Fonctionnement[Affectation matrice],$AB$3,Fonctionnement[Montant (€HT)])+SUMIF(Invest[Affectation matrice],$AB$3,Invest[Amortissement HT + intérêts]))*BM12</f>
        <v>0</v>
      </c>
      <c r="M12" s="276">
        <f>(SUMIF(Fonctionnement[Affectation matrice],$AB$3,Fonctionnement[Montant (€HT)])+SUMIF(Invest[Affectation matrice],$AB$3,Invest[Amortissement HT + intérêts]))*BN12</f>
        <v>0</v>
      </c>
      <c r="N12" s="276">
        <f>(SUMIF(Fonctionnement[Affectation matrice],$AB$3,Fonctionnement[Montant (€HT)])+SUMIF(Invest[Affectation matrice],$AB$3,Invest[Amortissement HT + intérêts]))*BO12</f>
        <v>0</v>
      </c>
      <c r="O12" s="276">
        <f>(SUMIF(Fonctionnement[Affectation matrice],$AB$3,Fonctionnement[Montant (€HT)])+SUMIF(Invest[Affectation matrice],$AB$3,Invest[Amortissement HT + intérêts]))*BP12</f>
        <v>0</v>
      </c>
      <c r="P12" s="276">
        <f>(SUMIF(Fonctionnement[Affectation matrice],$AB$3,Fonctionnement[Montant (€HT)])+SUMIF(Invest[Affectation matrice],$AB$3,Invest[Amortissement HT + intérêts]))*BQ12</f>
        <v>0</v>
      </c>
      <c r="Q12" s="276">
        <f>(SUMIF(Fonctionnement[Affectation matrice],$AB$3,Fonctionnement[Montant (€HT)])+SUMIF(Invest[Affectation matrice],$AB$3,Invest[Amortissement HT + intérêts]))*BR12</f>
        <v>0</v>
      </c>
      <c r="R12" s="276">
        <f>(SUMIF(Fonctionnement[Affectation matrice],$AB$3,Fonctionnement[Montant (€HT)])+SUMIF(Invest[Affectation matrice],$AB$3,Invest[Amortissement HT + intérêts]))*BS12</f>
        <v>0</v>
      </c>
      <c r="S12" s="276">
        <f>(SUMIF(Fonctionnement[Affectation matrice],$AB$3,Fonctionnement[Montant (€HT)])+SUMIF(Invest[Affectation matrice],$AB$3,Invest[Amortissement HT + intérêts]))*BT12</f>
        <v>0</v>
      </c>
      <c r="T12" s="276">
        <f>(SUMIF(Fonctionnement[Affectation matrice],$AB$3,Fonctionnement[Montant (€HT)])+SUMIF(Invest[Affectation matrice],$AB$3,Invest[Amortissement HT + intérêts]))*BU12</f>
        <v>0</v>
      </c>
      <c r="U12" s="276">
        <f>(SUMIF(Fonctionnement[Affectation matrice],$AB$3,Fonctionnement[Montant (€HT)])+SUMIF(Invest[Affectation matrice],$AB$3,Invest[Amortissement HT + intérêts]))*BV12</f>
        <v>0</v>
      </c>
      <c r="V12" s="276">
        <f>(SUMIF(Fonctionnement[Affectation matrice],$AB$3,Fonctionnement[Montant (€HT)])+SUMIF(Invest[Affectation matrice],$AB$3,Invest[Amortissement HT + intérêts]))*BW12</f>
        <v>0</v>
      </c>
      <c r="W12" s="276">
        <f>(SUMIF(Fonctionnement[Affectation matrice],$AB$3,Fonctionnement[Montant (€HT)])+SUMIF(Invest[Affectation matrice],$AB$3,Invest[Amortissement HT + intérêts]))*BX12</f>
        <v>0</v>
      </c>
      <c r="X12" s="276">
        <f>(SUMIF(Fonctionnement[Affectation matrice],$AB$3,Fonctionnement[Montant (€HT)])+SUMIF(Invest[Affectation matrice],$AB$3,Invest[Amortissement HT + intérêts]))*BY12</f>
        <v>0</v>
      </c>
      <c r="Y12" s="276">
        <f>(SUMIF(Fonctionnement[Affectation matrice],$AB$3,Fonctionnement[Montant (€HT)])+SUMIF(Invest[Affectation matrice],$AB$3,Invest[Amortissement HT + intérêts]))*BZ12</f>
        <v>0</v>
      </c>
      <c r="Z12" s="276">
        <f>(SUMIF(Fonctionnement[Affectation matrice],$AB$3,Fonctionnement[Montant (€HT)])+SUMIF(Invest[Affectation matrice],$AB$3,Invest[Amortissement HT + intérêts]))*CA12</f>
        <v>0</v>
      </c>
      <c r="AA12" s="199"/>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283">
        <f t="shared" si="4"/>
        <v>0</v>
      </c>
      <c r="BB12" s="7"/>
      <c r="BC12" s="61">
        <f t="shared" si="2"/>
        <v>0</v>
      </c>
      <c r="BD12" s="61">
        <f t="shared" si="2"/>
        <v>0</v>
      </c>
      <c r="BE12" s="61">
        <f t="shared" si="2"/>
        <v>0</v>
      </c>
      <c r="BF12" s="61">
        <f t="shared" si="2"/>
        <v>0</v>
      </c>
      <c r="BG12" s="61">
        <f t="shared" si="2"/>
        <v>0</v>
      </c>
      <c r="BH12" s="61">
        <f t="shared" si="2"/>
        <v>0</v>
      </c>
      <c r="BI12" s="61">
        <f t="shared" si="2"/>
        <v>0</v>
      </c>
      <c r="BJ12" s="61">
        <f t="shared" si="2"/>
        <v>0</v>
      </c>
      <c r="BK12" s="61">
        <f t="shared" si="2"/>
        <v>0</v>
      </c>
      <c r="BL12" s="61">
        <f t="shared" si="2"/>
        <v>0</v>
      </c>
      <c r="BM12" s="61">
        <f t="shared" si="2"/>
        <v>0</v>
      </c>
      <c r="BN12" s="61">
        <f t="shared" si="2"/>
        <v>0</v>
      </c>
      <c r="BO12" s="61">
        <f t="shared" si="2"/>
        <v>0</v>
      </c>
      <c r="BP12" s="61">
        <f t="shared" si="2"/>
        <v>0</v>
      </c>
      <c r="BQ12" s="61">
        <f t="shared" si="2"/>
        <v>0</v>
      </c>
      <c r="BR12" s="61">
        <f t="shared" si="2"/>
        <v>0</v>
      </c>
      <c r="BS12" s="61">
        <f t="shared" si="3"/>
        <v>0</v>
      </c>
      <c r="BT12" s="61">
        <f t="shared" si="3"/>
        <v>0</v>
      </c>
      <c r="BU12" s="61">
        <f t="shared" si="3"/>
        <v>0</v>
      </c>
      <c r="BV12" s="61">
        <f t="shared" si="3"/>
        <v>0</v>
      </c>
      <c r="BW12" s="61">
        <f t="shared" si="3"/>
        <v>0</v>
      </c>
      <c r="BX12" s="61">
        <f t="shared" si="3"/>
        <v>0</v>
      </c>
      <c r="BY12" s="61">
        <f t="shared" si="3"/>
        <v>0</v>
      </c>
      <c r="BZ12" s="61">
        <f t="shared" si="3"/>
        <v>0</v>
      </c>
      <c r="CA12" s="61">
        <f t="shared" si="3"/>
        <v>0</v>
      </c>
      <c r="CB12" s="61">
        <f t="shared" si="5"/>
        <v>0</v>
      </c>
      <c r="CD12" s="200">
        <f>(SUMIF(Fonctionnement[Affectation matrice],$AB$3,Fonctionnement[TVA acquittée])+SUMIF(Invest[Affectation matrice],$AB$3,Invest[TVA acquittée]))*BC12</f>
        <v>0</v>
      </c>
      <c r="CE12" s="200">
        <f>(SUMIF(Fonctionnement[Affectation matrice],$AB$3,Fonctionnement[TVA acquittée])+SUMIF(Invest[Affectation matrice],$AB$3,Invest[TVA acquittée]))*BD12</f>
        <v>0</v>
      </c>
      <c r="CF12" s="200">
        <f>(SUMIF(Fonctionnement[Affectation matrice],$AB$3,Fonctionnement[TVA acquittée])+SUMIF(Invest[Affectation matrice],$AB$3,Invest[TVA acquittée]))*BE12</f>
        <v>0</v>
      </c>
      <c r="CG12" s="200">
        <f>(SUMIF(Fonctionnement[Affectation matrice],$AB$3,Fonctionnement[TVA acquittée])+SUMIF(Invest[Affectation matrice],$AB$3,Invest[TVA acquittée]))*BF12</f>
        <v>0</v>
      </c>
      <c r="CH12" s="200">
        <f>(SUMIF(Fonctionnement[Affectation matrice],$AB$3,Fonctionnement[TVA acquittée])+SUMIF(Invest[Affectation matrice],$AB$3,Invest[TVA acquittée]))*BG12</f>
        <v>0</v>
      </c>
      <c r="CI12" s="200">
        <f>(SUMIF(Fonctionnement[Affectation matrice],$AB$3,Fonctionnement[TVA acquittée])+SUMIF(Invest[Affectation matrice],$AB$3,Invest[TVA acquittée]))*BH12</f>
        <v>0</v>
      </c>
      <c r="CJ12" s="200">
        <f>(SUMIF(Fonctionnement[Affectation matrice],$AB$3,Fonctionnement[TVA acquittée])+SUMIF(Invest[Affectation matrice],$AB$3,Invest[TVA acquittée]))*BI12</f>
        <v>0</v>
      </c>
      <c r="CK12" s="200">
        <f>(SUMIF(Fonctionnement[Affectation matrice],$AB$3,Fonctionnement[TVA acquittée])+SUMIF(Invest[Affectation matrice],$AB$3,Invest[TVA acquittée]))*BJ12</f>
        <v>0</v>
      </c>
      <c r="CL12" s="200">
        <f>(SUMIF(Fonctionnement[Affectation matrice],$AB$3,Fonctionnement[TVA acquittée])+SUMIF(Invest[Affectation matrice],$AB$3,Invest[TVA acquittée]))*BK12</f>
        <v>0</v>
      </c>
      <c r="CM12" s="200">
        <f>(SUMIF(Fonctionnement[Affectation matrice],$AB$3,Fonctionnement[TVA acquittée])+SUMIF(Invest[Affectation matrice],$AB$3,Invest[TVA acquittée]))*BL12</f>
        <v>0</v>
      </c>
      <c r="CN12" s="200">
        <f>(SUMIF(Fonctionnement[Affectation matrice],$AB$3,Fonctionnement[TVA acquittée])+SUMIF(Invest[Affectation matrice],$AB$3,Invest[TVA acquittée]))*BM12</f>
        <v>0</v>
      </c>
      <c r="CO12" s="200">
        <f>(SUMIF(Fonctionnement[Affectation matrice],$AB$3,Fonctionnement[TVA acquittée])+SUMIF(Invest[Affectation matrice],$AB$3,Invest[TVA acquittée]))*BN12</f>
        <v>0</v>
      </c>
      <c r="CP12" s="200">
        <f>(SUMIF(Fonctionnement[Affectation matrice],$AB$3,Fonctionnement[TVA acquittée])+SUMIF(Invest[Affectation matrice],$AB$3,Invest[TVA acquittée]))*BO12</f>
        <v>0</v>
      </c>
      <c r="CQ12" s="200">
        <f>(SUMIF(Fonctionnement[Affectation matrice],$AB$3,Fonctionnement[TVA acquittée])+SUMIF(Invest[Affectation matrice],$AB$3,Invest[TVA acquittée]))*BP12</f>
        <v>0</v>
      </c>
      <c r="CR12" s="200">
        <f>(SUMIF(Fonctionnement[Affectation matrice],$AB$3,Fonctionnement[TVA acquittée])+SUMIF(Invest[Affectation matrice],$AB$3,Invest[TVA acquittée]))*BQ12</f>
        <v>0</v>
      </c>
      <c r="CS12" s="200">
        <f>(SUMIF(Fonctionnement[Affectation matrice],$AB$3,Fonctionnement[TVA acquittée])+SUMIF(Invest[Affectation matrice],$AB$3,Invest[TVA acquittée]))*BR12</f>
        <v>0</v>
      </c>
      <c r="CT12" s="200">
        <f>(SUMIF(Fonctionnement[Affectation matrice],$AB$3,Fonctionnement[TVA acquittée])+SUMIF(Invest[Affectation matrice],$AB$3,Invest[TVA acquittée]))*BS12</f>
        <v>0</v>
      </c>
      <c r="CU12" s="200">
        <f>(SUMIF(Fonctionnement[Affectation matrice],$AB$3,Fonctionnement[TVA acquittée])+SUMIF(Invest[Affectation matrice],$AB$3,Invest[TVA acquittée]))*BT12</f>
        <v>0</v>
      </c>
      <c r="CV12" s="200">
        <f>(SUMIF(Fonctionnement[Affectation matrice],$AB$3,Fonctionnement[TVA acquittée])+SUMIF(Invest[Affectation matrice],$AB$3,Invest[TVA acquittée]))*BU12</f>
        <v>0</v>
      </c>
      <c r="CW12" s="200">
        <f>(SUMIF(Fonctionnement[Affectation matrice],$AB$3,Fonctionnement[TVA acquittée])+SUMIF(Invest[Affectation matrice],$AB$3,Invest[TVA acquittée]))*BV12</f>
        <v>0</v>
      </c>
      <c r="CX12" s="200">
        <f>(SUMIF(Fonctionnement[Affectation matrice],$AB$3,Fonctionnement[TVA acquittée])+SUMIF(Invest[Affectation matrice],$AB$3,Invest[TVA acquittée]))*BW12</f>
        <v>0</v>
      </c>
      <c r="CY12" s="200">
        <f>(SUMIF(Fonctionnement[Affectation matrice],$AB$3,Fonctionnement[TVA acquittée])+SUMIF(Invest[Affectation matrice],$AB$3,Invest[TVA acquittée]))*BX12</f>
        <v>0</v>
      </c>
      <c r="CZ12" s="200">
        <f>(SUMIF(Fonctionnement[Affectation matrice],$AB$3,Fonctionnement[TVA acquittée])+SUMIF(Invest[Affectation matrice],$AB$3,Invest[TVA acquittée]))*BY12</f>
        <v>0</v>
      </c>
      <c r="DA12" s="200">
        <f>(SUMIF(Fonctionnement[Affectation matrice],$AB$3,Fonctionnement[TVA acquittée])+SUMIF(Invest[Affectation matrice],$AB$3,Invest[TVA acquittée]))*BZ12</f>
        <v>0</v>
      </c>
      <c r="DB12" s="200">
        <f>(SUMIF(Fonctionnement[Affectation matrice],$AB$3,Fonctionnement[TVA acquittée])+SUMIF(Invest[Affectation matrice],$AB$3,Invest[TVA acquittée]))*CA12</f>
        <v>0</v>
      </c>
    </row>
    <row r="13" spans="1:106" s="22" customFormat="1" ht="12.75" hidden="1" customHeight="1" x14ac:dyDescent="0.25">
      <c r="A13" s="42">
        <f>Matrice[[#This Row],[Ligne de la matrice]]</f>
        <v>0</v>
      </c>
      <c r="B13" s="276">
        <f>(SUMIF(Fonctionnement[Affectation matrice],$AB$3,Fonctionnement[Montant (€HT)])+SUMIF(Invest[Affectation matrice],$AB$3,Invest[Amortissement HT + intérêts]))*BC13</f>
        <v>0</v>
      </c>
      <c r="C13" s="276">
        <f>(SUMIF(Fonctionnement[Affectation matrice],$AB$3,Fonctionnement[Montant (€HT)])+SUMIF(Invest[Affectation matrice],$AB$3,Invest[Amortissement HT + intérêts]))*BD13</f>
        <v>0</v>
      </c>
      <c r="D13" s="276">
        <f>(SUMIF(Fonctionnement[Affectation matrice],$AB$3,Fonctionnement[Montant (€HT)])+SUMIF(Invest[Affectation matrice],$AB$3,Invest[Amortissement HT + intérêts]))*BE13</f>
        <v>0</v>
      </c>
      <c r="E13" s="276">
        <f>(SUMIF(Fonctionnement[Affectation matrice],$AB$3,Fonctionnement[Montant (€HT)])+SUMIF(Invest[Affectation matrice],$AB$3,Invest[Amortissement HT + intérêts]))*BF13</f>
        <v>0</v>
      </c>
      <c r="F13" s="276">
        <f>(SUMIF(Fonctionnement[Affectation matrice],$AB$3,Fonctionnement[Montant (€HT)])+SUMIF(Invest[Affectation matrice],$AB$3,Invest[Amortissement HT + intérêts]))*BG13</f>
        <v>0</v>
      </c>
      <c r="G13" s="276">
        <f>(SUMIF(Fonctionnement[Affectation matrice],$AB$3,Fonctionnement[Montant (€HT)])+SUMIF(Invest[Affectation matrice],$AB$3,Invest[Amortissement HT + intérêts]))*BH13</f>
        <v>0</v>
      </c>
      <c r="H13" s="276">
        <f>(SUMIF(Fonctionnement[Affectation matrice],$AB$3,Fonctionnement[Montant (€HT)])+SUMIF(Invest[Affectation matrice],$AB$3,Invest[Amortissement HT + intérêts]))*BI13</f>
        <v>0</v>
      </c>
      <c r="I13" s="276">
        <f>(SUMIF(Fonctionnement[Affectation matrice],$AB$3,Fonctionnement[Montant (€HT)])+SUMIF(Invest[Affectation matrice],$AB$3,Invest[Amortissement HT + intérêts]))*BJ13</f>
        <v>0</v>
      </c>
      <c r="J13" s="276">
        <f>(SUMIF(Fonctionnement[Affectation matrice],$AB$3,Fonctionnement[Montant (€HT)])+SUMIF(Invest[Affectation matrice],$AB$3,Invest[Amortissement HT + intérêts]))*BK13</f>
        <v>0</v>
      </c>
      <c r="K13" s="276">
        <f>(SUMIF(Fonctionnement[Affectation matrice],$AB$3,Fonctionnement[Montant (€HT)])+SUMIF(Invest[Affectation matrice],$AB$3,Invest[Amortissement HT + intérêts]))*BL13</f>
        <v>0</v>
      </c>
      <c r="L13" s="276">
        <f>(SUMIF(Fonctionnement[Affectation matrice],$AB$3,Fonctionnement[Montant (€HT)])+SUMIF(Invest[Affectation matrice],$AB$3,Invest[Amortissement HT + intérêts]))*BM13</f>
        <v>0</v>
      </c>
      <c r="M13" s="276">
        <f>(SUMIF(Fonctionnement[Affectation matrice],$AB$3,Fonctionnement[Montant (€HT)])+SUMIF(Invest[Affectation matrice],$AB$3,Invest[Amortissement HT + intérêts]))*BN13</f>
        <v>0</v>
      </c>
      <c r="N13" s="276">
        <f>(SUMIF(Fonctionnement[Affectation matrice],$AB$3,Fonctionnement[Montant (€HT)])+SUMIF(Invest[Affectation matrice],$AB$3,Invest[Amortissement HT + intérêts]))*BO13</f>
        <v>0</v>
      </c>
      <c r="O13" s="276">
        <f>(SUMIF(Fonctionnement[Affectation matrice],$AB$3,Fonctionnement[Montant (€HT)])+SUMIF(Invest[Affectation matrice],$AB$3,Invest[Amortissement HT + intérêts]))*BP13</f>
        <v>0</v>
      </c>
      <c r="P13" s="276">
        <f>(SUMIF(Fonctionnement[Affectation matrice],$AB$3,Fonctionnement[Montant (€HT)])+SUMIF(Invest[Affectation matrice],$AB$3,Invest[Amortissement HT + intérêts]))*BQ13</f>
        <v>0</v>
      </c>
      <c r="Q13" s="276">
        <f>(SUMIF(Fonctionnement[Affectation matrice],$AB$3,Fonctionnement[Montant (€HT)])+SUMIF(Invest[Affectation matrice],$AB$3,Invest[Amortissement HT + intérêts]))*BR13</f>
        <v>0</v>
      </c>
      <c r="R13" s="276">
        <f>(SUMIF(Fonctionnement[Affectation matrice],$AB$3,Fonctionnement[Montant (€HT)])+SUMIF(Invest[Affectation matrice],$AB$3,Invest[Amortissement HT + intérêts]))*BS13</f>
        <v>0</v>
      </c>
      <c r="S13" s="276">
        <f>(SUMIF(Fonctionnement[Affectation matrice],$AB$3,Fonctionnement[Montant (€HT)])+SUMIF(Invest[Affectation matrice],$AB$3,Invest[Amortissement HT + intérêts]))*BT13</f>
        <v>0</v>
      </c>
      <c r="T13" s="276">
        <f>(SUMIF(Fonctionnement[Affectation matrice],$AB$3,Fonctionnement[Montant (€HT)])+SUMIF(Invest[Affectation matrice],$AB$3,Invest[Amortissement HT + intérêts]))*BU13</f>
        <v>0</v>
      </c>
      <c r="U13" s="276">
        <f>(SUMIF(Fonctionnement[Affectation matrice],$AB$3,Fonctionnement[Montant (€HT)])+SUMIF(Invest[Affectation matrice],$AB$3,Invest[Amortissement HT + intérêts]))*BV13</f>
        <v>0</v>
      </c>
      <c r="V13" s="276">
        <f>(SUMIF(Fonctionnement[Affectation matrice],$AB$3,Fonctionnement[Montant (€HT)])+SUMIF(Invest[Affectation matrice],$AB$3,Invest[Amortissement HT + intérêts]))*BW13</f>
        <v>0</v>
      </c>
      <c r="W13" s="276">
        <f>(SUMIF(Fonctionnement[Affectation matrice],$AB$3,Fonctionnement[Montant (€HT)])+SUMIF(Invest[Affectation matrice],$AB$3,Invest[Amortissement HT + intérêts]))*BX13</f>
        <v>0</v>
      </c>
      <c r="X13" s="276">
        <f>(SUMIF(Fonctionnement[Affectation matrice],$AB$3,Fonctionnement[Montant (€HT)])+SUMIF(Invest[Affectation matrice],$AB$3,Invest[Amortissement HT + intérêts]))*BY13</f>
        <v>0</v>
      </c>
      <c r="Y13" s="276">
        <f>(SUMIF(Fonctionnement[Affectation matrice],$AB$3,Fonctionnement[Montant (€HT)])+SUMIF(Invest[Affectation matrice],$AB$3,Invest[Amortissement HT + intérêts]))*BZ13</f>
        <v>0</v>
      </c>
      <c r="Z13" s="276">
        <f>(SUMIF(Fonctionnement[Affectation matrice],$AB$3,Fonctionnement[Montant (€HT)])+SUMIF(Invest[Affectation matrice],$AB$3,Invest[Amortissement HT + intérêts]))*CA13</f>
        <v>0</v>
      </c>
      <c r="AA13" s="199"/>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283">
        <f t="shared" si="4"/>
        <v>0</v>
      </c>
      <c r="BB13" s="7"/>
      <c r="BC13" s="61">
        <f t="shared" si="2"/>
        <v>0</v>
      </c>
      <c r="BD13" s="61">
        <f t="shared" si="2"/>
        <v>0</v>
      </c>
      <c r="BE13" s="61">
        <f t="shared" si="2"/>
        <v>0</v>
      </c>
      <c r="BF13" s="61">
        <f t="shared" si="2"/>
        <v>0</v>
      </c>
      <c r="BG13" s="61">
        <f t="shared" si="2"/>
        <v>0</v>
      </c>
      <c r="BH13" s="61">
        <f t="shared" si="2"/>
        <v>0</v>
      </c>
      <c r="BI13" s="61">
        <f t="shared" si="2"/>
        <v>0</v>
      </c>
      <c r="BJ13" s="61">
        <f t="shared" si="2"/>
        <v>0</v>
      </c>
      <c r="BK13" s="61">
        <f t="shared" si="2"/>
        <v>0</v>
      </c>
      <c r="BL13" s="61">
        <f t="shared" si="2"/>
        <v>0</v>
      </c>
      <c r="BM13" s="61">
        <f t="shared" si="2"/>
        <v>0</v>
      </c>
      <c r="BN13" s="61">
        <f t="shared" si="2"/>
        <v>0</v>
      </c>
      <c r="BO13" s="61">
        <f t="shared" si="2"/>
        <v>0</v>
      </c>
      <c r="BP13" s="61">
        <f t="shared" si="2"/>
        <v>0</v>
      </c>
      <c r="BQ13" s="61">
        <f t="shared" si="2"/>
        <v>0</v>
      </c>
      <c r="BR13" s="61">
        <f t="shared" si="2"/>
        <v>0</v>
      </c>
      <c r="BS13" s="61">
        <f t="shared" si="3"/>
        <v>0</v>
      </c>
      <c r="BT13" s="61">
        <f t="shared" si="3"/>
        <v>0</v>
      </c>
      <c r="BU13" s="61">
        <f t="shared" si="3"/>
        <v>0</v>
      </c>
      <c r="BV13" s="61">
        <f t="shared" si="3"/>
        <v>0</v>
      </c>
      <c r="BW13" s="61">
        <f t="shared" si="3"/>
        <v>0</v>
      </c>
      <c r="BX13" s="61">
        <f t="shared" si="3"/>
        <v>0</v>
      </c>
      <c r="BY13" s="61">
        <f t="shared" si="3"/>
        <v>0</v>
      </c>
      <c r="BZ13" s="61">
        <f t="shared" si="3"/>
        <v>0</v>
      </c>
      <c r="CA13" s="61">
        <f t="shared" si="3"/>
        <v>0</v>
      </c>
      <c r="CB13" s="61">
        <f t="shared" si="5"/>
        <v>0</v>
      </c>
      <c r="CD13" s="200">
        <f>(SUMIF(Fonctionnement[Affectation matrice],$AB$3,Fonctionnement[TVA acquittée])+SUMIF(Invest[Affectation matrice],$AB$3,Invest[TVA acquittée]))*BC13</f>
        <v>0</v>
      </c>
      <c r="CE13" s="200">
        <f>(SUMIF(Fonctionnement[Affectation matrice],$AB$3,Fonctionnement[TVA acquittée])+SUMIF(Invest[Affectation matrice],$AB$3,Invest[TVA acquittée]))*BD13</f>
        <v>0</v>
      </c>
      <c r="CF13" s="200">
        <f>(SUMIF(Fonctionnement[Affectation matrice],$AB$3,Fonctionnement[TVA acquittée])+SUMIF(Invest[Affectation matrice],$AB$3,Invest[TVA acquittée]))*BE13</f>
        <v>0</v>
      </c>
      <c r="CG13" s="200">
        <f>(SUMIF(Fonctionnement[Affectation matrice],$AB$3,Fonctionnement[TVA acquittée])+SUMIF(Invest[Affectation matrice],$AB$3,Invest[TVA acquittée]))*BF13</f>
        <v>0</v>
      </c>
      <c r="CH13" s="200">
        <f>(SUMIF(Fonctionnement[Affectation matrice],$AB$3,Fonctionnement[TVA acquittée])+SUMIF(Invest[Affectation matrice],$AB$3,Invest[TVA acquittée]))*BG13</f>
        <v>0</v>
      </c>
      <c r="CI13" s="200">
        <f>(SUMIF(Fonctionnement[Affectation matrice],$AB$3,Fonctionnement[TVA acquittée])+SUMIF(Invest[Affectation matrice],$AB$3,Invest[TVA acquittée]))*BH13</f>
        <v>0</v>
      </c>
      <c r="CJ13" s="200">
        <f>(SUMIF(Fonctionnement[Affectation matrice],$AB$3,Fonctionnement[TVA acquittée])+SUMIF(Invest[Affectation matrice],$AB$3,Invest[TVA acquittée]))*BI13</f>
        <v>0</v>
      </c>
      <c r="CK13" s="200">
        <f>(SUMIF(Fonctionnement[Affectation matrice],$AB$3,Fonctionnement[TVA acquittée])+SUMIF(Invest[Affectation matrice],$AB$3,Invest[TVA acquittée]))*BJ13</f>
        <v>0</v>
      </c>
      <c r="CL13" s="200">
        <f>(SUMIF(Fonctionnement[Affectation matrice],$AB$3,Fonctionnement[TVA acquittée])+SUMIF(Invest[Affectation matrice],$AB$3,Invest[TVA acquittée]))*BK13</f>
        <v>0</v>
      </c>
      <c r="CM13" s="200">
        <f>(SUMIF(Fonctionnement[Affectation matrice],$AB$3,Fonctionnement[TVA acquittée])+SUMIF(Invest[Affectation matrice],$AB$3,Invest[TVA acquittée]))*BL13</f>
        <v>0</v>
      </c>
      <c r="CN13" s="200">
        <f>(SUMIF(Fonctionnement[Affectation matrice],$AB$3,Fonctionnement[TVA acquittée])+SUMIF(Invest[Affectation matrice],$AB$3,Invest[TVA acquittée]))*BM13</f>
        <v>0</v>
      </c>
      <c r="CO13" s="200">
        <f>(SUMIF(Fonctionnement[Affectation matrice],$AB$3,Fonctionnement[TVA acquittée])+SUMIF(Invest[Affectation matrice],$AB$3,Invest[TVA acquittée]))*BN13</f>
        <v>0</v>
      </c>
      <c r="CP13" s="200">
        <f>(SUMIF(Fonctionnement[Affectation matrice],$AB$3,Fonctionnement[TVA acquittée])+SUMIF(Invest[Affectation matrice],$AB$3,Invest[TVA acquittée]))*BO13</f>
        <v>0</v>
      </c>
      <c r="CQ13" s="200">
        <f>(SUMIF(Fonctionnement[Affectation matrice],$AB$3,Fonctionnement[TVA acquittée])+SUMIF(Invest[Affectation matrice],$AB$3,Invest[TVA acquittée]))*BP13</f>
        <v>0</v>
      </c>
      <c r="CR13" s="200">
        <f>(SUMIF(Fonctionnement[Affectation matrice],$AB$3,Fonctionnement[TVA acquittée])+SUMIF(Invest[Affectation matrice],$AB$3,Invest[TVA acquittée]))*BQ13</f>
        <v>0</v>
      </c>
      <c r="CS13" s="200">
        <f>(SUMIF(Fonctionnement[Affectation matrice],$AB$3,Fonctionnement[TVA acquittée])+SUMIF(Invest[Affectation matrice],$AB$3,Invest[TVA acquittée]))*BR13</f>
        <v>0</v>
      </c>
      <c r="CT13" s="200">
        <f>(SUMIF(Fonctionnement[Affectation matrice],$AB$3,Fonctionnement[TVA acquittée])+SUMIF(Invest[Affectation matrice],$AB$3,Invest[TVA acquittée]))*BS13</f>
        <v>0</v>
      </c>
      <c r="CU13" s="200">
        <f>(SUMIF(Fonctionnement[Affectation matrice],$AB$3,Fonctionnement[TVA acquittée])+SUMIF(Invest[Affectation matrice],$AB$3,Invest[TVA acquittée]))*BT13</f>
        <v>0</v>
      </c>
      <c r="CV13" s="200">
        <f>(SUMIF(Fonctionnement[Affectation matrice],$AB$3,Fonctionnement[TVA acquittée])+SUMIF(Invest[Affectation matrice],$AB$3,Invest[TVA acquittée]))*BU13</f>
        <v>0</v>
      </c>
      <c r="CW13" s="200">
        <f>(SUMIF(Fonctionnement[Affectation matrice],$AB$3,Fonctionnement[TVA acquittée])+SUMIF(Invest[Affectation matrice],$AB$3,Invest[TVA acquittée]))*BV13</f>
        <v>0</v>
      </c>
      <c r="CX13" s="200">
        <f>(SUMIF(Fonctionnement[Affectation matrice],$AB$3,Fonctionnement[TVA acquittée])+SUMIF(Invest[Affectation matrice],$AB$3,Invest[TVA acquittée]))*BW13</f>
        <v>0</v>
      </c>
      <c r="CY13" s="200">
        <f>(SUMIF(Fonctionnement[Affectation matrice],$AB$3,Fonctionnement[TVA acquittée])+SUMIF(Invest[Affectation matrice],$AB$3,Invest[TVA acquittée]))*BX13</f>
        <v>0</v>
      </c>
      <c r="CZ13" s="200">
        <f>(SUMIF(Fonctionnement[Affectation matrice],$AB$3,Fonctionnement[TVA acquittée])+SUMIF(Invest[Affectation matrice],$AB$3,Invest[TVA acquittée]))*BY13</f>
        <v>0</v>
      </c>
      <c r="DA13" s="200">
        <f>(SUMIF(Fonctionnement[Affectation matrice],$AB$3,Fonctionnement[TVA acquittée])+SUMIF(Invest[Affectation matrice],$AB$3,Invest[TVA acquittée]))*BZ13</f>
        <v>0</v>
      </c>
      <c r="DB13" s="200">
        <f>(SUMIF(Fonctionnement[Affectation matrice],$AB$3,Fonctionnement[TVA acquittée])+SUMIF(Invest[Affectation matrice],$AB$3,Invest[TVA acquittée]))*CA13</f>
        <v>0</v>
      </c>
    </row>
    <row r="14" spans="1:106" s="22" customFormat="1" ht="12.75" hidden="1" customHeight="1" x14ac:dyDescent="0.25">
      <c r="A14" s="42">
        <f>Matrice[[#This Row],[Ligne de la matrice]]</f>
        <v>0</v>
      </c>
      <c r="B14" s="276">
        <f>(SUMIF(Fonctionnement[Affectation matrice],$AB$3,Fonctionnement[Montant (€HT)])+SUMIF(Invest[Affectation matrice],$AB$3,Invest[Amortissement HT + intérêts]))*BC14</f>
        <v>0</v>
      </c>
      <c r="C14" s="276">
        <f>(SUMIF(Fonctionnement[Affectation matrice],$AB$3,Fonctionnement[Montant (€HT)])+SUMIF(Invest[Affectation matrice],$AB$3,Invest[Amortissement HT + intérêts]))*BD14</f>
        <v>0</v>
      </c>
      <c r="D14" s="276">
        <f>(SUMIF(Fonctionnement[Affectation matrice],$AB$3,Fonctionnement[Montant (€HT)])+SUMIF(Invest[Affectation matrice],$AB$3,Invest[Amortissement HT + intérêts]))*BE14</f>
        <v>0</v>
      </c>
      <c r="E14" s="276">
        <f>(SUMIF(Fonctionnement[Affectation matrice],$AB$3,Fonctionnement[Montant (€HT)])+SUMIF(Invest[Affectation matrice],$AB$3,Invest[Amortissement HT + intérêts]))*BF14</f>
        <v>0</v>
      </c>
      <c r="F14" s="276">
        <f>(SUMIF(Fonctionnement[Affectation matrice],$AB$3,Fonctionnement[Montant (€HT)])+SUMIF(Invest[Affectation matrice],$AB$3,Invest[Amortissement HT + intérêts]))*BG14</f>
        <v>0</v>
      </c>
      <c r="G14" s="276">
        <f>(SUMIF(Fonctionnement[Affectation matrice],$AB$3,Fonctionnement[Montant (€HT)])+SUMIF(Invest[Affectation matrice],$AB$3,Invest[Amortissement HT + intérêts]))*BH14</f>
        <v>0</v>
      </c>
      <c r="H14" s="276">
        <f>(SUMIF(Fonctionnement[Affectation matrice],$AB$3,Fonctionnement[Montant (€HT)])+SUMIF(Invest[Affectation matrice],$AB$3,Invest[Amortissement HT + intérêts]))*BI14</f>
        <v>0</v>
      </c>
      <c r="I14" s="276">
        <f>(SUMIF(Fonctionnement[Affectation matrice],$AB$3,Fonctionnement[Montant (€HT)])+SUMIF(Invest[Affectation matrice],$AB$3,Invest[Amortissement HT + intérêts]))*BJ14</f>
        <v>0</v>
      </c>
      <c r="J14" s="276">
        <f>(SUMIF(Fonctionnement[Affectation matrice],$AB$3,Fonctionnement[Montant (€HT)])+SUMIF(Invest[Affectation matrice],$AB$3,Invest[Amortissement HT + intérêts]))*BK14</f>
        <v>0</v>
      </c>
      <c r="K14" s="276">
        <f>(SUMIF(Fonctionnement[Affectation matrice],$AB$3,Fonctionnement[Montant (€HT)])+SUMIF(Invest[Affectation matrice],$AB$3,Invest[Amortissement HT + intérêts]))*BL14</f>
        <v>0</v>
      </c>
      <c r="L14" s="276">
        <f>(SUMIF(Fonctionnement[Affectation matrice],$AB$3,Fonctionnement[Montant (€HT)])+SUMIF(Invest[Affectation matrice],$AB$3,Invest[Amortissement HT + intérêts]))*BM14</f>
        <v>0</v>
      </c>
      <c r="M14" s="276">
        <f>(SUMIF(Fonctionnement[Affectation matrice],$AB$3,Fonctionnement[Montant (€HT)])+SUMIF(Invest[Affectation matrice],$AB$3,Invest[Amortissement HT + intérêts]))*BN14</f>
        <v>0</v>
      </c>
      <c r="N14" s="276">
        <f>(SUMIF(Fonctionnement[Affectation matrice],$AB$3,Fonctionnement[Montant (€HT)])+SUMIF(Invest[Affectation matrice],$AB$3,Invest[Amortissement HT + intérêts]))*BO14</f>
        <v>0</v>
      </c>
      <c r="O14" s="276">
        <f>(SUMIF(Fonctionnement[Affectation matrice],$AB$3,Fonctionnement[Montant (€HT)])+SUMIF(Invest[Affectation matrice],$AB$3,Invest[Amortissement HT + intérêts]))*BP14</f>
        <v>0</v>
      </c>
      <c r="P14" s="276">
        <f>(SUMIF(Fonctionnement[Affectation matrice],$AB$3,Fonctionnement[Montant (€HT)])+SUMIF(Invest[Affectation matrice],$AB$3,Invest[Amortissement HT + intérêts]))*BQ14</f>
        <v>0</v>
      </c>
      <c r="Q14" s="276">
        <f>(SUMIF(Fonctionnement[Affectation matrice],$AB$3,Fonctionnement[Montant (€HT)])+SUMIF(Invest[Affectation matrice],$AB$3,Invest[Amortissement HT + intérêts]))*BR14</f>
        <v>0</v>
      </c>
      <c r="R14" s="276">
        <f>(SUMIF(Fonctionnement[Affectation matrice],$AB$3,Fonctionnement[Montant (€HT)])+SUMIF(Invest[Affectation matrice],$AB$3,Invest[Amortissement HT + intérêts]))*BS14</f>
        <v>0</v>
      </c>
      <c r="S14" s="276">
        <f>(SUMIF(Fonctionnement[Affectation matrice],$AB$3,Fonctionnement[Montant (€HT)])+SUMIF(Invest[Affectation matrice],$AB$3,Invest[Amortissement HT + intérêts]))*BT14</f>
        <v>0</v>
      </c>
      <c r="T14" s="276">
        <f>(SUMIF(Fonctionnement[Affectation matrice],$AB$3,Fonctionnement[Montant (€HT)])+SUMIF(Invest[Affectation matrice],$AB$3,Invest[Amortissement HT + intérêts]))*BU14</f>
        <v>0</v>
      </c>
      <c r="U14" s="276">
        <f>(SUMIF(Fonctionnement[Affectation matrice],$AB$3,Fonctionnement[Montant (€HT)])+SUMIF(Invest[Affectation matrice],$AB$3,Invest[Amortissement HT + intérêts]))*BV14</f>
        <v>0</v>
      </c>
      <c r="V14" s="276">
        <f>(SUMIF(Fonctionnement[Affectation matrice],$AB$3,Fonctionnement[Montant (€HT)])+SUMIF(Invest[Affectation matrice],$AB$3,Invest[Amortissement HT + intérêts]))*BW14</f>
        <v>0</v>
      </c>
      <c r="W14" s="276">
        <f>(SUMIF(Fonctionnement[Affectation matrice],$AB$3,Fonctionnement[Montant (€HT)])+SUMIF(Invest[Affectation matrice],$AB$3,Invest[Amortissement HT + intérêts]))*BX14</f>
        <v>0</v>
      </c>
      <c r="X14" s="276">
        <f>(SUMIF(Fonctionnement[Affectation matrice],$AB$3,Fonctionnement[Montant (€HT)])+SUMIF(Invest[Affectation matrice],$AB$3,Invest[Amortissement HT + intérêts]))*BY14</f>
        <v>0</v>
      </c>
      <c r="Y14" s="276">
        <f>(SUMIF(Fonctionnement[Affectation matrice],$AB$3,Fonctionnement[Montant (€HT)])+SUMIF(Invest[Affectation matrice],$AB$3,Invest[Amortissement HT + intérêts]))*BZ14</f>
        <v>0</v>
      </c>
      <c r="Z14" s="276">
        <f>(SUMIF(Fonctionnement[Affectation matrice],$AB$3,Fonctionnement[Montant (€HT)])+SUMIF(Invest[Affectation matrice],$AB$3,Invest[Amortissement HT + intérêts]))*CA14</f>
        <v>0</v>
      </c>
      <c r="AA14" s="199"/>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283">
        <f t="shared" si="4"/>
        <v>0</v>
      </c>
      <c r="BB14" s="7"/>
      <c r="BC14" s="61">
        <f t="shared" si="2"/>
        <v>0</v>
      </c>
      <c r="BD14" s="61">
        <f t="shared" si="2"/>
        <v>0</v>
      </c>
      <c r="BE14" s="61">
        <f t="shared" si="2"/>
        <v>0</v>
      </c>
      <c r="BF14" s="61">
        <f t="shared" si="2"/>
        <v>0</v>
      </c>
      <c r="BG14" s="61">
        <f t="shared" si="2"/>
        <v>0</v>
      </c>
      <c r="BH14" s="61">
        <f t="shared" si="2"/>
        <v>0</v>
      </c>
      <c r="BI14" s="61">
        <f t="shared" si="2"/>
        <v>0</v>
      </c>
      <c r="BJ14" s="61">
        <f t="shared" si="2"/>
        <v>0</v>
      </c>
      <c r="BK14" s="61">
        <f t="shared" si="2"/>
        <v>0</v>
      </c>
      <c r="BL14" s="61">
        <f t="shared" si="2"/>
        <v>0</v>
      </c>
      <c r="BM14" s="61">
        <f t="shared" si="2"/>
        <v>0</v>
      </c>
      <c r="BN14" s="61">
        <f t="shared" si="2"/>
        <v>0</v>
      </c>
      <c r="BO14" s="61">
        <f t="shared" si="2"/>
        <v>0</v>
      </c>
      <c r="BP14" s="61">
        <f t="shared" si="2"/>
        <v>0</v>
      </c>
      <c r="BQ14" s="61">
        <f t="shared" si="2"/>
        <v>0</v>
      </c>
      <c r="BR14" s="61">
        <f t="shared" si="2"/>
        <v>0</v>
      </c>
      <c r="BS14" s="61">
        <f t="shared" si="3"/>
        <v>0</v>
      </c>
      <c r="BT14" s="61">
        <f t="shared" si="3"/>
        <v>0</v>
      </c>
      <c r="BU14" s="61">
        <f t="shared" si="3"/>
        <v>0</v>
      </c>
      <c r="BV14" s="61">
        <f t="shared" si="3"/>
        <v>0</v>
      </c>
      <c r="BW14" s="61">
        <f t="shared" si="3"/>
        <v>0</v>
      </c>
      <c r="BX14" s="61">
        <f t="shared" si="3"/>
        <v>0</v>
      </c>
      <c r="BY14" s="61">
        <f t="shared" si="3"/>
        <v>0</v>
      </c>
      <c r="BZ14" s="61">
        <f t="shared" si="3"/>
        <v>0</v>
      </c>
      <c r="CA14" s="61">
        <f t="shared" si="3"/>
        <v>0</v>
      </c>
      <c r="CB14" s="61">
        <f t="shared" si="5"/>
        <v>0</v>
      </c>
      <c r="CD14" s="200">
        <f>(SUMIF(Fonctionnement[Affectation matrice],$AB$3,Fonctionnement[TVA acquittée])+SUMIF(Invest[Affectation matrice],$AB$3,Invest[TVA acquittée]))*BC14</f>
        <v>0</v>
      </c>
      <c r="CE14" s="200">
        <f>(SUMIF(Fonctionnement[Affectation matrice],$AB$3,Fonctionnement[TVA acquittée])+SUMIF(Invest[Affectation matrice],$AB$3,Invest[TVA acquittée]))*BD14</f>
        <v>0</v>
      </c>
      <c r="CF14" s="200">
        <f>(SUMIF(Fonctionnement[Affectation matrice],$AB$3,Fonctionnement[TVA acquittée])+SUMIF(Invest[Affectation matrice],$AB$3,Invest[TVA acquittée]))*BE14</f>
        <v>0</v>
      </c>
      <c r="CG14" s="200">
        <f>(SUMIF(Fonctionnement[Affectation matrice],$AB$3,Fonctionnement[TVA acquittée])+SUMIF(Invest[Affectation matrice],$AB$3,Invest[TVA acquittée]))*BF14</f>
        <v>0</v>
      </c>
      <c r="CH14" s="200">
        <f>(SUMIF(Fonctionnement[Affectation matrice],$AB$3,Fonctionnement[TVA acquittée])+SUMIF(Invest[Affectation matrice],$AB$3,Invest[TVA acquittée]))*BG14</f>
        <v>0</v>
      </c>
      <c r="CI14" s="200">
        <f>(SUMIF(Fonctionnement[Affectation matrice],$AB$3,Fonctionnement[TVA acquittée])+SUMIF(Invest[Affectation matrice],$AB$3,Invest[TVA acquittée]))*BH14</f>
        <v>0</v>
      </c>
      <c r="CJ14" s="200">
        <f>(SUMIF(Fonctionnement[Affectation matrice],$AB$3,Fonctionnement[TVA acquittée])+SUMIF(Invest[Affectation matrice],$AB$3,Invest[TVA acquittée]))*BI14</f>
        <v>0</v>
      </c>
      <c r="CK14" s="200">
        <f>(SUMIF(Fonctionnement[Affectation matrice],$AB$3,Fonctionnement[TVA acquittée])+SUMIF(Invest[Affectation matrice],$AB$3,Invest[TVA acquittée]))*BJ14</f>
        <v>0</v>
      </c>
      <c r="CL14" s="200">
        <f>(SUMIF(Fonctionnement[Affectation matrice],$AB$3,Fonctionnement[TVA acquittée])+SUMIF(Invest[Affectation matrice],$AB$3,Invest[TVA acquittée]))*BK14</f>
        <v>0</v>
      </c>
      <c r="CM14" s="200">
        <f>(SUMIF(Fonctionnement[Affectation matrice],$AB$3,Fonctionnement[TVA acquittée])+SUMIF(Invest[Affectation matrice],$AB$3,Invest[TVA acquittée]))*BL14</f>
        <v>0</v>
      </c>
      <c r="CN14" s="200">
        <f>(SUMIF(Fonctionnement[Affectation matrice],$AB$3,Fonctionnement[TVA acquittée])+SUMIF(Invest[Affectation matrice],$AB$3,Invest[TVA acquittée]))*BM14</f>
        <v>0</v>
      </c>
      <c r="CO14" s="200">
        <f>(SUMIF(Fonctionnement[Affectation matrice],$AB$3,Fonctionnement[TVA acquittée])+SUMIF(Invest[Affectation matrice],$AB$3,Invest[TVA acquittée]))*BN14</f>
        <v>0</v>
      </c>
      <c r="CP14" s="200">
        <f>(SUMIF(Fonctionnement[Affectation matrice],$AB$3,Fonctionnement[TVA acquittée])+SUMIF(Invest[Affectation matrice],$AB$3,Invest[TVA acquittée]))*BO14</f>
        <v>0</v>
      </c>
      <c r="CQ14" s="200">
        <f>(SUMIF(Fonctionnement[Affectation matrice],$AB$3,Fonctionnement[TVA acquittée])+SUMIF(Invest[Affectation matrice],$AB$3,Invest[TVA acquittée]))*BP14</f>
        <v>0</v>
      </c>
      <c r="CR14" s="200">
        <f>(SUMIF(Fonctionnement[Affectation matrice],$AB$3,Fonctionnement[TVA acquittée])+SUMIF(Invest[Affectation matrice],$AB$3,Invest[TVA acquittée]))*BQ14</f>
        <v>0</v>
      </c>
      <c r="CS14" s="200">
        <f>(SUMIF(Fonctionnement[Affectation matrice],$AB$3,Fonctionnement[TVA acquittée])+SUMIF(Invest[Affectation matrice],$AB$3,Invest[TVA acquittée]))*BR14</f>
        <v>0</v>
      </c>
      <c r="CT14" s="200">
        <f>(SUMIF(Fonctionnement[Affectation matrice],$AB$3,Fonctionnement[TVA acquittée])+SUMIF(Invest[Affectation matrice],$AB$3,Invest[TVA acquittée]))*BS14</f>
        <v>0</v>
      </c>
      <c r="CU14" s="200">
        <f>(SUMIF(Fonctionnement[Affectation matrice],$AB$3,Fonctionnement[TVA acquittée])+SUMIF(Invest[Affectation matrice],$AB$3,Invest[TVA acquittée]))*BT14</f>
        <v>0</v>
      </c>
      <c r="CV14" s="200">
        <f>(SUMIF(Fonctionnement[Affectation matrice],$AB$3,Fonctionnement[TVA acquittée])+SUMIF(Invest[Affectation matrice],$AB$3,Invest[TVA acquittée]))*BU14</f>
        <v>0</v>
      </c>
      <c r="CW14" s="200">
        <f>(SUMIF(Fonctionnement[Affectation matrice],$AB$3,Fonctionnement[TVA acquittée])+SUMIF(Invest[Affectation matrice],$AB$3,Invest[TVA acquittée]))*BV14</f>
        <v>0</v>
      </c>
      <c r="CX14" s="200">
        <f>(SUMIF(Fonctionnement[Affectation matrice],$AB$3,Fonctionnement[TVA acquittée])+SUMIF(Invest[Affectation matrice],$AB$3,Invest[TVA acquittée]))*BW14</f>
        <v>0</v>
      </c>
      <c r="CY14" s="200">
        <f>(SUMIF(Fonctionnement[Affectation matrice],$AB$3,Fonctionnement[TVA acquittée])+SUMIF(Invest[Affectation matrice],$AB$3,Invest[TVA acquittée]))*BX14</f>
        <v>0</v>
      </c>
      <c r="CZ14" s="200">
        <f>(SUMIF(Fonctionnement[Affectation matrice],$AB$3,Fonctionnement[TVA acquittée])+SUMIF(Invest[Affectation matrice],$AB$3,Invest[TVA acquittée]))*BY14</f>
        <v>0</v>
      </c>
      <c r="DA14" s="200">
        <f>(SUMIF(Fonctionnement[Affectation matrice],$AB$3,Fonctionnement[TVA acquittée])+SUMIF(Invest[Affectation matrice],$AB$3,Invest[TVA acquittée]))*BZ14</f>
        <v>0</v>
      </c>
      <c r="DB14" s="200">
        <f>(SUMIF(Fonctionnement[Affectation matrice],$AB$3,Fonctionnement[TVA acquittée])+SUMIF(Invest[Affectation matrice],$AB$3,Invest[TVA acquittée]))*CA14</f>
        <v>0</v>
      </c>
    </row>
    <row r="15" spans="1:106" s="22" customFormat="1" ht="12.75" hidden="1" customHeight="1" x14ac:dyDescent="0.25">
      <c r="A15" s="42">
        <f>Matrice[[#This Row],[Ligne de la matrice]]</f>
        <v>0</v>
      </c>
      <c r="B15" s="276">
        <f>(SUMIF(Fonctionnement[Affectation matrice],$AB$3,Fonctionnement[Montant (€HT)])+SUMIF(Invest[Affectation matrice],$AB$3,Invest[Amortissement HT + intérêts]))*BC15</f>
        <v>0</v>
      </c>
      <c r="C15" s="276">
        <f>(SUMIF(Fonctionnement[Affectation matrice],$AB$3,Fonctionnement[Montant (€HT)])+SUMIF(Invest[Affectation matrice],$AB$3,Invest[Amortissement HT + intérêts]))*BD15</f>
        <v>0</v>
      </c>
      <c r="D15" s="276">
        <f>(SUMIF(Fonctionnement[Affectation matrice],$AB$3,Fonctionnement[Montant (€HT)])+SUMIF(Invest[Affectation matrice],$AB$3,Invest[Amortissement HT + intérêts]))*BE15</f>
        <v>0</v>
      </c>
      <c r="E15" s="276">
        <f>(SUMIF(Fonctionnement[Affectation matrice],$AB$3,Fonctionnement[Montant (€HT)])+SUMIF(Invest[Affectation matrice],$AB$3,Invest[Amortissement HT + intérêts]))*BF15</f>
        <v>0</v>
      </c>
      <c r="F15" s="276">
        <f>(SUMIF(Fonctionnement[Affectation matrice],$AB$3,Fonctionnement[Montant (€HT)])+SUMIF(Invest[Affectation matrice],$AB$3,Invest[Amortissement HT + intérêts]))*BG15</f>
        <v>0</v>
      </c>
      <c r="G15" s="276">
        <f>(SUMIF(Fonctionnement[Affectation matrice],$AB$3,Fonctionnement[Montant (€HT)])+SUMIF(Invest[Affectation matrice],$AB$3,Invest[Amortissement HT + intérêts]))*BH15</f>
        <v>0</v>
      </c>
      <c r="H15" s="276">
        <f>(SUMIF(Fonctionnement[Affectation matrice],$AB$3,Fonctionnement[Montant (€HT)])+SUMIF(Invest[Affectation matrice],$AB$3,Invest[Amortissement HT + intérêts]))*BI15</f>
        <v>0</v>
      </c>
      <c r="I15" s="276">
        <f>(SUMIF(Fonctionnement[Affectation matrice],$AB$3,Fonctionnement[Montant (€HT)])+SUMIF(Invest[Affectation matrice],$AB$3,Invest[Amortissement HT + intérêts]))*BJ15</f>
        <v>0</v>
      </c>
      <c r="J15" s="276">
        <f>(SUMIF(Fonctionnement[Affectation matrice],$AB$3,Fonctionnement[Montant (€HT)])+SUMIF(Invest[Affectation matrice],$AB$3,Invest[Amortissement HT + intérêts]))*BK15</f>
        <v>0</v>
      </c>
      <c r="K15" s="276">
        <f>(SUMIF(Fonctionnement[Affectation matrice],$AB$3,Fonctionnement[Montant (€HT)])+SUMIF(Invest[Affectation matrice],$AB$3,Invest[Amortissement HT + intérêts]))*BL15</f>
        <v>0</v>
      </c>
      <c r="L15" s="276">
        <f>(SUMIF(Fonctionnement[Affectation matrice],$AB$3,Fonctionnement[Montant (€HT)])+SUMIF(Invest[Affectation matrice],$AB$3,Invest[Amortissement HT + intérêts]))*BM15</f>
        <v>0</v>
      </c>
      <c r="M15" s="276">
        <f>(SUMIF(Fonctionnement[Affectation matrice],$AB$3,Fonctionnement[Montant (€HT)])+SUMIF(Invest[Affectation matrice],$AB$3,Invest[Amortissement HT + intérêts]))*BN15</f>
        <v>0</v>
      </c>
      <c r="N15" s="276">
        <f>(SUMIF(Fonctionnement[Affectation matrice],$AB$3,Fonctionnement[Montant (€HT)])+SUMIF(Invest[Affectation matrice],$AB$3,Invest[Amortissement HT + intérêts]))*BO15</f>
        <v>0</v>
      </c>
      <c r="O15" s="276">
        <f>(SUMIF(Fonctionnement[Affectation matrice],$AB$3,Fonctionnement[Montant (€HT)])+SUMIF(Invest[Affectation matrice],$AB$3,Invest[Amortissement HT + intérêts]))*BP15</f>
        <v>0</v>
      </c>
      <c r="P15" s="276">
        <f>(SUMIF(Fonctionnement[Affectation matrice],$AB$3,Fonctionnement[Montant (€HT)])+SUMIF(Invest[Affectation matrice],$AB$3,Invest[Amortissement HT + intérêts]))*BQ15</f>
        <v>0</v>
      </c>
      <c r="Q15" s="276">
        <f>(SUMIF(Fonctionnement[Affectation matrice],$AB$3,Fonctionnement[Montant (€HT)])+SUMIF(Invest[Affectation matrice],$AB$3,Invest[Amortissement HT + intérêts]))*BR15</f>
        <v>0</v>
      </c>
      <c r="R15" s="276">
        <f>(SUMIF(Fonctionnement[Affectation matrice],$AB$3,Fonctionnement[Montant (€HT)])+SUMIF(Invest[Affectation matrice],$AB$3,Invest[Amortissement HT + intérêts]))*BS15</f>
        <v>0</v>
      </c>
      <c r="S15" s="276">
        <f>(SUMIF(Fonctionnement[Affectation matrice],$AB$3,Fonctionnement[Montant (€HT)])+SUMIF(Invest[Affectation matrice],$AB$3,Invest[Amortissement HT + intérêts]))*BT15</f>
        <v>0</v>
      </c>
      <c r="T15" s="276">
        <f>(SUMIF(Fonctionnement[Affectation matrice],$AB$3,Fonctionnement[Montant (€HT)])+SUMIF(Invest[Affectation matrice],$AB$3,Invest[Amortissement HT + intérêts]))*BU15</f>
        <v>0</v>
      </c>
      <c r="U15" s="276">
        <f>(SUMIF(Fonctionnement[Affectation matrice],$AB$3,Fonctionnement[Montant (€HT)])+SUMIF(Invest[Affectation matrice],$AB$3,Invest[Amortissement HT + intérêts]))*BV15</f>
        <v>0</v>
      </c>
      <c r="V15" s="276">
        <f>(SUMIF(Fonctionnement[Affectation matrice],$AB$3,Fonctionnement[Montant (€HT)])+SUMIF(Invest[Affectation matrice],$AB$3,Invest[Amortissement HT + intérêts]))*BW15</f>
        <v>0</v>
      </c>
      <c r="W15" s="276">
        <f>(SUMIF(Fonctionnement[Affectation matrice],$AB$3,Fonctionnement[Montant (€HT)])+SUMIF(Invest[Affectation matrice],$AB$3,Invest[Amortissement HT + intérêts]))*BX15</f>
        <v>0</v>
      </c>
      <c r="X15" s="276">
        <f>(SUMIF(Fonctionnement[Affectation matrice],$AB$3,Fonctionnement[Montant (€HT)])+SUMIF(Invest[Affectation matrice],$AB$3,Invest[Amortissement HT + intérêts]))*BY15</f>
        <v>0</v>
      </c>
      <c r="Y15" s="276">
        <f>(SUMIF(Fonctionnement[Affectation matrice],$AB$3,Fonctionnement[Montant (€HT)])+SUMIF(Invest[Affectation matrice],$AB$3,Invest[Amortissement HT + intérêts]))*BZ15</f>
        <v>0</v>
      </c>
      <c r="Z15" s="276">
        <f>(SUMIF(Fonctionnement[Affectation matrice],$AB$3,Fonctionnement[Montant (€HT)])+SUMIF(Invest[Affectation matrice],$AB$3,Invest[Amortissement HT + intérêts]))*CA15</f>
        <v>0</v>
      </c>
      <c r="AA15" s="199"/>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283">
        <f t="shared" si="4"/>
        <v>0</v>
      </c>
      <c r="BB15" s="7"/>
      <c r="BC15" s="61">
        <f t="shared" si="2"/>
        <v>0</v>
      </c>
      <c r="BD15" s="61">
        <f t="shared" si="2"/>
        <v>0</v>
      </c>
      <c r="BE15" s="61">
        <f t="shared" si="2"/>
        <v>0</v>
      </c>
      <c r="BF15" s="61">
        <f t="shared" si="2"/>
        <v>0</v>
      </c>
      <c r="BG15" s="61">
        <f t="shared" si="2"/>
        <v>0</v>
      </c>
      <c r="BH15" s="61">
        <f t="shared" si="2"/>
        <v>0</v>
      </c>
      <c r="BI15" s="61">
        <f t="shared" si="2"/>
        <v>0</v>
      </c>
      <c r="BJ15" s="61">
        <f t="shared" si="2"/>
        <v>0</v>
      </c>
      <c r="BK15" s="61">
        <f t="shared" si="2"/>
        <v>0</v>
      </c>
      <c r="BL15" s="61">
        <f t="shared" si="2"/>
        <v>0</v>
      </c>
      <c r="BM15" s="61">
        <f t="shared" si="2"/>
        <v>0</v>
      </c>
      <c r="BN15" s="61">
        <f t="shared" si="2"/>
        <v>0</v>
      </c>
      <c r="BO15" s="61">
        <f t="shared" si="2"/>
        <v>0</v>
      </c>
      <c r="BP15" s="61">
        <f t="shared" si="2"/>
        <v>0</v>
      </c>
      <c r="BQ15" s="61">
        <f t="shared" si="2"/>
        <v>0</v>
      </c>
      <c r="BR15" s="61">
        <f t="shared" si="2"/>
        <v>0</v>
      </c>
      <c r="BS15" s="61">
        <f t="shared" si="3"/>
        <v>0</v>
      </c>
      <c r="BT15" s="61">
        <f t="shared" si="3"/>
        <v>0</v>
      </c>
      <c r="BU15" s="61">
        <f t="shared" si="3"/>
        <v>0</v>
      </c>
      <c r="BV15" s="61">
        <f t="shared" si="3"/>
        <v>0</v>
      </c>
      <c r="BW15" s="61">
        <f t="shared" si="3"/>
        <v>0</v>
      </c>
      <c r="BX15" s="61">
        <f t="shared" si="3"/>
        <v>0</v>
      </c>
      <c r="BY15" s="61">
        <f t="shared" si="3"/>
        <v>0</v>
      </c>
      <c r="BZ15" s="61">
        <f t="shared" si="3"/>
        <v>0</v>
      </c>
      <c r="CA15" s="61">
        <f t="shared" si="3"/>
        <v>0</v>
      </c>
      <c r="CB15" s="61">
        <f t="shared" si="5"/>
        <v>0</v>
      </c>
      <c r="CD15" s="200">
        <f>(SUMIF(Fonctionnement[Affectation matrice],$AB$3,Fonctionnement[TVA acquittée])+SUMIF(Invest[Affectation matrice],$AB$3,Invest[TVA acquittée]))*BC15</f>
        <v>0</v>
      </c>
      <c r="CE15" s="200">
        <f>(SUMIF(Fonctionnement[Affectation matrice],$AB$3,Fonctionnement[TVA acquittée])+SUMIF(Invest[Affectation matrice],$AB$3,Invest[TVA acquittée]))*BD15</f>
        <v>0</v>
      </c>
      <c r="CF15" s="200">
        <f>(SUMIF(Fonctionnement[Affectation matrice],$AB$3,Fonctionnement[TVA acquittée])+SUMIF(Invest[Affectation matrice],$AB$3,Invest[TVA acquittée]))*BE15</f>
        <v>0</v>
      </c>
      <c r="CG15" s="200">
        <f>(SUMIF(Fonctionnement[Affectation matrice],$AB$3,Fonctionnement[TVA acquittée])+SUMIF(Invest[Affectation matrice],$AB$3,Invest[TVA acquittée]))*BF15</f>
        <v>0</v>
      </c>
      <c r="CH15" s="200">
        <f>(SUMIF(Fonctionnement[Affectation matrice],$AB$3,Fonctionnement[TVA acquittée])+SUMIF(Invest[Affectation matrice],$AB$3,Invest[TVA acquittée]))*BG15</f>
        <v>0</v>
      </c>
      <c r="CI15" s="200">
        <f>(SUMIF(Fonctionnement[Affectation matrice],$AB$3,Fonctionnement[TVA acquittée])+SUMIF(Invest[Affectation matrice],$AB$3,Invest[TVA acquittée]))*BH15</f>
        <v>0</v>
      </c>
      <c r="CJ15" s="200">
        <f>(SUMIF(Fonctionnement[Affectation matrice],$AB$3,Fonctionnement[TVA acquittée])+SUMIF(Invest[Affectation matrice],$AB$3,Invest[TVA acquittée]))*BI15</f>
        <v>0</v>
      </c>
      <c r="CK15" s="200">
        <f>(SUMIF(Fonctionnement[Affectation matrice],$AB$3,Fonctionnement[TVA acquittée])+SUMIF(Invest[Affectation matrice],$AB$3,Invest[TVA acquittée]))*BJ15</f>
        <v>0</v>
      </c>
      <c r="CL15" s="200">
        <f>(SUMIF(Fonctionnement[Affectation matrice],$AB$3,Fonctionnement[TVA acquittée])+SUMIF(Invest[Affectation matrice],$AB$3,Invest[TVA acquittée]))*BK15</f>
        <v>0</v>
      </c>
      <c r="CM15" s="200">
        <f>(SUMIF(Fonctionnement[Affectation matrice],$AB$3,Fonctionnement[TVA acquittée])+SUMIF(Invest[Affectation matrice],$AB$3,Invest[TVA acquittée]))*BL15</f>
        <v>0</v>
      </c>
      <c r="CN15" s="200">
        <f>(SUMIF(Fonctionnement[Affectation matrice],$AB$3,Fonctionnement[TVA acquittée])+SUMIF(Invest[Affectation matrice],$AB$3,Invest[TVA acquittée]))*BM15</f>
        <v>0</v>
      </c>
      <c r="CO15" s="200">
        <f>(SUMIF(Fonctionnement[Affectation matrice],$AB$3,Fonctionnement[TVA acquittée])+SUMIF(Invest[Affectation matrice],$AB$3,Invest[TVA acquittée]))*BN15</f>
        <v>0</v>
      </c>
      <c r="CP15" s="200">
        <f>(SUMIF(Fonctionnement[Affectation matrice],$AB$3,Fonctionnement[TVA acquittée])+SUMIF(Invest[Affectation matrice],$AB$3,Invest[TVA acquittée]))*BO15</f>
        <v>0</v>
      </c>
      <c r="CQ15" s="200">
        <f>(SUMIF(Fonctionnement[Affectation matrice],$AB$3,Fonctionnement[TVA acquittée])+SUMIF(Invest[Affectation matrice],$AB$3,Invest[TVA acquittée]))*BP15</f>
        <v>0</v>
      </c>
      <c r="CR15" s="200">
        <f>(SUMIF(Fonctionnement[Affectation matrice],$AB$3,Fonctionnement[TVA acquittée])+SUMIF(Invest[Affectation matrice],$AB$3,Invest[TVA acquittée]))*BQ15</f>
        <v>0</v>
      </c>
      <c r="CS15" s="200">
        <f>(SUMIF(Fonctionnement[Affectation matrice],$AB$3,Fonctionnement[TVA acquittée])+SUMIF(Invest[Affectation matrice],$AB$3,Invest[TVA acquittée]))*BR15</f>
        <v>0</v>
      </c>
      <c r="CT15" s="200">
        <f>(SUMIF(Fonctionnement[Affectation matrice],$AB$3,Fonctionnement[TVA acquittée])+SUMIF(Invest[Affectation matrice],$AB$3,Invest[TVA acquittée]))*BS15</f>
        <v>0</v>
      </c>
      <c r="CU15" s="200">
        <f>(SUMIF(Fonctionnement[Affectation matrice],$AB$3,Fonctionnement[TVA acquittée])+SUMIF(Invest[Affectation matrice],$AB$3,Invest[TVA acquittée]))*BT15</f>
        <v>0</v>
      </c>
      <c r="CV15" s="200">
        <f>(SUMIF(Fonctionnement[Affectation matrice],$AB$3,Fonctionnement[TVA acquittée])+SUMIF(Invest[Affectation matrice],$AB$3,Invest[TVA acquittée]))*BU15</f>
        <v>0</v>
      </c>
      <c r="CW15" s="200">
        <f>(SUMIF(Fonctionnement[Affectation matrice],$AB$3,Fonctionnement[TVA acquittée])+SUMIF(Invest[Affectation matrice],$AB$3,Invest[TVA acquittée]))*BV15</f>
        <v>0</v>
      </c>
      <c r="CX15" s="200">
        <f>(SUMIF(Fonctionnement[Affectation matrice],$AB$3,Fonctionnement[TVA acquittée])+SUMIF(Invest[Affectation matrice],$AB$3,Invest[TVA acquittée]))*BW15</f>
        <v>0</v>
      </c>
      <c r="CY15" s="200">
        <f>(SUMIF(Fonctionnement[Affectation matrice],$AB$3,Fonctionnement[TVA acquittée])+SUMIF(Invest[Affectation matrice],$AB$3,Invest[TVA acquittée]))*BX15</f>
        <v>0</v>
      </c>
      <c r="CZ15" s="200">
        <f>(SUMIF(Fonctionnement[Affectation matrice],$AB$3,Fonctionnement[TVA acquittée])+SUMIF(Invest[Affectation matrice],$AB$3,Invest[TVA acquittée]))*BY15</f>
        <v>0</v>
      </c>
      <c r="DA15" s="200">
        <f>(SUMIF(Fonctionnement[Affectation matrice],$AB$3,Fonctionnement[TVA acquittée])+SUMIF(Invest[Affectation matrice],$AB$3,Invest[TVA acquittée]))*BZ15</f>
        <v>0</v>
      </c>
      <c r="DB15" s="200">
        <f>(SUMIF(Fonctionnement[Affectation matrice],$AB$3,Fonctionnement[TVA acquittée])+SUMIF(Invest[Affectation matrice],$AB$3,Invest[TVA acquittée]))*CA15</f>
        <v>0</v>
      </c>
    </row>
    <row r="16" spans="1:106" s="22" customFormat="1" ht="12.75" hidden="1" customHeight="1" x14ac:dyDescent="0.25">
      <c r="A16" s="42">
        <f>Matrice[[#This Row],[Ligne de la matrice]]</f>
        <v>0</v>
      </c>
      <c r="B16" s="276">
        <f>(SUMIF(Fonctionnement[Affectation matrice],$AB$3,Fonctionnement[Montant (€HT)])+SUMIF(Invest[Affectation matrice],$AB$3,Invest[Amortissement HT + intérêts]))*BC16</f>
        <v>0</v>
      </c>
      <c r="C16" s="276">
        <f>(SUMIF(Fonctionnement[Affectation matrice],$AB$3,Fonctionnement[Montant (€HT)])+SUMIF(Invest[Affectation matrice],$AB$3,Invest[Amortissement HT + intérêts]))*BD16</f>
        <v>0</v>
      </c>
      <c r="D16" s="276">
        <f>(SUMIF(Fonctionnement[Affectation matrice],$AB$3,Fonctionnement[Montant (€HT)])+SUMIF(Invest[Affectation matrice],$AB$3,Invest[Amortissement HT + intérêts]))*BE16</f>
        <v>0</v>
      </c>
      <c r="E16" s="276">
        <f>(SUMIF(Fonctionnement[Affectation matrice],$AB$3,Fonctionnement[Montant (€HT)])+SUMIF(Invest[Affectation matrice],$AB$3,Invest[Amortissement HT + intérêts]))*BF16</f>
        <v>0</v>
      </c>
      <c r="F16" s="276">
        <f>(SUMIF(Fonctionnement[Affectation matrice],$AB$3,Fonctionnement[Montant (€HT)])+SUMIF(Invest[Affectation matrice],$AB$3,Invest[Amortissement HT + intérêts]))*BG16</f>
        <v>0</v>
      </c>
      <c r="G16" s="276">
        <f>(SUMIF(Fonctionnement[Affectation matrice],$AB$3,Fonctionnement[Montant (€HT)])+SUMIF(Invest[Affectation matrice],$AB$3,Invest[Amortissement HT + intérêts]))*BH16</f>
        <v>0</v>
      </c>
      <c r="H16" s="276">
        <f>(SUMIF(Fonctionnement[Affectation matrice],$AB$3,Fonctionnement[Montant (€HT)])+SUMIF(Invest[Affectation matrice],$AB$3,Invest[Amortissement HT + intérêts]))*BI16</f>
        <v>0</v>
      </c>
      <c r="I16" s="276">
        <f>(SUMIF(Fonctionnement[Affectation matrice],$AB$3,Fonctionnement[Montant (€HT)])+SUMIF(Invest[Affectation matrice],$AB$3,Invest[Amortissement HT + intérêts]))*BJ16</f>
        <v>0</v>
      </c>
      <c r="J16" s="276">
        <f>(SUMIF(Fonctionnement[Affectation matrice],$AB$3,Fonctionnement[Montant (€HT)])+SUMIF(Invest[Affectation matrice],$AB$3,Invest[Amortissement HT + intérêts]))*BK16</f>
        <v>0</v>
      </c>
      <c r="K16" s="276">
        <f>(SUMIF(Fonctionnement[Affectation matrice],$AB$3,Fonctionnement[Montant (€HT)])+SUMIF(Invest[Affectation matrice],$AB$3,Invest[Amortissement HT + intérêts]))*BL16</f>
        <v>0</v>
      </c>
      <c r="L16" s="276">
        <f>(SUMIF(Fonctionnement[Affectation matrice],$AB$3,Fonctionnement[Montant (€HT)])+SUMIF(Invest[Affectation matrice],$AB$3,Invest[Amortissement HT + intérêts]))*BM16</f>
        <v>0</v>
      </c>
      <c r="M16" s="276">
        <f>(SUMIF(Fonctionnement[Affectation matrice],$AB$3,Fonctionnement[Montant (€HT)])+SUMIF(Invest[Affectation matrice],$AB$3,Invest[Amortissement HT + intérêts]))*BN16</f>
        <v>0</v>
      </c>
      <c r="N16" s="276">
        <f>(SUMIF(Fonctionnement[Affectation matrice],$AB$3,Fonctionnement[Montant (€HT)])+SUMIF(Invest[Affectation matrice],$AB$3,Invest[Amortissement HT + intérêts]))*BO16</f>
        <v>0</v>
      </c>
      <c r="O16" s="276">
        <f>(SUMIF(Fonctionnement[Affectation matrice],$AB$3,Fonctionnement[Montant (€HT)])+SUMIF(Invest[Affectation matrice],$AB$3,Invest[Amortissement HT + intérêts]))*BP16</f>
        <v>0</v>
      </c>
      <c r="P16" s="276">
        <f>(SUMIF(Fonctionnement[Affectation matrice],$AB$3,Fonctionnement[Montant (€HT)])+SUMIF(Invest[Affectation matrice],$AB$3,Invest[Amortissement HT + intérêts]))*BQ16</f>
        <v>0</v>
      </c>
      <c r="Q16" s="276">
        <f>(SUMIF(Fonctionnement[Affectation matrice],$AB$3,Fonctionnement[Montant (€HT)])+SUMIF(Invest[Affectation matrice],$AB$3,Invest[Amortissement HT + intérêts]))*BR16</f>
        <v>0</v>
      </c>
      <c r="R16" s="276">
        <f>(SUMIF(Fonctionnement[Affectation matrice],$AB$3,Fonctionnement[Montant (€HT)])+SUMIF(Invest[Affectation matrice],$AB$3,Invest[Amortissement HT + intérêts]))*BS16</f>
        <v>0</v>
      </c>
      <c r="S16" s="276">
        <f>(SUMIF(Fonctionnement[Affectation matrice],$AB$3,Fonctionnement[Montant (€HT)])+SUMIF(Invest[Affectation matrice],$AB$3,Invest[Amortissement HT + intérêts]))*BT16</f>
        <v>0</v>
      </c>
      <c r="T16" s="276">
        <f>(SUMIF(Fonctionnement[Affectation matrice],$AB$3,Fonctionnement[Montant (€HT)])+SUMIF(Invest[Affectation matrice],$AB$3,Invest[Amortissement HT + intérêts]))*BU16</f>
        <v>0</v>
      </c>
      <c r="U16" s="276">
        <f>(SUMIF(Fonctionnement[Affectation matrice],$AB$3,Fonctionnement[Montant (€HT)])+SUMIF(Invest[Affectation matrice],$AB$3,Invest[Amortissement HT + intérêts]))*BV16</f>
        <v>0</v>
      </c>
      <c r="V16" s="276">
        <f>(SUMIF(Fonctionnement[Affectation matrice],$AB$3,Fonctionnement[Montant (€HT)])+SUMIF(Invest[Affectation matrice],$AB$3,Invest[Amortissement HT + intérêts]))*BW16</f>
        <v>0</v>
      </c>
      <c r="W16" s="276">
        <f>(SUMIF(Fonctionnement[Affectation matrice],$AB$3,Fonctionnement[Montant (€HT)])+SUMIF(Invest[Affectation matrice],$AB$3,Invest[Amortissement HT + intérêts]))*BX16</f>
        <v>0</v>
      </c>
      <c r="X16" s="276">
        <f>(SUMIF(Fonctionnement[Affectation matrice],$AB$3,Fonctionnement[Montant (€HT)])+SUMIF(Invest[Affectation matrice],$AB$3,Invest[Amortissement HT + intérêts]))*BY16</f>
        <v>0</v>
      </c>
      <c r="Y16" s="276">
        <f>(SUMIF(Fonctionnement[Affectation matrice],$AB$3,Fonctionnement[Montant (€HT)])+SUMIF(Invest[Affectation matrice],$AB$3,Invest[Amortissement HT + intérêts]))*BZ16</f>
        <v>0</v>
      </c>
      <c r="Z16" s="276">
        <f>(SUMIF(Fonctionnement[Affectation matrice],$AB$3,Fonctionnement[Montant (€HT)])+SUMIF(Invest[Affectation matrice],$AB$3,Invest[Amortissement HT + intérêts]))*CA16</f>
        <v>0</v>
      </c>
      <c r="AA16" s="199"/>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283">
        <f t="shared" si="4"/>
        <v>0</v>
      </c>
      <c r="BB16" s="7"/>
      <c r="BC16" s="61">
        <f t="shared" si="2"/>
        <v>0</v>
      </c>
      <c r="BD16" s="61">
        <f t="shared" si="2"/>
        <v>0</v>
      </c>
      <c r="BE16" s="61">
        <f t="shared" si="2"/>
        <v>0</v>
      </c>
      <c r="BF16" s="61">
        <f t="shared" si="2"/>
        <v>0</v>
      </c>
      <c r="BG16" s="61">
        <f t="shared" si="2"/>
        <v>0</v>
      </c>
      <c r="BH16" s="61">
        <f t="shared" si="2"/>
        <v>0</v>
      </c>
      <c r="BI16" s="61">
        <f t="shared" si="2"/>
        <v>0</v>
      </c>
      <c r="BJ16" s="61">
        <f t="shared" si="2"/>
        <v>0</v>
      </c>
      <c r="BK16" s="61">
        <f t="shared" si="2"/>
        <v>0</v>
      </c>
      <c r="BL16" s="61">
        <f t="shared" si="2"/>
        <v>0</v>
      </c>
      <c r="BM16" s="61">
        <f t="shared" si="2"/>
        <v>0</v>
      </c>
      <c r="BN16" s="61">
        <f t="shared" si="2"/>
        <v>0</v>
      </c>
      <c r="BO16" s="61">
        <f t="shared" si="2"/>
        <v>0</v>
      </c>
      <c r="BP16" s="61">
        <f t="shared" si="2"/>
        <v>0</v>
      </c>
      <c r="BQ16" s="61">
        <f t="shared" si="2"/>
        <v>0</v>
      </c>
      <c r="BR16" s="61">
        <f t="shared" si="2"/>
        <v>0</v>
      </c>
      <c r="BS16" s="61">
        <f t="shared" si="3"/>
        <v>0</v>
      </c>
      <c r="BT16" s="61">
        <f t="shared" si="3"/>
        <v>0</v>
      </c>
      <c r="BU16" s="61">
        <f t="shared" si="3"/>
        <v>0</v>
      </c>
      <c r="BV16" s="61">
        <f t="shared" si="3"/>
        <v>0</v>
      </c>
      <c r="BW16" s="61">
        <f t="shared" si="3"/>
        <v>0</v>
      </c>
      <c r="BX16" s="61">
        <f t="shared" si="3"/>
        <v>0</v>
      </c>
      <c r="BY16" s="61">
        <f t="shared" si="3"/>
        <v>0</v>
      </c>
      <c r="BZ16" s="61">
        <f t="shared" si="3"/>
        <v>0</v>
      </c>
      <c r="CA16" s="61">
        <f t="shared" si="3"/>
        <v>0</v>
      </c>
      <c r="CB16" s="61">
        <f t="shared" si="5"/>
        <v>0</v>
      </c>
      <c r="CD16" s="200">
        <f>(SUMIF(Fonctionnement[Affectation matrice],$AB$3,Fonctionnement[TVA acquittée])+SUMIF(Invest[Affectation matrice],$AB$3,Invest[TVA acquittée]))*BC16</f>
        <v>0</v>
      </c>
      <c r="CE16" s="200">
        <f>(SUMIF(Fonctionnement[Affectation matrice],$AB$3,Fonctionnement[TVA acquittée])+SUMIF(Invest[Affectation matrice],$AB$3,Invest[TVA acquittée]))*BD16</f>
        <v>0</v>
      </c>
      <c r="CF16" s="200">
        <f>(SUMIF(Fonctionnement[Affectation matrice],$AB$3,Fonctionnement[TVA acquittée])+SUMIF(Invest[Affectation matrice],$AB$3,Invest[TVA acquittée]))*BE16</f>
        <v>0</v>
      </c>
      <c r="CG16" s="200">
        <f>(SUMIF(Fonctionnement[Affectation matrice],$AB$3,Fonctionnement[TVA acquittée])+SUMIF(Invest[Affectation matrice],$AB$3,Invest[TVA acquittée]))*BF16</f>
        <v>0</v>
      </c>
      <c r="CH16" s="200">
        <f>(SUMIF(Fonctionnement[Affectation matrice],$AB$3,Fonctionnement[TVA acquittée])+SUMIF(Invest[Affectation matrice],$AB$3,Invest[TVA acquittée]))*BG16</f>
        <v>0</v>
      </c>
      <c r="CI16" s="200">
        <f>(SUMIF(Fonctionnement[Affectation matrice],$AB$3,Fonctionnement[TVA acquittée])+SUMIF(Invest[Affectation matrice],$AB$3,Invest[TVA acquittée]))*BH16</f>
        <v>0</v>
      </c>
      <c r="CJ16" s="200">
        <f>(SUMIF(Fonctionnement[Affectation matrice],$AB$3,Fonctionnement[TVA acquittée])+SUMIF(Invest[Affectation matrice],$AB$3,Invest[TVA acquittée]))*BI16</f>
        <v>0</v>
      </c>
      <c r="CK16" s="200">
        <f>(SUMIF(Fonctionnement[Affectation matrice],$AB$3,Fonctionnement[TVA acquittée])+SUMIF(Invest[Affectation matrice],$AB$3,Invest[TVA acquittée]))*BJ16</f>
        <v>0</v>
      </c>
      <c r="CL16" s="200">
        <f>(SUMIF(Fonctionnement[Affectation matrice],$AB$3,Fonctionnement[TVA acquittée])+SUMIF(Invest[Affectation matrice],$AB$3,Invest[TVA acquittée]))*BK16</f>
        <v>0</v>
      </c>
      <c r="CM16" s="200">
        <f>(SUMIF(Fonctionnement[Affectation matrice],$AB$3,Fonctionnement[TVA acquittée])+SUMIF(Invest[Affectation matrice],$AB$3,Invest[TVA acquittée]))*BL16</f>
        <v>0</v>
      </c>
      <c r="CN16" s="200">
        <f>(SUMIF(Fonctionnement[Affectation matrice],$AB$3,Fonctionnement[TVA acquittée])+SUMIF(Invest[Affectation matrice],$AB$3,Invest[TVA acquittée]))*BM16</f>
        <v>0</v>
      </c>
      <c r="CO16" s="200">
        <f>(SUMIF(Fonctionnement[Affectation matrice],$AB$3,Fonctionnement[TVA acquittée])+SUMIF(Invest[Affectation matrice],$AB$3,Invest[TVA acquittée]))*BN16</f>
        <v>0</v>
      </c>
      <c r="CP16" s="200">
        <f>(SUMIF(Fonctionnement[Affectation matrice],$AB$3,Fonctionnement[TVA acquittée])+SUMIF(Invest[Affectation matrice],$AB$3,Invest[TVA acquittée]))*BO16</f>
        <v>0</v>
      </c>
      <c r="CQ16" s="200">
        <f>(SUMIF(Fonctionnement[Affectation matrice],$AB$3,Fonctionnement[TVA acquittée])+SUMIF(Invest[Affectation matrice],$AB$3,Invest[TVA acquittée]))*BP16</f>
        <v>0</v>
      </c>
      <c r="CR16" s="200">
        <f>(SUMIF(Fonctionnement[Affectation matrice],$AB$3,Fonctionnement[TVA acquittée])+SUMIF(Invest[Affectation matrice],$AB$3,Invest[TVA acquittée]))*BQ16</f>
        <v>0</v>
      </c>
      <c r="CS16" s="200">
        <f>(SUMIF(Fonctionnement[Affectation matrice],$AB$3,Fonctionnement[TVA acquittée])+SUMIF(Invest[Affectation matrice],$AB$3,Invest[TVA acquittée]))*BR16</f>
        <v>0</v>
      </c>
      <c r="CT16" s="200">
        <f>(SUMIF(Fonctionnement[Affectation matrice],$AB$3,Fonctionnement[TVA acquittée])+SUMIF(Invest[Affectation matrice],$AB$3,Invest[TVA acquittée]))*BS16</f>
        <v>0</v>
      </c>
      <c r="CU16" s="200">
        <f>(SUMIF(Fonctionnement[Affectation matrice],$AB$3,Fonctionnement[TVA acquittée])+SUMIF(Invest[Affectation matrice],$AB$3,Invest[TVA acquittée]))*BT16</f>
        <v>0</v>
      </c>
      <c r="CV16" s="200">
        <f>(SUMIF(Fonctionnement[Affectation matrice],$AB$3,Fonctionnement[TVA acquittée])+SUMIF(Invest[Affectation matrice],$AB$3,Invest[TVA acquittée]))*BU16</f>
        <v>0</v>
      </c>
      <c r="CW16" s="200">
        <f>(SUMIF(Fonctionnement[Affectation matrice],$AB$3,Fonctionnement[TVA acquittée])+SUMIF(Invest[Affectation matrice],$AB$3,Invest[TVA acquittée]))*BV16</f>
        <v>0</v>
      </c>
      <c r="CX16" s="200">
        <f>(SUMIF(Fonctionnement[Affectation matrice],$AB$3,Fonctionnement[TVA acquittée])+SUMIF(Invest[Affectation matrice],$AB$3,Invest[TVA acquittée]))*BW16</f>
        <v>0</v>
      </c>
      <c r="CY16" s="200">
        <f>(SUMIF(Fonctionnement[Affectation matrice],$AB$3,Fonctionnement[TVA acquittée])+SUMIF(Invest[Affectation matrice],$AB$3,Invest[TVA acquittée]))*BX16</f>
        <v>0</v>
      </c>
      <c r="CZ16" s="200">
        <f>(SUMIF(Fonctionnement[Affectation matrice],$AB$3,Fonctionnement[TVA acquittée])+SUMIF(Invest[Affectation matrice],$AB$3,Invest[TVA acquittée]))*BY16</f>
        <v>0</v>
      </c>
      <c r="DA16" s="200">
        <f>(SUMIF(Fonctionnement[Affectation matrice],$AB$3,Fonctionnement[TVA acquittée])+SUMIF(Invest[Affectation matrice],$AB$3,Invest[TVA acquittée]))*BZ16</f>
        <v>0</v>
      </c>
      <c r="DB16" s="200">
        <f>(SUMIF(Fonctionnement[Affectation matrice],$AB$3,Fonctionnement[TVA acquittée])+SUMIF(Invest[Affectation matrice],$AB$3,Invest[TVA acquittée]))*CA16</f>
        <v>0</v>
      </c>
    </row>
    <row r="17" spans="1:106" ht="12.75" hidden="1" customHeight="1" x14ac:dyDescent="0.25">
      <c r="A17" s="42">
        <f>Matrice[[#This Row],[Ligne de la matrice]]</f>
        <v>0</v>
      </c>
      <c r="B17" s="276">
        <f>(SUMIF(Fonctionnement[Affectation matrice],$AB$3,Fonctionnement[Montant (€HT)])+SUMIF(Invest[Affectation matrice],$AB$3,Invest[Amortissement HT + intérêts]))*BC17</f>
        <v>0</v>
      </c>
      <c r="C17" s="276">
        <f>(SUMIF(Fonctionnement[Affectation matrice],$AB$3,Fonctionnement[Montant (€HT)])+SUMIF(Invest[Affectation matrice],$AB$3,Invest[Amortissement HT + intérêts]))*BD17</f>
        <v>0</v>
      </c>
      <c r="D17" s="276">
        <f>(SUMIF(Fonctionnement[Affectation matrice],$AB$3,Fonctionnement[Montant (€HT)])+SUMIF(Invest[Affectation matrice],$AB$3,Invest[Amortissement HT + intérêts]))*BE17</f>
        <v>0</v>
      </c>
      <c r="E17" s="276">
        <f>(SUMIF(Fonctionnement[Affectation matrice],$AB$3,Fonctionnement[Montant (€HT)])+SUMIF(Invest[Affectation matrice],$AB$3,Invest[Amortissement HT + intérêts]))*BF17</f>
        <v>0</v>
      </c>
      <c r="F17" s="276">
        <f>(SUMIF(Fonctionnement[Affectation matrice],$AB$3,Fonctionnement[Montant (€HT)])+SUMIF(Invest[Affectation matrice],$AB$3,Invest[Amortissement HT + intérêts]))*BG17</f>
        <v>0</v>
      </c>
      <c r="G17" s="276">
        <f>(SUMIF(Fonctionnement[Affectation matrice],$AB$3,Fonctionnement[Montant (€HT)])+SUMIF(Invest[Affectation matrice],$AB$3,Invest[Amortissement HT + intérêts]))*BH17</f>
        <v>0</v>
      </c>
      <c r="H17" s="276">
        <f>(SUMIF(Fonctionnement[Affectation matrice],$AB$3,Fonctionnement[Montant (€HT)])+SUMIF(Invest[Affectation matrice],$AB$3,Invest[Amortissement HT + intérêts]))*BI17</f>
        <v>0</v>
      </c>
      <c r="I17" s="276">
        <f>(SUMIF(Fonctionnement[Affectation matrice],$AB$3,Fonctionnement[Montant (€HT)])+SUMIF(Invest[Affectation matrice],$AB$3,Invest[Amortissement HT + intérêts]))*BJ17</f>
        <v>0</v>
      </c>
      <c r="J17" s="276">
        <f>(SUMIF(Fonctionnement[Affectation matrice],$AB$3,Fonctionnement[Montant (€HT)])+SUMIF(Invest[Affectation matrice],$AB$3,Invest[Amortissement HT + intérêts]))*BK17</f>
        <v>0</v>
      </c>
      <c r="K17" s="276">
        <f>(SUMIF(Fonctionnement[Affectation matrice],$AB$3,Fonctionnement[Montant (€HT)])+SUMIF(Invest[Affectation matrice],$AB$3,Invest[Amortissement HT + intérêts]))*BL17</f>
        <v>0</v>
      </c>
      <c r="L17" s="276">
        <f>(SUMIF(Fonctionnement[Affectation matrice],$AB$3,Fonctionnement[Montant (€HT)])+SUMIF(Invest[Affectation matrice],$AB$3,Invest[Amortissement HT + intérêts]))*BM17</f>
        <v>0</v>
      </c>
      <c r="M17" s="276">
        <f>(SUMIF(Fonctionnement[Affectation matrice],$AB$3,Fonctionnement[Montant (€HT)])+SUMIF(Invest[Affectation matrice],$AB$3,Invest[Amortissement HT + intérêts]))*BN17</f>
        <v>0</v>
      </c>
      <c r="N17" s="276">
        <f>(SUMIF(Fonctionnement[Affectation matrice],$AB$3,Fonctionnement[Montant (€HT)])+SUMIF(Invest[Affectation matrice],$AB$3,Invest[Amortissement HT + intérêts]))*BO17</f>
        <v>0</v>
      </c>
      <c r="O17" s="276">
        <f>(SUMIF(Fonctionnement[Affectation matrice],$AB$3,Fonctionnement[Montant (€HT)])+SUMIF(Invest[Affectation matrice],$AB$3,Invest[Amortissement HT + intérêts]))*BP17</f>
        <v>0</v>
      </c>
      <c r="P17" s="276">
        <f>(SUMIF(Fonctionnement[Affectation matrice],$AB$3,Fonctionnement[Montant (€HT)])+SUMIF(Invest[Affectation matrice],$AB$3,Invest[Amortissement HT + intérêts]))*BQ17</f>
        <v>0</v>
      </c>
      <c r="Q17" s="276">
        <f>(SUMIF(Fonctionnement[Affectation matrice],$AB$3,Fonctionnement[Montant (€HT)])+SUMIF(Invest[Affectation matrice],$AB$3,Invest[Amortissement HT + intérêts]))*BR17</f>
        <v>0</v>
      </c>
      <c r="R17" s="276">
        <f>(SUMIF(Fonctionnement[Affectation matrice],$AB$3,Fonctionnement[Montant (€HT)])+SUMIF(Invest[Affectation matrice],$AB$3,Invest[Amortissement HT + intérêts]))*BS17</f>
        <v>0</v>
      </c>
      <c r="S17" s="276">
        <f>(SUMIF(Fonctionnement[Affectation matrice],$AB$3,Fonctionnement[Montant (€HT)])+SUMIF(Invest[Affectation matrice],$AB$3,Invest[Amortissement HT + intérêts]))*BT17</f>
        <v>0</v>
      </c>
      <c r="T17" s="276">
        <f>(SUMIF(Fonctionnement[Affectation matrice],$AB$3,Fonctionnement[Montant (€HT)])+SUMIF(Invest[Affectation matrice],$AB$3,Invest[Amortissement HT + intérêts]))*BU17</f>
        <v>0</v>
      </c>
      <c r="U17" s="276">
        <f>(SUMIF(Fonctionnement[Affectation matrice],$AB$3,Fonctionnement[Montant (€HT)])+SUMIF(Invest[Affectation matrice],$AB$3,Invest[Amortissement HT + intérêts]))*BV17</f>
        <v>0</v>
      </c>
      <c r="V17" s="276">
        <f>(SUMIF(Fonctionnement[Affectation matrice],$AB$3,Fonctionnement[Montant (€HT)])+SUMIF(Invest[Affectation matrice],$AB$3,Invest[Amortissement HT + intérêts]))*BW17</f>
        <v>0</v>
      </c>
      <c r="W17" s="276">
        <f>(SUMIF(Fonctionnement[Affectation matrice],$AB$3,Fonctionnement[Montant (€HT)])+SUMIF(Invest[Affectation matrice],$AB$3,Invest[Amortissement HT + intérêts]))*BX17</f>
        <v>0</v>
      </c>
      <c r="X17" s="276">
        <f>(SUMIF(Fonctionnement[Affectation matrice],$AB$3,Fonctionnement[Montant (€HT)])+SUMIF(Invest[Affectation matrice],$AB$3,Invest[Amortissement HT + intérêts]))*BY17</f>
        <v>0</v>
      </c>
      <c r="Y17" s="276">
        <f>(SUMIF(Fonctionnement[Affectation matrice],$AB$3,Fonctionnement[Montant (€HT)])+SUMIF(Invest[Affectation matrice],$AB$3,Invest[Amortissement HT + intérêts]))*BZ17</f>
        <v>0</v>
      </c>
      <c r="Z17" s="276">
        <f>(SUMIF(Fonctionnement[Affectation matrice],$AB$3,Fonctionnement[Montant (€HT)])+SUMIF(Invest[Affectation matrice],$AB$3,Invest[Amortissement HT + intérêts]))*CA17</f>
        <v>0</v>
      </c>
      <c r="AA17" s="199"/>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283">
        <f t="shared" si="4"/>
        <v>0</v>
      </c>
      <c r="BC17" s="61">
        <f t="shared" si="2"/>
        <v>0</v>
      </c>
      <c r="BD17" s="61">
        <f t="shared" si="2"/>
        <v>0</v>
      </c>
      <c r="BE17" s="61">
        <f t="shared" si="2"/>
        <v>0</v>
      </c>
      <c r="BF17" s="61">
        <f t="shared" si="2"/>
        <v>0</v>
      </c>
      <c r="BG17" s="61">
        <f t="shared" si="2"/>
        <v>0</v>
      </c>
      <c r="BH17" s="61">
        <f t="shared" si="2"/>
        <v>0</v>
      </c>
      <c r="BI17" s="61">
        <f t="shared" si="2"/>
        <v>0</v>
      </c>
      <c r="BJ17" s="61">
        <f t="shared" si="2"/>
        <v>0</v>
      </c>
      <c r="BK17" s="61">
        <f t="shared" si="2"/>
        <v>0</v>
      </c>
      <c r="BL17" s="61">
        <f t="shared" si="2"/>
        <v>0</v>
      </c>
      <c r="BM17" s="61">
        <f t="shared" si="2"/>
        <v>0</v>
      </c>
      <c r="BN17" s="61">
        <f t="shared" si="2"/>
        <v>0</v>
      </c>
      <c r="BO17" s="61">
        <f t="shared" si="2"/>
        <v>0</v>
      </c>
      <c r="BP17" s="61">
        <f t="shared" si="2"/>
        <v>0</v>
      </c>
      <c r="BQ17" s="61">
        <f t="shared" si="2"/>
        <v>0</v>
      </c>
      <c r="BR17" s="61">
        <f t="shared" si="2"/>
        <v>0</v>
      </c>
      <c r="BS17" s="61">
        <f t="shared" si="3"/>
        <v>0</v>
      </c>
      <c r="BT17" s="61">
        <f t="shared" si="3"/>
        <v>0</v>
      </c>
      <c r="BU17" s="61">
        <f t="shared" si="3"/>
        <v>0</v>
      </c>
      <c r="BV17" s="61">
        <f t="shared" si="3"/>
        <v>0</v>
      </c>
      <c r="BW17" s="61">
        <f t="shared" si="3"/>
        <v>0</v>
      </c>
      <c r="BX17" s="61">
        <f t="shared" si="3"/>
        <v>0</v>
      </c>
      <c r="BY17" s="61">
        <f t="shared" si="3"/>
        <v>0</v>
      </c>
      <c r="BZ17" s="61">
        <f t="shared" si="3"/>
        <v>0</v>
      </c>
      <c r="CA17" s="61">
        <f t="shared" si="3"/>
        <v>0</v>
      </c>
      <c r="CB17" s="61">
        <f t="shared" si="5"/>
        <v>0</v>
      </c>
      <c r="CD17" s="200">
        <f>(SUMIF(Fonctionnement[Affectation matrice],$AB$3,Fonctionnement[TVA acquittée])+SUMIF(Invest[Affectation matrice],$AB$3,Invest[TVA acquittée]))*BC17</f>
        <v>0</v>
      </c>
      <c r="CE17" s="200">
        <f>(SUMIF(Fonctionnement[Affectation matrice],$AB$3,Fonctionnement[TVA acquittée])+SUMIF(Invest[Affectation matrice],$AB$3,Invest[TVA acquittée]))*BD17</f>
        <v>0</v>
      </c>
      <c r="CF17" s="200">
        <f>(SUMIF(Fonctionnement[Affectation matrice],$AB$3,Fonctionnement[TVA acquittée])+SUMIF(Invest[Affectation matrice],$AB$3,Invest[TVA acquittée]))*BE17</f>
        <v>0</v>
      </c>
      <c r="CG17" s="200">
        <f>(SUMIF(Fonctionnement[Affectation matrice],$AB$3,Fonctionnement[TVA acquittée])+SUMIF(Invest[Affectation matrice],$AB$3,Invest[TVA acquittée]))*BF17</f>
        <v>0</v>
      </c>
      <c r="CH17" s="200">
        <f>(SUMIF(Fonctionnement[Affectation matrice],$AB$3,Fonctionnement[TVA acquittée])+SUMIF(Invest[Affectation matrice],$AB$3,Invest[TVA acquittée]))*BG17</f>
        <v>0</v>
      </c>
      <c r="CI17" s="200">
        <f>(SUMIF(Fonctionnement[Affectation matrice],$AB$3,Fonctionnement[TVA acquittée])+SUMIF(Invest[Affectation matrice],$AB$3,Invest[TVA acquittée]))*BH17</f>
        <v>0</v>
      </c>
      <c r="CJ17" s="200">
        <f>(SUMIF(Fonctionnement[Affectation matrice],$AB$3,Fonctionnement[TVA acquittée])+SUMIF(Invest[Affectation matrice],$AB$3,Invest[TVA acquittée]))*BI17</f>
        <v>0</v>
      </c>
      <c r="CK17" s="200">
        <f>(SUMIF(Fonctionnement[Affectation matrice],$AB$3,Fonctionnement[TVA acquittée])+SUMIF(Invest[Affectation matrice],$AB$3,Invest[TVA acquittée]))*BJ17</f>
        <v>0</v>
      </c>
      <c r="CL17" s="200">
        <f>(SUMIF(Fonctionnement[Affectation matrice],$AB$3,Fonctionnement[TVA acquittée])+SUMIF(Invest[Affectation matrice],$AB$3,Invest[TVA acquittée]))*BK17</f>
        <v>0</v>
      </c>
      <c r="CM17" s="200">
        <f>(SUMIF(Fonctionnement[Affectation matrice],$AB$3,Fonctionnement[TVA acquittée])+SUMIF(Invest[Affectation matrice],$AB$3,Invest[TVA acquittée]))*BL17</f>
        <v>0</v>
      </c>
      <c r="CN17" s="200">
        <f>(SUMIF(Fonctionnement[Affectation matrice],$AB$3,Fonctionnement[TVA acquittée])+SUMIF(Invest[Affectation matrice],$AB$3,Invest[TVA acquittée]))*BM17</f>
        <v>0</v>
      </c>
      <c r="CO17" s="200">
        <f>(SUMIF(Fonctionnement[Affectation matrice],$AB$3,Fonctionnement[TVA acquittée])+SUMIF(Invest[Affectation matrice],$AB$3,Invest[TVA acquittée]))*BN17</f>
        <v>0</v>
      </c>
      <c r="CP17" s="200">
        <f>(SUMIF(Fonctionnement[Affectation matrice],$AB$3,Fonctionnement[TVA acquittée])+SUMIF(Invest[Affectation matrice],$AB$3,Invest[TVA acquittée]))*BO17</f>
        <v>0</v>
      </c>
      <c r="CQ17" s="200">
        <f>(SUMIF(Fonctionnement[Affectation matrice],$AB$3,Fonctionnement[TVA acquittée])+SUMIF(Invest[Affectation matrice],$AB$3,Invest[TVA acquittée]))*BP17</f>
        <v>0</v>
      </c>
      <c r="CR17" s="200">
        <f>(SUMIF(Fonctionnement[Affectation matrice],$AB$3,Fonctionnement[TVA acquittée])+SUMIF(Invest[Affectation matrice],$AB$3,Invest[TVA acquittée]))*BQ17</f>
        <v>0</v>
      </c>
      <c r="CS17" s="200">
        <f>(SUMIF(Fonctionnement[Affectation matrice],$AB$3,Fonctionnement[TVA acquittée])+SUMIF(Invest[Affectation matrice],$AB$3,Invest[TVA acquittée]))*BR17</f>
        <v>0</v>
      </c>
      <c r="CT17" s="200">
        <f>(SUMIF(Fonctionnement[Affectation matrice],$AB$3,Fonctionnement[TVA acquittée])+SUMIF(Invest[Affectation matrice],$AB$3,Invest[TVA acquittée]))*BS17</f>
        <v>0</v>
      </c>
      <c r="CU17" s="200">
        <f>(SUMIF(Fonctionnement[Affectation matrice],$AB$3,Fonctionnement[TVA acquittée])+SUMIF(Invest[Affectation matrice],$AB$3,Invest[TVA acquittée]))*BT17</f>
        <v>0</v>
      </c>
      <c r="CV17" s="200">
        <f>(SUMIF(Fonctionnement[Affectation matrice],$AB$3,Fonctionnement[TVA acquittée])+SUMIF(Invest[Affectation matrice],$AB$3,Invest[TVA acquittée]))*BU17</f>
        <v>0</v>
      </c>
      <c r="CW17" s="200">
        <f>(SUMIF(Fonctionnement[Affectation matrice],$AB$3,Fonctionnement[TVA acquittée])+SUMIF(Invest[Affectation matrice],$AB$3,Invest[TVA acquittée]))*BV17</f>
        <v>0</v>
      </c>
      <c r="CX17" s="200">
        <f>(SUMIF(Fonctionnement[Affectation matrice],$AB$3,Fonctionnement[TVA acquittée])+SUMIF(Invest[Affectation matrice],$AB$3,Invest[TVA acquittée]))*BW17</f>
        <v>0</v>
      </c>
      <c r="CY17" s="200">
        <f>(SUMIF(Fonctionnement[Affectation matrice],$AB$3,Fonctionnement[TVA acquittée])+SUMIF(Invest[Affectation matrice],$AB$3,Invest[TVA acquittée]))*BX17</f>
        <v>0</v>
      </c>
      <c r="CZ17" s="200">
        <f>(SUMIF(Fonctionnement[Affectation matrice],$AB$3,Fonctionnement[TVA acquittée])+SUMIF(Invest[Affectation matrice],$AB$3,Invest[TVA acquittée]))*BY17</f>
        <v>0</v>
      </c>
      <c r="DA17" s="200">
        <f>(SUMIF(Fonctionnement[Affectation matrice],$AB$3,Fonctionnement[TVA acquittée])+SUMIF(Invest[Affectation matrice],$AB$3,Invest[TVA acquittée]))*BZ17</f>
        <v>0</v>
      </c>
      <c r="DB17" s="200">
        <f>(SUMIF(Fonctionnement[Affectation matrice],$AB$3,Fonctionnement[TVA acquittée])+SUMIF(Invest[Affectation matrice],$AB$3,Invest[TVA acquittée]))*CA17</f>
        <v>0</v>
      </c>
    </row>
    <row r="18" spans="1:106" ht="12.75" hidden="1" customHeight="1" x14ac:dyDescent="0.25">
      <c r="A18" s="42">
        <f>Matrice[[#This Row],[Ligne de la matrice]]</f>
        <v>0</v>
      </c>
      <c r="B18" s="276">
        <f>(SUMIF(Fonctionnement[Affectation matrice],$AB$3,Fonctionnement[Montant (€HT)])+SUMIF(Invest[Affectation matrice],$AB$3,Invest[Amortissement HT + intérêts]))*BC18</f>
        <v>0</v>
      </c>
      <c r="C18" s="276">
        <f>(SUMIF(Fonctionnement[Affectation matrice],$AB$3,Fonctionnement[Montant (€HT)])+SUMIF(Invest[Affectation matrice],$AB$3,Invest[Amortissement HT + intérêts]))*BD18</f>
        <v>0</v>
      </c>
      <c r="D18" s="276">
        <f>(SUMIF(Fonctionnement[Affectation matrice],$AB$3,Fonctionnement[Montant (€HT)])+SUMIF(Invest[Affectation matrice],$AB$3,Invest[Amortissement HT + intérêts]))*BE18</f>
        <v>0</v>
      </c>
      <c r="E18" s="276">
        <f>(SUMIF(Fonctionnement[Affectation matrice],$AB$3,Fonctionnement[Montant (€HT)])+SUMIF(Invest[Affectation matrice],$AB$3,Invest[Amortissement HT + intérêts]))*BF18</f>
        <v>0</v>
      </c>
      <c r="F18" s="276">
        <f>(SUMIF(Fonctionnement[Affectation matrice],$AB$3,Fonctionnement[Montant (€HT)])+SUMIF(Invest[Affectation matrice],$AB$3,Invest[Amortissement HT + intérêts]))*BG18</f>
        <v>0</v>
      </c>
      <c r="G18" s="276">
        <f>(SUMIF(Fonctionnement[Affectation matrice],$AB$3,Fonctionnement[Montant (€HT)])+SUMIF(Invest[Affectation matrice],$AB$3,Invest[Amortissement HT + intérêts]))*BH18</f>
        <v>0</v>
      </c>
      <c r="H18" s="276">
        <f>(SUMIF(Fonctionnement[Affectation matrice],$AB$3,Fonctionnement[Montant (€HT)])+SUMIF(Invest[Affectation matrice],$AB$3,Invest[Amortissement HT + intérêts]))*BI18</f>
        <v>0</v>
      </c>
      <c r="I18" s="276">
        <f>(SUMIF(Fonctionnement[Affectation matrice],$AB$3,Fonctionnement[Montant (€HT)])+SUMIF(Invest[Affectation matrice],$AB$3,Invest[Amortissement HT + intérêts]))*BJ18</f>
        <v>0</v>
      </c>
      <c r="J18" s="276">
        <f>(SUMIF(Fonctionnement[Affectation matrice],$AB$3,Fonctionnement[Montant (€HT)])+SUMIF(Invest[Affectation matrice],$AB$3,Invest[Amortissement HT + intérêts]))*BK18</f>
        <v>0</v>
      </c>
      <c r="K18" s="276">
        <f>(SUMIF(Fonctionnement[Affectation matrice],$AB$3,Fonctionnement[Montant (€HT)])+SUMIF(Invest[Affectation matrice],$AB$3,Invest[Amortissement HT + intérêts]))*BL18</f>
        <v>0</v>
      </c>
      <c r="L18" s="276">
        <f>(SUMIF(Fonctionnement[Affectation matrice],$AB$3,Fonctionnement[Montant (€HT)])+SUMIF(Invest[Affectation matrice],$AB$3,Invest[Amortissement HT + intérêts]))*BM18</f>
        <v>0</v>
      </c>
      <c r="M18" s="276">
        <f>(SUMIF(Fonctionnement[Affectation matrice],$AB$3,Fonctionnement[Montant (€HT)])+SUMIF(Invest[Affectation matrice],$AB$3,Invest[Amortissement HT + intérêts]))*BN18</f>
        <v>0</v>
      </c>
      <c r="N18" s="276">
        <f>(SUMIF(Fonctionnement[Affectation matrice],$AB$3,Fonctionnement[Montant (€HT)])+SUMIF(Invest[Affectation matrice],$AB$3,Invest[Amortissement HT + intérêts]))*BO18</f>
        <v>0</v>
      </c>
      <c r="O18" s="276">
        <f>(SUMIF(Fonctionnement[Affectation matrice],$AB$3,Fonctionnement[Montant (€HT)])+SUMIF(Invest[Affectation matrice],$AB$3,Invest[Amortissement HT + intérêts]))*BP18</f>
        <v>0</v>
      </c>
      <c r="P18" s="276">
        <f>(SUMIF(Fonctionnement[Affectation matrice],$AB$3,Fonctionnement[Montant (€HT)])+SUMIF(Invest[Affectation matrice],$AB$3,Invest[Amortissement HT + intérêts]))*BQ18</f>
        <v>0</v>
      </c>
      <c r="Q18" s="276">
        <f>(SUMIF(Fonctionnement[Affectation matrice],$AB$3,Fonctionnement[Montant (€HT)])+SUMIF(Invest[Affectation matrice],$AB$3,Invest[Amortissement HT + intérêts]))*BR18</f>
        <v>0</v>
      </c>
      <c r="R18" s="276">
        <f>(SUMIF(Fonctionnement[Affectation matrice],$AB$3,Fonctionnement[Montant (€HT)])+SUMIF(Invest[Affectation matrice],$AB$3,Invest[Amortissement HT + intérêts]))*BS18</f>
        <v>0</v>
      </c>
      <c r="S18" s="276">
        <f>(SUMIF(Fonctionnement[Affectation matrice],$AB$3,Fonctionnement[Montant (€HT)])+SUMIF(Invest[Affectation matrice],$AB$3,Invest[Amortissement HT + intérêts]))*BT18</f>
        <v>0</v>
      </c>
      <c r="T18" s="276">
        <f>(SUMIF(Fonctionnement[Affectation matrice],$AB$3,Fonctionnement[Montant (€HT)])+SUMIF(Invest[Affectation matrice],$AB$3,Invest[Amortissement HT + intérêts]))*BU18</f>
        <v>0</v>
      </c>
      <c r="U18" s="276">
        <f>(SUMIF(Fonctionnement[Affectation matrice],$AB$3,Fonctionnement[Montant (€HT)])+SUMIF(Invest[Affectation matrice],$AB$3,Invest[Amortissement HT + intérêts]))*BV18</f>
        <v>0</v>
      </c>
      <c r="V18" s="276">
        <f>(SUMIF(Fonctionnement[Affectation matrice],$AB$3,Fonctionnement[Montant (€HT)])+SUMIF(Invest[Affectation matrice],$AB$3,Invest[Amortissement HT + intérêts]))*BW18</f>
        <v>0</v>
      </c>
      <c r="W18" s="276">
        <f>(SUMIF(Fonctionnement[Affectation matrice],$AB$3,Fonctionnement[Montant (€HT)])+SUMIF(Invest[Affectation matrice],$AB$3,Invest[Amortissement HT + intérêts]))*BX18</f>
        <v>0</v>
      </c>
      <c r="X18" s="276">
        <f>(SUMIF(Fonctionnement[Affectation matrice],$AB$3,Fonctionnement[Montant (€HT)])+SUMIF(Invest[Affectation matrice],$AB$3,Invest[Amortissement HT + intérêts]))*BY18</f>
        <v>0</v>
      </c>
      <c r="Y18" s="276">
        <f>(SUMIF(Fonctionnement[Affectation matrice],$AB$3,Fonctionnement[Montant (€HT)])+SUMIF(Invest[Affectation matrice],$AB$3,Invest[Amortissement HT + intérêts]))*BZ18</f>
        <v>0</v>
      </c>
      <c r="Z18" s="276">
        <f>(SUMIF(Fonctionnement[Affectation matrice],$AB$3,Fonctionnement[Montant (€HT)])+SUMIF(Invest[Affectation matrice],$AB$3,Invest[Amortissement HT + intérêts]))*CA18</f>
        <v>0</v>
      </c>
      <c r="AA18" s="199"/>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283">
        <f t="shared" si="4"/>
        <v>0</v>
      </c>
      <c r="BC18" s="61">
        <f t="shared" si="2"/>
        <v>0</v>
      </c>
      <c r="BD18" s="61">
        <f t="shared" si="2"/>
        <v>0</v>
      </c>
      <c r="BE18" s="61">
        <f t="shared" si="2"/>
        <v>0</v>
      </c>
      <c r="BF18" s="61">
        <f t="shared" si="2"/>
        <v>0</v>
      </c>
      <c r="BG18" s="61">
        <f t="shared" si="2"/>
        <v>0</v>
      </c>
      <c r="BH18" s="61">
        <f t="shared" si="2"/>
        <v>0</v>
      </c>
      <c r="BI18" s="61">
        <f t="shared" si="2"/>
        <v>0</v>
      </c>
      <c r="BJ18" s="61">
        <f t="shared" si="2"/>
        <v>0</v>
      </c>
      <c r="BK18" s="61">
        <f t="shared" si="2"/>
        <v>0</v>
      </c>
      <c r="BL18" s="61">
        <f t="shared" si="2"/>
        <v>0</v>
      </c>
      <c r="BM18" s="61">
        <f t="shared" si="2"/>
        <v>0</v>
      </c>
      <c r="BN18" s="61">
        <f t="shared" si="2"/>
        <v>0</v>
      </c>
      <c r="BO18" s="61">
        <f t="shared" si="2"/>
        <v>0</v>
      </c>
      <c r="BP18" s="61">
        <f t="shared" si="2"/>
        <v>0</v>
      </c>
      <c r="BQ18" s="61">
        <f t="shared" si="2"/>
        <v>0</v>
      </c>
      <c r="BR18" s="61">
        <f t="shared" si="2"/>
        <v>0</v>
      </c>
      <c r="BS18" s="61">
        <f t="shared" si="3"/>
        <v>0</v>
      </c>
      <c r="BT18" s="61">
        <f t="shared" si="3"/>
        <v>0</v>
      </c>
      <c r="BU18" s="61">
        <f t="shared" si="3"/>
        <v>0</v>
      </c>
      <c r="BV18" s="61">
        <f t="shared" si="3"/>
        <v>0</v>
      </c>
      <c r="BW18" s="61">
        <f t="shared" si="3"/>
        <v>0</v>
      </c>
      <c r="BX18" s="61">
        <f t="shared" si="3"/>
        <v>0</v>
      </c>
      <c r="BY18" s="61">
        <f t="shared" si="3"/>
        <v>0</v>
      </c>
      <c r="BZ18" s="61">
        <f t="shared" si="3"/>
        <v>0</v>
      </c>
      <c r="CA18" s="61">
        <f t="shared" si="3"/>
        <v>0</v>
      </c>
      <c r="CB18" s="61">
        <f t="shared" si="5"/>
        <v>0</v>
      </c>
      <c r="CD18" s="200">
        <f>(SUMIF(Fonctionnement[Affectation matrice],$AB$3,Fonctionnement[TVA acquittée])+SUMIF(Invest[Affectation matrice],$AB$3,Invest[TVA acquittée]))*BC18</f>
        <v>0</v>
      </c>
      <c r="CE18" s="200">
        <f>(SUMIF(Fonctionnement[Affectation matrice],$AB$3,Fonctionnement[TVA acquittée])+SUMIF(Invest[Affectation matrice],$AB$3,Invest[TVA acquittée]))*BD18</f>
        <v>0</v>
      </c>
      <c r="CF18" s="200">
        <f>(SUMIF(Fonctionnement[Affectation matrice],$AB$3,Fonctionnement[TVA acquittée])+SUMIF(Invest[Affectation matrice],$AB$3,Invest[TVA acquittée]))*BE18</f>
        <v>0</v>
      </c>
      <c r="CG18" s="200">
        <f>(SUMIF(Fonctionnement[Affectation matrice],$AB$3,Fonctionnement[TVA acquittée])+SUMIF(Invest[Affectation matrice],$AB$3,Invest[TVA acquittée]))*BF18</f>
        <v>0</v>
      </c>
      <c r="CH18" s="200">
        <f>(SUMIF(Fonctionnement[Affectation matrice],$AB$3,Fonctionnement[TVA acquittée])+SUMIF(Invest[Affectation matrice],$AB$3,Invest[TVA acquittée]))*BG18</f>
        <v>0</v>
      </c>
      <c r="CI18" s="200">
        <f>(SUMIF(Fonctionnement[Affectation matrice],$AB$3,Fonctionnement[TVA acquittée])+SUMIF(Invest[Affectation matrice],$AB$3,Invest[TVA acquittée]))*BH18</f>
        <v>0</v>
      </c>
      <c r="CJ18" s="200">
        <f>(SUMIF(Fonctionnement[Affectation matrice],$AB$3,Fonctionnement[TVA acquittée])+SUMIF(Invest[Affectation matrice],$AB$3,Invest[TVA acquittée]))*BI18</f>
        <v>0</v>
      </c>
      <c r="CK18" s="200">
        <f>(SUMIF(Fonctionnement[Affectation matrice],$AB$3,Fonctionnement[TVA acquittée])+SUMIF(Invest[Affectation matrice],$AB$3,Invest[TVA acquittée]))*BJ18</f>
        <v>0</v>
      </c>
      <c r="CL18" s="200">
        <f>(SUMIF(Fonctionnement[Affectation matrice],$AB$3,Fonctionnement[TVA acquittée])+SUMIF(Invest[Affectation matrice],$AB$3,Invest[TVA acquittée]))*BK18</f>
        <v>0</v>
      </c>
      <c r="CM18" s="200">
        <f>(SUMIF(Fonctionnement[Affectation matrice],$AB$3,Fonctionnement[TVA acquittée])+SUMIF(Invest[Affectation matrice],$AB$3,Invest[TVA acquittée]))*BL18</f>
        <v>0</v>
      </c>
      <c r="CN18" s="200">
        <f>(SUMIF(Fonctionnement[Affectation matrice],$AB$3,Fonctionnement[TVA acquittée])+SUMIF(Invest[Affectation matrice],$AB$3,Invest[TVA acquittée]))*BM18</f>
        <v>0</v>
      </c>
      <c r="CO18" s="200">
        <f>(SUMIF(Fonctionnement[Affectation matrice],$AB$3,Fonctionnement[TVA acquittée])+SUMIF(Invest[Affectation matrice],$AB$3,Invest[TVA acquittée]))*BN18</f>
        <v>0</v>
      </c>
      <c r="CP18" s="200">
        <f>(SUMIF(Fonctionnement[Affectation matrice],$AB$3,Fonctionnement[TVA acquittée])+SUMIF(Invest[Affectation matrice],$AB$3,Invest[TVA acquittée]))*BO18</f>
        <v>0</v>
      </c>
      <c r="CQ18" s="200">
        <f>(SUMIF(Fonctionnement[Affectation matrice],$AB$3,Fonctionnement[TVA acquittée])+SUMIF(Invest[Affectation matrice],$AB$3,Invest[TVA acquittée]))*BP18</f>
        <v>0</v>
      </c>
      <c r="CR18" s="200">
        <f>(SUMIF(Fonctionnement[Affectation matrice],$AB$3,Fonctionnement[TVA acquittée])+SUMIF(Invest[Affectation matrice],$AB$3,Invest[TVA acquittée]))*BQ18</f>
        <v>0</v>
      </c>
      <c r="CS18" s="200">
        <f>(SUMIF(Fonctionnement[Affectation matrice],$AB$3,Fonctionnement[TVA acquittée])+SUMIF(Invest[Affectation matrice],$AB$3,Invest[TVA acquittée]))*BR18</f>
        <v>0</v>
      </c>
      <c r="CT18" s="200">
        <f>(SUMIF(Fonctionnement[Affectation matrice],$AB$3,Fonctionnement[TVA acquittée])+SUMIF(Invest[Affectation matrice],$AB$3,Invest[TVA acquittée]))*BS18</f>
        <v>0</v>
      </c>
      <c r="CU18" s="200">
        <f>(SUMIF(Fonctionnement[Affectation matrice],$AB$3,Fonctionnement[TVA acquittée])+SUMIF(Invest[Affectation matrice],$AB$3,Invest[TVA acquittée]))*BT18</f>
        <v>0</v>
      </c>
      <c r="CV18" s="200">
        <f>(SUMIF(Fonctionnement[Affectation matrice],$AB$3,Fonctionnement[TVA acquittée])+SUMIF(Invest[Affectation matrice],$AB$3,Invest[TVA acquittée]))*BU18</f>
        <v>0</v>
      </c>
      <c r="CW18" s="200">
        <f>(SUMIF(Fonctionnement[Affectation matrice],$AB$3,Fonctionnement[TVA acquittée])+SUMIF(Invest[Affectation matrice],$AB$3,Invest[TVA acquittée]))*BV18</f>
        <v>0</v>
      </c>
      <c r="CX18" s="200">
        <f>(SUMIF(Fonctionnement[Affectation matrice],$AB$3,Fonctionnement[TVA acquittée])+SUMIF(Invest[Affectation matrice],$AB$3,Invest[TVA acquittée]))*BW18</f>
        <v>0</v>
      </c>
      <c r="CY18" s="200">
        <f>(SUMIF(Fonctionnement[Affectation matrice],$AB$3,Fonctionnement[TVA acquittée])+SUMIF(Invest[Affectation matrice],$AB$3,Invest[TVA acquittée]))*BX18</f>
        <v>0</v>
      </c>
      <c r="CZ18" s="200">
        <f>(SUMIF(Fonctionnement[Affectation matrice],$AB$3,Fonctionnement[TVA acquittée])+SUMIF(Invest[Affectation matrice],$AB$3,Invest[TVA acquittée]))*BY18</f>
        <v>0</v>
      </c>
      <c r="DA18" s="200">
        <f>(SUMIF(Fonctionnement[Affectation matrice],$AB$3,Fonctionnement[TVA acquittée])+SUMIF(Invest[Affectation matrice],$AB$3,Invest[TVA acquittée]))*BZ18</f>
        <v>0</v>
      </c>
      <c r="DB18" s="200">
        <f>(SUMIF(Fonctionnement[Affectation matrice],$AB$3,Fonctionnement[TVA acquittée])+SUMIF(Invest[Affectation matrice],$AB$3,Invest[TVA acquittée]))*CA18</f>
        <v>0</v>
      </c>
    </row>
    <row r="19" spans="1:106" ht="12.75" hidden="1" customHeight="1" x14ac:dyDescent="0.25">
      <c r="A19" s="42">
        <f>Matrice[[#This Row],[Ligne de la matrice]]</f>
        <v>0</v>
      </c>
      <c r="B19" s="276">
        <f>(SUMIF(Fonctionnement[Affectation matrice],$AB$3,Fonctionnement[Montant (€HT)])+SUMIF(Invest[Affectation matrice],$AB$3,Invest[Amortissement HT + intérêts]))*BC19</f>
        <v>0</v>
      </c>
      <c r="C19" s="276">
        <f>(SUMIF(Fonctionnement[Affectation matrice],$AB$3,Fonctionnement[Montant (€HT)])+SUMIF(Invest[Affectation matrice],$AB$3,Invest[Amortissement HT + intérêts]))*BD19</f>
        <v>0</v>
      </c>
      <c r="D19" s="276">
        <f>(SUMIF(Fonctionnement[Affectation matrice],$AB$3,Fonctionnement[Montant (€HT)])+SUMIF(Invest[Affectation matrice],$AB$3,Invest[Amortissement HT + intérêts]))*BE19</f>
        <v>0</v>
      </c>
      <c r="E19" s="276">
        <f>(SUMIF(Fonctionnement[Affectation matrice],$AB$3,Fonctionnement[Montant (€HT)])+SUMIF(Invest[Affectation matrice],$AB$3,Invest[Amortissement HT + intérêts]))*BF19</f>
        <v>0</v>
      </c>
      <c r="F19" s="276">
        <f>(SUMIF(Fonctionnement[Affectation matrice],$AB$3,Fonctionnement[Montant (€HT)])+SUMIF(Invest[Affectation matrice],$AB$3,Invest[Amortissement HT + intérêts]))*BG19</f>
        <v>0</v>
      </c>
      <c r="G19" s="276">
        <f>(SUMIF(Fonctionnement[Affectation matrice],$AB$3,Fonctionnement[Montant (€HT)])+SUMIF(Invest[Affectation matrice],$AB$3,Invest[Amortissement HT + intérêts]))*BH19</f>
        <v>0</v>
      </c>
      <c r="H19" s="276">
        <f>(SUMIF(Fonctionnement[Affectation matrice],$AB$3,Fonctionnement[Montant (€HT)])+SUMIF(Invest[Affectation matrice],$AB$3,Invest[Amortissement HT + intérêts]))*BI19</f>
        <v>0</v>
      </c>
      <c r="I19" s="276">
        <f>(SUMIF(Fonctionnement[Affectation matrice],$AB$3,Fonctionnement[Montant (€HT)])+SUMIF(Invest[Affectation matrice],$AB$3,Invest[Amortissement HT + intérêts]))*BJ19</f>
        <v>0</v>
      </c>
      <c r="J19" s="276">
        <f>(SUMIF(Fonctionnement[Affectation matrice],$AB$3,Fonctionnement[Montant (€HT)])+SUMIF(Invest[Affectation matrice],$AB$3,Invest[Amortissement HT + intérêts]))*BK19</f>
        <v>0</v>
      </c>
      <c r="K19" s="276">
        <f>(SUMIF(Fonctionnement[Affectation matrice],$AB$3,Fonctionnement[Montant (€HT)])+SUMIF(Invest[Affectation matrice],$AB$3,Invest[Amortissement HT + intérêts]))*BL19</f>
        <v>0</v>
      </c>
      <c r="L19" s="276">
        <f>(SUMIF(Fonctionnement[Affectation matrice],$AB$3,Fonctionnement[Montant (€HT)])+SUMIF(Invest[Affectation matrice],$AB$3,Invest[Amortissement HT + intérêts]))*BM19</f>
        <v>0</v>
      </c>
      <c r="M19" s="276">
        <f>(SUMIF(Fonctionnement[Affectation matrice],$AB$3,Fonctionnement[Montant (€HT)])+SUMIF(Invest[Affectation matrice],$AB$3,Invest[Amortissement HT + intérêts]))*BN19</f>
        <v>0</v>
      </c>
      <c r="N19" s="276">
        <f>(SUMIF(Fonctionnement[Affectation matrice],$AB$3,Fonctionnement[Montant (€HT)])+SUMIF(Invest[Affectation matrice],$AB$3,Invest[Amortissement HT + intérêts]))*BO19</f>
        <v>0</v>
      </c>
      <c r="O19" s="276">
        <f>(SUMIF(Fonctionnement[Affectation matrice],$AB$3,Fonctionnement[Montant (€HT)])+SUMIF(Invest[Affectation matrice],$AB$3,Invest[Amortissement HT + intérêts]))*BP19</f>
        <v>0</v>
      </c>
      <c r="P19" s="276">
        <f>(SUMIF(Fonctionnement[Affectation matrice],$AB$3,Fonctionnement[Montant (€HT)])+SUMIF(Invest[Affectation matrice],$AB$3,Invest[Amortissement HT + intérêts]))*BQ19</f>
        <v>0</v>
      </c>
      <c r="Q19" s="276">
        <f>(SUMIF(Fonctionnement[Affectation matrice],$AB$3,Fonctionnement[Montant (€HT)])+SUMIF(Invest[Affectation matrice],$AB$3,Invest[Amortissement HT + intérêts]))*BR19</f>
        <v>0</v>
      </c>
      <c r="R19" s="276">
        <f>(SUMIF(Fonctionnement[Affectation matrice],$AB$3,Fonctionnement[Montant (€HT)])+SUMIF(Invest[Affectation matrice],$AB$3,Invest[Amortissement HT + intérêts]))*BS19</f>
        <v>0</v>
      </c>
      <c r="S19" s="276">
        <f>(SUMIF(Fonctionnement[Affectation matrice],$AB$3,Fonctionnement[Montant (€HT)])+SUMIF(Invest[Affectation matrice],$AB$3,Invest[Amortissement HT + intérêts]))*BT19</f>
        <v>0</v>
      </c>
      <c r="T19" s="276">
        <f>(SUMIF(Fonctionnement[Affectation matrice],$AB$3,Fonctionnement[Montant (€HT)])+SUMIF(Invest[Affectation matrice],$AB$3,Invest[Amortissement HT + intérêts]))*BU19</f>
        <v>0</v>
      </c>
      <c r="U19" s="276">
        <f>(SUMIF(Fonctionnement[Affectation matrice],$AB$3,Fonctionnement[Montant (€HT)])+SUMIF(Invest[Affectation matrice],$AB$3,Invest[Amortissement HT + intérêts]))*BV19</f>
        <v>0</v>
      </c>
      <c r="V19" s="276">
        <f>(SUMIF(Fonctionnement[Affectation matrice],$AB$3,Fonctionnement[Montant (€HT)])+SUMIF(Invest[Affectation matrice],$AB$3,Invest[Amortissement HT + intérêts]))*BW19</f>
        <v>0</v>
      </c>
      <c r="W19" s="276">
        <f>(SUMIF(Fonctionnement[Affectation matrice],$AB$3,Fonctionnement[Montant (€HT)])+SUMIF(Invest[Affectation matrice],$AB$3,Invest[Amortissement HT + intérêts]))*BX19</f>
        <v>0</v>
      </c>
      <c r="X19" s="276">
        <f>(SUMIF(Fonctionnement[Affectation matrice],$AB$3,Fonctionnement[Montant (€HT)])+SUMIF(Invest[Affectation matrice],$AB$3,Invest[Amortissement HT + intérêts]))*BY19</f>
        <v>0</v>
      </c>
      <c r="Y19" s="276">
        <f>(SUMIF(Fonctionnement[Affectation matrice],$AB$3,Fonctionnement[Montant (€HT)])+SUMIF(Invest[Affectation matrice],$AB$3,Invest[Amortissement HT + intérêts]))*BZ19</f>
        <v>0</v>
      </c>
      <c r="Z19" s="276">
        <f>(SUMIF(Fonctionnement[Affectation matrice],$AB$3,Fonctionnement[Montant (€HT)])+SUMIF(Invest[Affectation matrice],$AB$3,Invest[Amortissement HT + intérêts]))*CA19</f>
        <v>0</v>
      </c>
      <c r="AA19" s="199"/>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283">
        <f t="shared" si="4"/>
        <v>0</v>
      </c>
      <c r="BC19" s="61">
        <f t="shared" si="2"/>
        <v>0</v>
      </c>
      <c r="BD19" s="61">
        <f t="shared" si="2"/>
        <v>0</v>
      </c>
      <c r="BE19" s="61">
        <f t="shared" si="2"/>
        <v>0</v>
      </c>
      <c r="BF19" s="61">
        <f t="shared" si="2"/>
        <v>0</v>
      </c>
      <c r="BG19" s="61">
        <f t="shared" si="2"/>
        <v>0</v>
      </c>
      <c r="BH19" s="61">
        <f t="shared" si="2"/>
        <v>0</v>
      </c>
      <c r="BI19" s="61">
        <f t="shared" si="2"/>
        <v>0</v>
      </c>
      <c r="BJ19" s="61">
        <f t="shared" si="2"/>
        <v>0</v>
      </c>
      <c r="BK19" s="61">
        <f t="shared" si="2"/>
        <v>0</v>
      </c>
      <c r="BL19" s="61">
        <f t="shared" si="2"/>
        <v>0</v>
      </c>
      <c r="BM19" s="61">
        <f t="shared" si="2"/>
        <v>0</v>
      </c>
      <c r="BN19" s="61">
        <f t="shared" si="2"/>
        <v>0</v>
      </c>
      <c r="BO19" s="61">
        <f t="shared" si="2"/>
        <v>0</v>
      </c>
      <c r="BP19" s="61">
        <f t="shared" si="2"/>
        <v>0</v>
      </c>
      <c r="BQ19" s="61">
        <f t="shared" si="2"/>
        <v>0</v>
      </c>
      <c r="BR19" s="61">
        <f t="shared" si="2"/>
        <v>0</v>
      </c>
      <c r="BS19" s="61">
        <f t="shared" si="3"/>
        <v>0</v>
      </c>
      <c r="BT19" s="61">
        <f t="shared" si="3"/>
        <v>0</v>
      </c>
      <c r="BU19" s="61">
        <f t="shared" si="3"/>
        <v>0</v>
      </c>
      <c r="BV19" s="61">
        <f t="shared" si="3"/>
        <v>0</v>
      </c>
      <c r="BW19" s="61">
        <f t="shared" si="3"/>
        <v>0</v>
      </c>
      <c r="BX19" s="61">
        <f t="shared" si="3"/>
        <v>0</v>
      </c>
      <c r="BY19" s="61">
        <f t="shared" si="3"/>
        <v>0</v>
      </c>
      <c r="BZ19" s="61">
        <f t="shared" si="3"/>
        <v>0</v>
      </c>
      <c r="CA19" s="61">
        <f t="shared" si="3"/>
        <v>0</v>
      </c>
      <c r="CB19" s="61">
        <f t="shared" si="5"/>
        <v>0</v>
      </c>
      <c r="CD19" s="200">
        <f>(SUMIF(Fonctionnement[Affectation matrice],$AB$3,Fonctionnement[TVA acquittée])+SUMIF(Invest[Affectation matrice],$AB$3,Invest[TVA acquittée]))*BC19</f>
        <v>0</v>
      </c>
      <c r="CE19" s="200">
        <f>(SUMIF(Fonctionnement[Affectation matrice],$AB$3,Fonctionnement[TVA acquittée])+SUMIF(Invest[Affectation matrice],$AB$3,Invest[TVA acquittée]))*BD19</f>
        <v>0</v>
      </c>
      <c r="CF19" s="200">
        <f>(SUMIF(Fonctionnement[Affectation matrice],$AB$3,Fonctionnement[TVA acquittée])+SUMIF(Invest[Affectation matrice],$AB$3,Invest[TVA acquittée]))*BE19</f>
        <v>0</v>
      </c>
      <c r="CG19" s="200">
        <f>(SUMIF(Fonctionnement[Affectation matrice],$AB$3,Fonctionnement[TVA acquittée])+SUMIF(Invest[Affectation matrice],$AB$3,Invest[TVA acquittée]))*BF19</f>
        <v>0</v>
      </c>
      <c r="CH19" s="200">
        <f>(SUMIF(Fonctionnement[Affectation matrice],$AB$3,Fonctionnement[TVA acquittée])+SUMIF(Invest[Affectation matrice],$AB$3,Invest[TVA acquittée]))*BG19</f>
        <v>0</v>
      </c>
      <c r="CI19" s="200">
        <f>(SUMIF(Fonctionnement[Affectation matrice],$AB$3,Fonctionnement[TVA acquittée])+SUMIF(Invest[Affectation matrice],$AB$3,Invest[TVA acquittée]))*BH19</f>
        <v>0</v>
      </c>
      <c r="CJ19" s="200">
        <f>(SUMIF(Fonctionnement[Affectation matrice],$AB$3,Fonctionnement[TVA acquittée])+SUMIF(Invest[Affectation matrice],$AB$3,Invest[TVA acquittée]))*BI19</f>
        <v>0</v>
      </c>
      <c r="CK19" s="200">
        <f>(SUMIF(Fonctionnement[Affectation matrice],$AB$3,Fonctionnement[TVA acquittée])+SUMIF(Invest[Affectation matrice],$AB$3,Invest[TVA acquittée]))*BJ19</f>
        <v>0</v>
      </c>
      <c r="CL19" s="200">
        <f>(SUMIF(Fonctionnement[Affectation matrice],$AB$3,Fonctionnement[TVA acquittée])+SUMIF(Invest[Affectation matrice],$AB$3,Invest[TVA acquittée]))*BK19</f>
        <v>0</v>
      </c>
      <c r="CM19" s="200">
        <f>(SUMIF(Fonctionnement[Affectation matrice],$AB$3,Fonctionnement[TVA acquittée])+SUMIF(Invest[Affectation matrice],$AB$3,Invest[TVA acquittée]))*BL19</f>
        <v>0</v>
      </c>
      <c r="CN19" s="200">
        <f>(SUMIF(Fonctionnement[Affectation matrice],$AB$3,Fonctionnement[TVA acquittée])+SUMIF(Invest[Affectation matrice],$AB$3,Invest[TVA acquittée]))*BM19</f>
        <v>0</v>
      </c>
      <c r="CO19" s="200">
        <f>(SUMIF(Fonctionnement[Affectation matrice],$AB$3,Fonctionnement[TVA acquittée])+SUMIF(Invest[Affectation matrice],$AB$3,Invest[TVA acquittée]))*BN19</f>
        <v>0</v>
      </c>
      <c r="CP19" s="200">
        <f>(SUMIF(Fonctionnement[Affectation matrice],$AB$3,Fonctionnement[TVA acquittée])+SUMIF(Invest[Affectation matrice],$AB$3,Invest[TVA acquittée]))*BO19</f>
        <v>0</v>
      </c>
      <c r="CQ19" s="200">
        <f>(SUMIF(Fonctionnement[Affectation matrice],$AB$3,Fonctionnement[TVA acquittée])+SUMIF(Invest[Affectation matrice],$AB$3,Invest[TVA acquittée]))*BP19</f>
        <v>0</v>
      </c>
      <c r="CR19" s="200">
        <f>(SUMIF(Fonctionnement[Affectation matrice],$AB$3,Fonctionnement[TVA acquittée])+SUMIF(Invest[Affectation matrice],$AB$3,Invest[TVA acquittée]))*BQ19</f>
        <v>0</v>
      </c>
      <c r="CS19" s="200">
        <f>(SUMIF(Fonctionnement[Affectation matrice],$AB$3,Fonctionnement[TVA acquittée])+SUMIF(Invest[Affectation matrice],$AB$3,Invest[TVA acquittée]))*BR19</f>
        <v>0</v>
      </c>
      <c r="CT19" s="200">
        <f>(SUMIF(Fonctionnement[Affectation matrice],$AB$3,Fonctionnement[TVA acquittée])+SUMIF(Invest[Affectation matrice],$AB$3,Invest[TVA acquittée]))*BS19</f>
        <v>0</v>
      </c>
      <c r="CU19" s="200">
        <f>(SUMIF(Fonctionnement[Affectation matrice],$AB$3,Fonctionnement[TVA acquittée])+SUMIF(Invest[Affectation matrice],$AB$3,Invest[TVA acquittée]))*BT19</f>
        <v>0</v>
      </c>
      <c r="CV19" s="200">
        <f>(SUMIF(Fonctionnement[Affectation matrice],$AB$3,Fonctionnement[TVA acquittée])+SUMIF(Invest[Affectation matrice],$AB$3,Invest[TVA acquittée]))*BU19</f>
        <v>0</v>
      </c>
      <c r="CW19" s="200">
        <f>(SUMIF(Fonctionnement[Affectation matrice],$AB$3,Fonctionnement[TVA acquittée])+SUMIF(Invest[Affectation matrice],$AB$3,Invest[TVA acquittée]))*BV19</f>
        <v>0</v>
      </c>
      <c r="CX19" s="200">
        <f>(SUMIF(Fonctionnement[Affectation matrice],$AB$3,Fonctionnement[TVA acquittée])+SUMIF(Invest[Affectation matrice],$AB$3,Invest[TVA acquittée]))*BW19</f>
        <v>0</v>
      </c>
      <c r="CY19" s="200">
        <f>(SUMIF(Fonctionnement[Affectation matrice],$AB$3,Fonctionnement[TVA acquittée])+SUMIF(Invest[Affectation matrice],$AB$3,Invest[TVA acquittée]))*BX19</f>
        <v>0</v>
      </c>
      <c r="CZ19" s="200">
        <f>(SUMIF(Fonctionnement[Affectation matrice],$AB$3,Fonctionnement[TVA acquittée])+SUMIF(Invest[Affectation matrice],$AB$3,Invest[TVA acquittée]))*BY19</f>
        <v>0</v>
      </c>
      <c r="DA19" s="200">
        <f>(SUMIF(Fonctionnement[Affectation matrice],$AB$3,Fonctionnement[TVA acquittée])+SUMIF(Invest[Affectation matrice],$AB$3,Invest[TVA acquittée]))*BZ19</f>
        <v>0</v>
      </c>
      <c r="DB19" s="200">
        <f>(SUMIF(Fonctionnement[Affectation matrice],$AB$3,Fonctionnement[TVA acquittée])+SUMIF(Invest[Affectation matrice],$AB$3,Invest[TVA acquittée]))*CA19</f>
        <v>0</v>
      </c>
    </row>
    <row r="20" spans="1:106" ht="12.75" hidden="1" customHeight="1" x14ac:dyDescent="0.25">
      <c r="A20" s="42">
        <f>Matrice[[#This Row],[Ligne de la matrice]]</f>
        <v>0</v>
      </c>
      <c r="B20" s="276">
        <f>(SUMIF(Fonctionnement[Affectation matrice],$AB$3,Fonctionnement[Montant (€HT)])+SUMIF(Invest[Affectation matrice],$AB$3,Invest[Amortissement HT + intérêts]))*BC20</f>
        <v>0</v>
      </c>
      <c r="C20" s="276">
        <f>(SUMIF(Fonctionnement[Affectation matrice],$AB$3,Fonctionnement[Montant (€HT)])+SUMIF(Invest[Affectation matrice],$AB$3,Invest[Amortissement HT + intérêts]))*BD20</f>
        <v>0</v>
      </c>
      <c r="D20" s="276">
        <f>(SUMIF(Fonctionnement[Affectation matrice],$AB$3,Fonctionnement[Montant (€HT)])+SUMIF(Invest[Affectation matrice],$AB$3,Invest[Amortissement HT + intérêts]))*BE20</f>
        <v>0</v>
      </c>
      <c r="E20" s="276">
        <f>(SUMIF(Fonctionnement[Affectation matrice],$AB$3,Fonctionnement[Montant (€HT)])+SUMIF(Invest[Affectation matrice],$AB$3,Invest[Amortissement HT + intérêts]))*BF20</f>
        <v>0</v>
      </c>
      <c r="F20" s="276">
        <f>(SUMIF(Fonctionnement[Affectation matrice],$AB$3,Fonctionnement[Montant (€HT)])+SUMIF(Invest[Affectation matrice],$AB$3,Invest[Amortissement HT + intérêts]))*BG20</f>
        <v>0</v>
      </c>
      <c r="G20" s="276">
        <f>(SUMIF(Fonctionnement[Affectation matrice],$AB$3,Fonctionnement[Montant (€HT)])+SUMIF(Invest[Affectation matrice],$AB$3,Invest[Amortissement HT + intérêts]))*BH20</f>
        <v>0</v>
      </c>
      <c r="H20" s="276">
        <f>(SUMIF(Fonctionnement[Affectation matrice],$AB$3,Fonctionnement[Montant (€HT)])+SUMIF(Invest[Affectation matrice],$AB$3,Invest[Amortissement HT + intérêts]))*BI20</f>
        <v>0</v>
      </c>
      <c r="I20" s="276">
        <f>(SUMIF(Fonctionnement[Affectation matrice],$AB$3,Fonctionnement[Montant (€HT)])+SUMIF(Invest[Affectation matrice],$AB$3,Invest[Amortissement HT + intérêts]))*BJ20</f>
        <v>0</v>
      </c>
      <c r="J20" s="276">
        <f>(SUMIF(Fonctionnement[Affectation matrice],$AB$3,Fonctionnement[Montant (€HT)])+SUMIF(Invest[Affectation matrice],$AB$3,Invest[Amortissement HT + intérêts]))*BK20</f>
        <v>0</v>
      </c>
      <c r="K20" s="276">
        <f>(SUMIF(Fonctionnement[Affectation matrice],$AB$3,Fonctionnement[Montant (€HT)])+SUMIF(Invest[Affectation matrice],$AB$3,Invest[Amortissement HT + intérêts]))*BL20</f>
        <v>0</v>
      </c>
      <c r="L20" s="276">
        <f>(SUMIF(Fonctionnement[Affectation matrice],$AB$3,Fonctionnement[Montant (€HT)])+SUMIF(Invest[Affectation matrice],$AB$3,Invest[Amortissement HT + intérêts]))*BM20</f>
        <v>0</v>
      </c>
      <c r="M20" s="276">
        <f>(SUMIF(Fonctionnement[Affectation matrice],$AB$3,Fonctionnement[Montant (€HT)])+SUMIF(Invest[Affectation matrice],$AB$3,Invest[Amortissement HT + intérêts]))*BN20</f>
        <v>0</v>
      </c>
      <c r="N20" s="276">
        <f>(SUMIF(Fonctionnement[Affectation matrice],$AB$3,Fonctionnement[Montant (€HT)])+SUMIF(Invest[Affectation matrice],$AB$3,Invest[Amortissement HT + intérêts]))*BO20</f>
        <v>0</v>
      </c>
      <c r="O20" s="276">
        <f>(SUMIF(Fonctionnement[Affectation matrice],$AB$3,Fonctionnement[Montant (€HT)])+SUMIF(Invest[Affectation matrice],$AB$3,Invest[Amortissement HT + intérêts]))*BP20</f>
        <v>0</v>
      </c>
      <c r="P20" s="276">
        <f>(SUMIF(Fonctionnement[Affectation matrice],$AB$3,Fonctionnement[Montant (€HT)])+SUMIF(Invest[Affectation matrice],$AB$3,Invest[Amortissement HT + intérêts]))*BQ20</f>
        <v>0</v>
      </c>
      <c r="Q20" s="276">
        <f>(SUMIF(Fonctionnement[Affectation matrice],$AB$3,Fonctionnement[Montant (€HT)])+SUMIF(Invest[Affectation matrice],$AB$3,Invest[Amortissement HT + intérêts]))*BR20</f>
        <v>0</v>
      </c>
      <c r="R20" s="276">
        <f>(SUMIF(Fonctionnement[Affectation matrice],$AB$3,Fonctionnement[Montant (€HT)])+SUMIF(Invest[Affectation matrice],$AB$3,Invest[Amortissement HT + intérêts]))*BS20</f>
        <v>0</v>
      </c>
      <c r="S20" s="276">
        <f>(SUMIF(Fonctionnement[Affectation matrice],$AB$3,Fonctionnement[Montant (€HT)])+SUMIF(Invest[Affectation matrice],$AB$3,Invest[Amortissement HT + intérêts]))*BT20</f>
        <v>0</v>
      </c>
      <c r="T20" s="276">
        <f>(SUMIF(Fonctionnement[Affectation matrice],$AB$3,Fonctionnement[Montant (€HT)])+SUMIF(Invest[Affectation matrice],$AB$3,Invest[Amortissement HT + intérêts]))*BU20</f>
        <v>0</v>
      </c>
      <c r="U20" s="276">
        <f>(SUMIF(Fonctionnement[Affectation matrice],$AB$3,Fonctionnement[Montant (€HT)])+SUMIF(Invest[Affectation matrice],$AB$3,Invest[Amortissement HT + intérêts]))*BV20</f>
        <v>0</v>
      </c>
      <c r="V20" s="276">
        <f>(SUMIF(Fonctionnement[Affectation matrice],$AB$3,Fonctionnement[Montant (€HT)])+SUMIF(Invest[Affectation matrice],$AB$3,Invest[Amortissement HT + intérêts]))*BW20</f>
        <v>0</v>
      </c>
      <c r="W20" s="276">
        <f>(SUMIF(Fonctionnement[Affectation matrice],$AB$3,Fonctionnement[Montant (€HT)])+SUMIF(Invest[Affectation matrice],$AB$3,Invest[Amortissement HT + intérêts]))*BX20</f>
        <v>0</v>
      </c>
      <c r="X20" s="276">
        <f>(SUMIF(Fonctionnement[Affectation matrice],$AB$3,Fonctionnement[Montant (€HT)])+SUMIF(Invest[Affectation matrice],$AB$3,Invest[Amortissement HT + intérêts]))*BY20</f>
        <v>0</v>
      </c>
      <c r="Y20" s="276">
        <f>(SUMIF(Fonctionnement[Affectation matrice],$AB$3,Fonctionnement[Montant (€HT)])+SUMIF(Invest[Affectation matrice],$AB$3,Invest[Amortissement HT + intérêts]))*BZ20</f>
        <v>0</v>
      </c>
      <c r="Z20" s="276">
        <f>(SUMIF(Fonctionnement[Affectation matrice],$AB$3,Fonctionnement[Montant (€HT)])+SUMIF(Invest[Affectation matrice],$AB$3,Invest[Amortissement HT + intérêts]))*CA20</f>
        <v>0</v>
      </c>
      <c r="AA20" s="199"/>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283">
        <f t="shared" si="4"/>
        <v>0</v>
      </c>
      <c r="BC20" s="61">
        <f t="shared" si="2"/>
        <v>0</v>
      </c>
      <c r="BD20" s="61">
        <f t="shared" si="2"/>
        <v>0</v>
      </c>
      <c r="BE20" s="61">
        <f t="shared" si="2"/>
        <v>0</v>
      </c>
      <c r="BF20" s="61">
        <f t="shared" si="2"/>
        <v>0</v>
      </c>
      <c r="BG20" s="61">
        <f t="shared" si="2"/>
        <v>0</v>
      </c>
      <c r="BH20" s="61">
        <f t="shared" si="2"/>
        <v>0</v>
      </c>
      <c r="BI20" s="61">
        <f t="shared" si="2"/>
        <v>0</v>
      </c>
      <c r="BJ20" s="61">
        <f t="shared" si="2"/>
        <v>0</v>
      </c>
      <c r="BK20" s="61">
        <f t="shared" si="2"/>
        <v>0</v>
      </c>
      <c r="BL20" s="61">
        <f t="shared" si="2"/>
        <v>0</v>
      </c>
      <c r="BM20" s="61">
        <f t="shared" si="2"/>
        <v>0</v>
      </c>
      <c r="BN20" s="61">
        <f t="shared" si="2"/>
        <v>0</v>
      </c>
      <c r="BO20" s="61">
        <f t="shared" si="2"/>
        <v>0</v>
      </c>
      <c r="BP20" s="61">
        <f t="shared" si="2"/>
        <v>0</v>
      </c>
      <c r="BQ20" s="61">
        <f t="shared" si="2"/>
        <v>0</v>
      </c>
      <c r="BR20" s="61">
        <f t="shared" ref="BR20:BR22" si="6">IF($BA$53=0,0,AQ20/$BA$53)</f>
        <v>0</v>
      </c>
      <c r="BS20" s="61">
        <f t="shared" si="3"/>
        <v>0</v>
      </c>
      <c r="BT20" s="61">
        <f t="shared" si="3"/>
        <v>0</v>
      </c>
      <c r="BU20" s="61">
        <f t="shared" si="3"/>
        <v>0</v>
      </c>
      <c r="BV20" s="61">
        <f t="shared" si="3"/>
        <v>0</v>
      </c>
      <c r="BW20" s="61">
        <f t="shared" si="3"/>
        <v>0</v>
      </c>
      <c r="BX20" s="61">
        <f t="shared" si="3"/>
        <v>0</v>
      </c>
      <c r="BY20" s="61">
        <f t="shared" si="3"/>
        <v>0</v>
      </c>
      <c r="BZ20" s="61">
        <f t="shared" si="3"/>
        <v>0</v>
      </c>
      <c r="CA20" s="61">
        <f t="shared" si="3"/>
        <v>0</v>
      </c>
      <c r="CB20" s="61">
        <f t="shared" si="5"/>
        <v>0</v>
      </c>
      <c r="CD20" s="200">
        <f>(SUMIF(Fonctionnement[Affectation matrice],$AB$3,Fonctionnement[TVA acquittée])+SUMIF(Invest[Affectation matrice],$AB$3,Invest[TVA acquittée]))*BC20</f>
        <v>0</v>
      </c>
      <c r="CE20" s="200">
        <f>(SUMIF(Fonctionnement[Affectation matrice],$AB$3,Fonctionnement[TVA acquittée])+SUMIF(Invest[Affectation matrice],$AB$3,Invest[TVA acquittée]))*BD20</f>
        <v>0</v>
      </c>
      <c r="CF20" s="200">
        <f>(SUMIF(Fonctionnement[Affectation matrice],$AB$3,Fonctionnement[TVA acquittée])+SUMIF(Invest[Affectation matrice],$AB$3,Invest[TVA acquittée]))*BE20</f>
        <v>0</v>
      </c>
      <c r="CG20" s="200">
        <f>(SUMIF(Fonctionnement[Affectation matrice],$AB$3,Fonctionnement[TVA acquittée])+SUMIF(Invest[Affectation matrice],$AB$3,Invest[TVA acquittée]))*BF20</f>
        <v>0</v>
      </c>
      <c r="CH20" s="200">
        <f>(SUMIF(Fonctionnement[Affectation matrice],$AB$3,Fonctionnement[TVA acquittée])+SUMIF(Invest[Affectation matrice],$AB$3,Invest[TVA acquittée]))*BG20</f>
        <v>0</v>
      </c>
      <c r="CI20" s="200">
        <f>(SUMIF(Fonctionnement[Affectation matrice],$AB$3,Fonctionnement[TVA acquittée])+SUMIF(Invest[Affectation matrice],$AB$3,Invest[TVA acquittée]))*BH20</f>
        <v>0</v>
      </c>
      <c r="CJ20" s="200">
        <f>(SUMIF(Fonctionnement[Affectation matrice],$AB$3,Fonctionnement[TVA acquittée])+SUMIF(Invest[Affectation matrice],$AB$3,Invest[TVA acquittée]))*BI20</f>
        <v>0</v>
      </c>
      <c r="CK20" s="200">
        <f>(SUMIF(Fonctionnement[Affectation matrice],$AB$3,Fonctionnement[TVA acquittée])+SUMIF(Invest[Affectation matrice],$AB$3,Invest[TVA acquittée]))*BJ20</f>
        <v>0</v>
      </c>
      <c r="CL20" s="200">
        <f>(SUMIF(Fonctionnement[Affectation matrice],$AB$3,Fonctionnement[TVA acquittée])+SUMIF(Invest[Affectation matrice],$AB$3,Invest[TVA acquittée]))*BK20</f>
        <v>0</v>
      </c>
      <c r="CM20" s="200">
        <f>(SUMIF(Fonctionnement[Affectation matrice],$AB$3,Fonctionnement[TVA acquittée])+SUMIF(Invest[Affectation matrice],$AB$3,Invest[TVA acquittée]))*BL20</f>
        <v>0</v>
      </c>
      <c r="CN20" s="200">
        <f>(SUMIF(Fonctionnement[Affectation matrice],$AB$3,Fonctionnement[TVA acquittée])+SUMIF(Invest[Affectation matrice],$AB$3,Invest[TVA acquittée]))*BM20</f>
        <v>0</v>
      </c>
      <c r="CO20" s="200">
        <f>(SUMIF(Fonctionnement[Affectation matrice],$AB$3,Fonctionnement[TVA acquittée])+SUMIF(Invest[Affectation matrice],$AB$3,Invest[TVA acquittée]))*BN20</f>
        <v>0</v>
      </c>
      <c r="CP20" s="200">
        <f>(SUMIF(Fonctionnement[Affectation matrice],$AB$3,Fonctionnement[TVA acquittée])+SUMIF(Invest[Affectation matrice],$AB$3,Invest[TVA acquittée]))*BO20</f>
        <v>0</v>
      </c>
      <c r="CQ20" s="200">
        <f>(SUMIF(Fonctionnement[Affectation matrice],$AB$3,Fonctionnement[TVA acquittée])+SUMIF(Invest[Affectation matrice],$AB$3,Invest[TVA acquittée]))*BP20</f>
        <v>0</v>
      </c>
      <c r="CR20" s="200">
        <f>(SUMIF(Fonctionnement[Affectation matrice],$AB$3,Fonctionnement[TVA acquittée])+SUMIF(Invest[Affectation matrice],$AB$3,Invest[TVA acquittée]))*BQ20</f>
        <v>0</v>
      </c>
      <c r="CS20" s="200">
        <f>(SUMIF(Fonctionnement[Affectation matrice],$AB$3,Fonctionnement[TVA acquittée])+SUMIF(Invest[Affectation matrice],$AB$3,Invest[TVA acquittée]))*BR20</f>
        <v>0</v>
      </c>
      <c r="CT20" s="200">
        <f>(SUMIF(Fonctionnement[Affectation matrice],$AB$3,Fonctionnement[TVA acquittée])+SUMIF(Invest[Affectation matrice],$AB$3,Invest[TVA acquittée]))*BS20</f>
        <v>0</v>
      </c>
      <c r="CU20" s="200">
        <f>(SUMIF(Fonctionnement[Affectation matrice],$AB$3,Fonctionnement[TVA acquittée])+SUMIF(Invest[Affectation matrice],$AB$3,Invest[TVA acquittée]))*BT20</f>
        <v>0</v>
      </c>
      <c r="CV20" s="200">
        <f>(SUMIF(Fonctionnement[Affectation matrice],$AB$3,Fonctionnement[TVA acquittée])+SUMIF(Invest[Affectation matrice],$AB$3,Invest[TVA acquittée]))*BU20</f>
        <v>0</v>
      </c>
      <c r="CW20" s="200">
        <f>(SUMIF(Fonctionnement[Affectation matrice],$AB$3,Fonctionnement[TVA acquittée])+SUMIF(Invest[Affectation matrice],$AB$3,Invest[TVA acquittée]))*BV20</f>
        <v>0</v>
      </c>
      <c r="CX20" s="200">
        <f>(SUMIF(Fonctionnement[Affectation matrice],$AB$3,Fonctionnement[TVA acquittée])+SUMIF(Invest[Affectation matrice],$AB$3,Invest[TVA acquittée]))*BW20</f>
        <v>0</v>
      </c>
      <c r="CY20" s="200">
        <f>(SUMIF(Fonctionnement[Affectation matrice],$AB$3,Fonctionnement[TVA acquittée])+SUMIF(Invest[Affectation matrice],$AB$3,Invest[TVA acquittée]))*BX20</f>
        <v>0</v>
      </c>
      <c r="CZ20" s="200">
        <f>(SUMIF(Fonctionnement[Affectation matrice],$AB$3,Fonctionnement[TVA acquittée])+SUMIF(Invest[Affectation matrice],$AB$3,Invest[TVA acquittée]))*BY20</f>
        <v>0</v>
      </c>
      <c r="DA20" s="200">
        <f>(SUMIF(Fonctionnement[Affectation matrice],$AB$3,Fonctionnement[TVA acquittée])+SUMIF(Invest[Affectation matrice],$AB$3,Invest[TVA acquittée]))*BZ20</f>
        <v>0</v>
      </c>
      <c r="DB20" s="200">
        <f>(SUMIF(Fonctionnement[Affectation matrice],$AB$3,Fonctionnement[TVA acquittée])+SUMIF(Invest[Affectation matrice],$AB$3,Invest[TVA acquittée]))*CA20</f>
        <v>0</v>
      </c>
    </row>
    <row r="21" spans="1:106" s="22" customFormat="1" ht="12.75" hidden="1" customHeight="1" x14ac:dyDescent="0.25">
      <c r="A21" s="42">
        <f>Matrice[[#This Row],[Ligne de la matrice]]</f>
        <v>0</v>
      </c>
      <c r="B21" s="276">
        <f>(SUMIF(Fonctionnement[Affectation matrice],$AB$3,Fonctionnement[Montant (€HT)])+SUMIF(Invest[Affectation matrice],$AB$3,Invest[Amortissement HT + intérêts]))*BC21</f>
        <v>0</v>
      </c>
      <c r="C21" s="276">
        <f>(SUMIF(Fonctionnement[Affectation matrice],$AB$3,Fonctionnement[Montant (€HT)])+SUMIF(Invest[Affectation matrice],$AB$3,Invest[Amortissement HT + intérêts]))*BD21</f>
        <v>0</v>
      </c>
      <c r="D21" s="276">
        <f>(SUMIF(Fonctionnement[Affectation matrice],$AB$3,Fonctionnement[Montant (€HT)])+SUMIF(Invest[Affectation matrice],$AB$3,Invest[Amortissement HT + intérêts]))*BE21</f>
        <v>0</v>
      </c>
      <c r="E21" s="276">
        <f>(SUMIF(Fonctionnement[Affectation matrice],$AB$3,Fonctionnement[Montant (€HT)])+SUMIF(Invest[Affectation matrice],$AB$3,Invest[Amortissement HT + intérêts]))*BF21</f>
        <v>0</v>
      </c>
      <c r="F21" s="276">
        <f>(SUMIF(Fonctionnement[Affectation matrice],$AB$3,Fonctionnement[Montant (€HT)])+SUMIF(Invest[Affectation matrice],$AB$3,Invest[Amortissement HT + intérêts]))*BG21</f>
        <v>0</v>
      </c>
      <c r="G21" s="276">
        <f>(SUMIF(Fonctionnement[Affectation matrice],$AB$3,Fonctionnement[Montant (€HT)])+SUMIF(Invest[Affectation matrice],$AB$3,Invest[Amortissement HT + intérêts]))*BH21</f>
        <v>0</v>
      </c>
      <c r="H21" s="276">
        <f>(SUMIF(Fonctionnement[Affectation matrice],$AB$3,Fonctionnement[Montant (€HT)])+SUMIF(Invest[Affectation matrice],$AB$3,Invest[Amortissement HT + intérêts]))*BI21</f>
        <v>0</v>
      </c>
      <c r="I21" s="276">
        <f>(SUMIF(Fonctionnement[Affectation matrice],$AB$3,Fonctionnement[Montant (€HT)])+SUMIF(Invest[Affectation matrice],$AB$3,Invest[Amortissement HT + intérêts]))*BJ21</f>
        <v>0</v>
      </c>
      <c r="J21" s="276">
        <f>(SUMIF(Fonctionnement[Affectation matrice],$AB$3,Fonctionnement[Montant (€HT)])+SUMIF(Invest[Affectation matrice],$AB$3,Invest[Amortissement HT + intérêts]))*BK21</f>
        <v>0</v>
      </c>
      <c r="K21" s="276">
        <f>(SUMIF(Fonctionnement[Affectation matrice],$AB$3,Fonctionnement[Montant (€HT)])+SUMIF(Invest[Affectation matrice],$AB$3,Invest[Amortissement HT + intérêts]))*BL21</f>
        <v>0</v>
      </c>
      <c r="L21" s="276">
        <f>(SUMIF(Fonctionnement[Affectation matrice],$AB$3,Fonctionnement[Montant (€HT)])+SUMIF(Invest[Affectation matrice],$AB$3,Invest[Amortissement HT + intérêts]))*BM21</f>
        <v>0</v>
      </c>
      <c r="M21" s="276">
        <f>(SUMIF(Fonctionnement[Affectation matrice],$AB$3,Fonctionnement[Montant (€HT)])+SUMIF(Invest[Affectation matrice],$AB$3,Invest[Amortissement HT + intérêts]))*BN21</f>
        <v>0</v>
      </c>
      <c r="N21" s="276">
        <f>(SUMIF(Fonctionnement[Affectation matrice],$AB$3,Fonctionnement[Montant (€HT)])+SUMIF(Invest[Affectation matrice],$AB$3,Invest[Amortissement HT + intérêts]))*BO21</f>
        <v>0</v>
      </c>
      <c r="O21" s="276">
        <f>(SUMIF(Fonctionnement[Affectation matrice],$AB$3,Fonctionnement[Montant (€HT)])+SUMIF(Invest[Affectation matrice],$AB$3,Invest[Amortissement HT + intérêts]))*BP21</f>
        <v>0</v>
      </c>
      <c r="P21" s="276">
        <f>(SUMIF(Fonctionnement[Affectation matrice],$AB$3,Fonctionnement[Montant (€HT)])+SUMIF(Invest[Affectation matrice],$AB$3,Invest[Amortissement HT + intérêts]))*BQ21</f>
        <v>0</v>
      </c>
      <c r="Q21" s="276">
        <f>(SUMIF(Fonctionnement[Affectation matrice],$AB$3,Fonctionnement[Montant (€HT)])+SUMIF(Invest[Affectation matrice],$AB$3,Invest[Amortissement HT + intérêts]))*BR21</f>
        <v>0</v>
      </c>
      <c r="R21" s="276">
        <f>(SUMIF(Fonctionnement[Affectation matrice],$AB$3,Fonctionnement[Montant (€HT)])+SUMIF(Invest[Affectation matrice],$AB$3,Invest[Amortissement HT + intérêts]))*BS21</f>
        <v>0</v>
      </c>
      <c r="S21" s="276">
        <f>(SUMIF(Fonctionnement[Affectation matrice],$AB$3,Fonctionnement[Montant (€HT)])+SUMIF(Invest[Affectation matrice],$AB$3,Invest[Amortissement HT + intérêts]))*BT21</f>
        <v>0</v>
      </c>
      <c r="T21" s="276">
        <f>(SUMIF(Fonctionnement[Affectation matrice],$AB$3,Fonctionnement[Montant (€HT)])+SUMIF(Invest[Affectation matrice],$AB$3,Invest[Amortissement HT + intérêts]))*BU21</f>
        <v>0</v>
      </c>
      <c r="U21" s="276">
        <f>(SUMIF(Fonctionnement[Affectation matrice],$AB$3,Fonctionnement[Montant (€HT)])+SUMIF(Invest[Affectation matrice],$AB$3,Invest[Amortissement HT + intérêts]))*BV21</f>
        <v>0</v>
      </c>
      <c r="V21" s="276">
        <f>(SUMIF(Fonctionnement[Affectation matrice],$AB$3,Fonctionnement[Montant (€HT)])+SUMIF(Invest[Affectation matrice],$AB$3,Invest[Amortissement HT + intérêts]))*BW21</f>
        <v>0</v>
      </c>
      <c r="W21" s="276">
        <f>(SUMIF(Fonctionnement[Affectation matrice],$AB$3,Fonctionnement[Montant (€HT)])+SUMIF(Invest[Affectation matrice],$AB$3,Invest[Amortissement HT + intérêts]))*BX21</f>
        <v>0</v>
      </c>
      <c r="X21" s="276">
        <f>(SUMIF(Fonctionnement[Affectation matrice],$AB$3,Fonctionnement[Montant (€HT)])+SUMIF(Invest[Affectation matrice],$AB$3,Invest[Amortissement HT + intérêts]))*BY21</f>
        <v>0</v>
      </c>
      <c r="Y21" s="276">
        <f>(SUMIF(Fonctionnement[Affectation matrice],$AB$3,Fonctionnement[Montant (€HT)])+SUMIF(Invest[Affectation matrice],$AB$3,Invest[Amortissement HT + intérêts]))*BZ21</f>
        <v>0</v>
      </c>
      <c r="Z21" s="276">
        <f>(SUMIF(Fonctionnement[Affectation matrice],$AB$3,Fonctionnement[Montant (€HT)])+SUMIF(Invest[Affectation matrice],$AB$3,Invest[Amortissement HT + intérêts]))*CA21</f>
        <v>0</v>
      </c>
      <c r="AA21" s="199"/>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283">
        <f t="shared" si="4"/>
        <v>0</v>
      </c>
      <c r="BB21" s="7"/>
      <c r="BC21" s="61">
        <f t="shared" ref="BC21:BQ22" si="7">IF($BA$53=0,0,AB21/$BA$53)</f>
        <v>0</v>
      </c>
      <c r="BD21" s="61">
        <f t="shared" si="7"/>
        <v>0</v>
      </c>
      <c r="BE21" s="61">
        <f t="shared" si="7"/>
        <v>0</v>
      </c>
      <c r="BF21" s="61">
        <f t="shared" si="7"/>
        <v>0</v>
      </c>
      <c r="BG21" s="61">
        <f t="shared" si="7"/>
        <v>0</v>
      </c>
      <c r="BH21" s="61">
        <f t="shared" si="7"/>
        <v>0</v>
      </c>
      <c r="BI21" s="61">
        <f t="shared" si="7"/>
        <v>0</v>
      </c>
      <c r="BJ21" s="61">
        <f t="shared" si="7"/>
        <v>0</v>
      </c>
      <c r="BK21" s="61">
        <f t="shared" si="7"/>
        <v>0</v>
      </c>
      <c r="BL21" s="61">
        <f t="shared" si="7"/>
        <v>0</v>
      </c>
      <c r="BM21" s="61">
        <f t="shared" si="7"/>
        <v>0</v>
      </c>
      <c r="BN21" s="61">
        <f t="shared" si="7"/>
        <v>0</v>
      </c>
      <c r="BO21" s="61">
        <f t="shared" si="7"/>
        <v>0</v>
      </c>
      <c r="BP21" s="61">
        <f t="shared" si="7"/>
        <v>0</v>
      </c>
      <c r="BQ21" s="61">
        <f t="shared" si="7"/>
        <v>0</v>
      </c>
      <c r="BR21" s="61">
        <f t="shared" si="6"/>
        <v>0</v>
      </c>
      <c r="BS21" s="61">
        <f t="shared" si="3"/>
        <v>0</v>
      </c>
      <c r="BT21" s="61">
        <f t="shared" si="3"/>
        <v>0</v>
      </c>
      <c r="BU21" s="61">
        <f t="shared" si="3"/>
        <v>0</v>
      </c>
      <c r="BV21" s="61">
        <f t="shared" si="3"/>
        <v>0</v>
      </c>
      <c r="BW21" s="61">
        <f t="shared" si="3"/>
        <v>0</v>
      </c>
      <c r="BX21" s="61">
        <f t="shared" si="3"/>
        <v>0</v>
      </c>
      <c r="BY21" s="61">
        <f t="shared" si="3"/>
        <v>0</v>
      </c>
      <c r="BZ21" s="61">
        <f t="shared" si="3"/>
        <v>0</v>
      </c>
      <c r="CA21" s="61">
        <f t="shared" si="3"/>
        <v>0</v>
      </c>
      <c r="CB21" s="61">
        <f t="shared" si="5"/>
        <v>0</v>
      </c>
      <c r="CD21" s="200">
        <f>(SUMIF(Fonctionnement[Affectation matrice],$AB$3,Fonctionnement[TVA acquittée])+SUMIF(Invest[Affectation matrice],$AB$3,Invest[TVA acquittée]))*BC21</f>
        <v>0</v>
      </c>
      <c r="CE21" s="200">
        <f>(SUMIF(Fonctionnement[Affectation matrice],$AB$3,Fonctionnement[TVA acquittée])+SUMIF(Invest[Affectation matrice],$AB$3,Invest[TVA acquittée]))*BD21</f>
        <v>0</v>
      </c>
      <c r="CF21" s="200">
        <f>(SUMIF(Fonctionnement[Affectation matrice],$AB$3,Fonctionnement[TVA acquittée])+SUMIF(Invest[Affectation matrice],$AB$3,Invest[TVA acquittée]))*BE21</f>
        <v>0</v>
      </c>
      <c r="CG21" s="200">
        <f>(SUMIF(Fonctionnement[Affectation matrice],$AB$3,Fonctionnement[TVA acquittée])+SUMIF(Invest[Affectation matrice],$AB$3,Invest[TVA acquittée]))*BF21</f>
        <v>0</v>
      </c>
      <c r="CH21" s="200">
        <f>(SUMIF(Fonctionnement[Affectation matrice],$AB$3,Fonctionnement[TVA acquittée])+SUMIF(Invest[Affectation matrice],$AB$3,Invest[TVA acquittée]))*BG21</f>
        <v>0</v>
      </c>
      <c r="CI21" s="200">
        <f>(SUMIF(Fonctionnement[Affectation matrice],$AB$3,Fonctionnement[TVA acquittée])+SUMIF(Invest[Affectation matrice],$AB$3,Invest[TVA acquittée]))*BH21</f>
        <v>0</v>
      </c>
      <c r="CJ21" s="200">
        <f>(SUMIF(Fonctionnement[Affectation matrice],$AB$3,Fonctionnement[TVA acquittée])+SUMIF(Invest[Affectation matrice],$AB$3,Invest[TVA acquittée]))*BI21</f>
        <v>0</v>
      </c>
      <c r="CK21" s="200">
        <f>(SUMIF(Fonctionnement[Affectation matrice],$AB$3,Fonctionnement[TVA acquittée])+SUMIF(Invest[Affectation matrice],$AB$3,Invest[TVA acquittée]))*BJ21</f>
        <v>0</v>
      </c>
      <c r="CL21" s="200">
        <f>(SUMIF(Fonctionnement[Affectation matrice],$AB$3,Fonctionnement[TVA acquittée])+SUMIF(Invest[Affectation matrice],$AB$3,Invest[TVA acquittée]))*BK21</f>
        <v>0</v>
      </c>
      <c r="CM21" s="200">
        <f>(SUMIF(Fonctionnement[Affectation matrice],$AB$3,Fonctionnement[TVA acquittée])+SUMIF(Invest[Affectation matrice],$AB$3,Invest[TVA acquittée]))*BL21</f>
        <v>0</v>
      </c>
      <c r="CN21" s="200">
        <f>(SUMIF(Fonctionnement[Affectation matrice],$AB$3,Fonctionnement[TVA acquittée])+SUMIF(Invest[Affectation matrice],$AB$3,Invest[TVA acquittée]))*BM21</f>
        <v>0</v>
      </c>
      <c r="CO21" s="200">
        <f>(SUMIF(Fonctionnement[Affectation matrice],$AB$3,Fonctionnement[TVA acquittée])+SUMIF(Invest[Affectation matrice],$AB$3,Invest[TVA acquittée]))*BN21</f>
        <v>0</v>
      </c>
      <c r="CP21" s="200">
        <f>(SUMIF(Fonctionnement[Affectation matrice],$AB$3,Fonctionnement[TVA acquittée])+SUMIF(Invest[Affectation matrice],$AB$3,Invest[TVA acquittée]))*BO21</f>
        <v>0</v>
      </c>
      <c r="CQ21" s="200">
        <f>(SUMIF(Fonctionnement[Affectation matrice],$AB$3,Fonctionnement[TVA acquittée])+SUMIF(Invest[Affectation matrice],$AB$3,Invest[TVA acquittée]))*BP21</f>
        <v>0</v>
      </c>
      <c r="CR21" s="200">
        <f>(SUMIF(Fonctionnement[Affectation matrice],$AB$3,Fonctionnement[TVA acquittée])+SUMIF(Invest[Affectation matrice],$AB$3,Invest[TVA acquittée]))*BQ21</f>
        <v>0</v>
      </c>
      <c r="CS21" s="200">
        <f>(SUMIF(Fonctionnement[Affectation matrice],$AB$3,Fonctionnement[TVA acquittée])+SUMIF(Invest[Affectation matrice],$AB$3,Invest[TVA acquittée]))*BR21</f>
        <v>0</v>
      </c>
      <c r="CT21" s="200">
        <f>(SUMIF(Fonctionnement[Affectation matrice],$AB$3,Fonctionnement[TVA acquittée])+SUMIF(Invest[Affectation matrice],$AB$3,Invest[TVA acquittée]))*BS21</f>
        <v>0</v>
      </c>
      <c r="CU21" s="200">
        <f>(SUMIF(Fonctionnement[Affectation matrice],$AB$3,Fonctionnement[TVA acquittée])+SUMIF(Invest[Affectation matrice],$AB$3,Invest[TVA acquittée]))*BT21</f>
        <v>0</v>
      </c>
      <c r="CV21" s="200">
        <f>(SUMIF(Fonctionnement[Affectation matrice],$AB$3,Fonctionnement[TVA acquittée])+SUMIF(Invest[Affectation matrice],$AB$3,Invest[TVA acquittée]))*BU21</f>
        <v>0</v>
      </c>
      <c r="CW21" s="200">
        <f>(SUMIF(Fonctionnement[Affectation matrice],$AB$3,Fonctionnement[TVA acquittée])+SUMIF(Invest[Affectation matrice],$AB$3,Invest[TVA acquittée]))*BV21</f>
        <v>0</v>
      </c>
      <c r="CX21" s="200">
        <f>(SUMIF(Fonctionnement[Affectation matrice],$AB$3,Fonctionnement[TVA acquittée])+SUMIF(Invest[Affectation matrice],$AB$3,Invest[TVA acquittée]))*BW21</f>
        <v>0</v>
      </c>
      <c r="CY21" s="200">
        <f>(SUMIF(Fonctionnement[Affectation matrice],$AB$3,Fonctionnement[TVA acquittée])+SUMIF(Invest[Affectation matrice],$AB$3,Invest[TVA acquittée]))*BX21</f>
        <v>0</v>
      </c>
      <c r="CZ21" s="200">
        <f>(SUMIF(Fonctionnement[Affectation matrice],$AB$3,Fonctionnement[TVA acquittée])+SUMIF(Invest[Affectation matrice],$AB$3,Invest[TVA acquittée]))*BY21</f>
        <v>0</v>
      </c>
      <c r="DA21" s="200">
        <f>(SUMIF(Fonctionnement[Affectation matrice],$AB$3,Fonctionnement[TVA acquittée])+SUMIF(Invest[Affectation matrice],$AB$3,Invest[TVA acquittée]))*BZ21</f>
        <v>0</v>
      </c>
      <c r="DB21" s="200">
        <f>(SUMIF(Fonctionnement[Affectation matrice],$AB$3,Fonctionnement[TVA acquittée])+SUMIF(Invest[Affectation matrice],$AB$3,Invest[TVA acquittée]))*CA21</f>
        <v>0</v>
      </c>
    </row>
    <row r="22" spans="1:106" s="22" customFormat="1" ht="12.75" hidden="1" customHeight="1" x14ac:dyDescent="0.25">
      <c r="A22" s="42">
        <f>Matrice[[#This Row],[Ligne de la matrice]]</f>
        <v>0</v>
      </c>
      <c r="B22" s="276">
        <f>(SUMIF(Fonctionnement[Affectation matrice],$AB$3,Fonctionnement[Montant (€HT)])+SUMIF(Invest[Affectation matrice],$AB$3,Invest[Amortissement HT + intérêts]))*BC22</f>
        <v>0</v>
      </c>
      <c r="C22" s="276">
        <f>(SUMIF(Fonctionnement[Affectation matrice],$AB$3,Fonctionnement[Montant (€HT)])+SUMIF(Invest[Affectation matrice],$AB$3,Invest[Amortissement HT + intérêts]))*BD22</f>
        <v>0</v>
      </c>
      <c r="D22" s="276">
        <f>(SUMIF(Fonctionnement[Affectation matrice],$AB$3,Fonctionnement[Montant (€HT)])+SUMIF(Invest[Affectation matrice],$AB$3,Invest[Amortissement HT + intérêts]))*BE22</f>
        <v>0</v>
      </c>
      <c r="E22" s="276">
        <f>(SUMIF(Fonctionnement[Affectation matrice],$AB$3,Fonctionnement[Montant (€HT)])+SUMIF(Invest[Affectation matrice],$AB$3,Invest[Amortissement HT + intérêts]))*BF22</f>
        <v>0</v>
      </c>
      <c r="F22" s="276">
        <f>(SUMIF(Fonctionnement[Affectation matrice],$AB$3,Fonctionnement[Montant (€HT)])+SUMIF(Invest[Affectation matrice],$AB$3,Invest[Amortissement HT + intérêts]))*BG22</f>
        <v>0</v>
      </c>
      <c r="G22" s="276">
        <f>(SUMIF(Fonctionnement[Affectation matrice],$AB$3,Fonctionnement[Montant (€HT)])+SUMIF(Invest[Affectation matrice],$AB$3,Invest[Amortissement HT + intérêts]))*BH22</f>
        <v>0</v>
      </c>
      <c r="H22" s="276">
        <f>(SUMIF(Fonctionnement[Affectation matrice],$AB$3,Fonctionnement[Montant (€HT)])+SUMIF(Invest[Affectation matrice],$AB$3,Invest[Amortissement HT + intérêts]))*BI22</f>
        <v>0</v>
      </c>
      <c r="I22" s="276">
        <f>(SUMIF(Fonctionnement[Affectation matrice],$AB$3,Fonctionnement[Montant (€HT)])+SUMIF(Invest[Affectation matrice],$AB$3,Invest[Amortissement HT + intérêts]))*BJ22</f>
        <v>0</v>
      </c>
      <c r="J22" s="276">
        <f>(SUMIF(Fonctionnement[Affectation matrice],$AB$3,Fonctionnement[Montant (€HT)])+SUMIF(Invest[Affectation matrice],$AB$3,Invest[Amortissement HT + intérêts]))*BK22</f>
        <v>0</v>
      </c>
      <c r="K22" s="276">
        <f>(SUMIF(Fonctionnement[Affectation matrice],$AB$3,Fonctionnement[Montant (€HT)])+SUMIF(Invest[Affectation matrice],$AB$3,Invest[Amortissement HT + intérêts]))*BL22</f>
        <v>0</v>
      </c>
      <c r="L22" s="276">
        <f>(SUMIF(Fonctionnement[Affectation matrice],$AB$3,Fonctionnement[Montant (€HT)])+SUMIF(Invest[Affectation matrice],$AB$3,Invest[Amortissement HT + intérêts]))*BM22</f>
        <v>0</v>
      </c>
      <c r="M22" s="276">
        <f>(SUMIF(Fonctionnement[Affectation matrice],$AB$3,Fonctionnement[Montant (€HT)])+SUMIF(Invest[Affectation matrice],$AB$3,Invest[Amortissement HT + intérêts]))*BN22</f>
        <v>0</v>
      </c>
      <c r="N22" s="276">
        <f>(SUMIF(Fonctionnement[Affectation matrice],$AB$3,Fonctionnement[Montant (€HT)])+SUMIF(Invest[Affectation matrice],$AB$3,Invest[Amortissement HT + intérêts]))*BO22</f>
        <v>0</v>
      </c>
      <c r="O22" s="276">
        <f>(SUMIF(Fonctionnement[Affectation matrice],$AB$3,Fonctionnement[Montant (€HT)])+SUMIF(Invest[Affectation matrice],$AB$3,Invest[Amortissement HT + intérêts]))*BP22</f>
        <v>0</v>
      </c>
      <c r="P22" s="276">
        <f>(SUMIF(Fonctionnement[Affectation matrice],$AB$3,Fonctionnement[Montant (€HT)])+SUMIF(Invest[Affectation matrice],$AB$3,Invest[Amortissement HT + intérêts]))*BQ22</f>
        <v>0</v>
      </c>
      <c r="Q22" s="276">
        <f>(SUMIF(Fonctionnement[Affectation matrice],$AB$3,Fonctionnement[Montant (€HT)])+SUMIF(Invest[Affectation matrice],$AB$3,Invest[Amortissement HT + intérêts]))*BR22</f>
        <v>0</v>
      </c>
      <c r="R22" s="276">
        <f>(SUMIF(Fonctionnement[Affectation matrice],$AB$3,Fonctionnement[Montant (€HT)])+SUMIF(Invest[Affectation matrice],$AB$3,Invest[Amortissement HT + intérêts]))*BS22</f>
        <v>0</v>
      </c>
      <c r="S22" s="276">
        <f>(SUMIF(Fonctionnement[Affectation matrice],$AB$3,Fonctionnement[Montant (€HT)])+SUMIF(Invest[Affectation matrice],$AB$3,Invest[Amortissement HT + intérêts]))*BT22</f>
        <v>0</v>
      </c>
      <c r="T22" s="276">
        <f>(SUMIF(Fonctionnement[Affectation matrice],$AB$3,Fonctionnement[Montant (€HT)])+SUMIF(Invest[Affectation matrice],$AB$3,Invest[Amortissement HT + intérêts]))*BU22</f>
        <v>0</v>
      </c>
      <c r="U22" s="276">
        <f>(SUMIF(Fonctionnement[Affectation matrice],$AB$3,Fonctionnement[Montant (€HT)])+SUMIF(Invest[Affectation matrice],$AB$3,Invest[Amortissement HT + intérêts]))*BV22</f>
        <v>0</v>
      </c>
      <c r="V22" s="276">
        <f>(SUMIF(Fonctionnement[Affectation matrice],$AB$3,Fonctionnement[Montant (€HT)])+SUMIF(Invest[Affectation matrice],$AB$3,Invest[Amortissement HT + intérêts]))*BW22</f>
        <v>0</v>
      </c>
      <c r="W22" s="276">
        <f>(SUMIF(Fonctionnement[Affectation matrice],$AB$3,Fonctionnement[Montant (€HT)])+SUMIF(Invest[Affectation matrice],$AB$3,Invest[Amortissement HT + intérêts]))*BX22</f>
        <v>0</v>
      </c>
      <c r="X22" s="276">
        <f>(SUMIF(Fonctionnement[Affectation matrice],$AB$3,Fonctionnement[Montant (€HT)])+SUMIF(Invest[Affectation matrice],$AB$3,Invest[Amortissement HT + intérêts]))*BY22</f>
        <v>0</v>
      </c>
      <c r="Y22" s="276">
        <f>(SUMIF(Fonctionnement[Affectation matrice],$AB$3,Fonctionnement[Montant (€HT)])+SUMIF(Invest[Affectation matrice],$AB$3,Invest[Amortissement HT + intérêts]))*BZ22</f>
        <v>0</v>
      </c>
      <c r="Z22" s="276">
        <f>(SUMIF(Fonctionnement[Affectation matrice],$AB$3,Fonctionnement[Montant (€HT)])+SUMIF(Invest[Affectation matrice],$AB$3,Invest[Amortissement HT + intérêts]))*CA22</f>
        <v>0</v>
      </c>
      <c r="AA22" s="199"/>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283">
        <f t="shared" si="4"/>
        <v>0</v>
      </c>
      <c r="BB22" s="7"/>
      <c r="BC22" s="61">
        <f t="shared" si="7"/>
        <v>0</v>
      </c>
      <c r="BD22" s="61">
        <f t="shared" si="7"/>
        <v>0</v>
      </c>
      <c r="BE22" s="61">
        <f t="shared" si="7"/>
        <v>0</v>
      </c>
      <c r="BF22" s="61">
        <f t="shared" si="7"/>
        <v>0</v>
      </c>
      <c r="BG22" s="61">
        <f t="shared" si="7"/>
        <v>0</v>
      </c>
      <c r="BH22" s="61">
        <f t="shared" si="7"/>
        <v>0</v>
      </c>
      <c r="BI22" s="61">
        <f t="shared" si="7"/>
        <v>0</v>
      </c>
      <c r="BJ22" s="61">
        <f t="shared" si="7"/>
        <v>0</v>
      </c>
      <c r="BK22" s="61">
        <f t="shared" si="7"/>
        <v>0</v>
      </c>
      <c r="BL22" s="61">
        <f t="shared" si="7"/>
        <v>0</v>
      </c>
      <c r="BM22" s="61">
        <f t="shared" si="7"/>
        <v>0</v>
      </c>
      <c r="BN22" s="61">
        <f t="shared" si="7"/>
        <v>0</v>
      </c>
      <c r="BO22" s="61">
        <f t="shared" si="7"/>
        <v>0</v>
      </c>
      <c r="BP22" s="61">
        <f t="shared" si="7"/>
        <v>0</v>
      </c>
      <c r="BQ22" s="61">
        <f t="shared" si="7"/>
        <v>0</v>
      </c>
      <c r="BR22" s="61">
        <f t="shared" si="6"/>
        <v>0</v>
      </c>
      <c r="BS22" s="61">
        <f t="shared" si="3"/>
        <v>0</v>
      </c>
      <c r="BT22" s="61">
        <f t="shared" si="3"/>
        <v>0</v>
      </c>
      <c r="BU22" s="61">
        <f t="shared" si="3"/>
        <v>0</v>
      </c>
      <c r="BV22" s="61">
        <f t="shared" si="3"/>
        <v>0</v>
      </c>
      <c r="BW22" s="61">
        <f t="shared" si="3"/>
        <v>0</v>
      </c>
      <c r="BX22" s="61">
        <f t="shared" si="3"/>
        <v>0</v>
      </c>
      <c r="BY22" s="61">
        <f t="shared" si="3"/>
        <v>0</v>
      </c>
      <c r="BZ22" s="61">
        <f t="shared" si="3"/>
        <v>0</v>
      </c>
      <c r="CA22" s="61">
        <f t="shared" si="3"/>
        <v>0</v>
      </c>
      <c r="CB22" s="61">
        <f t="shared" si="5"/>
        <v>0</v>
      </c>
      <c r="CD22" s="200">
        <f>(SUMIF(Fonctionnement[Affectation matrice],$AB$3,Fonctionnement[TVA acquittée])+SUMIF(Invest[Affectation matrice],$AB$3,Invest[TVA acquittée]))*BC22</f>
        <v>0</v>
      </c>
      <c r="CE22" s="200">
        <f>(SUMIF(Fonctionnement[Affectation matrice],$AB$3,Fonctionnement[TVA acquittée])+SUMIF(Invest[Affectation matrice],$AB$3,Invest[TVA acquittée]))*BD22</f>
        <v>0</v>
      </c>
      <c r="CF22" s="200">
        <f>(SUMIF(Fonctionnement[Affectation matrice],$AB$3,Fonctionnement[TVA acquittée])+SUMIF(Invest[Affectation matrice],$AB$3,Invest[TVA acquittée]))*BE22</f>
        <v>0</v>
      </c>
      <c r="CG22" s="200">
        <f>(SUMIF(Fonctionnement[Affectation matrice],$AB$3,Fonctionnement[TVA acquittée])+SUMIF(Invest[Affectation matrice],$AB$3,Invest[TVA acquittée]))*BF22</f>
        <v>0</v>
      </c>
      <c r="CH22" s="200">
        <f>(SUMIF(Fonctionnement[Affectation matrice],$AB$3,Fonctionnement[TVA acquittée])+SUMIF(Invest[Affectation matrice],$AB$3,Invest[TVA acquittée]))*BG22</f>
        <v>0</v>
      </c>
      <c r="CI22" s="200">
        <f>(SUMIF(Fonctionnement[Affectation matrice],$AB$3,Fonctionnement[TVA acquittée])+SUMIF(Invest[Affectation matrice],$AB$3,Invest[TVA acquittée]))*BH22</f>
        <v>0</v>
      </c>
      <c r="CJ22" s="200">
        <f>(SUMIF(Fonctionnement[Affectation matrice],$AB$3,Fonctionnement[TVA acquittée])+SUMIF(Invest[Affectation matrice],$AB$3,Invest[TVA acquittée]))*BI22</f>
        <v>0</v>
      </c>
      <c r="CK22" s="200">
        <f>(SUMIF(Fonctionnement[Affectation matrice],$AB$3,Fonctionnement[TVA acquittée])+SUMIF(Invest[Affectation matrice],$AB$3,Invest[TVA acquittée]))*BJ22</f>
        <v>0</v>
      </c>
      <c r="CL22" s="200">
        <f>(SUMIF(Fonctionnement[Affectation matrice],$AB$3,Fonctionnement[TVA acquittée])+SUMIF(Invest[Affectation matrice],$AB$3,Invest[TVA acquittée]))*BK22</f>
        <v>0</v>
      </c>
      <c r="CM22" s="200">
        <f>(SUMIF(Fonctionnement[Affectation matrice],$AB$3,Fonctionnement[TVA acquittée])+SUMIF(Invest[Affectation matrice],$AB$3,Invest[TVA acquittée]))*BL22</f>
        <v>0</v>
      </c>
      <c r="CN22" s="200">
        <f>(SUMIF(Fonctionnement[Affectation matrice],$AB$3,Fonctionnement[TVA acquittée])+SUMIF(Invest[Affectation matrice],$AB$3,Invest[TVA acquittée]))*BM22</f>
        <v>0</v>
      </c>
      <c r="CO22" s="200">
        <f>(SUMIF(Fonctionnement[Affectation matrice],$AB$3,Fonctionnement[TVA acquittée])+SUMIF(Invest[Affectation matrice],$AB$3,Invest[TVA acquittée]))*BN22</f>
        <v>0</v>
      </c>
      <c r="CP22" s="200">
        <f>(SUMIF(Fonctionnement[Affectation matrice],$AB$3,Fonctionnement[TVA acquittée])+SUMIF(Invest[Affectation matrice],$AB$3,Invest[TVA acquittée]))*BO22</f>
        <v>0</v>
      </c>
      <c r="CQ22" s="200">
        <f>(SUMIF(Fonctionnement[Affectation matrice],$AB$3,Fonctionnement[TVA acquittée])+SUMIF(Invest[Affectation matrice],$AB$3,Invest[TVA acquittée]))*BP22</f>
        <v>0</v>
      </c>
      <c r="CR22" s="200">
        <f>(SUMIF(Fonctionnement[Affectation matrice],$AB$3,Fonctionnement[TVA acquittée])+SUMIF(Invest[Affectation matrice],$AB$3,Invest[TVA acquittée]))*BQ22</f>
        <v>0</v>
      </c>
      <c r="CS22" s="200">
        <f>(SUMIF(Fonctionnement[Affectation matrice],$AB$3,Fonctionnement[TVA acquittée])+SUMIF(Invest[Affectation matrice],$AB$3,Invest[TVA acquittée]))*BR22</f>
        <v>0</v>
      </c>
      <c r="CT22" s="200">
        <f>(SUMIF(Fonctionnement[Affectation matrice],$AB$3,Fonctionnement[TVA acquittée])+SUMIF(Invest[Affectation matrice],$AB$3,Invest[TVA acquittée]))*BS22</f>
        <v>0</v>
      </c>
      <c r="CU22" s="200">
        <f>(SUMIF(Fonctionnement[Affectation matrice],$AB$3,Fonctionnement[TVA acquittée])+SUMIF(Invest[Affectation matrice],$AB$3,Invest[TVA acquittée]))*BT22</f>
        <v>0</v>
      </c>
      <c r="CV22" s="200">
        <f>(SUMIF(Fonctionnement[Affectation matrice],$AB$3,Fonctionnement[TVA acquittée])+SUMIF(Invest[Affectation matrice],$AB$3,Invest[TVA acquittée]))*BU22</f>
        <v>0</v>
      </c>
      <c r="CW22" s="200">
        <f>(SUMIF(Fonctionnement[Affectation matrice],$AB$3,Fonctionnement[TVA acquittée])+SUMIF(Invest[Affectation matrice],$AB$3,Invest[TVA acquittée]))*BV22</f>
        <v>0</v>
      </c>
      <c r="CX22" s="200">
        <f>(SUMIF(Fonctionnement[Affectation matrice],$AB$3,Fonctionnement[TVA acquittée])+SUMIF(Invest[Affectation matrice],$AB$3,Invest[TVA acquittée]))*BW22</f>
        <v>0</v>
      </c>
      <c r="CY22" s="200">
        <f>(SUMIF(Fonctionnement[Affectation matrice],$AB$3,Fonctionnement[TVA acquittée])+SUMIF(Invest[Affectation matrice],$AB$3,Invest[TVA acquittée]))*BX22</f>
        <v>0</v>
      </c>
      <c r="CZ22" s="200">
        <f>(SUMIF(Fonctionnement[Affectation matrice],$AB$3,Fonctionnement[TVA acquittée])+SUMIF(Invest[Affectation matrice],$AB$3,Invest[TVA acquittée]))*BY22</f>
        <v>0</v>
      </c>
      <c r="DA22" s="200">
        <f>(SUMIF(Fonctionnement[Affectation matrice],$AB$3,Fonctionnement[TVA acquittée])+SUMIF(Invest[Affectation matrice],$AB$3,Invest[TVA acquittée]))*BZ22</f>
        <v>0</v>
      </c>
      <c r="DB22" s="200">
        <f>(SUMIF(Fonctionnement[Affectation matrice],$AB$3,Fonctionnement[TVA acquittée])+SUMIF(Invest[Affectation matrice],$AB$3,Invest[TVA acquittée]))*CA22</f>
        <v>0</v>
      </c>
    </row>
    <row r="23" spans="1:106" s="205" customFormat="1" ht="12.75" hidden="1" customHeight="1" x14ac:dyDescent="0.25">
      <c r="A23" s="186"/>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02"/>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03"/>
      <c r="BB23" s="204"/>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row>
    <row r="24" spans="1:106" s="22" customFormat="1" ht="12.75" hidden="1" customHeight="1" x14ac:dyDescent="0.25">
      <c r="A24" s="42" t="str">
        <f>Matrice[[#This Row],[Ligne de la matrice]]</f>
        <v>Ventes de produits et d'énergie</v>
      </c>
      <c r="B24" s="276">
        <f>(SUMIF(Fonctionnement[Affectation matrice],$AB$3,Fonctionnement[Montant (€HT)])+SUMIF(Invest[Affectation matrice],$AB$3,Invest[Amortissement HT + intérêts]))*BC24</f>
        <v>0</v>
      </c>
      <c r="C24" s="276">
        <f>(SUMIF(Fonctionnement[Affectation matrice],$AB$3,Fonctionnement[Montant (€HT)])+SUMIF(Invest[Affectation matrice],$AB$3,Invest[Amortissement HT + intérêts]))*BD24</f>
        <v>0</v>
      </c>
      <c r="D24" s="276">
        <f>(SUMIF(Fonctionnement[Affectation matrice],$AB$3,Fonctionnement[Montant (€HT)])+SUMIF(Invest[Affectation matrice],$AB$3,Invest[Amortissement HT + intérêts]))*BE24</f>
        <v>0</v>
      </c>
      <c r="E24" s="276">
        <f>(SUMIF(Fonctionnement[Affectation matrice],$AB$3,Fonctionnement[Montant (€HT)])+SUMIF(Invest[Affectation matrice],$AB$3,Invest[Amortissement HT + intérêts]))*BF24</f>
        <v>0</v>
      </c>
      <c r="F24" s="276">
        <f>(SUMIF(Fonctionnement[Affectation matrice],$AB$3,Fonctionnement[Montant (€HT)])+SUMIF(Invest[Affectation matrice],$AB$3,Invest[Amortissement HT + intérêts]))*BG24</f>
        <v>0</v>
      </c>
      <c r="G24" s="276">
        <f>(SUMIF(Fonctionnement[Affectation matrice],$AB$3,Fonctionnement[Montant (€HT)])+SUMIF(Invest[Affectation matrice],$AB$3,Invest[Amortissement HT + intérêts]))*BH24</f>
        <v>0</v>
      </c>
      <c r="H24" s="276">
        <f>(SUMIF(Fonctionnement[Affectation matrice],$AB$3,Fonctionnement[Montant (€HT)])+SUMIF(Invest[Affectation matrice],$AB$3,Invest[Amortissement HT + intérêts]))*BI24</f>
        <v>0</v>
      </c>
      <c r="I24" s="276">
        <f>(SUMIF(Fonctionnement[Affectation matrice],$AB$3,Fonctionnement[Montant (€HT)])+SUMIF(Invest[Affectation matrice],$AB$3,Invest[Amortissement HT + intérêts]))*BJ24</f>
        <v>0</v>
      </c>
      <c r="J24" s="276">
        <f>(SUMIF(Fonctionnement[Affectation matrice],$AB$3,Fonctionnement[Montant (€HT)])+SUMIF(Invest[Affectation matrice],$AB$3,Invest[Amortissement HT + intérêts]))*BK24</f>
        <v>0</v>
      </c>
      <c r="K24" s="276">
        <f>(SUMIF(Fonctionnement[Affectation matrice],$AB$3,Fonctionnement[Montant (€HT)])+SUMIF(Invest[Affectation matrice],$AB$3,Invest[Amortissement HT + intérêts]))*BL24</f>
        <v>0</v>
      </c>
      <c r="L24" s="276">
        <f>(SUMIF(Fonctionnement[Affectation matrice],$AB$3,Fonctionnement[Montant (€HT)])+SUMIF(Invest[Affectation matrice],$AB$3,Invest[Amortissement HT + intérêts]))*BM24</f>
        <v>0</v>
      </c>
      <c r="M24" s="276">
        <f>(SUMIF(Fonctionnement[Affectation matrice],$AB$3,Fonctionnement[Montant (€HT)])+SUMIF(Invest[Affectation matrice],$AB$3,Invest[Amortissement HT + intérêts]))*BN24</f>
        <v>0</v>
      </c>
      <c r="N24" s="276">
        <f>(SUMIF(Fonctionnement[Affectation matrice],$AB$3,Fonctionnement[Montant (€HT)])+SUMIF(Invest[Affectation matrice],$AB$3,Invest[Amortissement HT + intérêts]))*BO24</f>
        <v>0</v>
      </c>
      <c r="O24" s="276">
        <f>(SUMIF(Fonctionnement[Affectation matrice],$AB$3,Fonctionnement[Montant (€HT)])+SUMIF(Invest[Affectation matrice],$AB$3,Invest[Amortissement HT + intérêts]))*BP24</f>
        <v>0</v>
      </c>
      <c r="P24" s="276">
        <f>(SUMIF(Fonctionnement[Affectation matrice],$AB$3,Fonctionnement[Montant (€HT)])+SUMIF(Invest[Affectation matrice],$AB$3,Invest[Amortissement HT + intérêts]))*BQ24</f>
        <v>0</v>
      </c>
      <c r="Q24" s="276">
        <f>(SUMIF(Fonctionnement[Affectation matrice],$AB$3,Fonctionnement[Montant (€HT)])+SUMIF(Invest[Affectation matrice],$AB$3,Invest[Amortissement HT + intérêts]))*BR24</f>
        <v>0</v>
      </c>
      <c r="R24" s="276">
        <f>(SUMIF(Fonctionnement[Affectation matrice],$AB$3,Fonctionnement[Montant (€HT)])+SUMIF(Invest[Affectation matrice],$AB$3,Invest[Amortissement HT + intérêts]))*BS24</f>
        <v>0</v>
      </c>
      <c r="S24" s="276">
        <f>(SUMIF(Fonctionnement[Affectation matrice],$AB$3,Fonctionnement[Montant (€HT)])+SUMIF(Invest[Affectation matrice],$AB$3,Invest[Amortissement HT + intérêts]))*BT24</f>
        <v>0</v>
      </c>
      <c r="T24" s="276">
        <f>(SUMIF(Fonctionnement[Affectation matrice],$AB$3,Fonctionnement[Montant (€HT)])+SUMIF(Invest[Affectation matrice],$AB$3,Invest[Amortissement HT + intérêts]))*BU24</f>
        <v>0</v>
      </c>
      <c r="U24" s="276">
        <f>(SUMIF(Fonctionnement[Affectation matrice],$AB$3,Fonctionnement[Montant (€HT)])+SUMIF(Invest[Affectation matrice],$AB$3,Invest[Amortissement HT + intérêts]))*BV24</f>
        <v>0</v>
      </c>
      <c r="V24" s="276">
        <f>(SUMIF(Fonctionnement[Affectation matrice],$AB$3,Fonctionnement[Montant (€HT)])+SUMIF(Invest[Affectation matrice],$AB$3,Invest[Amortissement HT + intérêts]))*BW24</f>
        <v>0</v>
      </c>
      <c r="W24" s="276">
        <f>(SUMIF(Fonctionnement[Affectation matrice],$AB$3,Fonctionnement[Montant (€HT)])+SUMIF(Invest[Affectation matrice],$AB$3,Invest[Amortissement HT + intérêts]))*BX24</f>
        <v>0</v>
      </c>
      <c r="X24" s="276">
        <f>(SUMIF(Fonctionnement[Affectation matrice],$AB$3,Fonctionnement[Montant (€HT)])+SUMIF(Invest[Affectation matrice],$AB$3,Invest[Amortissement HT + intérêts]))*BY24</f>
        <v>0</v>
      </c>
      <c r="Y24" s="276">
        <f>(SUMIF(Fonctionnement[Affectation matrice],$AB$3,Fonctionnement[Montant (€HT)])+SUMIF(Invest[Affectation matrice],$AB$3,Invest[Amortissement HT + intérêts]))*BZ24</f>
        <v>0</v>
      </c>
      <c r="Z24" s="276">
        <f>(SUMIF(Fonctionnement[Affectation matrice],$AB$3,Fonctionnement[Montant (€HT)])+SUMIF(Invest[Affectation matrice],$AB$3,Invest[Amortissement HT + intérêts]))*CA24</f>
        <v>0</v>
      </c>
      <c r="AA24" s="199"/>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283">
        <f t="shared" si="4"/>
        <v>0</v>
      </c>
      <c r="BB24" s="7"/>
      <c r="BC24" s="61">
        <f t="shared" ref="BC24:BR33" si="8">IF($BA$53=0,0,AB24/$BA$53)</f>
        <v>0</v>
      </c>
      <c r="BD24" s="61">
        <f t="shared" si="8"/>
        <v>0</v>
      </c>
      <c r="BE24" s="61">
        <f t="shared" si="8"/>
        <v>0</v>
      </c>
      <c r="BF24" s="61">
        <f t="shared" si="8"/>
        <v>0</v>
      </c>
      <c r="BG24" s="61">
        <f t="shared" si="8"/>
        <v>0</v>
      </c>
      <c r="BH24" s="61">
        <f t="shared" si="8"/>
        <v>0</v>
      </c>
      <c r="BI24" s="61">
        <f t="shared" si="8"/>
        <v>0</v>
      </c>
      <c r="BJ24" s="61">
        <f t="shared" si="8"/>
        <v>0</v>
      </c>
      <c r="BK24" s="61">
        <f t="shared" si="8"/>
        <v>0</v>
      </c>
      <c r="BL24" s="61">
        <f t="shared" si="8"/>
        <v>0</v>
      </c>
      <c r="BM24" s="61">
        <f t="shared" si="8"/>
        <v>0</v>
      </c>
      <c r="BN24" s="61">
        <f t="shared" si="8"/>
        <v>0</v>
      </c>
      <c r="BO24" s="61">
        <f t="shared" si="8"/>
        <v>0</v>
      </c>
      <c r="BP24" s="61">
        <f t="shared" si="8"/>
        <v>0</v>
      </c>
      <c r="BQ24" s="61">
        <f t="shared" si="8"/>
        <v>0</v>
      </c>
      <c r="BR24" s="61">
        <f t="shared" si="8"/>
        <v>0</v>
      </c>
      <c r="BS24" s="61">
        <f t="shared" ref="BS24:CA33" si="9">IF($BA$53=0,0,AR24/$BA$53)</f>
        <v>0</v>
      </c>
      <c r="BT24" s="61">
        <f t="shared" si="9"/>
        <v>0</v>
      </c>
      <c r="BU24" s="61">
        <f t="shared" si="9"/>
        <v>0</v>
      </c>
      <c r="BV24" s="61">
        <f t="shared" si="9"/>
        <v>0</v>
      </c>
      <c r="BW24" s="61">
        <f t="shared" si="9"/>
        <v>0</v>
      </c>
      <c r="BX24" s="61">
        <f t="shared" si="9"/>
        <v>0</v>
      </c>
      <c r="BY24" s="61">
        <f t="shared" si="9"/>
        <v>0</v>
      </c>
      <c r="BZ24" s="61">
        <f t="shared" si="9"/>
        <v>0</v>
      </c>
      <c r="CA24" s="61">
        <f t="shared" si="9"/>
        <v>0</v>
      </c>
      <c r="CB24" s="61">
        <f t="shared" si="5"/>
        <v>0</v>
      </c>
      <c r="CD24" s="200">
        <f>(SUMIF(Fonctionnement[Affectation matrice],$AB$3,Fonctionnement[TVA acquittée])+SUMIF(Invest[Affectation matrice],$AB$3,Invest[TVA acquittée]))*BC24</f>
        <v>0</v>
      </c>
      <c r="CE24" s="200">
        <f>(SUMIF(Fonctionnement[Affectation matrice],$AB$3,Fonctionnement[TVA acquittée])+SUMIF(Invest[Affectation matrice],$AB$3,Invest[TVA acquittée]))*BD24</f>
        <v>0</v>
      </c>
      <c r="CF24" s="200">
        <f>(SUMIF(Fonctionnement[Affectation matrice],$AB$3,Fonctionnement[TVA acquittée])+SUMIF(Invest[Affectation matrice],$AB$3,Invest[TVA acquittée]))*BE24</f>
        <v>0</v>
      </c>
      <c r="CG24" s="200">
        <f>(SUMIF(Fonctionnement[Affectation matrice],$AB$3,Fonctionnement[TVA acquittée])+SUMIF(Invest[Affectation matrice],$AB$3,Invest[TVA acquittée]))*BF24</f>
        <v>0</v>
      </c>
      <c r="CH24" s="200">
        <f>(SUMIF(Fonctionnement[Affectation matrice],$AB$3,Fonctionnement[TVA acquittée])+SUMIF(Invest[Affectation matrice],$AB$3,Invest[TVA acquittée]))*BG24</f>
        <v>0</v>
      </c>
      <c r="CI24" s="200">
        <f>(SUMIF(Fonctionnement[Affectation matrice],$AB$3,Fonctionnement[TVA acquittée])+SUMIF(Invest[Affectation matrice],$AB$3,Invest[TVA acquittée]))*BH24</f>
        <v>0</v>
      </c>
      <c r="CJ24" s="200">
        <f>(SUMIF(Fonctionnement[Affectation matrice],$AB$3,Fonctionnement[TVA acquittée])+SUMIF(Invest[Affectation matrice],$AB$3,Invest[TVA acquittée]))*BI24</f>
        <v>0</v>
      </c>
      <c r="CK24" s="200">
        <f>(SUMIF(Fonctionnement[Affectation matrice],$AB$3,Fonctionnement[TVA acquittée])+SUMIF(Invest[Affectation matrice],$AB$3,Invest[TVA acquittée]))*BJ24</f>
        <v>0</v>
      </c>
      <c r="CL24" s="200">
        <f>(SUMIF(Fonctionnement[Affectation matrice],$AB$3,Fonctionnement[TVA acquittée])+SUMIF(Invest[Affectation matrice],$AB$3,Invest[TVA acquittée]))*BK24</f>
        <v>0</v>
      </c>
      <c r="CM24" s="200">
        <f>(SUMIF(Fonctionnement[Affectation matrice],$AB$3,Fonctionnement[TVA acquittée])+SUMIF(Invest[Affectation matrice],$AB$3,Invest[TVA acquittée]))*BL24</f>
        <v>0</v>
      </c>
      <c r="CN24" s="200">
        <f>(SUMIF(Fonctionnement[Affectation matrice],$AB$3,Fonctionnement[TVA acquittée])+SUMIF(Invest[Affectation matrice],$AB$3,Invest[TVA acquittée]))*BM24</f>
        <v>0</v>
      </c>
      <c r="CO24" s="200">
        <f>(SUMIF(Fonctionnement[Affectation matrice],$AB$3,Fonctionnement[TVA acquittée])+SUMIF(Invest[Affectation matrice],$AB$3,Invest[TVA acquittée]))*BN24</f>
        <v>0</v>
      </c>
      <c r="CP24" s="200">
        <f>(SUMIF(Fonctionnement[Affectation matrice],$AB$3,Fonctionnement[TVA acquittée])+SUMIF(Invest[Affectation matrice],$AB$3,Invest[TVA acquittée]))*BO24</f>
        <v>0</v>
      </c>
      <c r="CQ24" s="200">
        <f>(SUMIF(Fonctionnement[Affectation matrice],$AB$3,Fonctionnement[TVA acquittée])+SUMIF(Invest[Affectation matrice],$AB$3,Invest[TVA acquittée]))*BP24</f>
        <v>0</v>
      </c>
      <c r="CR24" s="200">
        <f>(SUMIF(Fonctionnement[Affectation matrice],$AB$3,Fonctionnement[TVA acquittée])+SUMIF(Invest[Affectation matrice],$AB$3,Invest[TVA acquittée]))*BQ24</f>
        <v>0</v>
      </c>
      <c r="CS24" s="200">
        <f>(SUMIF(Fonctionnement[Affectation matrice],$AB$3,Fonctionnement[TVA acquittée])+SUMIF(Invest[Affectation matrice],$AB$3,Invest[TVA acquittée]))*BR24</f>
        <v>0</v>
      </c>
      <c r="CT24" s="200">
        <f>(SUMIF(Fonctionnement[Affectation matrice],$AB$3,Fonctionnement[TVA acquittée])+SUMIF(Invest[Affectation matrice],$AB$3,Invest[TVA acquittée]))*BS24</f>
        <v>0</v>
      </c>
      <c r="CU24" s="200">
        <f>(SUMIF(Fonctionnement[Affectation matrice],$AB$3,Fonctionnement[TVA acquittée])+SUMIF(Invest[Affectation matrice],$AB$3,Invest[TVA acquittée]))*BT24</f>
        <v>0</v>
      </c>
      <c r="CV24" s="200">
        <f>(SUMIF(Fonctionnement[Affectation matrice],$AB$3,Fonctionnement[TVA acquittée])+SUMIF(Invest[Affectation matrice],$AB$3,Invest[TVA acquittée]))*BU24</f>
        <v>0</v>
      </c>
      <c r="CW24" s="200">
        <f>(SUMIF(Fonctionnement[Affectation matrice],$AB$3,Fonctionnement[TVA acquittée])+SUMIF(Invest[Affectation matrice],$AB$3,Invest[TVA acquittée]))*BV24</f>
        <v>0</v>
      </c>
      <c r="CX24" s="200">
        <f>(SUMIF(Fonctionnement[Affectation matrice],$AB$3,Fonctionnement[TVA acquittée])+SUMIF(Invest[Affectation matrice],$AB$3,Invest[TVA acquittée]))*BW24</f>
        <v>0</v>
      </c>
      <c r="CY24" s="200">
        <f>(SUMIF(Fonctionnement[Affectation matrice],$AB$3,Fonctionnement[TVA acquittée])+SUMIF(Invest[Affectation matrice],$AB$3,Invest[TVA acquittée]))*BX24</f>
        <v>0</v>
      </c>
      <c r="CZ24" s="200">
        <f>(SUMIF(Fonctionnement[Affectation matrice],$AB$3,Fonctionnement[TVA acquittée])+SUMIF(Invest[Affectation matrice],$AB$3,Invest[TVA acquittée]))*BY24</f>
        <v>0</v>
      </c>
      <c r="DA24" s="200">
        <f>(SUMIF(Fonctionnement[Affectation matrice],$AB$3,Fonctionnement[TVA acquittée])+SUMIF(Invest[Affectation matrice],$AB$3,Invest[TVA acquittée]))*BZ24</f>
        <v>0</v>
      </c>
      <c r="DB24" s="200">
        <f>(SUMIF(Fonctionnement[Affectation matrice],$AB$3,Fonctionnement[TVA acquittée])+SUMIF(Invest[Affectation matrice],$AB$3,Invest[TVA acquittée]))*CA24</f>
        <v>0</v>
      </c>
    </row>
    <row r="25" spans="1:106" s="22" customFormat="1" ht="12.75" hidden="1" customHeight="1" x14ac:dyDescent="0.25">
      <c r="A25" s="42" t="str">
        <f>Matrice[[#This Row],[Ligne de la matrice]]</f>
        <v>Matériaux</v>
      </c>
      <c r="B25" s="276">
        <f>(SUMIF(Fonctionnement[Affectation matrice],$AB$3,Fonctionnement[Montant (€HT)])+SUMIF(Invest[Affectation matrice],$AB$3,Invest[Amortissement HT + intérêts]))*BC25</f>
        <v>0</v>
      </c>
      <c r="C25" s="276">
        <f>(SUMIF(Fonctionnement[Affectation matrice],$AB$3,Fonctionnement[Montant (€HT)])+SUMIF(Invest[Affectation matrice],$AB$3,Invest[Amortissement HT + intérêts]))*BD25</f>
        <v>0</v>
      </c>
      <c r="D25" s="276">
        <f>(SUMIF(Fonctionnement[Affectation matrice],$AB$3,Fonctionnement[Montant (€HT)])+SUMIF(Invest[Affectation matrice],$AB$3,Invest[Amortissement HT + intérêts]))*BE25</f>
        <v>0</v>
      </c>
      <c r="E25" s="276">
        <f>(SUMIF(Fonctionnement[Affectation matrice],$AB$3,Fonctionnement[Montant (€HT)])+SUMIF(Invest[Affectation matrice],$AB$3,Invest[Amortissement HT + intérêts]))*BF25</f>
        <v>0</v>
      </c>
      <c r="F25" s="276">
        <f>(SUMIF(Fonctionnement[Affectation matrice],$AB$3,Fonctionnement[Montant (€HT)])+SUMIF(Invest[Affectation matrice],$AB$3,Invest[Amortissement HT + intérêts]))*BG25</f>
        <v>0</v>
      </c>
      <c r="G25" s="276">
        <f>(SUMIF(Fonctionnement[Affectation matrice],$AB$3,Fonctionnement[Montant (€HT)])+SUMIF(Invest[Affectation matrice],$AB$3,Invest[Amortissement HT + intérêts]))*BH25</f>
        <v>0</v>
      </c>
      <c r="H25" s="276">
        <f>(SUMIF(Fonctionnement[Affectation matrice],$AB$3,Fonctionnement[Montant (€HT)])+SUMIF(Invest[Affectation matrice],$AB$3,Invest[Amortissement HT + intérêts]))*BI25</f>
        <v>0</v>
      </c>
      <c r="I25" s="276">
        <f>(SUMIF(Fonctionnement[Affectation matrice],$AB$3,Fonctionnement[Montant (€HT)])+SUMIF(Invest[Affectation matrice],$AB$3,Invest[Amortissement HT + intérêts]))*BJ25</f>
        <v>0</v>
      </c>
      <c r="J25" s="276">
        <f>(SUMIF(Fonctionnement[Affectation matrice],$AB$3,Fonctionnement[Montant (€HT)])+SUMIF(Invest[Affectation matrice],$AB$3,Invest[Amortissement HT + intérêts]))*BK25</f>
        <v>0</v>
      </c>
      <c r="K25" s="276">
        <f>(SUMIF(Fonctionnement[Affectation matrice],$AB$3,Fonctionnement[Montant (€HT)])+SUMIF(Invest[Affectation matrice],$AB$3,Invest[Amortissement HT + intérêts]))*BL25</f>
        <v>0</v>
      </c>
      <c r="L25" s="276">
        <f>(SUMIF(Fonctionnement[Affectation matrice],$AB$3,Fonctionnement[Montant (€HT)])+SUMIF(Invest[Affectation matrice],$AB$3,Invest[Amortissement HT + intérêts]))*BM25</f>
        <v>0</v>
      </c>
      <c r="M25" s="276">
        <f>(SUMIF(Fonctionnement[Affectation matrice],$AB$3,Fonctionnement[Montant (€HT)])+SUMIF(Invest[Affectation matrice],$AB$3,Invest[Amortissement HT + intérêts]))*BN25</f>
        <v>0</v>
      </c>
      <c r="N25" s="276">
        <f>(SUMIF(Fonctionnement[Affectation matrice],$AB$3,Fonctionnement[Montant (€HT)])+SUMIF(Invest[Affectation matrice],$AB$3,Invest[Amortissement HT + intérêts]))*BO25</f>
        <v>0</v>
      </c>
      <c r="O25" s="276">
        <f>(SUMIF(Fonctionnement[Affectation matrice],$AB$3,Fonctionnement[Montant (€HT)])+SUMIF(Invest[Affectation matrice],$AB$3,Invest[Amortissement HT + intérêts]))*BP25</f>
        <v>0</v>
      </c>
      <c r="P25" s="276">
        <f>(SUMIF(Fonctionnement[Affectation matrice],$AB$3,Fonctionnement[Montant (€HT)])+SUMIF(Invest[Affectation matrice],$AB$3,Invest[Amortissement HT + intérêts]))*BQ25</f>
        <v>0</v>
      </c>
      <c r="Q25" s="276">
        <f>(SUMIF(Fonctionnement[Affectation matrice],$AB$3,Fonctionnement[Montant (€HT)])+SUMIF(Invest[Affectation matrice],$AB$3,Invest[Amortissement HT + intérêts]))*BR25</f>
        <v>0</v>
      </c>
      <c r="R25" s="276">
        <f>(SUMIF(Fonctionnement[Affectation matrice],$AB$3,Fonctionnement[Montant (€HT)])+SUMIF(Invest[Affectation matrice],$AB$3,Invest[Amortissement HT + intérêts]))*BS25</f>
        <v>0</v>
      </c>
      <c r="S25" s="276">
        <f>(SUMIF(Fonctionnement[Affectation matrice],$AB$3,Fonctionnement[Montant (€HT)])+SUMIF(Invest[Affectation matrice],$AB$3,Invest[Amortissement HT + intérêts]))*BT25</f>
        <v>0</v>
      </c>
      <c r="T25" s="276">
        <f>(SUMIF(Fonctionnement[Affectation matrice],$AB$3,Fonctionnement[Montant (€HT)])+SUMIF(Invest[Affectation matrice],$AB$3,Invest[Amortissement HT + intérêts]))*BU25</f>
        <v>0</v>
      </c>
      <c r="U25" s="276">
        <f>(SUMIF(Fonctionnement[Affectation matrice],$AB$3,Fonctionnement[Montant (€HT)])+SUMIF(Invest[Affectation matrice],$AB$3,Invest[Amortissement HT + intérêts]))*BV25</f>
        <v>0</v>
      </c>
      <c r="V25" s="276">
        <f>(SUMIF(Fonctionnement[Affectation matrice],$AB$3,Fonctionnement[Montant (€HT)])+SUMIF(Invest[Affectation matrice],$AB$3,Invest[Amortissement HT + intérêts]))*BW25</f>
        <v>0</v>
      </c>
      <c r="W25" s="276">
        <f>(SUMIF(Fonctionnement[Affectation matrice],$AB$3,Fonctionnement[Montant (€HT)])+SUMIF(Invest[Affectation matrice],$AB$3,Invest[Amortissement HT + intérêts]))*BX25</f>
        <v>0</v>
      </c>
      <c r="X25" s="276">
        <f>(SUMIF(Fonctionnement[Affectation matrice],$AB$3,Fonctionnement[Montant (€HT)])+SUMIF(Invest[Affectation matrice],$AB$3,Invest[Amortissement HT + intérêts]))*BY25</f>
        <v>0</v>
      </c>
      <c r="Y25" s="276">
        <f>(SUMIF(Fonctionnement[Affectation matrice],$AB$3,Fonctionnement[Montant (€HT)])+SUMIF(Invest[Affectation matrice],$AB$3,Invest[Amortissement HT + intérêts]))*BZ25</f>
        <v>0</v>
      </c>
      <c r="Z25" s="276">
        <f>(SUMIF(Fonctionnement[Affectation matrice],$AB$3,Fonctionnement[Montant (€HT)])+SUMIF(Invest[Affectation matrice],$AB$3,Invest[Amortissement HT + intérêts]))*CA25</f>
        <v>0</v>
      </c>
      <c r="AA25" s="199"/>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283">
        <f t="shared" si="4"/>
        <v>0</v>
      </c>
      <c r="BB25" s="7"/>
      <c r="BC25" s="61">
        <f t="shared" si="8"/>
        <v>0</v>
      </c>
      <c r="BD25" s="61">
        <f t="shared" si="8"/>
        <v>0</v>
      </c>
      <c r="BE25" s="61">
        <f t="shared" si="8"/>
        <v>0</v>
      </c>
      <c r="BF25" s="61">
        <f t="shared" si="8"/>
        <v>0</v>
      </c>
      <c r="BG25" s="61">
        <f t="shared" si="8"/>
        <v>0</v>
      </c>
      <c r="BH25" s="61">
        <f t="shared" si="8"/>
        <v>0</v>
      </c>
      <c r="BI25" s="61">
        <f t="shared" si="8"/>
        <v>0</v>
      </c>
      <c r="BJ25" s="61">
        <f t="shared" si="8"/>
        <v>0</v>
      </c>
      <c r="BK25" s="61">
        <f t="shared" si="8"/>
        <v>0</v>
      </c>
      <c r="BL25" s="61">
        <f t="shared" si="8"/>
        <v>0</v>
      </c>
      <c r="BM25" s="61">
        <f t="shared" si="8"/>
        <v>0</v>
      </c>
      <c r="BN25" s="61">
        <f t="shared" si="8"/>
        <v>0</v>
      </c>
      <c r="BO25" s="61">
        <f t="shared" si="8"/>
        <v>0</v>
      </c>
      <c r="BP25" s="61">
        <f t="shared" si="8"/>
        <v>0</v>
      </c>
      <c r="BQ25" s="61">
        <f t="shared" si="8"/>
        <v>0</v>
      </c>
      <c r="BR25" s="61">
        <f t="shared" si="8"/>
        <v>0</v>
      </c>
      <c r="BS25" s="61">
        <f t="shared" si="9"/>
        <v>0</v>
      </c>
      <c r="BT25" s="61">
        <f t="shared" si="9"/>
        <v>0</v>
      </c>
      <c r="BU25" s="61">
        <f t="shared" si="9"/>
        <v>0</v>
      </c>
      <c r="BV25" s="61">
        <f t="shared" si="9"/>
        <v>0</v>
      </c>
      <c r="BW25" s="61">
        <f t="shared" si="9"/>
        <v>0</v>
      </c>
      <c r="BX25" s="61">
        <f t="shared" si="9"/>
        <v>0</v>
      </c>
      <c r="BY25" s="61">
        <f t="shared" si="9"/>
        <v>0</v>
      </c>
      <c r="BZ25" s="61">
        <f t="shared" si="9"/>
        <v>0</v>
      </c>
      <c r="CA25" s="61">
        <f t="shared" si="9"/>
        <v>0</v>
      </c>
      <c r="CB25" s="61">
        <f t="shared" si="5"/>
        <v>0</v>
      </c>
      <c r="CD25" s="200">
        <f>(SUMIF(Fonctionnement[Affectation matrice],$AB$3,Fonctionnement[TVA acquittée])+SUMIF(Invest[Affectation matrice],$AB$3,Invest[TVA acquittée]))*BC25</f>
        <v>0</v>
      </c>
      <c r="CE25" s="200">
        <f>(SUMIF(Fonctionnement[Affectation matrice],$AB$3,Fonctionnement[TVA acquittée])+SUMIF(Invest[Affectation matrice],$AB$3,Invest[TVA acquittée]))*BD25</f>
        <v>0</v>
      </c>
      <c r="CF25" s="200">
        <f>(SUMIF(Fonctionnement[Affectation matrice],$AB$3,Fonctionnement[TVA acquittée])+SUMIF(Invest[Affectation matrice],$AB$3,Invest[TVA acquittée]))*BE25</f>
        <v>0</v>
      </c>
      <c r="CG25" s="200">
        <f>(SUMIF(Fonctionnement[Affectation matrice],$AB$3,Fonctionnement[TVA acquittée])+SUMIF(Invest[Affectation matrice],$AB$3,Invest[TVA acquittée]))*BF25</f>
        <v>0</v>
      </c>
      <c r="CH25" s="200">
        <f>(SUMIF(Fonctionnement[Affectation matrice],$AB$3,Fonctionnement[TVA acquittée])+SUMIF(Invest[Affectation matrice],$AB$3,Invest[TVA acquittée]))*BG25</f>
        <v>0</v>
      </c>
      <c r="CI25" s="200">
        <f>(SUMIF(Fonctionnement[Affectation matrice],$AB$3,Fonctionnement[TVA acquittée])+SUMIF(Invest[Affectation matrice],$AB$3,Invest[TVA acquittée]))*BH25</f>
        <v>0</v>
      </c>
      <c r="CJ25" s="200">
        <f>(SUMIF(Fonctionnement[Affectation matrice],$AB$3,Fonctionnement[TVA acquittée])+SUMIF(Invest[Affectation matrice],$AB$3,Invest[TVA acquittée]))*BI25</f>
        <v>0</v>
      </c>
      <c r="CK25" s="200">
        <f>(SUMIF(Fonctionnement[Affectation matrice],$AB$3,Fonctionnement[TVA acquittée])+SUMIF(Invest[Affectation matrice],$AB$3,Invest[TVA acquittée]))*BJ25</f>
        <v>0</v>
      </c>
      <c r="CL25" s="200">
        <f>(SUMIF(Fonctionnement[Affectation matrice],$AB$3,Fonctionnement[TVA acquittée])+SUMIF(Invest[Affectation matrice],$AB$3,Invest[TVA acquittée]))*BK25</f>
        <v>0</v>
      </c>
      <c r="CM25" s="200">
        <f>(SUMIF(Fonctionnement[Affectation matrice],$AB$3,Fonctionnement[TVA acquittée])+SUMIF(Invest[Affectation matrice],$AB$3,Invest[TVA acquittée]))*BL25</f>
        <v>0</v>
      </c>
      <c r="CN25" s="200">
        <f>(SUMIF(Fonctionnement[Affectation matrice],$AB$3,Fonctionnement[TVA acquittée])+SUMIF(Invest[Affectation matrice],$AB$3,Invest[TVA acquittée]))*BM25</f>
        <v>0</v>
      </c>
      <c r="CO25" s="200">
        <f>(SUMIF(Fonctionnement[Affectation matrice],$AB$3,Fonctionnement[TVA acquittée])+SUMIF(Invest[Affectation matrice],$AB$3,Invest[TVA acquittée]))*BN25</f>
        <v>0</v>
      </c>
      <c r="CP25" s="200">
        <f>(SUMIF(Fonctionnement[Affectation matrice],$AB$3,Fonctionnement[TVA acquittée])+SUMIF(Invest[Affectation matrice],$AB$3,Invest[TVA acquittée]))*BO25</f>
        <v>0</v>
      </c>
      <c r="CQ25" s="200">
        <f>(SUMIF(Fonctionnement[Affectation matrice],$AB$3,Fonctionnement[TVA acquittée])+SUMIF(Invest[Affectation matrice],$AB$3,Invest[TVA acquittée]))*BP25</f>
        <v>0</v>
      </c>
      <c r="CR25" s="200">
        <f>(SUMIF(Fonctionnement[Affectation matrice],$AB$3,Fonctionnement[TVA acquittée])+SUMIF(Invest[Affectation matrice],$AB$3,Invest[TVA acquittée]))*BQ25</f>
        <v>0</v>
      </c>
      <c r="CS25" s="200">
        <f>(SUMIF(Fonctionnement[Affectation matrice],$AB$3,Fonctionnement[TVA acquittée])+SUMIF(Invest[Affectation matrice],$AB$3,Invest[TVA acquittée]))*BR25</f>
        <v>0</v>
      </c>
      <c r="CT25" s="200">
        <f>(SUMIF(Fonctionnement[Affectation matrice],$AB$3,Fonctionnement[TVA acquittée])+SUMIF(Invest[Affectation matrice],$AB$3,Invest[TVA acquittée]))*BS25</f>
        <v>0</v>
      </c>
      <c r="CU25" s="200">
        <f>(SUMIF(Fonctionnement[Affectation matrice],$AB$3,Fonctionnement[TVA acquittée])+SUMIF(Invest[Affectation matrice],$AB$3,Invest[TVA acquittée]))*BT25</f>
        <v>0</v>
      </c>
      <c r="CV25" s="200">
        <f>(SUMIF(Fonctionnement[Affectation matrice],$AB$3,Fonctionnement[TVA acquittée])+SUMIF(Invest[Affectation matrice],$AB$3,Invest[TVA acquittée]))*BU25</f>
        <v>0</v>
      </c>
      <c r="CW25" s="200">
        <f>(SUMIF(Fonctionnement[Affectation matrice],$AB$3,Fonctionnement[TVA acquittée])+SUMIF(Invest[Affectation matrice],$AB$3,Invest[TVA acquittée]))*BV25</f>
        <v>0</v>
      </c>
      <c r="CX25" s="200">
        <f>(SUMIF(Fonctionnement[Affectation matrice],$AB$3,Fonctionnement[TVA acquittée])+SUMIF(Invest[Affectation matrice],$AB$3,Invest[TVA acquittée]))*BW25</f>
        <v>0</v>
      </c>
      <c r="CY25" s="200">
        <f>(SUMIF(Fonctionnement[Affectation matrice],$AB$3,Fonctionnement[TVA acquittée])+SUMIF(Invest[Affectation matrice],$AB$3,Invest[TVA acquittée]))*BX25</f>
        <v>0</v>
      </c>
      <c r="CZ25" s="200">
        <f>(SUMIF(Fonctionnement[Affectation matrice],$AB$3,Fonctionnement[TVA acquittée])+SUMIF(Invest[Affectation matrice],$AB$3,Invest[TVA acquittée]))*BY25</f>
        <v>0</v>
      </c>
      <c r="DA25" s="200">
        <f>(SUMIF(Fonctionnement[Affectation matrice],$AB$3,Fonctionnement[TVA acquittée])+SUMIF(Invest[Affectation matrice],$AB$3,Invest[TVA acquittée]))*BZ25</f>
        <v>0</v>
      </c>
      <c r="DB25" s="200">
        <f>(SUMIF(Fonctionnement[Affectation matrice],$AB$3,Fonctionnement[TVA acquittée])+SUMIF(Invest[Affectation matrice],$AB$3,Invest[TVA acquittée]))*CA25</f>
        <v>0</v>
      </c>
    </row>
    <row r="26" spans="1:106" s="22" customFormat="1" ht="12.75" hidden="1" customHeight="1" x14ac:dyDescent="0.25">
      <c r="A26" s="42" t="str">
        <f>Matrice[[#This Row],[Ligne de la matrice]]</f>
        <v>Compost</v>
      </c>
      <c r="B26" s="276">
        <f>(SUMIF(Fonctionnement[Affectation matrice],$AB$3,Fonctionnement[Montant (€HT)])+SUMIF(Invest[Affectation matrice],$AB$3,Invest[Amortissement HT + intérêts]))*BC26</f>
        <v>0</v>
      </c>
      <c r="C26" s="276">
        <f>(SUMIF(Fonctionnement[Affectation matrice],$AB$3,Fonctionnement[Montant (€HT)])+SUMIF(Invest[Affectation matrice],$AB$3,Invest[Amortissement HT + intérêts]))*BD26</f>
        <v>0</v>
      </c>
      <c r="D26" s="276">
        <f>(SUMIF(Fonctionnement[Affectation matrice],$AB$3,Fonctionnement[Montant (€HT)])+SUMIF(Invest[Affectation matrice],$AB$3,Invest[Amortissement HT + intérêts]))*BE26</f>
        <v>0</v>
      </c>
      <c r="E26" s="276">
        <f>(SUMIF(Fonctionnement[Affectation matrice],$AB$3,Fonctionnement[Montant (€HT)])+SUMIF(Invest[Affectation matrice],$AB$3,Invest[Amortissement HT + intérêts]))*BF26</f>
        <v>0</v>
      </c>
      <c r="F26" s="276">
        <f>(SUMIF(Fonctionnement[Affectation matrice],$AB$3,Fonctionnement[Montant (€HT)])+SUMIF(Invest[Affectation matrice],$AB$3,Invest[Amortissement HT + intérêts]))*BG26</f>
        <v>0</v>
      </c>
      <c r="G26" s="276">
        <f>(SUMIF(Fonctionnement[Affectation matrice],$AB$3,Fonctionnement[Montant (€HT)])+SUMIF(Invest[Affectation matrice],$AB$3,Invest[Amortissement HT + intérêts]))*BH26</f>
        <v>0</v>
      </c>
      <c r="H26" s="276">
        <f>(SUMIF(Fonctionnement[Affectation matrice],$AB$3,Fonctionnement[Montant (€HT)])+SUMIF(Invest[Affectation matrice],$AB$3,Invest[Amortissement HT + intérêts]))*BI26</f>
        <v>0</v>
      </c>
      <c r="I26" s="276">
        <f>(SUMIF(Fonctionnement[Affectation matrice],$AB$3,Fonctionnement[Montant (€HT)])+SUMIF(Invest[Affectation matrice],$AB$3,Invest[Amortissement HT + intérêts]))*BJ26</f>
        <v>0</v>
      </c>
      <c r="J26" s="276">
        <f>(SUMIF(Fonctionnement[Affectation matrice],$AB$3,Fonctionnement[Montant (€HT)])+SUMIF(Invest[Affectation matrice],$AB$3,Invest[Amortissement HT + intérêts]))*BK26</f>
        <v>0</v>
      </c>
      <c r="K26" s="276">
        <f>(SUMIF(Fonctionnement[Affectation matrice],$AB$3,Fonctionnement[Montant (€HT)])+SUMIF(Invest[Affectation matrice],$AB$3,Invest[Amortissement HT + intérêts]))*BL26</f>
        <v>0</v>
      </c>
      <c r="L26" s="276">
        <f>(SUMIF(Fonctionnement[Affectation matrice],$AB$3,Fonctionnement[Montant (€HT)])+SUMIF(Invest[Affectation matrice],$AB$3,Invest[Amortissement HT + intérêts]))*BM26</f>
        <v>0</v>
      </c>
      <c r="M26" s="276">
        <f>(SUMIF(Fonctionnement[Affectation matrice],$AB$3,Fonctionnement[Montant (€HT)])+SUMIF(Invest[Affectation matrice],$AB$3,Invest[Amortissement HT + intérêts]))*BN26</f>
        <v>0</v>
      </c>
      <c r="N26" s="276">
        <f>(SUMIF(Fonctionnement[Affectation matrice],$AB$3,Fonctionnement[Montant (€HT)])+SUMIF(Invest[Affectation matrice],$AB$3,Invest[Amortissement HT + intérêts]))*BO26</f>
        <v>0</v>
      </c>
      <c r="O26" s="276">
        <f>(SUMIF(Fonctionnement[Affectation matrice],$AB$3,Fonctionnement[Montant (€HT)])+SUMIF(Invest[Affectation matrice],$AB$3,Invest[Amortissement HT + intérêts]))*BP26</f>
        <v>0</v>
      </c>
      <c r="P26" s="276">
        <f>(SUMIF(Fonctionnement[Affectation matrice],$AB$3,Fonctionnement[Montant (€HT)])+SUMIF(Invest[Affectation matrice],$AB$3,Invest[Amortissement HT + intérêts]))*BQ26</f>
        <v>0</v>
      </c>
      <c r="Q26" s="276">
        <f>(SUMIF(Fonctionnement[Affectation matrice],$AB$3,Fonctionnement[Montant (€HT)])+SUMIF(Invest[Affectation matrice],$AB$3,Invest[Amortissement HT + intérêts]))*BR26</f>
        <v>0</v>
      </c>
      <c r="R26" s="276">
        <f>(SUMIF(Fonctionnement[Affectation matrice],$AB$3,Fonctionnement[Montant (€HT)])+SUMIF(Invest[Affectation matrice],$AB$3,Invest[Amortissement HT + intérêts]))*BS26</f>
        <v>0</v>
      </c>
      <c r="S26" s="276">
        <f>(SUMIF(Fonctionnement[Affectation matrice],$AB$3,Fonctionnement[Montant (€HT)])+SUMIF(Invest[Affectation matrice],$AB$3,Invest[Amortissement HT + intérêts]))*BT26</f>
        <v>0</v>
      </c>
      <c r="T26" s="276">
        <f>(SUMIF(Fonctionnement[Affectation matrice],$AB$3,Fonctionnement[Montant (€HT)])+SUMIF(Invest[Affectation matrice],$AB$3,Invest[Amortissement HT + intérêts]))*BU26</f>
        <v>0</v>
      </c>
      <c r="U26" s="276">
        <f>(SUMIF(Fonctionnement[Affectation matrice],$AB$3,Fonctionnement[Montant (€HT)])+SUMIF(Invest[Affectation matrice],$AB$3,Invest[Amortissement HT + intérêts]))*BV26</f>
        <v>0</v>
      </c>
      <c r="V26" s="276">
        <f>(SUMIF(Fonctionnement[Affectation matrice],$AB$3,Fonctionnement[Montant (€HT)])+SUMIF(Invest[Affectation matrice],$AB$3,Invest[Amortissement HT + intérêts]))*BW26</f>
        <v>0</v>
      </c>
      <c r="W26" s="276">
        <f>(SUMIF(Fonctionnement[Affectation matrice],$AB$3,Fonctionnement[Montant (€HT)])+SUMIF(Invest[Affectation matrice],$AB$3,Invest[Amortissement HT + intérêts]))*BX26</f>
        <v>0</v>
      </c>
      <c r="X26" s="276">
        <f>(SUMIF(Fonctionnement[Affectation matrice],$AB$3,Fonctionnement[Montant (€HT)])+SUMIF(Invest[Affectation matrice],$AB$3,Invest[Amortissement HT + intérêts]))*BY26</f>
        <v>0</v>
      </c>
      <c r="Y26" s="276">
        <f>(SUMIF(Fonctionnement[Affectation matrice],$AB$3,Fonctionnement[Montant (€HT)])+SUMIF(Invest[Affectation matrice],$AB$3,Invest[Amortissement HT + intérêts]))*BZ26</f>
        <v>0</v>
      </c>
      <c r="Z26" s="276">
        <f>(SUMIF(Fonctionnement[Affectation matrice],$AB$3,Fonctionnement[Montant (€HT)])+SUMIF(Invest[Affectation matrice],$AB$3,Invest[Amortissement HT + intérêts]))*CA26</f>
        <v>0</v>
      </c>
      <c r="AA26" s="199"/>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283">
        <f t="shared" si="4"/>
        <v>0</v>
      </c>
      <c r="BB26" s="7"/>
      <c r="BC26" s="61">
        <f t="shared" si="8"/>
        <v>0</v>
      </c>
      <c r="BD26" s="61">
        <f t="shared" si="8"/>
        <v>0</v>
      </c>
      <c r="BE26" s="61">
        <f t="shared" si="8"/>
        <v>0</v>
      </c>
      <c r="BF26" s="61">
        <f t="shared" si="8"/>
        <v>0</v>
      </c>
      <c r="BG26" s="61">
        <f t="shared" si="8"/>
        <v>0</v>
      </c>
      <c r="BH26" s="61">
        <f t="shared" si="8"/>
        <v>0</v>
      </c>
      <c r="BI26" s="61">
        <f t="shared" si="8"/>
        <v>0</v>
      </c>
      <c r="BJ26" s="61">
        <f t="shared" si="8"/>
        <v>0</v>
      </c>
      <c r="BK26" s="61">
        <f t="shared" si="8"/>
        <v>0</v>
      </c>
      <c r="BL26" s="61">
        <f t="shared" si="8"/>
        <v>0</v>
      </c>
      <c r="BM26" s="61">
        <f t="shared" si="8"/>
        <v>0</v>
      </c>
      <c r="BN26" s="61">
        <f t="shared" si="8"/>
        <v>0</v>
      </c>
      <c r="BO26" s="61">
        <f t="shared" si="8"/>
        <v>0</v>
      </c>
      <c r="BP26" s="61">
        <f t="shared" si="8"/>
        <v>0</v>
      </c>
      <c r="BQ26" s="61">
        <f t="shared" si="8"/>
        <v>0</v>
      </c>
      <c r="BR26" s="61">
        <f t="shared" si="8"/>
        <v>0</v>
      </c>
      <c r="BS26" s="61">
        <f t="shared" si="9"/>
        <v>0</v>
      </c>
      <c r="BT26" s="61">
        <f t="shared" si="9"/>
        <v>0</v>
      </c>
      <c r="BU26" s="61">
        <f t="shared" si="9"/>
        <v>0</v>
      </c>
      <c r="BV26" s="61">
        <f t="shared" si="9"/>
        <v>0</v>
      </c>
      <c r="BW26" s="61">
        <f t="shared" si="9"/>
        <v>0</v>
      </c>
      <c r="BX26" s="61">
        <f t="shared" si="9"/>
        <v>0</v>
      </c>
      <c r="BY26" s="61">
        <f t="shared" si="9"/>
        <v>0</v>
      </c>
      <c r="BZ26" s="61">
        <f t="shared" si="9"/>
        <v>0</v>
      </c>
      <c r="CA26" s="61">
        <f t="shared" si="9"/>
        <v>0</v>
      </c>
      <c r="CB26" s="61">
        <f t="shared" si="5"/>
        <v>0</v>
      </c>
      <c r="CD26" s="200">
        <f>(SUMIF(Fonctionnement[Affectation matrice],$AB$3,Fonctionnement[TVA acquittée])+SUMIF(Invest[Affectation matrice],$AB$3,Invest[TVA acquittée]))*BC26</f>
        <v>0</v>
      </c>
      <c r="CE26" s="200">
        <f>(SUMIF(Fonctionnement[Affectation matrice],$AB$3,Fonctionnement[TVA acquittée])+SUMIF(Invest[Affectation matrice],$AB$3,Invest[TVA acquittée]))*BD26</f>
        <v>0</v>
      </c>
      <c r="CF26" s="200">
        <f>(SUMIF(Fonctionnement[Affectation matrice],$AB$3,Fonctionnement[TVA acquittée])+SUMIF(Invest[Affectation matrice],$AB$3,Invest[TVA acquittée]))*BE26</f>
        <v>0</v>
      </c>
      <c r="CG26" s="200">
        <f>(SUMIF(Fonctionnement[Affectation matrice],$AB$3,Fonctionnement[TVA acquittée])+SUMIF(Invest[Affectation matrice],$AB$3,Invest[TVA acquittée]))*BF26</f>
        <v>0</v>
      </c>
      <c r="CH26" s="200">
        <f>(SUMIF(Fonctionnement[Affectation matrice],$AB$3,Fonctionnement[TVA acquittée])+SUMIF(Invest[Affectation matrice],$AB$3,Invest[TVA acquittée]))*BG26</f>
        <v>0</v>
      </c>
      <c r="CI26" s="200">
        <f>(SUMIF(Fonctionnement[Affectation matrice],$AB$3,Fonctionnement[TVA acquittée])+SUMIF(Invest[Affectation matrice],$AB$3,Invest[TVA acquittée]))*BH26</f>
        <v>0</v>
      </c>
      <c r="CJ26" s="200">
        <f>(SUMIF(Fonctionnement[Affectation matrice],$AB$3,Fonctionnement[TVA acquittée])+SUMIF(Invest[Affectation matrice],$AB$3,Invest[TVA acquittée]))*BI26</f>
        <v>0</v>
      </c>
      <c r="CK26" s="200">
        <f>(SUMIF(Fonctionnement[Affectation matrice],$AB$3,Fonctionnement[TVA acquittée])+SUMIF(Invest[Affectation matrice],$AB$3,Invest[TVA acquittée]))*BJ26</f>
        <v>0</v>
      </c>
      <c r="CL26" s="200">
        <f>(SUMIF(Fonctionnement[Affectation matrice],$AB$3,Fonctionnement[TVA acquittée])+SUMIF(Invest[Affectation matrice],$AB$3,Invest[TVA acquittée]))*BK26</f>
        <v>0</v>
      </c>
      <c r="CM26" s="200">
        <f>(SUMIF(Fonctionnement[Affectation matrice],$AB$3,Fonctionnement[TVA acquittée])+SUMIF(Invest[Affectation matrice],$AB$3,Invest[TVA acquittée]))*BL26</f>
        <v>0</v>
      </c>
      <c r="CN26" s="200">
        <f>(SUMIF(Fonctionnement[Affectation matrice],$AB$3,Fonctionnement[TVA acquittée])+SUMIF(Invest[Affectation matrice],$AB$3,Invest[TVA acquittée]))*BM26</f>
        <v>0</v>
      </c>
      <c r="CO26" s="200">
        <f>(SUMIF(Fonctionnement[Affectation matrice],$AB$3,Fonctionnement[TVA acquittée])+SUMIF(Invest[Affectation matrice],$AB$3,Invest[TVA acquittée]))*BN26</f>
        <v>0</v>
      </c>
      <c r="CP26" s="200">
        <f>(SUMIF(Fonctionnement[Affectation matrice],$AB$3,Fonctionnement[TVA acquittée])+SUMIF(Invest[Affectation matrice],$AB$3,Invest[TVA acquittée]))*BO26</f>
        <v>0</v>
      </c>
      <c r="CQ26" s="200">
        <f>(SUMIF(Fonctionnement[Affectation matrice],$AB$3,Fonctionnement[TVA acquittée])+SUMIF(Invest[Affectation matrice],$AB$3,Invest[TVA acquittée]))*BP26</f>
        <v>0</v>
      </c>
      <c r="CR26" s="200">
        <f>(SUMIF(Fonctionnement[Affectation matrice],$AB$3,Fonctionnement[TVA acquittée])+SUMIF(Invest[Affectation matrice],$AB$3,Invest[TVA acquittée]))*BQ26</f>
        <v>0</v>
      </c>
      <c r="CS26" s="200">
        <f>(SUMIF(Fonctionnement[Affectation matrice],$AB$3,Fonctionnement[TVA acquittée])+SUMIF(Invest[Affectation matrice],$AB$3,Invest[TVA acquittée]))*BR26</f>
        <v>0</v>
      </c>
      <c r="CT26" s="200">
        <f>(SUMIF(Fonctionnement[Affectation matrice],$AB$3,Fonctionnement[TVA acquittée])+SUMIF(Invest[Affectation matrice],$AB$3,Invest[TVA acquittée]))*BS26</f>
        <v>0</v>
      </c>
      <c r="CU26" s="200">
        <f>(SUMIF(Fonctionnement[Affectation matrice],$AB$3,Fonctionnement[TVA acquittée])+SUMIF(Invest[Affectation matrice],$AB$3,Invest[TVA acquittée]))*BT26</f>
        <v>0</v>
      </c>
      <c r="CV26" s="200">
        <f>(SUMIF(Fonctionnement[Affectation matrice],$AB$3,Fonctionnement[TVA acquittée])+SUMIF(Invest[Affectation matrice],$AB$3,Invest[TVA acquittée]))*BU26</f>
        <v>0</v>
      </c>
      <c r="CW26" s="200">
        <f>(SUMIF(Fonctionnement[Affectation matrice],$AB$3,Fonctionnement[TVA acquittée])+SUMIF(Invest[Affectation matrice],$AB$3,Invest[TVA acquittée]))*BV26</f>
        <v>0</v>
      </c>
      <c r="CX26" s="200">
        <f>(SUMIF(Fonctionnement[Affectation matrice],$AB$3,Fonctionnement[TVA acquittée])+SUMIF(Invest[Affectation matrice],$AB$3,Invest[TVA acquittée]))*BW26</f>
        <v>0</v>
      </c>
      <c r="CY26" s="200">
        <f>(SUMIF(Fonctionnement[Affectation matrice],$AB$3,Fonctionnement[TVA acquittée])+SUMIF(Invest[Affectation matrice],$AB$3,Invest[TVA acquittée]))*BX26</f>
        <v>0</v>
      </c>
      <c r="CZ26" s="200">
        <f>(SUMIF(Fonctionnement[Affectation matrice],$AB$3,Fonctionnement[TVA acquittée])+SUMIF(Invest[Affectation matrice],$AB$3,Invest[TVA acquittée]))*BY26</f>
        <v>0</v>
      </c>
      <c r="DA26" s="200">
        <f>(SUMIF(Fonctionnement[Affectation matrice],$AB$3,Fonctionnement[TVA acquittée])+SUMIF(Invest[Affectation matrice],$AB$3,Invest[TVA acquittée]))*BZ26</f>
        <v>0</v>
      </c>
      <c r="DB26" s="200">
        <f>(SUMIF(Fonctionnement[Affectation matrice],$AB$3,Fonctionnement[TVA acquittée])+SUMIF(Invest[Affectation matrice],$AB$3,Invest[TVA acquittée]))*CA26</f>
        <v>0</v>
      </c>
    </row>
    <row r="27" spans="1:106" s="22" customFormat="1" ht="12.75" hidden="1" customHeight="1" x14ac:dyDescent="0.25">
      <c r="A27" s="42" t="str">
        <f>Matrice[[#This Row],[Ligne de la matrice]]</f>
        <v>Énergie</v>
      </c>
      <c r="B27" s="276">
        <f>(SUMIF(Fonctionnement[Affectation matrice],$AB$3,Fonctionnement[Montant (€HT)])+SUMIF(Invest[Affectation matrice],$AB$3,Invest[Amortissement HT + intérêts]))*BC27</f>
        <v>0</v>
      </c>
      <c r="C27" s="276">
        <f>(SUMIF(Fonctionnement[Affectation matrice],$AB$3,Fonctionnement[Montant (€HT)])+SUMIF(Invest[Affectation matrice],$AB$3,Invest[Amortissement HT + intérêts]))*BD27</f>
        <v>0</v>
      </c>
      <c r="D27" s="276">
        <f>(SUMIF(Fonctionnement[Affectation matrice],$AB$3,Fonctionnement[Montant (€HT)])+SUMIF(Invest[Affectation matrice],$AB$3,Invest[Amortissement HT + intérêts]))*BE27</f>
        <v>0</v>
      </c>
      <c r="E27" s="276">
        <f>(SUMIF(Fonctionnement[Affectation matrice],$AB$3,Fonctionnement[Montant (€HT)])+SUMIF(Invest[Affectation matrice],$AB$3,Invest[Amortissement HT + intérêts]))*BF27</f>
        <v>0</v>
      </c>
      <c r="F27" s="276">
        <f>(SUMIF(Fonctionnement[Affectation matrice],$AB$3,Fonctionnement[Montant (€HT)])+SUMIF(Invest[Affectation matrice],$AB$3,Invest[Amortissement HT + intérêts]))*BG27</f>
        <v>0</v>
      </c>
      <c r="G27" s="276">
        <f>(SUMIF(Fonctionnement[Affectation matrice],$AB$3,Fonctionnement[Montant (€HT)])+SUMIF(Invest[Affectation matrice],$AB$3,Invest[Amortissement HT + intérêts]))*BH27</f>
        <v>0</v>
      </c>
      <c r="H27" s="276">
        <f>(SUMIF(Fonctionnement[Affectation matrice],$AB$3,Fonctionnement[Montant (€HT)])+SUMIF(Invest[Affectation matrice],$AB$3,Invest[Amortissement HT + intérêts]))*BI27</f>
        <v>0</v>
      </c>
      <c r="I27" s="276">
        <f>(SUMIF(Fonctionnement[Affectation matrice],$AB$3,Fonctionnement[Montant (€HT)])+SUMIF(Invest[Affectation matrice],$AB$3,Invest[Amortissement HT + intérêts]))*BJ27</f>
        <v>0</v>
      </c>
      <c r="J27" s="276">
        <f>(SUMIF(Fonctionnement[Affectation matrice],$AB$3,Fonctionnement[Montant (€HT)])+SUMIF(Invest[Affectation matrice],$AB$3,Invest[Amortissement HT + intérêts]))*BK27</f>
        <v>0</v>
      </c>
      <c r="K27" s="276">
        <f>(SUMIF(Fonctionnement[Affectation matrice],$AB$3,Fonctionnement[Montant (€HT)])+SUMIF(Invest[Affectation matrice],$AB$3,Invest[Amortissement HT + intérêts]))*BL27</f>
        <v>0</v>
      </c>
      <c r="L27" s="276">
        <f>(SUMIF(Fonctionnement[Affectation matrice],$AB$3,Fonctionnement[Montant (€HT)])+SUMIF(Invest[Affectation matrice],$AB$3,Invest[Amortissement HT + intérêts]))*BM27</f>
        <v>0</v>
      </c>
      <c r="M27" s="276">
        <f>(SUMIF(Fonctionnement[Affectation matrice],$AB$3,Fonctionnement[Montant (€HT)])+SUMIF(Invest[Affectation matrice],$AB$3,Invest[Amortissement HT + intérêts]))*BN27</f>
        <v>0</v>
      </c>
      <c r="N27" s="276">
        <f>(SUMIF(Fonctionnement[Affectation matrice],$AB$3,Fonctionnement[Montant (€HT)])+SUMIF(Invest[Affectation matrice],$AB$3,Invest[Amortissement HT + intérêts]))*BO27</f>
        <v>0</v>
      </c>
      <c r="O27" s="276">
        <f>(SUMIF(Fonctionnement[Affectation matrice],$AB$3,Fonctionnement[Montant (€HT)])+SUMIF(Invest[Affectation matrice],$AB$3,Invest[Amortissement HT + intérêts]))*BP27</f>
        <v>0</v>
      </c>
      <c r="P27" s="276">
        <f>(SUMIF(Fonctionnement[Affectation matrice],$AB$3,Fonctionnement[Montant (€HT)])+SUMIF(Invest[Affectation matrice],$AB$3,Invest[Amortissement HT + intérêts]))*BQ27</f>
        <v>0</v>
      </c>
      <c r="Q27" s="276">
        <f>(SUMIF(Fonctionnement[Affectation matrice],$AB$3,Fonctionnement[Montant (€HT)])+SUMIF(Invest[Affectation matrice],$AB$3,Invest[Amortissement HT + intérêts]))*BR27</f>
        <v>0</v>
      </c>
      <c r="R27" s="276">
        <f>(SUMIF(Fonctionnement[Affectation matrice],$AB$3,Fonctionnement[Montant (€HT)])+SUMIF(Invest[Affectation matrice],$AB$3,Invest[Amortissement HT + intérêts]))*BS27</f>
        <v>0</v>
      </c>
      <c r="S27" s="276">
        <f>(SUMIF(Fonctionnement[Affectation matrice],$AB$3,Fonctionnement[Montant (€HT)])+SUMIF(Invest[Affectation matrice],$AB$3,Invest[Amortissement HT + intérêts]))*BT27</f>
        <v>0</v>
      </c>
      <c r="T27" s="276">
        <f>(SUMIF(Fonctionnement[Affectation matrice],$AB$3,Fonctionnement[Montant (€HT)])+SUMIF(Invest[Affectation matrice],$AB$3,Invest[Amortissement HT + intérêts]))*BU27</f>
        <v>0</v>
      </c>
      <c r="U27" s="276">
        <f>(SUMIF(Fonctionnement[Affectation matrice],$AB$3,Fonctionnement[Montant (€HT)])+SUMIF(Invest[Affectation matrice],$AB$3,Invest[Amortissement HT + intérêts]))*BV27</f>
        <v>0</v>
      </c>
      <c r="V27" s="276">
        <f>(SUMIF(Fonctionnement[Affectation matrice],$AB$3,Fonctionnement[Montant (€HT)])+SUMIF(Invest[Affectation matrice],$AB$3,Invest[Amortissement HT + intérêts]))*BW27</f>
        <v>0</v>
      </c>
      <c r="W27" s="276">
        <f>(SUMIF(Fonctionnement[Affectation matrice],$AB$3,Fonctionnement[Montant (€HT)])+SUMIF(Invest[Affectation matrice],$AB$3,Invest[Amortissement HT + intérêts]))*BX27</f>
        <v>0</v>
      </c>
      <c r="X27" s="276">
        <f>(SUMIF(Fonctionnement[Affectation matrice],$AB$3,Fonctionnement[Montant (€HT)])+SUMIF(Invest[Affectation matrice],$AB$3,Invest[Amortissement HT + intérêts]))*BY27</f>
        <v>0</v>
      </c>
      <c r="Y27" s="276">
        <f>(SUMIF(Fonctionnement[Affectation matrice],$AB$3,Fonctionnement[Montant (€HT)])+SUMIF(Invest[Affectation matrice],$AB$3,Invest[Amortissement HT + intérêts]))*BZ27</f>
        <v>0</v>
      </c>
      <c r="Z27" s="276">
        <f>(SUMIF(Fonctionnement[Affectation matrice],$AB$3,Fonctionnement[Montant (€HT)])+SUMIF(Invest[Affectation matrice],$AB$3,Invest[Amortissement HT + intérêts]))*CA27</f>
        <v>0</v>
      </c>
      <c r="AA27" s="199"/>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283">
        <f t="shared" si="4"/>
        <v>0</v>
      </c>
      <c r="BB27" s="7"/>
      <c r="BC27" s="61">
        <f t="shared" si="8"/>
        <v>0</v>
      </c>
      <c r="BD27" s="61">
        <f t="shared" si="8"/>
        <v>0</v>
      </c>
      <c r="BE27" s="61">
        <f t="shared" si="8"/>
        <v>0</v>
      </c>
      <c r="BF27" s="61">
        <f t="shared" si="8"/>
        <v>0</v>
      </c>
      <c r="BG27" s="61">
        <f t="shared" si="8"/>
        <v>0</v>
      </c>
      <c r="BH27" s="61">
        <f t="shared" si="8"/>
        <v>0</v>
      </c>
      <c r="BI27" s="61">
        <f t="shared" si="8"/>
        <v>0</v>
      </c>
      <c r="BJ27" s="61">
        <f t="shared" si="8"/>
        <v>0</v>
      </c>
      <c r="BK27" s="61">
        <f t="shared" si="8"/>
        <v>0</v>
      </c>
      <c r="BL27" s="61">
        <f t="shared" si="8"/>
        <v>0</v>
      </c>
      <c r="BM27" s="61">
        <f t="shared" si="8"/>
        <v>0</v>
      </c>
      <c r="BN27" s="61">
        <f t="shared" si="8"/>
        <v>0</v>
      </c>
      <c r="BO27" s="61">
        <f t="shared" si="8"/>
        <v>0</v>
      </c>
      <c r="BP27" s="61">
        <f t="shared" si="8"/>
        <v>0</v>
      </c>
      <c r="BQ27" s="61">
        <f t="shared" si="8"/>
        <v>0</v>
      </c>
      <c r="BR27" s="61">
        <f t="shared" si="8"/>
        <v>0</v>
      </c>
      <c r="BS27" s="61">
        <f t="shared" si="9"/>
        <v>0</v>
      </c>
      <c r="BT27" s="61">
        <f t="shared" si="9"/>
        <v>0</v>
      </c>
      <c r="BU27" s="61">
        <f t="shared" si="9"/>
        <v>0</v>
      </c>
      <c r="BV27" s="61">
        <f t="shared" si="9"/>
        <v>0</v>
      </c>
      <c r="BW27" s="61">
        <f t="shared" si="9"/>
        <v>0</v>
      </c>
      <c r="BX27" s="61">
        <f t="shared" si="9"/>
        <v>0</v>
      </c>
      <c r="BY27" s="61">
        <f t="shared" si="9"/>
        <v>0</v>
      </c>
      <c r="BZ27" s="61">
        <f t="shared" si="9"/>
        <v>0</v>
      </c>
      <c r="CA27" s="61">
        <f t="shared" si="9"/>
        <v>0</v>
      </c>
      <c r="CB27" s="61">
        <f t="shared" si="5"/>
        <v>0</v>
      </c>
      <c r="CD27" s="200">
        <f>(SUMIF(Fonctionnement[Affectation matrice],$AB$3,Fonctionnement[TVA acquittée])+SUMIF(Invest[Affectation matrice],$AB$3,Invest[TVA acquittée]))*BC27</f>
        <v>0</v>
      </c>
      <c r="CE27" s="200">
        <f>(SUMIF(Fonctionnement[Affectation matrice],$AB$3,Fonctionnement[TVA acquittée])+SUMIF(Invest[Affectation matrice],$AB$3,Invest[TVA acquittée]))*BD27</f>
        <v>0</v>
      </c>
      <c r="CF27" s="200">
        <f>(SUMIF(Fonctionnement[Affectation matrice],$AB$3,Fonctionnement[TVA acquittée])+SUMIF(Invest[Affectation matrice],$AB$3,Invest[TVA acquittée]))*BE27</f>
        <v>0</v>
      </c>
      <c r="CG27" s="200">
        <f>(SUMIF(Fonctionnement[Affectation matrice],$AB$3,Fonctionnement[TVA acquittée])+SUMIF(Invest[Affectation matrice],$AB$3,Invest[TVA acquittée]))*BF27</f>
        <v>0</v>
      </c>
      <c r="CH27" s="200">
        <f>(SUMIF(Fonctionnement[Affectation matrice],$AB$3,Fonctionnement[TVA acquittée])+SUMIF(Invest[Affectation matrice],$AB$3,Invest[TVA acquittée]))*BG27</f>
        <v>0</v>
      </c>
      <c r="CI27" s="200">
        <f>(SUMIF(Fonctionnement[Affectation matrice],$AB$3,Fonctionnement[TVA acquittée])+SUMIF(Invest[Affectation matrice],$AB$3,Invest[TVA acquittée]))*BH27</f>
        <v>0</v>
      </c>
      <c r="CJ27" s="200">
        <f>(SUMIF(Fonctionnement[Affectation matrice],$AB$3,Fonctionnement[TVA acquittée])+SUMIF(Invest[Affectation matrice],$AB$3,Invest[TVA acquittée]))*BI27</f>
        <v>0</v>
      </c>
      <c r="CK27" s="200">
        <f>(SUMIF(Fonctionnement[Affectation matrice],$AB$3,Fonctionnement[TVA acquittée])+SUMIF(Invest[Affectation matrice],$AB$3,Invest[TVA acquittée]))*BJ27</f>
        <v>0</v>
      </c>
      <c r="CL27" s="200">
        <f>(SUMIF(Fonctionnement[Affectation matrice],$AB$3,Fonctionnement[TVA acquittée])+SUMIF(Invest[Affectation matrice],$AB$3,Invest[TVA acquittée]))*BK27</f>
        <v>0</v>
      </c>
      <c r="CM27" s="200">
        <f>(SUMIF(Fonctionnement[Affectation matrice],$AB$3,Fonctionnement[TVA acquittée])+SUMIF(Invest[Affectation matrice],$AB$3,Invest[TVA acquittée]))*BL27</f>
        <v>0</v>
      </c>
      <c r="CN27" s="200">
        <f>(SUMIF(Fonctionnement[Affectation matrice],$AB$3,Fonctionnement[TVA acquittée])+SUMIF(Invest[Affectation matrice],$AB$3,Invest[TVA acquittée]))*BM27</f>
        <v>0</v>
      </c>
      <c r="CO27" s="200">
        <f>(SUMIF(Fonctionnement[Affectation matrice],$AB$3,Fonctionnement[TVA acquittée])+SUMIF(Invest[Affectation matrice],$AB$3,Invest[TVA acquittée]))*BN27</f>
        <v>0</v>
      </c>
      <c r="CP27" s="200">
        <f>(SUMIF(Fonctionnement[Affectation matrice],$AB$3,Fonctionnement[TVA acquittée])+SUMIF(Invest[Affectation matrice],$AB$3,Invest[TVA acquittée]))*BO27</f>
        <v>0</v>
      </c>
      <c r="CQ27" s="200">
        <f>(SUMIF(Fonctionnement[Affectation matrice],$AB$3,Fonctionnement[TVA acquittée])+SUMIF(Invest[Affectation matrice],$AB$3,Invest[TVA acquittée]))*BP27</f>
        <v>0</v>
      </c>
      <c r="CR27" s="200">
        <f>(SUMIF(Fonctionnement[Affectation matrice],$AB$3,Fonctionnement[TVA acquittée])+SUMIF(Invest[Affectation matrice],$AB$3,Invest[TVA acquittée]))*BQ27</f>
        <v>0</v>
      </c>
      <c r="CS27" s="200">
        <f>(SUMIF(Fonctionnement[Affectation matrice],$AB$3,Fonctionnement[TVA acquittée])+SUMIF(Invest[Affectation matrice],$AB$3,Invest[TVA acquittée]))*BR27</f>
        <v>0</v>
      </c>
      <c r="CT27" s="200">
        <f>(SUMIF(Fonctionnement[Affectation matrice],$AB$3,Fonctionnement[TVA acquittée])+SUMIF(Invest[Affectation matrice],$AB$3,Invest[TVA acquittée]))*BS27</f>
        <v>0</v>
      </c>
      <c r="CU27" s="200">
        <f>(SUMIF(Fonctionnement[Affectation matrice],$AB$3,Fonctionnement[TVA acquittée])+SUMIF(Invest[Affectation matrice],$AB$3,Invest[TVA acquittée]))*BT27</f>
        <v>0</v>
      </c>
      <c r="CV27" s="200">
        <f>(SUMIF(Fonctionnement[Affectation matrice],$AB$3,Fonctionnement[TVA acquittée])+SUMIF(Invest[Affectation matrice],$AB$3,Invest[TVA acquittée]))*BU27</f>
        <v>0</v>
      </c>
      <c r="CW27" s="200">
        <f>(SUMIF(Fonctionnement[Affectation matrice],$AB$3,Fonctionnement[TVA acquittée])+SUMIF(Invest[Affectation matrice],$AB$3,Invest[TVA acquittée]))*BV27</f>
        <v>0</v>
      </c>
      <c r="CX27" s="200">
        <f>(SUMIF(Fonctionnement[Affectation matrice],$AB$3,Fonctionnement[TVA acquittée])+SUMIF(Invest[Affectation matrice],$AB$3,Invest[TVA acquittée]))*BW27</f>
        <v>0</v>
      </c>
      <c r="CY27" s="200">
        <f>(SUMIF(Fonctionnement[Affectation matrice],$AB$3,Fonctionnement[TVA acquittée])+SUMIF(Invest[Affectation matrice],$AB$3,Invest[TVA acquittée]))*BX27</f>
        <v>0</v>
      </c>
      <c r="CZ27" s="200">
        <f>(SUMIF(Fonctionnement[Affectation matrice],$AB$3,Fonctionnement[TVA acquittée])+SUMIF(Invest[Affectation matrice],$AB$3,Invest[TVA acquittée]))*BY27</f>
        <v>0</v>
      </c>
      <c r="DA27" s="200">
        <f>(SUMIF(Fonctionnement[Affectation matrice],$AB$3,Fonctionnement[TVA acquittée])+SUMIF(Invest[Affectation matrice],$AB$3,Invest[TVA acquittée]))*BZ27</f>
        <v>0</v>
      </c>
      <c r="DB27" s="200">
        <f>(SUMIF(Fonctionnement[Affectation matrice],$AB$3,Fonctionnement[TVA acquittée])+SUMIF(Invest[Affectation matrice],$AB$3,Invest[TVA acquittée]))*CA27</f>
        <v>0</v>
      </c>
    </row>
    <row r="28" spans="1:106" s="22" customFormat="1" ht="12.75" hidden="1" customHeight="1" x14ac:dyDescent="0.25">
      <c r="A28" s="42" t="str">
        <f>Matrice[[#This Row],[Ligne de la matrice]]</f>
        <v>Prestation à des tiers</v>
      </c>
      <c r="B28" s="276">
        <f>(SUMIF(Fonctionnement[Affectation matrice],$AB$3,Fonctionnement[Montant (€HT)])+SUMIF(Invest[Affectation matrice],$AB$3,Invest[Amortissement HT + intérêts]))*BC28</f>
        <v>0</v>
      </c>
      <c r="C28" s="276">
        <f>(SUMIF(Fonctionnement[Affectation matrice],$AB$3,Fonctionnement[Montant (€HT)])+SUMIF(Invest[Affectation matrice],$AB$3,Invest[Amortissement HT + intérêts]))*BD28</f>
        <v>0</v>
      </c>
      <c r="D28" s="276">
        <f>(SUMIF(Fonctionnement[Affectation matrice],$AB$3,Fonctionnement[Montant (€HT)])+SUMIF(Invest[Affectation matrice],$AB$3,Invest[Amortissement HT + intérêts]))*BE28</f>
        <v>0</v>
      </c>
      <c r="E28" s="276">
        <f>(SUMIF(Fonctionnement[Affectation matrice],$AB$3,Fonctionnement[Montant (€HT)])+SUMIF(Invest[Affectation matrice],$AB$3,Invest[Amortissement HT + intérêts]))*BF28</f>
        <v>0</v>
      </c>
      <c r="F28" s="276">
        <f>(SUMIF(Fonctionnement[Affectation matrice],$AB$3,Fonctionnement[Montant (€HT)])+SUMIF(Invest[Affectation matrice],$AB$3,Invest[Amortissement HT + intérêts]))*BG28</f>
        <v>0</v>
      </c>
      <c r="G28" s="276">
        <f>(SUMIF(Fonctionnement[Affectation matrice],$AB$3,Fonctionnement[Montant (€HT)])+SUMIF(Invest[Affectation matrice],$AB$3,Invest[Amortissement HT + intérêts]))*BH28</f>
        <v>0</v>
      </c>
      <c r="H28" s="276">
        <f>(SUMIF(Fonctionnement[Affectation matrice],$AB$3,Fonctionnement[Montant (€HT)])+SUMIF(Invest[Affectation matrice],$AB$3,Invest[Amortissement HT + intérêts]))*BI28</f>
        <v>0</v>
      </c>
      <c r="I28" s="276">
        <f>(SUMIF(Fonctionnement[Affectation matrice],$AB$3,Fonctionnement[Montant (€HT)])+SUMIF(Invest[Affectation matrice],$AB$3,Invest[Amortissement HT + intérêts]))*BJ28</f>
        <v>0</v>
      </c>
      <c r="J28" s="276">
        <f>(SUMIF(Fonctionnement[Affectation matrice],$AB$3,Fonctionnement[Montant (€HT)])+SUMIF(Invest[Affectation matrice],$AB$3,Invest[Amortissement HT + intérêts]))*BK28</f>
        <v>0</v>
      </c>
      <c r="K28" s="276">
        <f>(SUMIF(Fonctionnement[Affectation matrice],$AB$3,Fonctionnement[Montant (€HT)])+SUMIF(Invest[Affectation matrice],$AB$3,Invest[Amortissement HT + intérêts]))*BL28</f>
        <v>0</v>
      </c>
      <c r="L28" s="276">
        <f>(SUMIF(Fonctionnement[Affectation matrice],$AB$3,Fonctionnement[Montant (€HT)])+SUMIF(Invest[Affectation matrice],$AB$3,Invest[Amortissement HT + intérêts]))*BM28</f>
        <v>0</v>
      </c>
      <c r="M28" s="276">
        <f>(SUMIF(Fonctionnement[Affectation matrice],$AB$3,Fonctionnement[Montant (€HT)])+SUMIF(Invest[Affectation matrice],$AB$3,Invest[Amortissement HT + intérêts]))*BN28</f>
        <v>0</v>
      </c>
      <c r="N28" s="276">
        <f>(SUMIF(Fonctionnement[Affectation matrice],$AB$3,Fonctionnement[Montant (€HT)])+SUMIF(Invest[Affectation matrice],$AB$3,Invest[Amortissement HT + intérêts]))*BO28</f>
        <v>0</v>
      </c>
      <c r="O28" s="276">
        <f>(SUMIF(Fonctionnement[Affectation matrice],$AB$3,Fonctionnement[Montant (€HT)])+SUMIF(Invest[Affectation matrice],$AB$3,Invest[Amortissement HT + intérêts]))*BP28</f>
        <v>0</v>
      </c>
      <c r="P28" s="276">
        <f>(SUMIF(Fonctionnement[Affectation matrice],$AB$3,Fonctionnement[Montant (€HT)])+SUMIF(Invest[Affectation matrice],$AB$3,Invest[Amortissement HT + intérêts]))*BQ28</f>
        <v>0</v>
      </c>
      <c r="Q28" s="276">
        <f>(SUMIF(Fonctionnement[Affectation matrice],$AB$3,Fonctionnement[Montant (€HT)])+SUMIF(Invest[Affectation matrice],$AB$3,Invest[Amortissement HT + intérêts]))*BR28</f>
        <v>0</v>
      </c>
      <c r="R28" s="276">
        <f>(SUMIF(Fonctionnement[Affectation matrice],$AB$3,Fonctionnement[Montant (€HT)])+SUMIF(Invest[Affectation matrice],$AB$3,Invest[Amortissement HT + intérêts]))*BS28</f>
        <v>0</v>
      </c>
      <c r="S28" s="276">
        <f>(SUMIF(Fonctionnement[Affectation matrice],$AB$3,Fonctionnement[Montant (€HT)])+SUMIF(Invest[Affectation matrice],$AB$3,Invest[Amortissement HT + intérêts]))*BT28</f>
        <v>0</v>
      </c>
      <c r="T28" s="276">
        <f>(SUMIF(Fonctionnement[Affectation matrice],$AB$3,Fonctionnement[Montant (€HT)])+SUMIF(Invest[Affectation matrice],$AB$3,Invest[Amortissement HT + intérêts]))*BU28</f>
        <v>0</v>
      </c>
      <c r="U28" s="276">
        <f>(SUMIF(Fonctionnement[Affectation matrice],$AB$3,Fonctionnement[Montant (€HT)])+SUMIF(Invest[Affectation matrice],$AB$3,Invest[Amortissement HT + intérêts]))*BV28</f>
        <v>0</v>
      </c>
      <c r="V28" s="276">
        <f>(SUMIF(Fonctionnement[Affectation matrice],$AB$3,Fonctionnement[Montant (€HT)])+SUMIF(Invest[Affectation matrice],$AB$3,Invest[Amortissement HT + intérêts]))*BW28</f>
        <v>0</v>
      </c>
      <c r="W28" s="276">
        <f>(SUMIF(Fonctionnement[Affectation matrice],$AB$3,Fonctionnement[Montant (€HT)])+SUMIF(Invest[Affectation matrice],$AB$3,Invest[Amortissement HT + intérêts]))*BX28</f>
        <v>0</v>
      </c>
      <c r="X28" s="276">
        <f>(SUMIF(Fonctionnement[Affectation matrice],$AB$3,Fonctionnement[Montant (€HT)])+SUMIF(Invest[Affectation matrice],$AB$3,Invest[Amortissement HT + intérêts]))*BY28</f>
        <v>0</v>
      </c>
      <c r="Y28" s="276">
        <f>(SUMIF(Fonctionnement[Affectation matrice],$AB$3,Fonctionnement[Montant (€HT)])+SUMIF(Invest[Affectation matrice],$AB$3,Invest[Amortissement HT + intérêts]))*BZ28</f>
        <v>0</v>
      </c>
      <c r="Z28" s="276">
        <f>(SUMIF(Fonctionnement[Affectation matrice],$AB$3,Fonctionnement[Montant (€HT)])+SUMIF(Invest[Affectation matrice],$AB$3,Invest[Amortissement HT + intérêts]))*CA28</f>
        <v>0</v>
      </c>
      <c r="AA28" s="199"/>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283">
        <f t="shared" si="4"/>
        <v>0</v>
      </c>
      <c r="BB28" s="7"/>
      <c r="BC28" s="61">
        <f t="shared" si="8"/>
        <v>0</v>
      </c>
      <c r="BD28" s="61">
        <f t="shared" si="8"/>
        <v>0</v>
      </c>
      <c r="BE28" s="61">
        <f t="shared" si="8"/>
        <v>0</v>
      </c>
      <c r="BF28" s="61">
        <f t="shared" si="8"/>
        <v>0</v>
      </c>
      <c r="BG28" s="61">
        <f t="shared" si="8"/>
        <v>0</v>
      </c>
      <c r="BH28" s="61">
        <f t="shared" si="8"/>
        <v>0</v>
      </c>
      <c r="BI28" s="61">
        <f t="shared" si="8"/>
        <v>0</v>
      </c>
      <c r="BJ28" s="61">
        <f t="shared" si="8"/>
        <v>0</v>
      </c>
      <c r="BK28" s="61">
        <f t="shared" si="8"/>
        <v>0</v>
      </c>
      <c r="BL28" s="61">
        <f t="shared" si="8"/>
        <v>0</v>
      </c>
      <c r="BM28" s="61">
        <f t="shared" si="8"/>
        <v>0</v>
      </c>
      <c r="BN28" s="61">
        <f t="shared" si="8"/>
        <v>0</v>
      </c>
      <c r="BO28" s="61">
        <f t="shared" si="8"/>
        <v>0</v>
      </c>
      <c r="BP28" s="61">
        <f t="shared" si="8"/>
        <v>0</v>
      </c>
      <c r="BQ28" s="61">
        <f t="shared" si="8"/>
        <v>0</v>
      </c>
      <c r="BR28" s="61">
        <f t="shared" si="8"/>
        <v>0</v>
      </c>
      <c r="BS28" s="61">
        <f t="shared" si="9"/>
        <v>0</v>
      </c>
      <c r="BT28" s="61">
        <f t="shared" si="9"/>
        <v>0</v>
      </c>
      <c r="BU28" s="61">
        <f t="shared" si="9"/>
        <v>0</v>
      </c>
      <c r="BV28" s="61">
        <f t="shared" si="9"/>
        <v>0</v>
      </c>
      <c r="BW28" s="61">
        <f t="shared" si="9"/>
        <v>0</v>
      </c>
      <c r="BX28" s="61">
        <f t="shared" si="9"/>
        <v>0</v>
      </c>
      <c r="BY28" s="61">
        <f t="shared" si="9"/>
        <v>0</v>
      </c>
      <c r="BZ28" s="61">
        <f t="shared" si="9"/>
        <v>0</v>
      </c>
      <c r="CA28" s="61">
        <f t="shared" si="9"/>
        <v>0</v>
      </c>
      <c r="CB28" s="61">
        <f t="shared" si="5"/>
        <v>0</v>
      </c>
      <c r="CD28" s="200">
        <f>(SUMIF(Fonctionnement[Affectation matrice],$AB$3,Fonctionnement[TVA acquittée])+SUMIF(Invest[Affectation matrice],$AB$3,Invest[TVA acquittée]))*BC28</f>
        <v>0</v>
      </c>
      <c r="CE28" s="200">
        <f>(SUMIF(Fonctionnement[Affectation matrice],$AB$3,Fonctionnement[TVA acquittée])+SUMIF(Invest[Affectation matrice],$AB$3,Invest[TVA acquittée]))*BD28</f>
        <v>0</v>
      </c>
      <c r="CF28" s="200">
        <f>(SUMIF(Fonctionnement[Affectation matrice],$AB$3,Fonctionnement[TVA acquittée])+SUMIF(Invest[Affectation matrice],$AB$3,Invest[TVA acquittée]))*BE28</f>
        <v>0</v>
      </c>
      <c r="CG28" s="200">
        <f>(SUMIF(Fonctionnement[Affectation matrice],$AB$3,Fonctionnement[TVA acquittée])+SUMIF(Invest[Affectation matrice],$AB$3,Invest[TVA acquittée]))*BF28</f>
        <v>0</v>
      </c>
      <c r="CH28" s="200">
        <f>(SUMIF(Fonctionnement[Affectation matrice],$AB$3,Fonctionnement[TVA acquittée])+SUMIF(Invest[Affectation matrice],$AB$3,Invest[TVA acquittée]))*BG28</f>
        <v>0</v>
      </c>
      <c r="CI28" s="200">
        <f>(SUMIF(Fonctionnement[Affectation matrice],$AB$3,Fonctionnement[TVA acquittée])+SUMIF(Invest[Affectation matrice],$AB$3,Invest[TVA acquittée]))*BH28</f>
        <v>0</v>
      </c>
      <c r="CJ28" s="200">
        <f>(SUMIF(Fonctionnement[Affectation matrice],$AB$3,Fonctionnement[TVA acquittée])+SUMIF(Invest[Affectation matrice],$AB$3,Invest[TVA acquittée]))*BI28</f>
        <v>0</v>
      </c>
      <c r="CK28" s="200">
        <f>(SUMIF(Fonctionnement[Affectation matrice],$AB$3,Fonctionnement[TVA acquittée])+SUMIF(Invest[Affectation matrice],$AB$3,Invest[TVA acquittée]))*BJ28</f>
        <v>0</v>
      </c>
      <c r="CL28" s="200">
        <f>(SUMIF(Fonctionnement[Affectation matrice],$AB$3,Fonctionnement[TVA acquittée])+SUMIF(Invest[Affectation matrice],$AB$3,Invest[TVA acquittée]))*BK28</f>
        <v>0</v>
      </c>
      <c r="CM28" s="200">
        <f>(SUMIF(Fonctionnement[Affectation matrice],$AB$3,Fonctionnement[TVA acquittée])+SUMIF(Invest[Affectation matrice],$AB$3,Invest[TVA acquittée]))*BL28</f>
        <v>0</v>
      </c>
      <c r="CN28" s="200">
        <f>(SUMIF(Fonctionnement[Affectation matrice],$AB$3,Fonctionnement[TVA acquittée])+SUMIF(Invest[Affectation matrice],$AB$3,Invest[TVA acquittée]))*BM28</f>
        <v>0</v>
      </c>
      <c r="CO28" s="200">
        <f>(SUMIF(Fonctionnement[Affectation matrice],$AB$3,Fonctionnement[TVA acquittée])+SUMIF(Invest[Affectation matrice],$AB$3,Invest[TVA acquittée]))*BN28</f>
        <v>0</v>
      </c>
      <c r="CP28" s="200">
        <f>(SUMIF(Fonctionnement[Affectation matrice],$AB$3,Fonctionnement[TVA acquittée])+SUMIF(Invest[Affectation matrice],$AB$3,Invest[TVA acquittée]))*BO28</f>
        <v>0</v>
      </c>
      <c r="CQ28" s="200">
        <f>(SUMIF(Fonctionnement[Affectation matrice],$AB$3,Fonctionnement[TVA acquittée])+SUMIF(Invest[Affectation matrice],$AB$3,Invest[TVA acquittée]))*BP28</f>
        <v>0</v>
      </c>
      <c r="CR28" s="200">
        <f>(SUMIF(Fonctionnement[Affectation matrice],$AB$3,Fonctionnement[TVA acquittée])+SUMIF(Invest[Affectation matrice],$AB$3,Invest[TVA acquittée]))*BQ28</f>
        <v>0</v>
      </c>
      <c r="CS28" s="200">
        <f>(SUMIF(Fonctionnement[Affectation matrice],$AB$3,Fonctionnement[TVA acquittée])+SUMIF(Invest[Affectation matrice],$AB$3,Invest[TVA acquittée]))*BR28</f>
        <v>0</v>
      </c>
      <c r="CT28" s="200">
        <f>(SUMIF(Fonctionnement[Affectation matrice],$AB$3,Fonctionnement[TVA acquittée])+SUMIF(Invest[Affectation matrice],$AB$3,Invest[TVA acquittée]))*BS28</f>
        <v>0</v>
      </c>
      <c r="CU28" s="200">
        <f>(SUMIF(Fonctionnement[Affectation matrice],$AB$3,Fonctionnement[TVA acquittée])+SUMIF(Invest[Affectation matrice],$AB$3,Invest[TVA acquittée]))*BT28</f>
        <v>0</v>
      </c>
      <c r="CV28" s="200">
        <f>(SUMIF(Fonctionnement[Affectation matrice],$AB$3,Fonctionnement[TVA acquittée])+SUMIF(Invest[Affectation matrice],$AB$3,Invest[TVA acquittée]))*BU28</f>
        <v>0</v>
      </c>
      <c r="CW28" s="200">
        <f>(SUMIF(Fonctionnement[Affectation matrice],$AB$3,Fonctionnement[TVA acquittée])+SUMIF(Invest[Affectation matrice],$AB$3,Invest[TVA acquittée]))*BV28</f>
        <v>0</v>
      </c>
      <c r="CX28" s="200">
        <f>(SUMIF(Fonctionnement[Affectation matrice],$AB$3,Fonctionnement[TVA acquittée])+SUMIF(Invest[Affectation matrice],$AB$3,Invest[TVA acquittée]))*BW28</f>
        <v>0</v>
      </c>
      <c r="CY28" s="200">
        <f>(SUMIF(Fonctionnement[Affectation matrice],$AB$3,Fonctionnement[TVA acquittée])+SUMIF(Invest[Affectation matrice],$AB$3,Invest[TVA acquittée]))*BX28</f>
        <v>0</v>
      </c>
      <c r="CZ28" s="200">
        <f>(SUMIF(Fonctionnement[Affectation matrice],$AB$3,Fonctionnement[TVA acquittée])+SUMIF(Invest[Affectation matrice],$AB$3,Invest[TVA acquittée]))*BY28</f>
        <v>0</v>
      </c>
      <c r="DA28" s="200">
        <f>(SUMIF(Fonctionnement[Affectation matrice],$AB$3,Fonctionnement[TVA acquittée])+SUMIF(Invest[Affectation matrice],$AB$3,Invest[TVA acquittée]))*BZ28</f>
        <v>0</v>
      </c>
      <c r="DB28" s="200">
        <f>(SUMIF(Fonctionnement[Affectation matrice],$AB$3,Fonctionnement[TVA acquittée])+SUMIF(Invest[Affectation matrice],$AB$3,Invest[TVA acquittée]))*CA28</f>
        <v>0</v>
      </c>
    </row>
    <row r="29" spans="1:106" s="22" customFormat="1" ht="12.75" hidden="1" customHeight="1" x14ac:dyDescent="0.25">
      <c r="A29" s="42" t="str">
        <f>Matrice[[#This Row],[Ligne de la matrice]]</f>
        <v>Autres produits</v>
      </c>
      <c r="B29" s="276">
        <f>(SUMIF(Fonctionnement[Affectation matrice],$AB$3,Fonctionnement[Montant (€HT)])+SUMIF(Invest[Affectation matrice],$AB$3,Invest[Amortissement HT + intérêts]))*BC29</f>
        <v>0</v>
      </c>
      <c r="C29" s="276">
        <f>(SUMIF(Fonctionnement[Affectation matrice],$AB$3,Fonctionnement[Montant (€HT)])+SUMIF(Invest[Affectation matrice],$AB$3,Invest[Amortissement HT + intérêts]))*BD29</f>
        <v>0</v>
      </c>
      <c r="D29" s="276">
        <f>(SUMIF(Fonctionnement[Affectation matrice],$AB$3,Fonctionnement[Montant (€HT)])+SUMIF(Invest[Affectation matrice],$AB$3,Invest[Amortissement HT + intérêts]))*BE29</f>
        <v>0</v>
      </c>
      <c r="E29" s="276">
        <f>(SUMIF(Fonctionnement[Affectation matrice],$AB$3,Fonctionnement[Montant (€HT)])+SUMIF(Invest[Affectation matrice],$AB$3,Invest[Amortissement HT + intérêts]))*BF29</f>
        <v>0</v>
      </c>
      <c r="F29" s="276">
        <f>(SUMIF(Fonctionnement[Affectation matrice],$AB$3,Fonctionnement[Montant (€HT)])+SUMIF(Invest[Affectation matrice],$AB$3,Invest[Amortissement HT + intérêts]))*BG29</f>
        <v>0</v>
      </c>
      <c r="G29" s="276">
        <f>(SUMIF(Fonctionnement[Affectation matrice],$AB$3,Fonctionnement[Montant (€HT)])+SUMIF(Invest[Affectation matrice],$AB$3,Invest[Amortissement HT + intérêts]))*BH29</f>
        <v>0</v>
      </c>
      <c r="H29" s="276">
        <f>(SUMIF(Fonctionnement[Affectation matrice],$AB$3,Fonctionnement[Montant (€HT)])+SUMIF(Invest[Affectation matrice],$AB$3,Invest[Amortissement HT + intérêts]))*BI29</f>
        <v>0</v>
      </c>
      <c r="I29" s="276">
        <f>(SUMIF(Fonctionnement[Affectation matrice],$AB$3,Fonctionnement[Montant (€HT)])+SUMIF(Invest[Affectation matrice],$AB$3,Invest[Amortissement HT + intérêts]))*BJ29</f>
        <v>0</v>
      </c>
      <c r="J29" s="276">
        <f>(SUMIF(Fonctionnement[Affectation matrice],$AB$3,Fonctionnement[Montant (€HT)])+SUMIF(Invest[Affectation matrice],$AB$3,Invest[Amortissement HT + intérêts]))*BK29</f>
        <v>0</v>
      </c>
      <c r="K29" s="276">
        <f>(SUMIF(Fonctionnement[Affectation matrice],$AB$3,Fonctionnement[Montant (€HT)])+SUMIF(Invest[Affectation matrice],$AB$3,Invest[Amortissement HT + intérêts]))*BL29</f>
        <v>0</v>
      </c>
      <c r="L29" s="276">
        <f>(SUMIF(Fonctionnement[Affectation matrice],$AB$3,Fonctionnement[Montant (€HT)])+SUMIF(Invest[Affectation matrice],$AB$3,Invest[Amortissement HT + intérêts]))*BM29</f>
        <v>0</v>
      </c>
      <c r="M29" s="276">
        <f>(SUMIF(Fonctionnement[Affectation matrice],$AB$3,Fonctionnement[Montant (€HT)])+SUMIF(Invest[Affectation matrice],$AB$3,Invest[Amortissement HT + intérêts]))*BN29</f>
        <v>0</v>
      </c>
      <c r="N29" s="276">
        <f>(SUMIF(Fonctionnement[Affectation matrice],$AB$3,Fonctionnement[Montant (€HT)])+SUMIF(Invest[Affectation matrice],$AB$3,Invest[Amortissement HT + intérêts]))*BO29</f>
        <v>0</v>
      </c>
      <c r="O29" s="276">
        <f>(SUMIF(Fonctionnement[Affectation matrice],$AB$3,Fonctionnement[Montant (€HT)])+SUMIF(Invest[Affectation matrice],$AB$3,Invest[Amortissement HT + intérêts]))*BP29</f>
        <v>0</v>
      </c>
      <c r="P29" s="276">
        <f>(SUMIF(Fonctionnement[Affectation matrice],$AB$3,Fonctionnement[Montant (€HT)])+SUMIF(Invest[Affectation matrice],$AB$3,Invest[Amortissement HT + intérêts]))*BQ29</f>
        <v>0</v>
      </c>
      <c r="Q29" s="276">
        <f>(SUMIF(Fonctionnement[Affectation matrice],$AB$3,Fonctionnement[Montant (€HT)])+SUMIF(Invest[Affectation matrice],$AB$3,Invest[Amortissement HT + intérêts]))*BR29</f>
        <v>0</v>
      </c>
      <c r="R29" s="276">
        <f>(SUMIF(Fonctionnement[Affectation matrice],$AB$3,Fonctionnement[Montant (€HT)])+SUMIF(Invest[Affectation matrice],$AB$3,Invest[Amortissement HT + intérêts]))*BS29</f>
        <v>0</v>
      </c>
      <c r="S29" s="276">
        <f>(SUMIF(Fonctionnement[Affectation matrice],$AB$3,Fonctionnement[Montant (€HT)])+SUMIF(Invest[Affectation matrice],$AB$3,Invest[Amortissement HT + intérêts]))*BT29</f>
        <v>0</v>
      </c>
      <c r="T29" s="276">
        <f>(SUMIF(Fonctionnement[Affectation matrice],$AB$3,Fonctionnement[Montant (€HT)])+SUMIF(Invest[Affectation matrice],$AB$3,Invest[Amortissement HT + intérêts]))*BU29</f>
        <v>0</v>
      </c>
      <c r="U29" s="276">
        <f>(SUMIF(Fonctionnement[Affectation matrice],$AB$3,Fonctionnement[Montant (€HT)])+SUMIF(Invest[Affectation matrice],$AB$3,Invest[Amortissement HT + intérêts]))*BV29</f>
        <v>0</v>
      </c>
      <c r="V29" s="276">
        <f>(SUMIF(Fonctionnement[Affectation matrice],$AB$3,Fonctionnement[Montant (€HT)])+SUMIF(Invest[Affectation matrice],$AB$3,Invest[Amortissement HT + intérêts]))*BW29</f>
        <v>0</v>
      </c>
      <c r="W29" s="276">
        <f>(SUMIF(Fonctionnement[Affectation matrice],$AB$3,Fonctionnement[Montant (€HT)])+SUMIF(Invest[Affectation matrice],$AB$3,Invest[Amortissement HT + intérêts]))*BX29</f>
        <v>0</v>
      </c>
      <c r="X29" s="276">
        <f>(SUMIF(Fonctionnement[Affectation matrice],$AB$3,Fonctionnement[Montant (€HT)])+SUMIF(Invest[Affectation matrice],$AB$3,Invest[Amortissement HT + intérêts]))*BY29</f>
        <v>0</v>
      </c>
      <c r="Y29" s="276">
        <f>(SUMIF(Fonctionnement[Affectation matrice],$AB$3,Fonctionnement[Montant (€HT)])+SUMIF(Invest[Affectation matrice],$AB$3,Invest[Amortissement HT + intérêts]))*BZ29</f>
        <v>0</v>
      </c>
      <c r="Z29" s="276">
        <f>(SUMIF(Fonctionnement[Affectation matrice],$AB$3,Fonctionnement[Montant (€HT)])+SUMIF(Invest[Affectation matrice],$AB$3,Invest[Amortissement HT + intérêts]))*CA29</f>
        <v>0</v>
      </c>
      <c r="AA29" s="199"/>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283">
        <f t="shared" si="4"/>
        <v>0</v>
      </c>
      <c r="BB29" s="7"/>
      <c r="BC29" s="61">
        <f t="shared" si="8"/>
        <v>0</v>
      </c>
      <c r="BD29" s="61">
        <f t="shared" si="8"/>
        <v>0</v>
      </c>
      <c r="BE29" s="61">
        <f t="shared" si="8"/>
        <v>0</v>
      </c>
      <c r="BF29" s="61">
        <f t="shared" si="8"/>
        <v>0</v>
      </c>
      <c r="BG29" s="61">
        <f t="shared" si="8"/>
        <v>0</v>
      </c>
      <c r="BH29" s="61">
        <f t="shared" si="8"/>
        <v>0</v>
      </c>
      <c r="BI29" s="61">
        <f t="shared" si="8"/>
        <v>0</v>
      </c>
      <c r="BJ29" s="61">
        <f t="shared" si="8"/>
        <v>0</v>
      </c>
      <c r="BK29" s="61">
        <f t="shared" si="8"/>
        <v>0</v>
      </c>
      <c r="BL29" s="61">
        <f t="shared" si="8"/>
        <v>0</v>
      </c>
      <c r="BM29" s="61">
        <f t="shared" si="8"/>
        <v>0</v>
      </c>
      <c r="BN29" s="61">
        <f t="shared" si="8"/>
        <v>0</v>
      </c>
      <c r="BO29" s="61">
        <f t="shared" si="8"/>
        <v>0</v>
      </c>
      <c r="BP29" s="61">
        <f t="shared" si="8"/>
        <v>0</v>
      </c>
      <c r="BQ29" s="61">
        <f t="shared" si="8"/>
        <v>0</v>
      </c>
      <c r="BR29" s="61">
        <f t="shared" si="8"/>
        <v>0</v>
      </c>
      <c r="BS29" s="61">
        <f t="shared" si="9"/>
        <v>0</v>
      </c>
      <c r="BT29" s="61">
        <f t="shared" si="9"/>
        <v>0</v>
      </c>
      <c r="BU29" s="61">
        <f t="shared" si="9"/>
        <v>0</v>
      </c>
      <c r="BV29" s="61">
        <f t="shared" si="9"/>
        <v>0</v>
      </c>
      <c r="BW29" s="61">
        <f t="shared" si="9"/>
        <v>0</v>
      </c>
      <c r="BX29" s="61">
        <f t="shared" si="9"/>
        <v>0</v>
      </c>
      <c r="BY29" s="61">
        <f t="shared" si="9"/>
        <v>0</v>
      </c>
      <c r="BZ29" s="61">
        <f t="shared" si="9"/>
        <v>0</v>
      </c>
      <c r="CA29" s="61">
        <f t="shared" si="9"/>
        <v>0</v>
      </c>
      <c r="CB29" s="61">
        <f t="shared" si="5"/>
        <v>0</v>
      </c>
      <c r="CD29" s="200">
        <f>(SUMIF(Fonctionnement[Affectation matrice],$AB$3,Fonctionnement[TVA acquittée])+SUMIF(Invest[Affectation matrice],$AB$3,Invest[TVA acquittée]))*BC29</f>
        <v>0</v>
      </c>
      <c r="CE29" s="200">
        <f>(SUMIF(Fonctionnement[Affectation matrice],$AB$3,Fonctionnement[TVA acquittée])+SUMIF(Invest[Affectation matrice],$AB$3,Invest[TVA acquittée]))*BD29</f>
        <v>0</v>
      </c>
      <c r="CF29" s="200">
        <f>(SUMIF(Fonctionnement[Affectation matrice],$AB$3,Fonctionnement[TVA acquittée])+SUMIF(Invest[Affectation matrice],$AB$3,Invest[TVA acquittée]))*BE29</f>
        <v>0</v>
      </c>
      <c r="CG29" s="200">
        <f>(SUMIF(Fonctionnement[Affectation matrice],$AB$3,Fonctionnement[TVA acquittée])+SUMIF(Invest[Affectation matrice],$AB$3,Invest[TVA acquittée]))*BF29</f>
        <v>0</v>
      </c>
      <c r="CH29" s="200">
        <f>(SUMIF(Fonctionnement[Affectation matrice],$AB$3,Fonctionnement[TVA acquittée])+SUMIF(Invest[Affectation matrice],$AB$3,Invest[TVA acquittée]))*BG29</f>
        <v>0</v>
      </c>
      <c r="CI29" s="200">
        <f>(SUMIF(Fonctionnement[Affectation matrice],$AB$3,Fonctionnement[TVA acquittée])+SUMIF(Invest[Affectation matrice],$AB$3,Invest[TVA acquittée]))*BH29</f>
        <v>0</v>
      </c>
      <c r="CJ29" s="200">
        <f>(SUMIF(Fonctionnement[Affectation matrice],$AB$3,Fonctionnement[TVA acquittée])+SUMIF(Invest[Affectation matrice],$AB$3,Invest[TVA acquittée]))*BI29</f>
        <v>0</v>
      </c>
      <c r="CK29" s="200">
        <f>(SUMIF(Fonctionnement[Affectation matrice],$AB$3,Fonctionnement[TVA acquittée])+SUMIF(Invest[Affectation matrice],$AB$3,Invest[TVA acquittée]))*BJ29</f>
        <v>0</v>
      </c>
      <c r="CL29" s="200">
        <f>(SUMIF(Fonctionnement[Affectation matrice],$AB$3,Fonctionnement[TVA acquittée])+SUMIF(Invest[Affectation matrice],$AB$3,Invest[TVA acquittée]))*BK29</f>
        <v>0</v>
      </c>
      <c r="CM29" s="200">
        <f>(SUMIF(Fonctionnement[Affectation matrice],$AB$3,Fonctionnement[TVA acquittée])+SUMIF(Invest[Affectation matrice],$AB$3,Invest[TVA acquittée]))*BL29</f>
        <v>0</v>
      </c>
      <c r="CN29" s="200">
        <f>(SUMIF(Fonctionnement[Affectation matrice],$AB$3,Fonctionnement[TVA acquittée])+SUMIF(Invest[Affectation matrice],$AB$3,Invest[TVA acquittée]))*BM29</f>
        <v>0</v>
      </c>
      <c r="CO29" s="200">
        <f>(SUMIF(Fonctionnement[Affectation matrice],$AB$3,Fonctionnement[TVA acquittée])+SUMIF(Invest[Affectation matrice],$AB$3,Invest[TVA acquittée]))*BN29</f>
        <v>0</v>
      </c>
      <c r="CP29" s="200">
        <f>(SUMIF(Fonctionnement[Affectation matrice],$AB$3,Fonctionnement[TVA acquittée])+SUMIF(Invest[Affectation matrice],$AB$3,Invest[TVA acquittée]))*BO29</f>
        <v>0</v>
      </c>
      <c r="CQ29" s="200">
        <f>(SUMIF(Fonctionnement[Affectation matrice],$AB$3,Fonctionnement[TVA acquittée])+SUMIF(Invest[Affectation matrice],$AB$3,Invest[TVA acquittée]))*BP29</f>
        <v>0</v>
      </c>
      <c r="CR29" s="200">
        <f>(SUMIF(Fonctionnement[Affectation matrice],$AB$3,Fonctionnement[TVA acquittée])+SUMIF(Invest[Affectation matrice],$AB$3,Invest[TVA acquittée]))*BQ29</f>
        <v>0</v>
      </c>
      <c r="CS29" s="200">
        <f>(SUMIF(Fonctionnement[Affectation matrice],$AB$3,Fonctionnement[TVA acquittée])+SUMIF(Invest[Affectation matrice],$AB$3,Invest[TVA acquittée]))*BR29</f>
        <v>0</v>
      </c>
      <c r="CT29" s="200">
        <f>(SUMIF(Fonctionnement[Affectation matrice],$AB$3,Fonctionnement[TVA acquittée])+SUMIF(Invest[Affectation matrice],$AB$3,Invest[TVA acquittée]))*BS29</f>
        <v>0</v>
      </c>
      <c r="CU29" s="200">
        <f>(SUMIF(Fonctionnement[Affectation matrice],$AB$3,Fonctionnement[TVA acquittée])+SUMIF(Invest[Affectation matrice],$AB$3,Invest[TVA acquittée]))*BT29</f>
        <v>0</v>
      </c>
      <c r="CV29" s="200">
        <f>(SUMIF(Fonctionnement[Affectation matrice],$AB$3,Fonctionnement[TVA acquittée])+SUMIF(Invest[Affectation matrice],$AB$3,Invest[TVA acquittée]))*BU29</f>
        <v>0</v>
      </c>
      <c r="CW29" s="200">
        <f>(SUMIF(Fonctionnement[Affectation matrice],$AB$3,Fonctionnement[TVA acquittée])+SUMIF(Invest[Affectation matrice],$AB$3,Invest[TVA acquittée]))*BV29</f>
        <v>0</v>
      </c>
      <c r="CX29" s="200">
        <f>(SUMIF(Fonctionnement[Affectation matrice],$AB$3,Fonctionnement[TVA acquittée])+SUMIF(Invest[Affectation matrice],$AB$3,Invest[TVA acquittée]))*BW29</f>
        <v>0</v>
      </c>
      <c r="CY29" s="200">
        <f>(SUMIF(Fonctionnement[Affectation matrice],$AB$3,Fonctionnement[TVA acquittée])+SUMIF(Invest[Affectation matrice],$AB$3,Invest[TVA acquittée]))*BX29</f>
        <v>0</v>
      </c>
      <c r="CZ29" s="200">
        <f>(SUMIF(Fonctionnement[Affectation matrice],$AB$3,Fonctionnement[TVA acquittée])+SUMIF(Invest[Affectation matrice],$AB$3,Invest[TVA acquittée]))*BY29</f>
        <v>0</v>
      </c>
      <c r="DA29" s="200">
        <f>(SUMIF(Fonctionnement[Affectation matrice],$AB$3,Fonctionnement[TVA acquittée])+SUMIF(Invest[Affectation matrice],$AB$3,Invest[TVA acquittée]))*BZ29</f>
        <v>0</v>
      </c>
      <c r="DB29" s="200">
        <f>(SUMIF(Fonctionnement[Affectation matrice],$AB$3,Fonctionnement[TVA acquittée])+SUMIF(Invest[Affectation matrice],$AB$3,Invest[TVA acquittée]))*CA29</f>
        <v>0</v>
      </c>
    </row>
    <row r="30" spans="1:106" s="22" customFormat="1" ht="12.75" hidden="1" customHeight="1" x14ac:dyDescent="0.25">
      <c r="A30" s="42" t="str">
        <f>Matrice[[#This Row],[Ligne de la matrice]]</f>
        <v>Tous soutiens des sociétés agréées</v>
      </c>
      <c r="B30" s="276">
        <f>(SUMIF(Fonctionnement[Affectation matrice],$AB$3,Fonctionnement[Montant (€HT)])+SUMIF(Invest[Affectation matrice],$AB$3,Invest[Amortissement HT + intérêts]))*BC30</f>
        <v>0</v>
      </c>
      <c r="C30" s="276">
        <f>(SUMIF(Fonctionnement[Affectation matrice],$AB$3,Fonctionnement[Montant (€HT)])+SUMIF(Invest[Affectation matrice],$AB$3,Invest[Amortissement HT + intérêts]))*BD30</f>
        <v>0</v>
      </c>
      <c r="D30" s="276">
        <f>(SUMIF(Fonctionnement[Affectation matrice],$AB$3,Fonctionnement[Montant (€HT)])+SUMIF(Invest[Affectation matrice],$AB$3,Invest[Amortissement HT + intérêts]))*BE30</f>
        <v>0</v>
      </c>
      <c r="E30" s="276">
        <f>(SUMIF(Fonctionnement[Affectation matrice],$AB$3,Fonctionnement[Montant (€HT)])+SUMIF(Invest[Affectation matrice],$AB$3,Invest[Amortissement HT + intérêts]))*BF30</f>
        <v>0</v>
      </c>
      <c r="F30" s="276">
        <f>(SUMIF(Fonctionnement[Affectation matrice],$AB$3,Fonctionnement[Montant (€HT)])+SUMIF(Invest[Affectation matrice],$AB$3,Invest[Amortissement HT + intérêts]))*BG30</f>
        <v>0</v>
      </c>
      <c r="G30" s="276">
        <f>(SUMIF(Fonctionnement[Affectation matrice],$AB$3,Fonctionnement[Montant (€HT)])+SUMIF(Invest[Affectation matrice],$AB$3,Invest[Amortissement HT + intérêts]))*BH30</f>
        <v>0</v>
      </c>
      <c r="H30" s="276">
        <f>(SUMIF(Fonctionnement[Affectation matrice],$AB$3,Fonctionnement[Montant (€HT)])+SUMIF(Invest[Affectation matrice],$AB$3,Invest[Amortissement HT + intérêts]))*BI30</f>
        <v>0</v>
      </c>
      <c r="I30" s="276">
        <f>(SUMIF(Fonctionnement[Affectation matrice],$AB$3,Fonctionnement[Montant (€HT)])+SUMIF(Invest[Affectation matrice],$AB$3,Invest[Amortissement HT + intérêts]))*BJ30</f>
        <v>0</v>
      </c>
      <c r="J30" s="276">
        <f>(SUMIF(Fonctionnement[Affectation matrice],$AB$3,Fonctionnement[Montant (€HT)])+SUMIF(Invest[Affectation matrice],$AB$3,Invest[Amortissement HT + intérêts]))*BK30</f>
        <v>0</v>
      </c>
      <c r="K30" s="276">
        <f>(SUMIF(Fonctionnement[Affectation matrice],$AB$3,Fonctionnement[Montant (€HT)])+SUMIF(Invest[Affectation matrice],$AB$3,Invest[Amortissement HT + intérêts]))*BL30</f>
        <v>0</v>
      </c>
      <c r="L30" s="276">
        <f>(SUMIF(Fonctionnement[Affectation matrice],$AB$3,Fonctionnement[Montant (€HT)])+SUMIF(Invest[Affectation matrice],$AB$3,Invest[Amortissement HT + intérêts]))*BM30</f>
        <v>0</v>
      </c>
      <c r="M30" s="276">
        <f>(SUMIF(Fonctionnement[Affectation matrice],$AB$3,Fonctionnement[Montant (€HT)])+SUMIF(Invest[Affectation matrice],$AB$3,Invest[Amortissement HT + intérêts]))*BN30</f>
        <v>0</v>
      </c>
      <c r="N30" s="276">
        <f>(SUMIF(Fonctionnement[Affectation matrice],$AB$3,Fonctionnement[Montant (€HT)])+SUMIF(Invest[Affectation matrice],$AB$3,Invest[Amortissement HT + intérêts]))*BO30</f>
        <v>0</v>
      </c>
      <c r="O30" s="276">
        <f>(SUMIF(Fonctionnement[Affectation matrice],$AB$3,Fonctionnement[Montant (€HT)])+SUMIF(Invest[Affectation matrice],$AB$3,Invest[Amortissement HT + intérêts]))*BP30</f>
        <v>0</v>
      </c>
      <c r="P30" s="276">
        <f>(SUMIF(Fonctionnement[Affectation matrice],$AB$3,Fonctionnement[Montant (€HT)])+SUMIF(Invest[Affectation matrice],$AB$3,Invest[Amortissement HT + intérêts]))*BQ30</f>
        <v>0</v>
      </c>
      <c r="Q30" s="276">
        <f>(SUMIF(Fonctionnement[Affectation matrice],$AB$3,Fonctionnement[Montant (€HT)])+SUMIF(Invest[Affectation matrice],$AB$3,Invest[Amortissement HT + intérêts]))*BR30</f>
        <v>0</v>
      </c>
      <c r="R30" s="276">
        <f>(SUMIF(Fonctionnement[Affectation matrice],$AB$3,Fonctionnement[Montant (€HT)])+SUMIF(Invest[Affectation matrice],$AB$3,Invest[Amortissement HT + intérêts]))*BS30</f>
        <v>0</v>
      </c>
      <c r="S30" s="276">
        <f>(SUMIF(Fonctionnement[Affectation matrice],$AB$3,Fonctionnement[Montant (€HT)])+SUMIF(Invest[Affectation matrice],$AB$3,Invest[Amortissement HT + intérêts]))*BT30</f>
        <v>0</v>
      </c>
      <c r="T30" s="276">
        <f>(SUMIF(Fonctionnement[Affectation matrice],$AB$3,Fonctionnement[Montant (€HT)])+SUMIF(Invest[Affectation matrice],$AB$3,Invest[Amortissement HT + intérêts]))*BU30</f>
        <v>0</v>
      </c>
      <c r="U30" s="276">
        <f>(SUMIF(Fonctionnement[Affectation matrice],$AB$3,Fonctionnement[Montant (€HT)])+SUMIF(Invest[Affectation matrice],$AB$3,Invest[Amortissement HT + intérêts]))*BV30</f>
        <v>0</v>
      </c>
      <c r="V30" s="276">
        <f>(SUMIF(Fonctionnement[Affectation matrice],$AB$3,Fonctionnement[Montant (€HT)])+SUMIF(Invest[Affectation matrice],$AB$3,Invest[Amortissement HT + intérêts]))*BW30</f>
        <v>0</v>
      </c>
      <c r="W30" s="276">
        <f>(SUMIF(Fonctionnement[Affectation matrice],$AB$3,Fonctionnement[Montant (€HT)])+SUMIF(Invest[Affectation matrice],$AB$3,Invest[Amortissement HT + intérêts]))*BX30</f>
        <v>0</v>
      </c>
      <c r="X30" s="276">
        <f>(SUMIF(Fonctionnement[Affectation matrice],$AB$3,Fonctionnement[Montant (€HT)])+SUMIF(Invest[Affectation matrice],$AB$3,Invest[Amortissement HT + intérêts]))*BY30</f>
        <v>0</v>
      </c>
      <c r="Y30" s="276">
        <f>(SUMIF(Fonctionnement[Affectation matrice],$AB$3,Fonctionnement[Montant (€HT)])+SUMIF(Invest[Affectation matrice],$AB$3,Invest[Amortissement HT + intérêts]))*BZ30</f>
        <v>0</v>
      </c>
      <c r="Z30" s="276">
        <f>(SUMIF(Fonctionnement[Affectation matrice],$AB$3,Fonctionnement[Montant (€HT)])+SUMIF(Invest[Affectation matrice],$AB$3,Invest[Amortissement HT + intérêts]))*CA30</f>
        <v>0</v>
      </c>
      <c r="AA30" s="199"/>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283">
        <f t="shared" si="4"/>
        <v>0</v>
      </c>
      <c r="BB30" s="7"/>
      <c r="BC30" s="61">
        <f t="shared" si="8"/>
        <v>0</v>
      </c>
      <c r="BD30" s="61">
        <f t="shared" si="8"/>
        <v>0</v>
      </c>
      <c r="BE30" s="61">
        <f t="shared" si="8"/>
        <v>0</v>
      </c>
      <c r="BF30" s="61">
        <f t="shared" si="8"/>
        <v>0</v>
      </c>
      <c r="BG30" s="61">
        <f t="shared" si="8"/>
        <v>0</v>
      </c>
      <c r="BH30" s="61">
        <f t="shared" si="8"/>
        <v>0</v>
      </c>
      <c r="BI30" s="61">
        <f t="shared" si="8"/>
        <v>0</v>
      </c>
      <c r="BJ30" s="61">
        <f t="shared" si="8"/>
        <v>0</v>
      </c>
      <c r="BK30" s="61">
        <f t="shared" si="8"/>
        <v>0</v>
      </c>
      <c r="BL30" s="61">
        <f t="shared" si="8"/>
        <v>0</v>
      </c>
      <c r="BM30" s="61">
        <f t="shared" si="8"/>
        <v>0</v>
      </c>
      <c r="BN30" s="61">
        <f t="shared" si="8"/>
        <v>0</v>
      </c>
      <c r="BO30" s="61">
        <f t="shared" si="8"/>
        <v>0</v>
      </c>
      <c r="BP30" s="61">
        <f t="shared" si="8"/>
        <v>0</v>
      </c>
      <c r="BQ30" s="61">
        <f t="shared" si="8"/>
        <v>0</v>
      </c>
      <c r="BR30" s="61">
        <f t="shared" si="8"/>
        <v>0</v>
      </c>
      <c r="BS30" s="61">
        <f t="shared" si="9"/>
        <v>0</v>
      </c>
      <c r="BT30" s="61">
        <f t="shared" si="9"/>
        <v>0</v>
      </c>
      <c r="BU30" s="61">
        <f t="shared" si="9"/>
        <v>0</v>
      </c>
      <c r="BV30" s="61">
        <f t="shared" si="9"/>
        <v>0</v>
      </c>
      <c r="BW30" s="61">
        <f t="shared" si="9"/>
        <v>0</v>
      </c>
      <c r="BX30" s="61">
        <f t="shared" si="9"/>
        <v>0</v>
      </c>
      <c r="BY30" s="61">
        <f t="shared" si="9"/>
        <v>0</v>
      </c>
      <c r="BZ30" s="61">
        <f t="shared" si="9"/>
        <v>0</v>
      </c>
      <c r="CA30" s="61">
        <f t="shared" si="9"/>
        <v>0</v>
      </c>
      <c r="CB30" s="61">
        <f t="shared" si="5"/>
        <v>0</v>
      </c>
      <c r="CD30" s="200">
        <f>(SUMIF(Fonctionnement[Affectation matrice],$AB$3,Fonctionnement[TVA acquittée])+SUMIF(Invest[Affectation matrice],$AB$3,Invest[TVA acquittée]))*BC30</f>
        <v>0</v>
      </c>
      <c r="CE30" s="200">
        <f>(SUMIF(Fonctionnement[Affectation matrice],$AB$3,Fonctionnement[TVA acquittée])+SUMIF(Invest[Affectation matrice],$AB$3,Invest[TVA acquittée]))*BD30</f>
        <v>0</v>
      </c>
      <c r="CF30" s="200">
        <f>(SUMIF(Fonctionnement[Affectation matrice],$AB$3,Fonctionnement[TVA acquittée])+SUMIF(Invest[Affectation matrice],$AB$3,Invest[TVA acquittée]))*BE30</f>
        <v>0</v>
      </c>
      <c r="CG30" s="200">
        <f>(SUMIF(Fonctionnement[Affectation matrice],$AB$3,Fonctionnement[TVA acquittée])+SUMIF(Invest[Affectation matrice],$AB$3,Invest[TVA acquittée]))*BF30</f>
        <v>0</v>
      </c>
      <c r="CH30" s="200">
        <f>(SUMIF(Fonctionnement[Affectation matrice],$AB$3,Fonctionnement[TVA acquittée])+SUMIF(Invest[Affectation matrice],$AB$3,Invest[TVA acquittée]))*BG30</f>
        <v>0</v>
      </c>
      <c r="CI30" s="200">
        <f>(SUMIF(Fonctionnement[Affectation matrice],$AB$3,Fonctionnement[TVA acquittée])+SUMIF(Invest[Affectation matrice],$AB$3,Invest[TVA acquittée]))*BH30</f>
        <v>0</v>
      </c>
      <c r="CJ30" s="200">
        <f>(SUMIF(Fonctionnement[Affectation matrice],$AB$3,Fonctionnement[TVA acquittée])+SUMIF(Invest[Affectation matrice],$AB$3,Invest[TVA acquittée]))*BI30</f>
        <v>0</v>
      </c>
      <c r="CK30" s="200">
        <f>(SUMIF(Fonctionnement[Affectation matrice],$AB$3,Fonctionnement[TVA acquittée])+SUMIF(Invest[Affectation matrice],$AB$3,Invest[TVA acquittée]))*BJ30</f>
        <v>0</v>
      </c>
      <c r="CL30" s="200">
        <f>(SUMIF(Fonctionnement[Affectation matrice],$AB$3,Fonctionnement[TVA acquittée])+SUMIF(Invest[Affectation matrice],$AB$3,Invest[TVA acquittée]))*BK30</f>
        <v>0</v>
      </c>
      <c r="CM30" s="200">
        <f>(SUMIF(Fonctionnement[Affectation matrice],$AB$3,Fonctionnement[TVA acquittée])+SUMIF(Invest[Affectation matrice],$AB$3,Invest[TVA acquittée]))*BL30</f>
        <v>0</v>
      </c>
      <c r="CN30" s="200">
        <f>(SUMIF(Fonctionnement[Affectation matrice],$AB$3,Fonctionnement[TVA acquittée])+SUMIF(Invest[Affectation matrice],$AB$3,Invest[TVA acquittée]))*BM30</f>
        <v>0</v>
      </c>
      <c r="CO30" s="200">
        <f>(SUMIF(Fonctionnement[Affectation matrice],$AB$3,Fonctionnement[TVA acquittée])+SUMIF(Invest[Affectation matrice],$AB$3,Invest[TVA acquittée]))*BN30</f>
        <v>0</v>
      </c>
      <c r="CP30" s="200">
        <f>(SUMIF(Fonctionnement[Affectation matrice],$AB$3,Fonctionnement[TVA acquittée])+SUMIF(Invest[Affectation matrice],$AB$3,Invest[TVA acquittée]))*BO30</f>
        <v>0</v>
      </c>
      <c r="CQ30" s="200">
        <f>(SUMIF(Fonctionnement[Affectation matrice],$AB$3,Fonctionnement[TVA acquittée])+SUMIF(Invest[Affectation matrice],$AB$3,Invest[TVA acquittée]))*BP30</f>
        <v>0</v>
      </c>
      <c r="CR30" s="200">
        <f>(SUMIF(Fonctionnement[Affectation matrice],$AB$3,Fonctionnement[TVA acquittée])+SUMIF(Invest[Affectation matrice],$AB$3,Invest[TVA acquittée]))*BQ30</f>
        <v>0</v>
      </c>
      <c r="CS30" s="200">
        <f>(SUMIF(Fonctionnement[Affectation matrice],$AB$3,Fonctionnement[TVA acquittée])+SUMIF(Invest[Affectation matrice],$AB$3,Invest[TVA acquittée]))*BR30</f>
        <v>0</v>
      </c>
      <c r="CT30" s="200">
        <f>(SUMIF(Fonctionnement[Affectation matrice],$AB$3,Fonctionnement[TVA acquittée])+SUMIF(Invest[Affectation matrice],$AB$3,Invest[TVA acquittée]))*BS30</f>
        <v>0</v>
      </c>
      <c r="CU30" s="200">
        <f>(SUMIF(Fonctionnement[Affectation matrice],$AB$3,Fonctionnement[TVA acquittée])+SUMIF(Invest[Affectation matrice],$AB$3,Invest[TVA acquittée]))*BT30</f>
        <v>0</v>
      </c>
      <c r="CV30" s="200">
        <f>(SUMIF(Fonctionnement[Affectation matrice],$AB$3,Fonctionnement[TVA acquittée])+SUMIF(Invest[Affectation matrice],$AB$3,Invest[TVA acquittée]))*BU30</f>
        <v>0</v>
      </c>
      <c r="CW30" s="200">
        <f>(SUMIF(Fonctionnement[Affectation matrice],$AB$3,Fonctionnement[TVA acquittée])+SUMIF(Invest[Affectation matrice],$AB$3,Invest[TVA acquittée]))*BV30</f>
        <v>0</v>
      </c>
      <c r="CX30" s="200">
        <f>(SUMIF(Fonctionnement[Affectation matrice],$AB$3,Fonctionnement[TVA acquittée])+SUMIF(Invest[Affectation matrice],$AB$3,Invest[TVA acquittée]))*BW30</f>
        <v>0</v>
      </c>
      <c r="CY30" s="200">
        <f>(SUMIF(Fonctionnement[Affectation matrice],$AB$3,Fonctionnement[TVA acquittée])+SUMIF(Invest[Affectation matrice],$AB$3,Invest[TVA acquittée]))*BX30</f>
        <v>0</v>
      </c>
      <c r="CZ30" s="200">
        <f>(SUMIF(Fonctionnement[Affectation matrice],$AB$3,Fonctionnement[TVA acquittée])+SUMIF(Invest[Affectation matrice],$AB$3,Invest[TVA acquittée]))*BY30</f>
        <v>0</v>
      </c>
      <c r="DA30" s="200">
        <f>(SUMIF(Fonctionnement[Affectation matrice],$AB$3,Fonctionnement[TVA acquittée])+SUMIF(Invest[Affectation matrice],$AB$3,Invest[TVA acquittée]))*BZ30</f>
        <v>0</v>
      </c>
      <c r="DB30" s="200">
        <f>(SUMIF(Fonctionnement[Affectation matrice],$AB$3,Fonctionnement[TVA acquittée])+SUMIF(Invest[Affectation matrice],$AB$3,Invest[TVA acquittée]))*CA30</f>
        <v>0</v>
      </c>
    </row>
    <row r="31" spans="1:106" s="22" customFormat="1" ht="12.75" hidden="1" customHeight="1" x14ac:dyDescent="0.25">
      <c r="A31" s="42" t="str">
        <f>Matrice[[#This Row],[Ligne de la matrice]]</f>
        <v>Reprises des subventions d'investissement</v>
      </c>
      <c r="B31" s="276">
        <f>(SUMIF(Fonctionnement[Affectation matrice],$AB$3,Fonctionnement[Montant (€HT)])+SUMIF(Invest[Affectation matrice],$AB$3,Invest[Amortissement HT + intérêts]))*BC31</f>
        <v>0</v>
      </c>
      <c r="C31" s="276">
        <f>(SUMIF(Fonctionnement[Affectation matrice],$AB$3,Fonctionnement[Montant (€HT)])+SUMIF(Invest[Affectation matrice],$AB$3,Invest[Amortissement HT + intérêts]))*BD31</f>
        <v>0</v>
      </c>
      <c r="D31" s="276">
        <f>(SUMIF(Fonctionnement[Affectation matrice],$AB$3,Fonctionnement[Montant (€HT)])+SUMIF(Invest[Affectation matrice],$AB$3,Invest[Amortissement HT + intérêts]))*BE31</f>
        <v>0</v>
      </c>
      <c r="E31" s="276">
        <f>(SUMIF(Fonctionnement[Affectation matrice],$AB$3,Fonctionnement[Montant (€HT)])+SUMIF(Invest[Affectation matrice],$AB$3,Invest[Amortissement HT + intérêts]))*BF31</f>
        <v>0</v>
      </c>
      <c r="F31" s="276">
        <f>(SUMIF(Fonctionnement[Affectation matrice],$AB$3,Fonctionnement[Montant (€HT)])+SUMIF(Invest[Affectation matrice],$AB$3,Invest[Amortissement HT + intérêts]))*BG31</f>
        <v>0</v>
      </c>
      <c r="G31" s="276">
        <f>(SUMIF(Fonctionnement[Affectation matrice],$AB$3,Fonctionnement[Montant (€HT)])+SUMIF(Invest[Affectation matrice],$AB$3,Invest[Amortissement HT + intérêts]))*BH31</f>
        <v>0</v>
      </c>
      <c r="H31" s="276">
        <f>(SUMIF(Fonctionnement[Affectation matrice],$AB$3,Fonctionnement[Montant (€HT)])+SUMIF(Invest[Affectation matrice],$AB$3,Invest[Amortissement HT + intérêts]))*BI31</f>
        <v>0</v>
      </c>
      <c r="I31" s="276">
        <f>(SUMIF(Fonctionnement[Affectation matrice],$AB$3,Fonctionnement[Montant (€HT)])+SUMIF(Invest[Affectation matrice],$AB$3,Invest[Amortissement HT + intérêts]))*BJ31</f>
        <v>0</v>
      </c>
      <c r="J31" s="276">
        <f>(SUMIF(Fonctionnement[Affectation matrice],$AB$3,Fonctionnement[Montant (€HT)])+SUMIF(Invest[Affectation matrice],$AB$3,Invest[Amortissement HT + intérêts]))*BK31</f>
        <v>0</v>
      </c>
      <c r="K31" s="276">
        <f>(SUMIF(Fonctionnement[Affectation matrice],$AB$3,Fonctionnement[Montant (€HT)])+SUMIF(Invest[Affectation matrice],$AB$3,Invest[Amortissement HT + intérêts]))*BL31</f>
        <v>0</v>
      </c>
      <c r="L31" s="276">
        <f>(SUMIF(Fonctionnement[Affectation matrice],$AB$3,Fonctionnement[Montant (€HT)])+SUMIF(Invest[Affectation matrice],$AB$3,Invest[Amortissement HT + intérêts]))*BM31</f>
        <v>0</v>
      </c>
      <c r="M31" s="276">
        <f>(SUMIF(Fonctionnement[Affectation matrice],$AB$3,Fonctionnement[Montant (€HT)])+SUMIF(Invest[Affectation matrice],$AB$3,Invest[Amortissement HT + intérêts]))*BN31</f>
        <v>0</v>
      </c>
      <c r="N31" s="276">
        <f>(SUMIF(Fonctionnement[Affectation matrice],$AB$3,Fonctionnement[Montant (€HT)])+SUMIF(Invest[Affectation matrice],$AB$3,Invest[Amortissement HT + intérêts]))*BO31</f>
        <v>0</v>
      </c>
      <c r="O31" s="276">
        <f>(SUMIF(Fonctionnement[Affectation matrice],$AB$3,Fonctionnement[Montant (€HT)])+SUMIF(Invest[Affectation matrice],$AB$3,Invest[Amortissement HT + intérêts]))*BP31</f>
        <v>0</v>
      </c>
      <c r="P31" s="276">
        <f>(SUMIF(Fonctionnement[Affectation matrice],$AB$3,Fonctionnement[Montant (€HT)])+SUMIF(Invest[Affectation matrice],$AB$3,Invest[Amortissement HT + intérêts]))*BQ31</f>
        <v>0</v>
      </c>
      <c r="Q31" s="276">
        <f>(SUMIF(Fonctionnement[Affectation matrice],$AB$3,Fonctionnement[Montant (€HT)])+SUMIF(Invest[Affectation matrice],$AB$3,Invest[Amortissement HT + intérêts]))*BR31</f>
        <v>0</v>
      </c>
      <c r="R31" s="276">
        <f>(SUMIF(Fonctionnement[Affectation matrice],$AB$3,Fonctionnement[Montant (€HT)])+SUMIF(Invest[Affectation matrice],$AB$3,Invest[Amortissement HT + intérêts]))*BS31</f>
        <v>0</v>
      </c>
      <c r="S31" s="276">
        <f>(SUMIF(Fonctionnement[Affectation matrice],$AB$3,Fonctionnement[Montant (€HT)])+SUMIF(Invest[Affectation matrice],$AB$3,Invest[Amortissement HT + intérêts]))*BT31</f>
        <v>0</v>
      </c>
      <c r="T31" s="276">
        <f>(SUMIF(Fonctionnement[Affectation matrice],$AB$3,Fonctionnement[Montant (€HT)])+SUMIF(Invest[Affectation matrice],$AB$3,Invest[Amortissement HT + intérêts]))*BU31</f>
        <v>0</v>
      </c>
      <c r="U31" s="276">
        <f>(SUMIF(Fonctionnement[Affectation matrice],$AB$3,Fonctionnement[Montant (€HT)])+SUMIF(Invest[Affectation matrice],$AB$3,Invest[Amortissement HT + intérêts]))*BV31</f>
        <v>0</v>
      </c>
      <c r="V31" s="276">
        <f>(SUMIF(Fonctionnement[Affectation matrice],$AB$3,Fonctionnement[Montant (€HT)])+SUMIF(Invest[Affectation matrice],$AB$3,Invest[Amortissement HT + intérêts]))*BW31</f>
        <v>0</v>
      </c>
      <c r="W31" s="276">
        <f>(SUMIF(Fonctionnement[Affectation matrice],$AB$3,Fonctionnement[Montant (€HT)])+SUMIF(Invest[Affectation matrice],$AB$3,Invest[Amortissement HT + intérêts]))*BX31</f>
        <v>0</v>
      </c>
      <c r="X31" s="276">
        <f>(SUMIF(Fonctionnement[Affectation matrice],$AB$3,Fonctionnement[Montant (€HT)])+SUMIF(Invest[Affectation matrice],$AB$3,Invest[Amortissement HT + intérêts]))*BY31</f>
        <v>0</v>
      </c>
      <c r="Y31" s="276">
        <f>(SUMIF(Fonctionnement[Affectation matrice],$AB$3,Fonctionnement[Montant (€HT)])+SUMIF(Invest[Affectation matrice],$AB$3,Invest[Amortissement HT + intérêts]))*BZ31</f>
        <v>0</v>
      </c>
      <c r="Z31" s="276">
        <f>(SUMIF(Fonctionnement[Affectation matrice],$AB$3,Fonctionnement[Montant (€HT)])+SUMIF(Invest[Affectation matrice],$AB$3,Invest[Amortissement HT + intérêts]))*CA31</f>
        <v>0</v>
      </c>
      <c r="AA31" s="199"/>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283">
        <f t="shared" si="4"/>
        <v>0</v>
      </c>
      <c r="BB31" s="7"/>
      <c r="BC31" s="61">
        <f t="shared" si="8"/>
        <v>0</v>
      </c>
      <c r="BD31" s="61">
        <f t="shared" si="8"/>
        <v>0</v>
      </c>
      <c r="BE31" s="61">
        <f t="shared" si="8"/>
        <v>0</v>
      </c>
      <c r="BF31" s="61">
        <f t="shared" si="8"/>
        <v>0</v>
      </c>
      <c r="BG31" s="61">
        <f t="shared" si="8"/>
        <v>0</v>
      </c>
      <c r="BH31" s="61">
        <f t="shared" si="8"/>
        <v>0</v>
      </c>
      <c r="BI31" s="61">
        <f t="shared" si="8"/>
        <v>0</v>
      </c>
      <c r="BJ31" s="61">
        <f t="shared" si="8"/>
        <v>0</v>
      </c>
      <c r="BK31" s="61">
        <f t="shared" si="8"/>
        <v>0</v>
      </c>
      <c r="BL31" s="61">
        <f t="shared" si="8"/>
        <v>0</v>
      </c>
      <c r="BM31" s="61">
        <f t="shared" si="8"/>
        <v>0</v>
      </c>
      <c r="BN31" s="61">
        <f t="shared" si="8"/>
        <v>0</v>
      </c>
      <c r="BO31" s="61">
        <f t="shared" si="8"/>
        <v>0</v>
      </c>
      <c r="BP31" s="61">
        <f t="shared" si="8"/>
        <v>0</v>
      </c>
      <c r="BQ31" s="61">
        <f t="shared" si="8"/>
        <v>0</v>
      </c>
      <c r="BR31" s="61">
        <f t="shared" si="8"/>
        <v>0</v>
      </c>
      <c r="BS31" s="61">
        <f t="shared" si="9"/>
        <v>0</v>
      </c>
      <c r="BT31" s="61">
        <f t="shared" si="9"/>
        <v>0</v>
      </c>
      <c r="BU31" s="61">
        <f t="shared" si="9"/>
        <v>0</v>
      </c>
      <c r="BV31" s="61">
        <f t="shared" si="9"/>
        <v>0</v>
      </c>
      <c r="BW31" s="61">
        <f t="shared" si="9"/>
        <v>0</v>
      </c>
      <c r="BX31" s="61">
        <f t="shared" si="9"/>
        <v>0</v>
      </c>
      <c r="BY31" s="61">
        <f t="shared" si="9"/>
        <v>0</v>
      </c>
      <c r="BZ31" s="61">
        <f t="shared" si="9"/>
        <v>0</v>
      </c>
      <c r="CA31" s="61">
        <f t="shared" si="9"/>
        <v>0</v>
      </c>
      <c r="CB31" s="61">
        <f t="shared" si="5"/>
        <v>0</v>
      </c>
      <c r="CD31" s="200">
        <f>(SUMIF(Fonctionnement[Affectation matrice],$AB$3,Fonctionnement[TVA acquittée])+SUMIF(Invest[Affectation matrice],$AB$3,Invest[TVA acquittée]))*BC31</f>
        <v>0</v>
      </c>
      <c r="CE31" s="200">
        <f>(SUMIF(Fonctionnement[Affectation matrice],$AB$3,Fonctionnement[TVA acquittée])+SUMIF(Invest[Affectation matrice],$AB$3,Invest[TVA acquittée]))*BD31</f>
        <v>0</v>
      </c>
      <c r="CF31" s="200">
        <f>(SUMIF(Fonctionnement[Affectation matrice],$AB$3,Fonctionnement[TVA acquittée])+SUMIF(Invest[Affectation matrice],$AB$3,Invest[TVA acquittée]))*BE31</f>
        <v>0</v>
      </c>
      <c r="CG31" s="200">
        <f>(SUMIF(Fonctionnement[Affectation matrice],$AB$3,Fonctionnement[TVA acquittée])+SUMIF(Invest[Affectation matrice],$AB$3,Invest[TVA acquittée]))*BF31</f>
        <v>0</v>
      </c>
      <c r="CH31" s="200">
        <f>(SUMIF(Fonctionnement[Affectation matrice],$AB$3,Fonctionnement[TVA acquittée])+SUMIF(Invest[Affectation matrice],$AB$3,Invest[TVA acquittée]))*BG31</f>
        <v>0</v>
      </c>
      <c r="CI31" s="200">
        <f>(SUMIF(Fonctionnement[Affectation matrice],$AB$3,Fonctionnement[TVA acquittée])+SUMIF(Invest[Affectation matrice],$AB$3,Invest[TVA acquittée]))*BH31</f>
        <v>0</v>
      </c>
      <c r="CJ31" s="200">
        <f>(SUMIF(Fonctionnement[Affectation matrice],$AB$3,Fonctionnement[TVA acquittée])+SUMIF(Invest[Affectation matrice],$AB$3,Invest[TVA acquittée]))*BI31</f>
        <v>0</v>
      </c>
      <c r="CK31" s="200">
        <f>(SUMIF(Fonctionnement[Affectation matrice],$AB$3,Fonctionnement[TVA acquittée])+SUMIF(Invest[Affectation matrice],$AB$3,Invest[TVA acquittée]))*BJ31</f>
        <v>0</v>
      </c>
      <c r="CL31" s="200">
        <f>(SUMIF(Fonctionnement[Affectation matrice],$AB$3,Fonctionnement[TVA acquittée])+SUMIF(Invest[Affectation matrice],$AB$3,Invest[TVA acquittée]))*BK31</f>
        <v>0</v>
      </c>
      <c r="CM31" s="200">
        <f>(SUMIF(Fonctionnement[Affectation matrice],$AB$3,Fonctionnement[TVA acquittée])+SUMIF(Invest[Affectation matrice],$AB$3,Invest[TVA acquittée]))*BL31</f>
        <v>0</v>
      </c>
      <c r="CN31" s="200">
        <f>(SUMIF(Fonctionnement[Affectation matrice],$AB$3,Fonctionnement[TVA acquittée])+SUMIF(Invest[Affectation matrice],$AB$3,Invest[TVA acquittée]))*BM31</f>
        <v>0</v>
      </c>
      <c r="CO31" s="200">
        <f>(SUMIF(Fonctionnement[Affectation matrice],$AB$3,Fonctionnement[TVA acquittée])+SUMIF(Invest[Affectation matrice],$AB$3,Invest[TVA acquittée]))*BN31</f>
        <v>0</v>
      </c>
      <c r="CP31" s="200">
        <f>(SUMIF(Fonctionnement[Affectation matrice],$AB$3,Fonctionnement[TVA acquittée])+SUMIF(Invest[Affectation matrice],$AB$3,Invest[TVA acquittée]))*BO31</f>
        <v>0</v>
      </c>
      <c r="CQ31" s="200">
        <f>(SUMIF(Fonctionnement[Affectation matrice],$AB$3,Fonctionnement[TVA acquittée])+SUMIF(Invest[Affectation matrice],$AB$3,Invest[TVA acquittée]))*BP31</f>
        <v>0</v>
      </c>
      <c r="CR31" s="200">
        <f>(SUMIF(Fonctionnement[Affectation matrice],$AB$3,Fonctionnement[TVA acquittée])+SUMIF(Invest[Affectation matrice],$AB$3,Invest[TVA acquittée]))*BQ31</f>
        <v>0</v>
      </c>
      <c r="CS31" s="200">
        <f>(SUMIF(Fonctionnement[Affectation matrice],$AB$3,Fonctionnement[TVA acquittée])+SUMIF(Invest[Affectation matrice],$AB$3,Invest[TVA acquittée]))*BR31</f>
        <v>0</v>
      </c>
      <c r="CT31" s="200">
        <f>(SUMIF(Fonctionnement[Affectation matrice],$AB$3,Fonctionnement[TVA acquittée])+SUMIF(Invest[Affectation matrice],$AB$3,Invest[TVA acquittée]))*BS31</f>
        <v>0</v>
      </c>
      <c r="CU31" s="200">
        <f>(SUMIF(Fonctionnement[Affectation matrice],$AB$3,Fonctionnement[TVA acquittée])+SUMIF(Invest[Affectation matrice],$AB$3,Invest[TVA acquittée]))*BT31</f>
        <v>0</v>
      </c>
      <c r="CV31" s="200">
        <f>(SUMIF(Fonctionnement[Affectation matrice],$AB$3,Fonctionnement[TVA acquittée])+SUMIF(Invest[Affectation matrice],$AB$3,Invest[TVA acquittée]))*BU31</f>
        <v>0</v>
      </c>
      <c r="CW31" s="200">
        <f>(SUMIF(Fonctionnement[Affectation matrice],$AB$3,Fonctionnement[TVA acquittée])+SUMIF(Invest[Affectation matrice],$AB$3,Invest[TVA acquittée]))*BV31</f>
        <v>0</v>
      </c>
      <c r="CX31" s="200">
        <f>(SUMIF(Fonctionnement[Affectation matrice],$AB$3,Fonctionnement[TVA acquittée])+SUMIF(Invest[Affectation matrice],$AB$3,Invest[TVA acquittée]))*BW31</f>
        <v>0</v>
      </c>
      <c r="CY31" s="200">
        <f>(SUMIF(Fonctionnement[Affectation matrice],$AB$3,Fonctionnement[TVA acquittée])+SUMIF(Invest[Affectation matrice],$AB$3,Invest[TVA acquittée]))*BX31</f>
        <v>0</v>
      </c>
      <c r="CZ31" s="200">
        <f>(SUMIF(Fonctionnement[Affectation matrice],$AB$3,Fonctionnement[TVA acquittée])+SUMIF(Invest[Affectation matrice],$AB$3,Invest[TVA acquittée]))*BY31</f>
        <v>0</v>
      </c>
      <c r="DA31" s="200">
        <f>(SUMIF(Fonctionnement[Affectation matrice],$AB$3,Fonctionnement[TVA acquittée])+SUMIF(Invest[Affectation matrice],$AB$3,Invest[TVA acquittée]))*BZ31</f>
        <v>0</v>
      </c>
      <c r="DB31" s="200">
        <f>(SUMIF(Fonctionnement[Affectation matrice],$AB$3,Fonctionnement[TVA acquittée])+SUMIF(Invest[Affectation matrice],$AB$3,Invest[TVA acquittée]))*CA31</f>
        <v>0</v>
      </c>
    </row>
    <row r="32" spans="1:106" s="22" customFormat="1" ht="12.75" hidden="1" customHeight="1" x14ac:dyDescent="0.25">
      <c r="A32" s="42" t="str">
        <f>Matrice[[#This Row],[Ligne de la matrice]]</f>
        <v>Subventions de fonctionnement</v>
      </c>
      <c r="B32" s="276">
        <f>(SUMIF(Fonctionnement[Affectation matrice],$AB$3,Fonctionnement[Montant (€HT)])+SUMIF(Invest[Affectation matrice],$AB$3,Invest[Amortissement HT + intérêts]))*BC32</f>
        <v>0</v>
      </c>
      <c r="C32" s="276">
        <f>(SUMIF(Fonctionnement[Affectation matrice],$AB$3,Fonctionnement[Montant (€HT)])+SUMIF(Invest[Affectation matrice],$AB$3,Invest[Amortissement HT + intérêts]))*BD32</f>
        <v>0</v>
      </c>
      <c r="D32" s="276">
        <f>(SUMIF(Fonctionnement[Affectation matrice],$AB$3,Fonctionnement[Montant (€HT)])+SUMIF(Invest[Affectation matrice],$AB$3,Invest[Amortissement HT + intérêts]))*BE32</f>
        <v>0</v>
      </c>
      <c r="E32" s="276">
        <f>(SUMIF(Fonctionnement[Affectation matrice],$AB$3,Fonctionnement[Montant (€HT)])+SUMIF(Invest[Affectation matrice],$AB$3,Invest[Amortissement HT + intérêts]))*BF32</f>
        <v>0</v>
      </c>
      <c r="F32" s="276">
        <f>(SUMIF(Fonctionnement[Affectation matrice],$AB$3,Fonctionnement[Montant (€HT)])+SUMIF(Invest[Affectation matrice],$AB$3,Invest[Amortissement HT + intérêts]))*BG32</f>
        <v>0</v>
      </c>
      <c r="G32" s="276">
        <f>(SUMIF(Fonctionnement[Affectation matrice],$AB$3,Fonctionnement[Montant (€HT)])+SUMIF(Invest[Affectation matrice],$AB$3,Invest[Amortissement HT + intérêts]))*BH32</f>
        <v>0</v>
      </c>
      <c r="H32" s="276">
        <f>(SUMIF(Fonctionnement[Affectation matrice],$AB$3,Fonctionnement[Montant (€HT)])+SUMIF(Invest[Affectation matrice],$AB$3,Invest[Amortissement HT + intérêts]))*BI32</f>
        <v>0</v>
      </c>
      <c r="I32" s="276">
        <f>(SUMIF(Fonctionnement[Affectation matrice],$AB$3,Fonctionnement[Montant (€HT)])+SUMIF(Invest[Affectation matrice],$AB$3,Invest[Amortissement HT + intérêts]))*BJ32</f>
        <v>0</v>
      </c>
      <c r="J32" s="276">
        <f>(SUMIF(Fonctionnement[Affectation matrice],$AB$3,Fonctionnement[Montant (€HT)])+SUMIF(Invest[Affectation matrice],$AB$3,Invest[Amortissement HT + intérêts]))*BK32</f>
        <v>0</v>
      </c>
      <c r="K32" s="276">
        <f>(SUMIF(Fonctionnement[Affectation matrice],$AB$3,Fonctionnement[Montant (€HT)])+SUMIF(Invest[Affectation matrice],$AB$3,Invest[Amortissement HT + intérêts]))*BL32</f>
        <v>0</v>
      </c>
      <c r="L32" s="276">
        <f>(SUMIF(Fonctionnement[Affectation matrice],$AB$3,Fonctionnement[Montant (€HT)])+SUMIF(Invest[Affectation matrice],$AB$3,Invest[Amortissement HT + intérêts]))*BM32</f>
        <v>0</v>
      </c>
      <c r="M32" s="276">
        <f>(SUMIF(Fonctionnement[Affectation matrice],$AB$3,Fonctionnement[Montant (€HT)])+SUMIF(Invest[Affectation matrice],$AB$3,Invest[Amortissement HT + intérêts]))*BN32</f>
        <v>0</v>
      </c>
      <c r="N32" s="276">
        <f>(SUMIF(Fonctionnement[Affectation matrice],$AB$3,Fonctionnement[Montant (€HT)])+SUMIF(Invest[Affectation matrice],$AB$3,Invest[Amortissement HT + intérêts]))*BO32</f>
        <v>0</v>
      </c>
      <c r="O32" s="276">
        <f>(SUMIF(Fonctionnement[Affectation matrice],$AB$3,Fonctionnement[Montant (€HT)])+SUMIF(Invest[Affectation matrice],$AB$3,Invest[Amortissement HT + intérêts]))*BP32</f>
        <v>0</v>
      </c>
      <c r="P32" s="276">
        <f>(SUMIF(Fonctionnement[Affectation matrice],$AB$3,Fonctionnement[Montant (€HT)])+SUMIF(Invest[Affectation matrice],$AB$3,Invest[Amortissement HT + intérêts]))*BQ32</f>
        <v>0</v>
      </c>
      <c r="Q32" s="276">
        <f>(SUMIF(Fonctionnement[Affectation matrice],$AB$3,Fonctionnement[Montant (€HT)])+SUMIF(Invest[Affectation matrice],$AB$3,Invest[Amortissement HT + intérêts]))*BR32</f>
        <v>0</v>
      </c>
      <c r="R32" s="276">
        <f>(SUMIF(Fonctionnement[Affectation matrice],$AB$3,Fonctionnement[Montant (€HT)])+SUMIF(Invest[Affectation matrice],$AB$3,Invest[Amortissement HT + intérêts]))*BS32</f>
        <v>0</v>
      </c>
      <c r="S32" s="276">
        <f>(SUMIF(Fonctionnement[Affectation matrice],$AB$3,Fonctionnement[Montant (€HT)])+SUMIF(Invest[Affectation matrice],$AB$3,Invest[Amortissement HT + intérêts]))*BT32</f>
        <v>0</v>
      </c>
      <c r="T32" s="276">
        <f>(SUMIF(Fonctionnement[Affectation matrice],$AB$3,Fonctionnement[Montant (€HT)])+SUMIF(Invest[Affectation matrice],$AB$3,Invest[Amortissement HT + intérêts]))*BU32</f>
        <v>0</v>
      </c>
      <c r="U32" s="276">
        <f>(SUMIF(Fonctionnement[Affectation matrice],$AB$3,Fonctionnement[Montant (€HT)])+SUMIF(Invest[Affectation matrice],$AB$3,Invest[Amortissement HT + intérêts]))*BV32</f>
        <v>0</v>
      </c>
      <c r="V32" s="276">
        <f>(SUMIF(Fonctionnement[Affectation matrice],$AB$3,Fonctionnement[Montant (€HT)])+SUMIF(Invest[Affectation matrice],$AB$3,Invest[Amortissement HT + intérêts]))*BW32</f>
        <v>0</v>
      </c>
      <c r="W32" s="276">
        <f>(SUMIF(Fonctionnement[Affectation matrice],$AB$3,Fonctionnement[Montant (€HT)])+SUMIF(Invest[Affectation matrice],$AB$3,Invest[Amortissement HT + intérêts]))*BX32</f>
        <v>0</v>
      </c>
      <c r="X32" s="276">
        <f>(SUMIF(Fonctionnement[Affectation matrice],$AB$3,Fonctionnement[Montant (€HT)])+SUMIF(Invest[Affectation matrice],$AB$3,Invest[Amortissement HT + intérêts]))*BY32</f>
        <v>0</v>
      </c>
      <c r="Y32" s="276">
        <f>(SUMIF(Fonctionnement[Affectation matrice],$AB$3,Fonctionnement[Montant (€HT)])+SUMIF(Invest[Affectation matrice],$AB$3,Invest[Amortissement HT + intérêts]))*BZ32</f>
        <v>0</v>
      </c>
      <c r="Z32" s="276">
        <f>(SUMIF(Fonctionnement[Affectation matrice],$AB$3,Fonctionnement[Montant (€HT)])+SUMIF(Invest[Affectation matrice],$AB$3,Invest[Amortissement HT + intérêts]))*CA32</f>
        <v>0</v>
      </c>
      <c r="AA32" s="199"/>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283">
        <f t="shared" si="4"/>
        <v>0</v>
      </c>
      <c r="BB32" s="7"/>
      <c r="BC32" s="61">
        <f t="shared" si="8"/>
        <v>0</v>
      </c>
      <c r="BD32" s="61">
        <f t="shared" si="8"/>
        <v>0</v>
      </c>
      <c r="BE32" s="61">
        <f t="shared" si="8"/>
        <v>0</v>
      </c>
      <c r="BF32" s="61">
        <f t="shared" si="8"/>
        <v>0</v>
      </c>
      <c r="BG32" s="61">
        <f t="shared" si="8"/>
        <v>0</v>
      </c>
      <c r="BH32" s="61">
        <f t="shared" si="8"/>
        <v>0</v>
      </c>
      <c r="BI32" s="61">
        <f t="shared" si="8"/>
        <v>0</v>
      </c>
      <c r="BJ32" s="61">
        <f t="shared" si="8"/>
        <v>0</v>
      </c>
      <c r="BK32" s="61">
        <f t="shared" si="8"/>
        <v>0</v>
      </c>
      <c r="BL32" s="61">
        <f t="shared" si="8"/>
        <v>0</v>
      </c>
      <c r="BM32" s="61">
        <f t="shared" si="8"/>
        <v>0</v>
      </c>
      <c r="BN32" s="61">
        <f t="shared" si="8"/>
        <v>0</v>
      </c>
      <c r="BO32" s="61">
        <f t="shared" si="8"/>
        <v>0</v>
      </c>
      <c r="BP32" s="61">
        <f t="shared" si="8"/>
        <v>0</v>
      </c>
      <c r="BQ32" s="61">
        <f t="shared" si="8"/>
        <v>0</v>
      </c>
      <c r="BR32" s="61">
        <f t="shared" si="8"/>
        <v>0</v>
      </c>
      <c r="BS32" s="61">
        <f t="shared" si="9"/>
        <v>0</v>
      </c>
      <c r="BT32" s="61">
        <f t="shared" si="9"/>
        <v>0</v>
      </c>
      <c r="BU32" s="61">
        <f t="shared" si="9"/>
        <v>0</v>
      </c>
      <c r="BV32" s="61">
        <f t="shared" si="9"/>
        <v>0</v>
      </c>
      <c r="BW32" s="61">
        <f t="shared" si="9"/>
        <v>0</v>
      </c>
      <c r="BX32" s="61">
        <f t="shared" si="9"/>
        <v>0</v>
      </c>
      <c r="BY32" s="61">
        <f t="shared" si="9"/>
        <v>0</v>
      </c>
      <c r="BZ32" s="61">
        <f t="shared" si="9"/>
        <v>0</v>
      </c>
      <c r="CA32" s="61">
        <f t="shared" si="9"/>
        <v>0</v>
      </c>
      <c r="CB32" s="61">
        <f t="shared" si="5"/>
        <v>0</v>
      </c>
      <c r="CD32" s="200">
        <f>(SUMIF(Fonctionnement[Affectation matrice],$AB$3,Fonctionnement[TVA acquittée])+SUMIF(Invest[Affectation matrice],$AB$3,Invest[TVA acquittée]))*BC32</f>
        <v>0</v>
      </c>
      <c r="CE32" s="200">
        <f>(SUMIF(Fonctionnement[Affectation matrice],$AB$3,Fonctionnement[TVA acquittée])+SUMIF(Invest[Affectation matrice],$AB$3,Invest[TVA acquittée]))*BD32</f>
        <v>0</v>
      </c>
      <c r="CF32" s="200">
        <f>(SUMIF(Fonctionnement[Affectation matrice],$AB$3,Fonctionnement[TVA acquittée])+SUMIF(Invest[Affectation matrice],$AB$3,Invest[TVA acquittée]))*BE32</f>
        <v>0</v>
      </c>
      <c r="CG32" s="200">
        <f>(SUMIF(Fonctionnement[Affectation matrice],$AB$3,Fonctionnement[TVA acquittée])+SUMIF(Invest[Affectation matrice],$AB$3,Invest[TVA acquittée]))*BF32</f>
        <v>0</v>
      </c>
      <c r="CH32" s="200">
        <f>(SUMIF(Fonctionnement[Affectation matrice],$AB$3,Fonctionnement[TVA acquittée])+SUMIF(Invest[Affectation matrice],$AB$3,Invest[TVA acquittée]))*BG32</f>
        <v>0</v>
      </c>
      <c r="CI32" s="200">
        <f>(SUMIF(Fonctionnement[Affectation matrice],$AB$3,Fonctionnement[TVA acquittée])+SUMIF(Invest[Affectation matrice],$AB$3,Invest[TVA acquittée]))*BH32</f>
        <v>0</v>
      </c>
      <c r="CJ32" s="200">
        <f>(SUMIF(Fonctionnement[Affectation matrice],$AB$3,Fonctionnement[TVA acquittée])+SUMIF(Invest[Affectation matrice],$AB$3,Invest[TVA acquittée]))*BI32</f>
        <v>0</v>
      </c>
      <c r="CK32" s="200">
        <f>(SUMIF(Fonctionnement[Affectation matrice],$AB$3,Fonctionnement[TVA acquittée])+SUMIF(Invest[Affectation matrice],$AB$3,Invest[TVA acquittée]))*BJ32</f>
        <v>0</v>
      </c>
      <c r="CL32" s="200">
        <f>(SUMIF(Fonctionnement[Affectation matrice],$AB$3,Fonctionnement[TVA acquittée])+SUMIF(Invest[Affectation matrice],$AB$3,Invest[TVA acquittée]))*BK32</f>
        <v>0</v>
      </c>
      <c r="CM32" s="200">
        <f>(SUMIF(Fonctionnement[Affectation matrice],$AB$3,Fonctionnement[TVA acquittée])+SUMIF(Invest[Affectation matrice],$AB$3,Invest[TVA acquittée]))*BL32</f>
        <v>0</v>
      </c>
      <c r="CN32" s="200">
        <f>(SUMIF(Fonctionnement[Affectation matrice],$AB$3,Fonctionnement[TVA acquittée])+SUMIF(Invest[Affectation matrice],$AB$3,Invest[TVA acquittée]))*BM32</f>
        <v>0</v>
      </c>
      <c r="CO32" s="200">
        <f>(SUMIF(Fonctionnement[Affectation matrice],$AB$3,Fonctionnement[TVA acquittée])+SUMIF(Invest[Affectation matrice],$AB$3,Invest[TVA acquittée]))*BN32</f>
        <v>0</v>
      </c>
      <c r="CP32" s="200">
        <f>(SUMIF(Fonctionnement[Affectation matrice],$AB$3,Fonctionnement[TVA acquittée])+SUMIF(Invest[Affectation matrice],$AB$3,Invest[TVA acquittée]))*BO32</f>
        <v>0</v>
      </c>
      <c r="CQ32" s="200">
        <f>(SUMIF(Fonctionnement[Affectation matrice],$AB$3,Fonctionnement[TVA acquittée])+SUMIF(Invest[Affectation matrice],$AB$3,Invest[TVA acquittée]))*BP32</f>
        <v>0</v>
      </c>
      <c r="CR32" s="200">
        <f>(SUMIF(Fonctionnement[Affectation matrice],$AB$3,Fonctionnement[TVA acquittée])+SUMIF(Invest[Affectation matrice],$AB$3,Invest[TVA acquittée]))*BQ32</f>
        <v>0</v>
      </c>
      <c r="CS32" s="200">
        <f>(SUMIF(Fonctionnement[Affectation matrice],$AB$3,Fonctionnement[TVA acquittée])+SUMIF(Invest[Affectation matrice],$AB$3,Invest[TVA acquittée]))*BR32</f>
        <v>0</v>
      </c>
      <c r="CT32" s="200">
        <f>(SUMIF(Fonctionnement[Affectation matrice],$AB$3,Fonctionnement[TVA acquittée])+SUMIF(Invest[Affectation matrice],$AB$3,Invest[TVA acquittée]))*BS32</f>
        <v>0</v>
      </c>
      <c r="CU32" s="200">
        <f>(SUMIF(Fonctionnement[Affectation matrice],$AB$3,Fonctionnement[TVA acquittée])+SUMIF(Invest[Affectation matrice],$AB$3,Invest[TVA acquittée]))*BT32</f>
        <v>0</v>
      </c>
      <c r="CV32" s="200">
        <f>(SUMIF(Fonctionnement[Affectation matrice],$AB$3,Fonctionnement[TVA acquittée])+SUMIF(Invest[Affectation matrice],$AB$3,Invest[TVA acquittée]))*BU32</f>
        <v>0</v>
      </c>
      <c r="CW32" s="200">
        <f>(SUMIF(Fonctionnement[Affectation matrice],$AB$3,Fonctionnement[TVA acquittée])+SUMIF(Invest[Affectation matrice],$AB$3,Invest[TVA acquittée]))*BV32</f>
        <v>0</v>
      </c>
      <c r="CX32" s="200">
        <f>(SUMIF(Fonctionnement[Affectation matrice],$AB$3,Fonctionnement[TVA acquittée])+SUMIF(Invest[Affectation matrice],$AB$3,Invest[TVA acquittée]))*BW32</f>
        <v>0</v>
      </c>
      <c r="CY32" s="200">
        <f>(SUMIF(Fonctionnement[Affectation matrice],$AB$3,Fonctionnement[TVA acquittée])+SUMIF(Invest[Affectation matrice],$AB$3,Invest[TVA acquittée]))*BX32</f>
        <v>0</v>
      </c>
      <c r="CZ32" s="200">
        <f>(SUMIF(Fonctionnement[Affectation matrice],$AB$3,Fonctionnement[TVA acquittée])+SUMIF(Invest[Affectation matrice],$AB$3,Invest[TVA acquittée]))*BY32</f>
        <v>0</v>
      </c>
      <c r="DA32" s="200">
        <f>(SUMIF(Fonctionnement[Affectation matrice],$AB$3,Fonctionnement[TVA acquittée])+SUMIF(Invest[Affectation matrice],$AB$3,Invest[TVA acquittée]))*BZ32</f>
        <v>0</v>
      </c>
      <c r="DB32" s="200">
        <f>(SUMIF(Fonctionnement[Affectation matrice],$AB$3,Fonctionnement[TVA acquittée])+SUMIF(Invest[Affectation matrice],$AB$3,Invest[TVA acquittée]))*CA32</f>
        <v>0</v>
      </c>
    </row>
    <row r="33" spans="1:106" s="22" customFormat="1" ht="12.75" hidden="1" customHeight="1" x14ac:dyDescent="0.25">
      <c r="A33" s="42" t="str">
        <f>Matrice[[#This Row],[Ligne de la matrice]]</f>
        <v>Aides à l'emploi</v>
      </c>
      <c r="B33" s="276">
        <f>(SUMIF(Fonctionnement[Affectation matrice],$AB$3,Fonctionnement[Montant (€HT)])+SUMIF(Invest[Affectation matrice],$AB$3,Invest[Amortissement HT + intérêts]))*BC33</f>
        <v>0</v>
      </c>
      <c r="C33" s="276">
        <f>(SUMIF(Fonctionnement[Affectation matrice],$AB$3,Fonctionnement[Montant (€HT)])+SUMIF(Invest[Affectation matrice],$AB$3,Invest[Amortissement HT + intérêts]))*BD33</f>
        <v>0</v>
      </c>
      <c r="D33" s="276">
        <f>(SUMIF(Fonctionnement[Affectation matrice],$AB$3,Fonctionnement[Montant (€HT)])+SUMIF(Invest[Affectation matrice],$AB$3,Invest[Amortissement HT + intérêts]))*BE33</f>
        <v>0</v>
      </c>
      <c r="E33" s="276">
        <f>(SUMIF(Fonctionnement[Affectation matrice],$AB$3,Fonctionnement[Montant (€HT)])+SUMIF(Invest[Affectation matrice],$AB$3,Invest[Amortissement HT + intérêts]))*BF33</f>
        <v>0</v>
      </c>
      <c r="F33" s="276">
        <f>(SUMIF(Fonctionnement[Affectation matrice],$AB$3,Fonctionnement[Montant (€HT)])+SUMIF(Invest[Affectation matrice],$AB$3,Invest[Amortissement HT + intérêts]))*BG33</f>
        <v>0</v>
      </c>
      <c r="G33" s="276">
        <f>(SUMIF(Fonctionnement[Affectation matrice],$AB$3,Fonctionnement[Montant (€HT)])+SUMIF(Invest[Affectation matrice],$AB$3,Invest[Amortissement HT + intérêts]))*BH33</f>
        <v>0</v>
      </c>
      <c r="H33" s="276">
        <f>(SUMIF(Fonctionnement[Affectation matrice],$AB$3,Fonctionnement[Montant (€HT)])+SUMIF(Invest[Affectation matrice],$AB$3,Invest[Amortissement HT + intérêts]))*BI33</f>
        <v>0</v>
      </c>
      <c r="I33" s="276">
        <f>(SUMIF(Fonctionnement[Affectation matrice],$AB$3,Fonctionnement[Montant (€HT)])+SUMIF(Invest[Affectation matrice],$AB$3,Invest[Amortissement HT + intérêts]))*BJ33</f>
        <v>0</v>
      </c>
      <c r="J33" s="276">
        <f>(SUMIF(Fonctionnement[Affectation matrice],$AB$3,Fonctionnement[Montant (€HT)])+SUMIF(Invest[Affectation matrice],$AB$3,Invest[Amortissement HT + intérêts]))*BK33</f>
        <v>0</v>
      </c>
      <c r="K33" s="276">
        <f>(SUMIF(Fonctionnement[Affectation matrice],$AB$3,Fonctionnement[Montant (€HT)])+SUMIF(Invest[Affectation matrice],$AB$3,Invest[Amortissement HT + intérêts]))*BL33</f>
        <v>0</v>
      </c>
      <c r="L33" s="276">
        <f>(SUMIF(Fonctionnement[Affectation matrice],$AB$3,Fonctionnement[Montant (€HT)])+SUMIF(Invest[Affectation matrice],$AB$3,Invest[Amortissement HT + intérêts]))*BM33</f>
        <v>0</v>
      </c>
      <c r="M33" s="276">
        <f>(SUMIF(Fonctionnement[Affectation matrice],$AB$3,Fonctionnement[Montant (€HT)])+SUMIF(Invest[Affectation matrice],$AB$3,Invest[Amortissement HT + intérêts]))*BN33</f>
        <v>0</v>
      </c>
      <c r="N33" s="276">
        <f>(SUMIF(Fonctionnement[Affectation matrice],$AB$3,Fonctionnement[Montant (€HT)])+SUMIF(Invest[Affectation matrice],$AB$3,Invest[Amortissement HT + intérêts]))*BO33</f>
        <v>0</v>
      </c>
      <c r="O33" s="276">
        <f>(SUMIF(Fonctionnement[Affectation matrice],$AB$3,Fonctionnement[Montant (€HT)])+SUMIF(Invest[Affectation matrice],$AB$3,Invest[Amortissement HT + intérêts]))*BP33</f>
        <v>0</v>
      </c>
      <c r="P33" s="276">
        <f>(SUMIF(Fonctionnement[Affectation matrice],$AB$3,Fonctionnement[Montant (€HT)])+SUMIF(Invest[Affectation matrice],$AB$3,Invest[Amortissement HT + intérêts]))*BQ33</f>
        <v>0</v>
      </c>
      <c r="Q33" s="276">
        <f>(SUMIF(Fonctionnement[Affectation matrice],$AB$3,Fonctionnement[Montant (€HT)])+SUMIF(Invest[Affectation matrice],$AB$3,Invest[Amortissement HT + intérêts]))*BR33</f>
        <v>0</v>
      </c>
      <c r="R33" s="276">
        <f>(SUMIF(Fonctionnement[Affectation matrice],$AB$3,Fonctionnement[Montant (€HT)])+SUMIF(Invest[Affectation matrice],$AB$3,Invest[Amortissement HT + intérêts]))*BS33</f>
        <v>0</v>
      </c>
      <c r="S33" s="276">
        <f>(SUMIF(Fonctionnement[Affectation matrice],$AB$3,Fonctionnement[Montant (€HT)])+SUMIF(Invest[Affectation matrice],$AB$3,Invest[Amortissement HT + intérêts]))*BT33</f>
        <v>0</v>
      </c>
      <c r="T33" s="276">
        <f>(SUMIF(Fonctionnement[Affectation matrice],$AB$3,Fonctionnement[Montant (€HT)])+SUMIF(Invest[Affectation matrice],$AB$3,Invest[Amortissement HT + intérêts]))*BU33</f>
        <v>0</v>
      </c>
      <c r="U33" s="276">
        <f>(SUMIF(Fonctionnement[Affectation matrice],$AB$3,Fonctionnement[Montant (€HT)])+SUMIF(Invest[Affectation matrice],$AB$3,Invest[Amortissement HT + intérêts]))*BV33</f>
        <v>0</v>
      </c>
      <c r="V33" s="276">
        <f>(SUMIF(Fonctionnement[Affectation matrice],$AB$3,Fonctionnement[Montant (€HT)])+SUMIF(Invest[Affectation matrice],$AB$3,Invest[Amortissement HT + intérêts]))*BW33</f>
        <v>0</v>
      </c>
      <c r="W33" s="276">
        <f>(SUMIF(Fonctionnement[Affectation matrice],$AB$3,Fonctionnement[Montant (€HT)])+SUMIF(Invest[Affectation matrice],$AB$3,Invest[Amortissement HT + intérêts]))*BX33</f>
        <v>0</v>
      </c>
      <c r="X33" s="276">
        <f>(SUMIF(Fonctionnement[Affectation matrice],$AB$3,Fonctionnement[Montant (€HT)])+SUMIF(Invest[Affectation matrice],$AB$3,Invest[Amortissement HT + intérêts]))*BY33</f>
        <v>0</v>
      </c>
      <c r="Y33" s="276">
        <f>(SUMIF(Fonctionnement[Affectation matrice],$AB$3,Fonctionnement[Montant (€HT)])+SUMIF(Invest[Affectation matrice],$AB$3,Invest[Amortissement HT + intérêts]))*BZ33</f>
        <v>0</v>
      </c>
      <c r="Z33" s="276">
        <f>(SUMIF(Fonctionnement[Affectation matrice],$AB$3,Fonctionnement[Montant (€HT)])+SUMIF(Invest[Affectation matrice],$AB$3,Invest[Amortissement HT + intérêts]))*CA33</f>
        <v>0</v>
      </c>
      <c r="AA33" s="199"/>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283">
        <f t="shared" si="4"/>
        <v>0</v>
      </c>
      <c r="BB33" s="7"/>
      <c r="BC33" s="61">
        <f t="shared" si="8"/>
        <v>0</v>
      </c>
      <c r="BD33" s="61">
        <f t="shared" si="8"/>
        <v>0</v>
      </c>
      <c r="BE33" s="61">
        <f t="shared" si="8"/>
        <v>0</v>
      </c>
      <c r="BF33" s="61">
        <f t="shared" si="8"/>
        <v>0</v>
      </c>
      <c r="BG33" s="61">
        <f t="shared" si="8"/>
        <v>0</v>
      </c>
      <c r="BH33" s="61">
        <f t="shared" si="8"/>
        <v>0</v>
      </c>
      <c r="BI33" s="61">
        <f t="shared" si="8"/>
        <v>0</v>
      </c>
      <c r="BJ33" s="61">
        <f t="shared" si="8"/>
        <v>0</v>
      </c>
      <c r="BK33" s="61">
        <f t="shared" si="8"/>
        <v>0</v>
      </c>
      <c r="BL33" s="61">
        <f t="shared" si="8"/>
        <v>0</v>
      </c>
      <c r="BM33" s="61">
        <f t="shared" si="8"/>
        <v>0</v>
      </c>
      <c r="BN33" s="61">
        <f t="shared" si="8"/>
        <v>0</v>
      </c>
      <c r="BO33" s="61">
        <f t="shared" si="8"/>
        <v>0</v>
      </c>
      <c r="BP33" s="61">
        <f t="shared" si="8"/>
        <v>0</v>
      </c>
      <c r="BQ33" s="61">
        <f t="shared" si="8"/>
        <v>0</v>
      </c>
      <c r="BR33" s="61">
        <f t="shared" si="8"/>
        <v>0</v>
      </c>
      <c r="BS33" s="61">
        <f t="shared" si="9"/>
        <v>0</v>
      </c>
      <c r="BT33" s="61">
        <f t="shared" si="9"/>
        <v>0</v>
      </c>
      <c r="BU33" s="61">
        <f t="shared" si="9"/>
        <v>0</v>
      </c>
      <c r="BV33" s="61">
        <f t="shared" si="9"/>
        <v>0</v>
      </c>
      <c r="BW33" s="61">
        <f t="shared" si="9"/>
        <v>0</v>
      </c>
      <c r="BX33" s="61">
        <f t="shared" si="9"/>
        <v>0</v>
      </c>
      <c r="BY33" s="61">
        <f t="shared" si="9"/>
        <v>0</v>
      </c>
      <c r="BZ33" s="61">
        <f t="shared" si="9"/>
        <v>0</v>
      </c>
      <c r="CA33" s="61">
        <f t="shared" si="9"/>
        <v>0</v>
      </c>
      <c r="CB33" s="61">
        <f t="shared" si="5"/>
        <v>0</v>
      </c>
      <c r="CD33" s="200">
        <f>(SUMIF(Fonctionnement[Affectation matrice],$AB$3,Fonctionnement[TVA acquittée])+SUMIF(Invest[Affectation matrice],$AB$3,Invest[TVA acquittée]))*BC33</f>
        <v>0</v>
      </c>
      <c r="CE33" s="200">
        <f>(SUMIF(Fonctionnement[Affectation matrice],$AB$3,Fonctionnement[TVA acquittée])+SUMIF(Invest[Affectation matrice],$AB$3,Invest[TVA acquittée]))*BD33</f>
        <v>0</v>
      </c>
      <c r="CF33" s="200">
        <f>(SUMIF(Fonctionnement[Affectation matrice],$AB$3,Fonctionnement[TVA acquittée])+SUMIF(Invest[Affectation matrice],$AB$3,Invest[TVA acquittée]))*BE33</f>
        <v>0</v>
      </c>
      <c r="CG33" s="200">
        <f>(SUMIF(Fonctionnement[Affectation matrice],$AB$3,Fonctionnement[TVA acquittée])+SUMIF(Invest[Affectation matrice],$AB$3,Invest[TVA acquittée]))*BF33</f>
        <v>0</v>
      </c>
      <c r="CH33" s="200">
        <f>(SUMIF(Fonctionnement[Affectation matrice],$AB$3,Fonctionnement[TVA acquittée])+SUMIF(Invest[Affectation matrice],$AB$3,Invest[TVA acquittée]))*BG33</f>
        <v>0</v>
      </c>
      <c r="CI33" s="200">
        <f>(SUMIF(Fonctionnement[Affectation matrice],$AB$3,Fonctionnement[TVA acquittée])+SUMIF(Invest[Affectation matrice],$AB$3,Invest[TVA acquittée]))*BH33</f>
        <v>0</v>
      </c>
      <c r="CJ33" s="200">
        <f>(SUMIF(Fonctionnement[Affectation matrice],$AB$3,Fonctionnement[TVA acquittée])+SUMIF(Invest[Affectation matrice],$AB$3,Invest[TVA acquittée]))*BI33</f>
        <v>0</v>
      </c>
      <c r="CK33" s="200">
        <f>(SUMIF(Fonctionnement[Affectation matrice],$AB$3,Fonctionnement[TVA acquittée])+SUMIF(Invest[Affectation matrice],$AB$3,Invest[TVA acquittée]))*BJ33</f>
        <v>0</v>
      </c>
      <c r="CL33" s="200">
        <f>(SUMIF(Fonctionnement[Affectation matrice],$AB$3,Fonctionnement[TVA acquittée])+SUMIF(Invest[Affectation matrice],$AB$3,Invest[TVA acquittée]))*BK33</f>
        <v>0</v>
      </c>
      <c r="CM33" s="200">
        <f>(SUMIF(Fonctionnement[Affectation matrice],$AB$3,Fonctionnement[TVA acquittée])+SUMIF(Invest[Affectation matrice],$AB$3,Invest[TVA acquittée]))*BL33</f>
        <v>0</v>
      </c>
      <c r="CN33" s="200">
        <f>(SUMIF(Fonctionnement[Affectation matrice],$AB$3,Fonctionnement[TVA acquittée])+SUMIF(Invest[Affectation matrice],$AB$3,Invest[TVA acquittée]))*BM33</f>
        <v>0</v>
      </c>
      <c r="CO33" s="200">
        <f>(SUMIF(Fonctionnement[Affectation matrice],$AB$3,Fonctionnement[TVA acquittée])+SUMIF(Invest[Affectation matrice],$AB$3,Invest[TVA acquittée]))*BN33</f>
        <v>0</v>
      </c>
      <c r="CP33" s="200">
        <f>(SUMIF(Fonctionnement[Affectation matrice],$AB$3,Fonctionnement[TVA acquittée])+SUMIF(Invest[Affectation matrice],$AB$3,Invest[TVA acquittée]))*BO33</f>
        <v>0</v>
      </c>
      <c r="CQ33" s="200">
        <f>(SUMIF(Fonctionnement[Affectation matrice],$AB$3,Fonctionnement[TVA acquittée])+SUMIF(Invest[Affectation matrice],$AB$3,Invest[TVA acquittée]))*BP33</f>
        <v>0</v>
      </c>
      <c r="CR33" s="200">
        <f>(SUMIF(Fonctionnement[Affectation matrice],$AB$3,Fonctionnement[TVA acquittée])+SUMIF(Invest[Affectation matrice],$AB$3,Invest[TVA acquittée]))*BQ33</f>
        <v>0</v>
      </c>
      <c r="CS33" s="200">
        <f>(SUMIF(Fonctionnement[Affectation matrice],$AB$3,Fonctionnement[TVA acquittée])+SUMIF(Invest[Affectation matrice],$AB$3,Invest[TVA acquittée]))*BR33</f>
        <v>0</v>
      </c>
      <c r="CT33" s="200">
        <f>(SUMIF(Fonctionnement[Affectation matrice],$AB$3,Fonctionnement[TVA acquittée])+SUMIF(Invest[Affectation matrice],$AB$3,Invest[TVA acquittée]))*BS33</f>
        <v>0</v>
      </c>
      <c r="CU33" s="200">
        <f>(SUMIF(Fonctionnement[Affectation matrice],$AB$3,Fonctionnement[TVA acquittée])+SUMIF(Invest[Affectation matrice],$AB$3,Invest[TVA acquittée]))*BT33</f>
        <v>0</v>
      </c>
      <c r="CV33" s="200">
        <f>(SUMIF(Fonctionnement[Affectation matrice],$AB$3,Fonctionnement[TVA acquittée])+SUMIF(Invest[Affectation matrice],$AB$3,Invest[TVA acquittée]))*BU33</f>
        <v>0</v>
      </c>
      <c r="CW33" s="200">
        <f>(SUMIF(Fonctionnement[Affectation matrice],$AB$3,Fonctionnement[TVA acquittée])+SUMIF(Invest[Affectation matrice],$AB$3,Invest[TVA acquittée]))*BV33</f>
        <v>0</v>
      </c>
      <c r="CX33" s="200">
        <f>(SUMIF(Fonctionnement[Affectation matrice],$AB$3,Fonctionnement[TVA acquittée])+SUMIF(Invest[Affectation matrice],$AB$3,Invest[TVA acquittée]))*BW33</f>
        <v>0</v>
      </c>
      <c r="CY33" s="200">
        <f>(SUMIF(Fonctionnement[Affectation matrice],$AB$3,Fonctionnement[TVA acquittée])+SUMIF(Invest[Affectation matrice],$AB$3,Invest[TVA acquittée]))*BX33</f>
        <v>0</v>
      </c>
      <c r="CZ33" s="200">
        <f>(SUMIF(Fonctionnement[Affectation matrice],$AB$3,Fonctionnement[TVA acquittée])+SUMIF(Invest[Affectation matrice],$AB$3,Invest[TVA acquittée]))*BY33</f>
        <v>0</v>
      </c>
      <c r="DA33" s="200">
        <f>(SUMIF(Fonctionnement[Affectation matrice],$AB$3,Fonctionnement[TVA acquittée])+SUMIF(Invest[Affectation matrice],$AB$3,Invest[TVA acquittée]))*BZ33</f>
        <v>0</v>
      </c>
      <c r="DB33" s="200">
        <f>(SUMIF(Fonctionnement[Affectation matrice],$AB$3,Fonctionnement[TVA acquittée])+SUMIF(Invest[Affectation matrice],$AB$3,Invest[TVA acquittée]))*CA33</f>
        <v>0</v>
      </c>
    </row>
    <row r="34" spans="1:106" s="205" customFormat="1" ht="12.75" hidden="1" customHeight="1" x14ac:dyDescent="0.25">
      <c r="A34" s="186"/>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02"/>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03"/>
      <c r="BB34" s="204"/>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row>
    <row r="35" spans="1:106" s="22" customFormat="1" ht="12.75" hidden="1" customHeight="1" x14ac:dyDescent="0.25">
      <c r="A35" s="42" t="str">
        <f>Matrice[[#This Row],[Ligne de la matrice]]</f>
        <v>TVA acquittée</v>
      </c>
      <c r="B35" s="276">
        <f>(SUMIF(Fonctionnement[Affectation matrice],$AB$3,Fonctionnement[Montant (€HT)])+SUMIF(Invest[Affectation matrice],$AB$3,Invest[Amortissement HT + intérêts]))*BC35</f>
        <v>0</v>
      </c>
      <c r="C35" s="276">
        <f>(SUMIF(Fonctionnement[Affectation matrice],$AB$3,Fonctionnement[Montant (€HT)])+SUMIF(Invest[Affectation matrice],$AB$3,Invest[Amortissement HT + intérêts]))*BD35</f>
        <v>0</v>
      </c>
      <c r="D35" s="276">
        <f>(SUMIF(Fonctionnement[Affectation matrice],$AB$3,Fonctionnement[Montant (€HT)])+SUMIF(Invest[Affectation matrice],$AB$3,Invest[Amortissement HT + intérêts]))*BE35</f>
        <v>0</v>
      </c>
      <c r="E35" s="276">
        <f>(SUMIF(Fonctionnement[Affectation matrice],$AB$3,Fonctionnement[Montant (€HT)])+SUMIF(Invest[Affectation matrice],$AB$3,Invest[Amortissement HT + intérêts]))*BF35</f>
        <v>0</v>
      </c>
      <c r="F35" s="276">
        <f>(SUMIF(Fonctionnement[Affectation matrice],$AB$3,Fonctionnement[Montant (€HT)])+SUMIF(Invest[Affectation matrice],$AB$3,Invest[Amortissement HT + intérêts]))*BG35</f>
        <v>0</v>
      </c>
      <c r="G35" s="276">
        <f>(SUMIF(Fonctionnement[Affectation matrice],$AB$3,Fonctionnement[Montant (€HT)])+SUMIF(Invest[Affectation matrice],$AB$3,Invest[Amortissement HT + intérêts]))*BH35</f>
        <v>0</v>
      </c>
      <c r="H35" s="276">
        <f>(SUMIF(Fonctionnement[Affectation matrice],$AB$3,Fonctionnement[Montant (€HT)])+SUMIF(Invest[Affectation matrice],$AB$3,Invest[Amortissement HT + intérêts]))*BI35</f>
        <v>0</v>
      </c>
      <c r="I35" s="276">
        <f>(SUMIF(Fonctionnement[Affectation matrice],$AB$3,Fonctionnement[Montant (€HT)])+SUMIF(Invest[Affectation matrice],$AB$3,Invest[Amortissement HT + intérêts]))*BJ35</f>
        <v>0</v>
      </c>
      <c r="J35" s="276">
        <f>(SUMIF(Fonctionnement[Affectation matrice],$AB$3,Fonctionnement[Montant (€HT)])+SUMIF(Invest[Affectation matrice],$AB$3,Invest[Amortissement HT + intérêts]))*BK35</f>
        <v>0</v>
      </c>
      <c r="K35" s="276">
        <f>(SUMIF(Fonctionnement[Affectation matrice],$AB$3,Fonctionnement[Montant (€HT)])+SUMIF(Invest[Affectation matrice],$AB$3,Invest[Amortissement HT + intérêts]))*BL35</f>
        <v>0</v>
      </c>
      <c r="L35" s="276">
        <f>(SUMIF(Fonctionnement[Affectation matrice],$AB$3,Fonctionnement[Montant (€HT)])+SUMIF(Invest[Affectation matrice],$AB$3,Invest[Amortissement HT + intérêts]))*BM35</f>
        <v>0</v>
      </c>
      <c r="M35" s="276">
        <f>(SUMIF(Fonctionnement[Affectation matrice],$AB$3,Fonctionnement[Montant (€HT)])+SUMIF(Invest[Affectation matrice],$AB$3,Invest[Amortissement HT + intérêts]))*BN35</f>
        <v>0</v>
      </c>
      <c r="N35" s="276">
        <f>(SUMIF(Fonctionnement[Affectation matrice],$AB$3,Fonctionnement[Montant (€HT)])+SUMIF(Invest[Affectation matrice],$AB$3,Invest[Amortissement HT + intérêts]))*BO35</f>
        <v>0</v>
      </c>
      <c r="O35" s="276">
        <f>(SUMIF(Fonctionnement[Affectation matrice],$AB$3,Fonctionnement[Montant (€HT)])+SUMIF(Invest[Affectation matrice],$AB$3,Invest[Amortissement HT + intérêts]))*BP35</f>
        <v>0</v>
      </c>
      <c r="P35" s="276">
        <f>(SUMIF(Fonctionnement[Affectation matrice],$AB$3,Fonctionnement[Montant (€HT)])+SUMIF(Invest[Affectation matrice],$AB$3,Invest[Amortissement HT + intérêts]))*BQ35</f>
        <v>0</v>
      </c>
      <c r="Q35" s="276">
        <f>(SUMIF(Fonctionnement[Affectation matrice],$AB$3,Fonctionnement[Montant (€HT)])+SUMIF(Invest[Affectation matrice],$AB$3,Invest[Amortissement HT + intérêts]))*BR35</f>
        <v>0</v>
      </c>
      <c r="R35" s="276">
        <f>(SUMIF(Fonctionnement[Affectation matrice],$AB$3,Fonctionnement[Montant (€HT)])+SUMIF(Invest[Affectation matrice],$AB$3,Invest[Amortissement HT + intérêts]))*BS35</f>
        <v>0</v>
      </c>
      <c r="S35" s="276">
        <f>(SUMIF(Fonctionnement[Affectation matrice],$AB$3,Fonctionnement[Montant (€HT)])+SUMIF(Invest[Affectation matrice],$AB$3,Invest[Amortissement HT + intérêts]))*BT35</f>
        <v>0</v>
      </c>
      <c r="T35" s="276">
        <f>(SUMIF(Fonctionnement[Affectation matrice],$AB$3,Fonctionnement[Montant (€HT)])+SUMIF(Invest[Affectation matrice],$AB$3,Invest[Amortissement HT + intérêts]))*BU35</f>
        <v>0</v>
      </c>
      <c r="U35" s="276">
        <f>(SUMIF(Fonctionnement[Affectation matrice],$AB$3,Fonctionnement[Montant (€HT)])+SUMIF(Invest[Affectation matrice],$AB$3,Invest[Amortissement HT + intérêts]))*BV35</f>
        <v>0</v>
      </c>
      <c r="V35" s="276">
        <f>(SUMIF(Fonctionnement[Affectation matrice],$AB$3,Fonctionnement[Montant (€HT)])+SUMIF(Invest[Affectation matrice],$AB$3,Invest[Amortissement HT + intérêts]))*BW35</f>
        <v>0</v>
      </c>
      <c r="W35" s="276">
        <f>(SUMIF(Fonctionnement[Affectation matrice],$AB$3,Fonctionnement[Montant (€HT)])+SUMIF(Invest[Affectation matrice],$AB$3,Invest[Amortissement HT + intérêts]))*BX35</f>
        <v>0</v>
      </c>
      <c r="X35" s="276">
        <f>(SUMIF(Fonctionnement[Affectation matrice],$AB$3,Fonctionnement[Montant (€HT)])+SUMIF(Invest[Affectation matrice],$AB$3,Invest[Amortissement HT + intérêts]))*BY35</f>
        <v>0</v>
      </c>
      <c r="Y35" s="276">
        <f>(SUMIF(Fonctionnement[Affectation matrice],$AB$3,Fonctionnement[Montant (€HT)])+SUMIF(Invest[Affectation matrice],$AB$3,Invest[Amortissement HT + intérêts]))*BZ35</f>
        <v>0</v>
      </c>
      <c r="Z35" s="276">
        <f>(SUMIF(Fonctionnement[Affectation matrice],$AB$3,Fonctionnement[Montant (€HT)])+SUMIF(Invest[Affectation matrice],$AB$3,Invest[Amortissement HT + intérêts]))*CA35</f>
        <v>0</v>
      </c>
      <c r="AA35" s="199"/>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283">
        <f t="shared" si="4"/>
        <v>0</v>
      </c>
      <c r="BB35" s="7"/>
      <c r="BC35" s="61">
        <f t="shared" ref="BC35:BR41" si="10">IF($BA$53=0,0,AB35/$BA$53)</f>
        <v>0</v>
      </c>
      <c r="BD35" s="61">
        <f t="shared" si="10"/>
        <v>0</v>
      </c>
      <c r="BE35" s="61">
        <f t="shared" si="10"/>
        <v>0</v>
      </c>
      <c r="BF35" s="61">
        <f t="shared" si="10"/>
        <v>0</v>
      </c>
      <c r="BG35" s="61">
        <f t="shared" si="10"/>
        <v>0</v>
      </c>
      <c r="BH35" s="61">
        <f t="shared" si="10"/>
        <v>0</v>
      </c>
      <c r="BI35" s="61">
        <f t="shared" si="10"/>
        <v>0</v>
      </c>
      <c r="BJ35" s="61">
        <f t="shared" si="10"/>
        <v>0</v>
      </c>
      <c r="BK35" s="61">
        <f t="shared" si="10"/>
        <v>0</v>
      </c>
      <c r="BL35" s="61">
        <f t="shared" si="10"/>
        <v>0</v>
      </c>
      <c r="BM35" s="61">
        <f t="shared" si="10"/>
        <v>0</v>
      </c>
      <c r="BN35" s="61">
        <f t="shared" si="10"/>
        <v>0</v>
      </c>
      <c r="BO35" s="61">
        <f t="shared" si="10"/>
        <v>0</v>
      </c>
      <c r="BP35" s="61">
        <f t="shared" si="10"/>
        <v>0</v>
      </c>
      <c r="BQ35" s="61">
        <f t="shared" si="10"/>
        <v>0</v>
      </c>
      <c r="BR35" s="61">
        <f t="shared" si="10"/>
        <v>0</v>
      </c>
      <c r="BS35" s="61">
        <f t="shared" ref="BM35:CA41" si="11">IF($BA$53=0,0,AR35/$BA$53)</f>
        <v>0</v>
      </c>
      <c r="BT35" s="61">
        <f t="shared" si="11"/>
        <v>0</v>
      </c>
      <c r="BU35" s="61">
        <f t="shared" si="11"/>
        <v>0</v>
      </c>
      <c r="BV35" s="61">
        <f t="shared" si="11"/>
        <v>0</v>
      </c>
      <c r="BW35" s="61">
        <f t="shared" si="11"/>
        <v>0</v>
      </c>
      <c r="BX35" s="61">
        <f t="shared" si="11"/>
        <v>0</v>
      </c>
      <c r="BY35" s="61">
        <f t="shared" si="11"/>
        <v>0</v>
      </c>
      <c r="BZ35" s="61">
        <f t="shared" si="11"/>
        <v>0</v>
      </c>
      <c r="CA35" s="61">
        <f t="shared" si="11"/>
        <v>0</v>
      </c>
      <c r="CB35" s="61">
        <f t="shared" si="5"/>
        <v>0</v>
      </c>
      <c r="CD35" s="200">
        <f>(SUMIF(Fonctionnement[Affectation matrice],$AB$3,Fonctionnement[TVA acquittée])+SUMIF(Invest[Affectation matrice],$AB$3,Invest[TVA acquittée]))*BC35</f>
        <v>0</v>
      </c>
      <c r="CE35" s="200">
        <f>(SUMIF(Fonctionnement[Affectation matrice],$AB$3,Fonctionnement[TVA acquittée])+SUMIF(Invest[Affectation matrice],$AB$3,Invest[TVA acquittée]))*BD35</f>
        <v>0</v>
      </c>
      <c r="CF35" s="200">
        <f>(SUMIF(Fonctionnement[Affectation matrice],$AB$3,Fonctionnement[TVA acquittée])+SUMIF(Invest[Affectation matrice],$AB$3,Invest[TVA acquittée]))*BE35</f>
        <v>0</v>
      </c>
      <c r="CG35" s="200">
        <f>(SUMIF(Fonctionnement[Affectation matrice],$AB$3,Fonctionnement[TVA acquittée])+SUMIF(Invest[Affectation matrice],$AB$3,Invest[TVA acquittée]))*BF35</f>
        <v>0</v>
      </c>
      <c r="CH35" s="200">
        <f>(SUMIF(Fonctionnement[Affectation matrice],$AB$3,Fonctionnement[TVA acquittée])+SUMIF(Invest[Affectation matrice],$AB$3,Invest[TVA acquittée]))*BG35</f>
        <v>0</v>
      </c>
      <c r="CI35" s="200">
        <f>(SUMIF(Fonctionnement[Affectation matrice],$AB$3,Fonctionnement[TVA acquittée])+SUMIF(Invest[Affectation matrice],$AB$3,Invest[TVA acquittée]))*BH35</f>
        <v>0</v>
      </c>
      <c r="CJ35" s="200">
        <f>(SUMIF(Fonctionnement[Affectation matrice],$AB$3,Fonctionnement[TVA acquittée])+SUMIF(Invest[Affectation matrice],$AB$3,Invest[TVA acquittée]))*BI35</f>
        <v>0</v>
      </c>
      <c r="CK35" s="200">
        <f>(SUMIF(Fonctionnement[Affectation matrice],$AB$3,Fonctionnement[TVA acquittée])+SUMIF(Invest[Affectation matrice],$AB$3,Invest[TVA acquittée]))*BJ35</f>
        <v>0</v>
      </c>
      <c r="CL35" s="200">
        <f>(SUMIF(Fonctionnement[Affectation matrice],$AB$3,Fonctionnement[TVA acquittée])+SUMIF(Invest[Affectation matrice],$AB$3,Invest[TVA acquittée]))*BK35</f>
        <v>0</v>
      </c>
      <c r="CM35" s="200">
        <f>(SUMIF(Fonctionnement[Affectation matrice],$AB$3,Fonctionnement[TVA acquittée])+SUMIF(Invest[Affectation matrice],$AB$3,Invest[TVA acquittée]))*BL35</f>
        <v>0</v>
      </c>
      <c r="CN35" s="200">
        <f>(SUMIF(Fonctionnement[Affectation matrice],$AB$3,Fonctionnement[TVA acquittée])+SUMIF(Invest[Affectation matrice],$AB$3,Invest[TVA acquittée]))*BM35</f>
        <v>0</v>
      </c>
      <c r="CO35" s="200">
        <f>(SUMIF(Fonctionnement[Affectation matrice],$AB$3,Fonctionnement[TVA acquittée])+SUMIF(Invest[Affectation matrice],$AB$3,Invest[TVA acquittée]))*BN35</f>
        <v>0</v>
      </c>
      <c r="CP35" s="200">
        <f>(SUMIF(Fonctionnement[Affectation matrice],$AB$3,Fonctionnement[TVA acquittée])+SUMIF(Invest[Affectation matrice],$AB$3,Invest[TVA acquittée]))*BO35</f>
        <v>0</v>
      </c>
      <c r="CQ35" s="200">
        <f>(SUMIF(Fonctionnement[Affectation matrice],$AB$3,Fonctionnement[TVA acquittée])+SUMIF(Invest[Affectation matrice],$AB$3,Invest[TVA acquittée]))*BP35</f>
        <v>0</v>
      </c>
      <c r="CR35" s="200">
        <f>(SUMIF(Fonctionnement[Affectation matrice],$AB$3,Fonctionnement[TVA acquittée])+SUMIF(Invest[Affectation matrice],$AB$3,Invest[TVA acquittée]))*BQ35</f>
        <v>0</v>
      </c>
      <c r="CS35" s="200">
        <f>(SUMIF(Fonctionnement[Affectation matrice],$AB$3,Fonctionnement[TVA acquittée])+SUMIF(Invest[Affectation matrice],$AB$3,Invest[TVA acquittée]))*BR35</f>
        <v>0</v>
      </c>
      <c r="CT35" s="200">
        <f>(SUMIF(Fonctionnement[Affectation matrice],$AB$3,Fonctionnement[TVA acquittée])+SUMIF(Invest[Affectation matrice],$AB$3,Invest[TVA acquittée]))*BS35</f>
        <v>0</v>
      </c>
      <c r="CU35" s="200">
        <f>(SUMIF(Fonctionnement[Affectation matrice],$AB$3,Fonctionnement[TVA acquittée])+SUMIF(Invest[Affectation matrice],$AB$3,Invest[TVA acquittée]))*BT35</f>
        <v>0</v>
      </c>
      <c r="CV35" s="200">
        <f>(SUMIF(Fonctionnement[Affectation matrice],$AB$3,Fonctionnement[TVA acquittée])+SUMIF(Invest[Affectation matrice],$AB$3,Invest[TVA acquittée]))*BU35</f>
        <v>0</v>
      </c>
      <c r="CW35" s="200">
        <f>(SUMIF(Fonctionnement[Affectation matrice],$AB$3,Fonctionnement[TVA acquittée])+SUMIF(Invest[Affectation matrice],$AB$3,Invest[TVA acquittée]))*BV35</f>
        <v>0</v>
      </c>
      <c r="CX35" s="200">
        <f>(SUMIF(Fonctionnement[Affectation matrice],$AB$3,Fonctionnement[TVA acquittée])+SUMIF(Invest[Affectation matrice],$AB$3,Invest[TVA acquittée]))*BW35</f>
        <v>0</v>
      </c>
      <c r="CY35" s="200">
        <f>(SUMIF(Fonctionnement[Affectation matrice],$AB$3,Fonctionnement[TVA acquittée])+SUMIF(Invest[Affectation matrice],$AB$3,Invest[TVA acquittée]))*BX35</f>
        <v>0</v>
      </c>
      <c r="CZ35" s="200">
        <f>(SUMIF(Fonctionnement[Affectation matrice],$AB$3,Fonctionnement[TVA acquittée])+SUMIF(Invest[Affectation matrice],$AB$3,Invest[TVA acquittée]))*BY35</f>
        <v>0</v>
      </c>
      <c r="DA35" s="200">
        <f>(SUMIF(Fonctionnement[Affectation matrice],$AB$3,Fonctionnement[TVA acquittée])+SUMIF(Invest[Affectation matrice],$AB$3,Invest[TVA acquittée]))*BZ35</f>
        <v>0</v>
      </c>
      <c r="DB35" s="200">
        <f>(SUMIF(Fonctionnement[Affectation matrice],$AB$3,Fonctionnement[TVA acquittée])+SUMIF(Invest[Affectation matrice],$AB$3,Invest[TVA acquittée]))*CA35</f>
        <v>0</v>
      </c>
    </row>
    <row r="36" spans="1:106" s="22" customFormat="1" ht="12.75" hidden="1" customHeight="1" x14ac:dyDescent="0.25">
      <c r="A36" s="42" t="str">
        <f>Matrice[[#This Row],[Ligne de la matrice]]</f>
        <v>TEOM</v>
      </c>
      <c r="B36" s="276">
        <f>(SUMIF(Fonctionnement[Affectation matrice],$AB$3,Fonctionnement[Montant (€HT)])+SUMIF(Invest[Affectation matrice],$AB$3,Invest[Amortissement HT + intérêts]))*BC36</f>
        <v>0</v>
      </c>
      <c r="C36" s="276">
        <f>(SUMIF(Fonctionnement[Affectation matrice],$AB$3,Fonctionnement[Montant (€HT)])+SUMIF(Invest[Affectation matrice],$AB$3,Invest[Amortissement HT + intérêts]))*BD36</f>
        <v>0</v>
      </c>
      <c r="D36" s="276">
        <f>(SUMIF(Fonctionnement[Affectation matrice],$AB$3,Fonctionnement[Montant (€HT)])+SUMIF(Invest[Affectation matrice],$AB$3,Invest[Amortissement HT + intérêts]))*BE36</f>
        <v>0</v>
      </c>
      <c r="E36" s="276">
        <f>(SUMIF(Fonctionnement[Affectation matrice],$AB$3,Fonctionnement[Montant (€HT)])+SUMIF(Invest[Affectation matrice],$AB$3,Invest[Amortissement HT + intérêts]))*BF36</f>
        <v>0</v>
      </c>
      <c r="F36" s="276">
        <f>(SUMIF(Fonctionnement[Affectation matrice],$AB$3,Fonctionnement[Montant (€HT)])+SUMIF(Invest[Affectation matrice],$AB$3,Invest[Amortissement HT + intérêts]))*BG36</f>
        <v>0</v>
      </c>
      <c r="G36" s="276">
        <f>(SUMIF(Fonctionnement[Affectation matrice],$AB$3,Fonctionnement[Montant (€HT)])+SUMIF(Invest[Affectation matrice],$AB$3,Invest[Amortissement HT + intérêts]))*BH36</f>
        <v>0</v>
      </c>
      <c r="H36" s="276">
        <f>(SUMIF(Fonctionnement[Affectation matrice],$AB$3,Fonctionnement[Montant (€HT)])+SUMIF(Invest[Affectation matrice],$AB$3,Invest[Amortissement HT + intérêts]))*BI36</f>
        <v>0</v>
      </c>
      <c r="I36" s="276">
        <f>(SUMIF(Fonctionnement[Affectation matrice],$AB$3,Fonctionnement[Montant (€HT)])+SUMIF(Invest[Affectation matrice],$AB$3,Invest[Amortissement HT + intérêts]))*BJ36</f>
        <v>0</v>
      </c>
      <c r="J36" s="276">
        <f>(SUMIF(Fonctionnement[Affectation matrice],$AB$3,Fonctionnement[Montant (€HT)])+SUMIF(Invest[Affectation matrice],$AB$3,Invest[Amortissement HT + intérêts]))*BK36</f>
        <v>0</v>
      </c>
      <c r="K36" s="276">
        <f>(SUMIF(Fonctionnement[Affectation matrice],$AB$3,Fonctionnement[Montant (€HT)])+SUMIF(Invest[Affectation matrice],$AB$3,Invest[Amortissement HT + intérêts]))*BL36</f>
        <v>0</v>
      </c>
      <c r="L36" s="276">
        <f>(SUMIF(Fonctionnement[Affectation matrice],$AB$3,Fonctionnement[Montant (€HT)])+SUMIF(Invest[Affectation matrice],$AB$3,Invest[Amortissement HT + intérêts]))*BM36</f>
        <v>0</v>
      </c>
      <c r="M36" s="276">
        <f>(SUMIF(Fonctionnement[Affectation matrice],$AB$3,Fonctionnement[Montant (€HT)])+SUMIF(Invest[Affectation matrice],$AB$3,Invest[Amortissement HT + intérêts]))*BN36</f>
        <v>0</v>
      </c>
      <c r="N36" s="276">
        <f>(SUMIF(Fonctionnement[Affectation matrice],$AB$3,Fonctionnement[Montant (€HT)])+SUMIF(Invest[Affectation matrice],$AB$3,Invest[Amortissement HT + intérêts]))*BO36</f>
        <v>0</v>
      </c>
      <c r="O36" s="276">
        <f>(SUMIF(Fonctionnement[Affectation matrice],$AB$3,Fonctionnement[Montant (€HT)])+SUMIF(Invest[Affectation matrice],$AB$3,Invest[Amortissement HT + intérêts]))*BP36</f>
        <v>0</v>
      </c>
      <c r="P36" s="276">
        <f>(SUMIF(Fonctionnement[Affectation matrice],$AB$3,Fonctionnement[Montant (€HT)])+SUMIF(Invest[Affectation matrice],$AB$3,Invest[Amortissement HT + intérêts]))*BQ36</f>
        <v>0</v>
      </c>
      <c r="Q36" s="276">
        <f>(SUMIF(Fonctionnement[Affectation matrice],$AB$3,Fonctionnement[Montant (€HT)])+SUMIF(Invest[Affectation matrice],$AB$3,Invest[Amortissement HT + intérêts]))*BR36</f>
        <v>0</v>
      </c>
      <c r="R36" s="276">
        <f>(SUMIF(Fonctionnement[Affectation matrice],$AB$3,Fonctionnement[Montant (€HT)])+SUMIF(Invest[Affectation matrice],$AB$3,Invest[Amortissement HT + intérêts]))*BS36</f>
        <v>0</v>
      </c>
      <c r="S36" s="276">
        <f>(SUMIF(Fonctionnement[Affectation matrice],$AB$3,Fonctionnement[Montant (€HT)])+SUMIF(Invest[Affectation matrice],$AB$3,Invest[Amortissement HT + intérêts]))*BT36</f>
        <v>0</v>
      </c>
      <c r="T36" s="276">
        <f>(SUMIF(Fonctionnement[Affectation matrice],$AB$3,Fonctionnement[Montant (€HT)])+SUMIF(Invest[Affectation matrice],$AB$3,Invest[Amortissement HT + intérêts]))*BU36</f>
        <v>0</v>
      </c>
      <c r="U36" s="276">
        <f>(SUMIF(Fonctionnement[Affectation matrice],$AB$3,Fonctionnement[Montant (€HT)])+SUMIF(Invest[Affectation matrice],$AB$3,Invest[Amortissement HT + intérêts]))*BV36</f>
        <v>0</v>
      </c>
      <c r="V36" s="276">
        <f>(SUMIF(Fonctionnement[Affectation matrice],$AB$3,Fonctionnement[Montant (€HT)])+SUMIF(Invest[Affectation matrice],$AB$3,Invest[Amortissement HT + intérêts]))*BW36</f>
        <v>0</v>
      </c>
      <c r="W36" s="276">
        <f>(SUMIF(Fonctionnement[Affectation matrice],$AB$3,Fonctionnement[Montant (€HT)])+SUMIF(Invest[Affectation matrice],$AB$3,Invest[Amortissement HT + intérêts]))*BX36</f>
        <v>0</v>
      </c>
      <c r="X36" s="276">
        <f>(SUMIF(Fonctionnement[Affectation matrice],$AB$3,Fonctionnement[Montant (€HT)])+SUMIF(Invest[Affectation matrice],$AB$3,Invest[Amortissement HT + intérêts]))*BY36</f>
        <v>0</v>
      </c>
      <c r="Y36" s="276">
        <f>(SUMIF(Fonctionnement[Affectation matrice],$AB$3,Fonctionnement[Montant (€HT)])+SUMIF(Invest[Affectation matrice],$AB$3,Invest[Amortissement HT + intérêts]))*BZ36</f>
        <v>0</v>
      </c>
      <c r="Z36" s="276">
        <f>(SUMIF(Fonctionnement[Affectation matrice],$AB$3,Fonctionnement[Montant (€HT)])+SUMIF(Invest[Affectation matrice],$AB$3,Invest[Amortissement HT + intérêts]))*CA36</f>
        <v>0</v>
      </c>
      <c r="AA36" s="199"/>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283">
        <f t="shared" si="4"/>
        <v>0</v>
      </c>
      <c r="BB36" s="7"/>
      <c r="BC36" s="61">
        <f t="shared" si="10"/>
        <v>0</v>
      </c>
      <c r="BD36" s="61">
        <f t="shared" si="10"/>
        <v>0</v>
      </c>
      <c r="BE36" s="61">
        <f t="shared" si="10"/>
        <v>0</v>
      </c>
      <c r="BF36" s="61">
        <f t="shared" si="10"/>
        <v>0</v>
      </c>
      <c r="BG36" s="61">
        <f t="shared" si="10"/>
        <v>0</v>
      </c>
      <c r="BH36" s="61">
        <f t="shared" si="10"/>
        <v>0</v>
      </c>
      <c r="BI36" s="61">
        <f t="shared" si="10"/>
        <v>0</v>
      </c>
      <c r="BJ36" s="61">
        <f t="shared" si="10"/>
        <v>0</v>
      </c>
      <c r="BK36" s="61">
        <f t="shared" si="10"/>
        <v>0</v>
      </c>
      <c r="BL36" s="61">
        <f t="shared" si="10"/>
        <v>0</v>
      </c>
      <c r="BM36" s="61">
        <f t="shared" si="11"/>
        <v>0</v>
      </c>
      <c r="BN36" s="61">
        <f t="shared" si="11"/>
        <v>0</v>
      </c>
      <c r="BO36" s="61">
        <f t="shared" si="11"/>
        <v>0</v>
      </c>
      <c r="BP36" s="61">
        <f t="shared" si="11"/>
        <v>0</v>
      </c>
      <c r="BQ36" s="61">
        <f t="shared" si="11"/>
        <v>0</v>
      </c>
      <c r="BR36" s="61">
        <f t="shared" si="11"/>
        <v>0</v>
      </c>
      <c r="BS36" s="61">
        <f t="shared" si="11"/>
        <v>0</v>
      </c>
      <c r="BT36" s="61">
        <f t="shared" si="11"/>
        <v>0</v>
      </c>
      <c r="BU36" s="61">
        <f t="shared" si="11"/>
        <v>0</v>
      </c>
      <c r="BV36" s="61">
        <f t="shared" si="11"/>
        <v>0</v>
      </c>
      <c r="BW36" s="61">
        <f t="shared" si="11"/>
        <v>0</v>
      </c>
      <c r="BX36" s="61">
        <f t="shared" si="11"/>
        <v>0</v>
      </c>
      <c r="BY36" s="61">
        <f t="shared" si="11"/>
        <v>0</v>
      </c>
      <c r="BZ36" s="61">
        <f t="shared" si="11"/>
        <v>0</v>
      </c>
      <c r="CA36" s="61">
        <f t="shared" si="11"/>
        <v>0</v>
      </c>
      <c r="CB36" s="61">
        <f t="shared" si="5"/>
        <v>0</v>
      </c>
      <c r="CD36" s="200">
        <f>(SUMIF(Fonctionnement[Affectation matrice],$AB$3,Fonctionnement[TVA acquittée])+SUMIF(Invest[Affectation matrice],$AB$3,Invest[TVA acquittée]))*BC36</f>
        <v>0</v>
      </c>
      <c r="CE36" s="200">
        <f>(SUMIF(Fonctionnement[Affectation matrice],$AB$3,Fonctionnement[TVA acquittée])+SUMIF(Invest[Affectation matrice],$AB$3,Invest[TVA acquittée]))*BD36</f>
        <v>0</v>
      </c>
      <c r="CF36" s="200">
        <f>(SUMIF(Fonctionnement[Affectation matrice],$AB$3,Fonctionnement[TVA acquittée])+SUMIF(Invest[Affectation matrice],$AB$3,Invest[TVA acquittée]))*BE36</f>
        <v>0</v>
      </c>
      <c r="CG36" s="200">
        <f>(SUMIF(Fonctionnement[Affectation matrice],$AB$3,Fonctionnement[TVA acquittée])+SUMIF(Invest[Affectation matrice],$AB$3,Invest[TVA acquittée]))*BF36</f>
        <v>0</v>
      </c>
      <c r="CH36" s="200">
        <f>(SUMIF(Fonctionnement[Affectation matrice],$AB$3,Fonctionnement[TVA acquittée])+SUMIF(Invest[Affectation matrice],$AB$3,Invest[TVA acquittée]))*BG36</f>
        <v>0</v>
      </c>
      <c r="CI36" s="200">
        <f>(SUMIF(Fonctionnement[Affectation matrice],$AB$3,Fonctionnement[TVA acquittée])+SUMIF(Invest[Affectation matrice],$AB$3,Invest[TVA acquittée]))*BH36</f>
        <v>0</v>
      </c>
      <c r="CJ36" s="200">
        <f>(SUMIF(Fonctionnement[Affectation matrice],$AB$3,Fonctionnement[TVA acquittée])+SUMIF(Invest[Affectation matrice],$AB$3,Invest[TVA acquittée]))*BI36</f>
        <v>0</v>
      </c>
      <c r="CK36" s="200">
        <f>(SUMIF(Fonctionnement[Affectation matrice],$AB$3,Fonctionnement[TVA acquittée])+SUMIF(Invest[Affectation matrice],$AB$3,Invest[TVA acquittée]))*BJ36</f>
        <v>0</v>
      </c>
      <c r="CL36" s="200">
        <f>(SUMIF(Fonctionnement[Affectation matrice],$AB$3,Fonctionnement[TVA acquittée])+SUMIF(Invest[Affectation matrice],$AB$3,Invest[TVA acquittée]))*BK36</f>
        <v>0</v>
      </c>
      <c r="CM36" s="200">
        <f>(SUMIF(Fonctionnement[Affectation matrice],$AB$3,Fonctionnement[TVA acquittée])+SUMIF(Invest[Affectation matrice],$AB$3,Invest[TVA acquittée]))*BL36</f>
        <v>0</v>
      </c>
      <c r="CN36" s="200">
        <f>(SUMIF(Fonctionnement[Affectation matrice],$AB$3,Fonctionnement[TVA acquittée])+SUMIF(Invest[Affectation matrice],$AB$3,Invest[TVA acquittée]))*BM36</f>
        <v>0</v>
      </c>
      <c r="CO36" s="200">
        <f>(SUMIF(Fonctionnement[Affectation matrice],$AB$3,Fonctionnement[TVA acquittée])+SUMIF(Invest[Affectation matrice],$AB$3,Invest[TVA acquittée]))*BN36</f>
        <v>0</v>
      </c>
      <c r="CP36" s="200">
        <f>(SUMIF(Fonctionnement[Affectation matrice],$AB$3,Fonctionnement[TVA acquittée])+SUMIF(Invest[Affectation matrice],$AB$3,Invest[TVA acquittée]))*BO36</f>
        <v>0</v>
      </c>
      <c r="CQ36" s="200">
        <f>(SUMIF(Fonctionnement[Affectation matrice],$AB$3,Fonctionnement[TVA acquittée])+SUMIF(Invest[Affectation matrice],$AB$3,Invest[TVA acquittée]))*BP36</f>
        <v>0</v>
      </c>
      <c r="CR36" s="200">
        <f>(SUMIF(Fonctionnement[Affectation matrice],$AB$3,Fonctionnement[TVA acquittée])+SUMIF(Invest[Affectation matrice],$AB$3,Invest[TVA acquittée]))*BQ36</f>
        <v>0</v>
      </c>
      <c r="CS36" s="200">
        <f>(SUMIF(Fonctionnement[Affectation matrice],$AB$3,Fonctionnement[TVA acquittée])+SUMIF(Invest[Affectation matrice],$AB$3,Invest[TVA acquittée]))*BR36</f>
        <v>0</v>
      </c>
      <c r="CT36" s="200">
        <f>(SUMIF(Fonctionnement[Affectation matrice],$AB$3,Fonctionnement[TVA acquittée])+SUMIF(Invest[Affectation matrice],$AB$3,Invest[TVA acquittée]))*BS36</f>
        <v>0</v>
      </c>
      <c r="CU36" s="200">
        <f>(SUMIF(Fonctionnement[Affectation matrice],$AB$3,Fonctionnement[TVA acquittée])+SUMIF(Invest[Affectation matrice],$AB$3,Invest[TVA acquittée]))*BT36</f>
        <v>0</v>
      </c>
      <c r="CV36" s="200">
        <f>(SUMIF(Fonctionnement[Affectation matrice],$AB$3,Fonctionnement[TVA acquittée])+SUMIF(Invest[Affectation matrice],$AB$3,Invest[TVA acquittée]))*BU36</f>
        <v>0</v>
      </c>
      <c r="CW36" s="200">
        <f>(SUMIF(Fonctionnement[Affectation matrice],$AB$3,Fonctionnement[TVA acquittée])+SUMIF(Invest[Affectation matrice],$AB$3,Invest[TVA acquittée]))*BV36</f>
        <v>0</v>
      </c>
      <c r="CX36" s="200">
        <f>(SUMIF(Fonctionnement[Affectation matrice],$AB$3,Fonctionnement[TVA acquittée])+SUMIF(Invest[Affectation matrice],$AB$3,Invest[TVA acquittée]))*BW36</f>
        <v>0</v>
      </c>
      <c r="CY36" s="200">
        <f>(SUMIF(Fonctionnement[Affectation matrice],$AB$3,Fonctionnement[TVA acquittée])+SUMIF(Invest[Affectation matrice],$AB$3,Invest[TVA acquittée]))*BX36</f>
        <v>0</v>
      </c>
      <c r="CZ36" s="200">
        <f>(SUMIF(Fonctionnement[Affectation matrice],$AB$3,Fonctionnement[TVA acquittée])+SUMIF(Invest[Affectation matrice],$AB$3,Invest[TVA acquittée]))*BY36</f>
        <v>0</v>
      </c>
      <c r="DA36" s="200">
        <f>(SUMIF(Fonctionnement[Affectation matrice],$AB$3,Fonctionnement[TVA acquittée])+SUMIF(Invest[Affectation matrice],$AB$3,Invest[TVA acquittée]))*BZ36</f>
        <v>0</v>
      </c>
      <c r="DB36" s="200">
        <f>(SUMIF(Fonctionnement[Affectation matrice],$AB$3,Fonctionnement[TVA acquittée])+SUMIF(Invest[Affectation matrice],$AB$3,Invest[TVA acquittée]))*CA36</f>
        <v>0</v>
      </c>
    </row>
    <row r="37" spans="1:106" s="22" customFormat="1" ht="12.75" hidden="1" customHeight="1" x14ac:dyDescent="0.25">
      <c r="A37" s="42" t="str">
        <f>Matrice[[#This Row],[Ligne de la matrice]]</f>
        <v>REOM</v>
      </c>
      <c r="B37" s="276">
        <f>(SUMIF(Fonctionnement[Affectation matrice],$AB$3,Fonctionnement[Montant (€HT)])+SUMIF(Invest[Affectation matrice],$AB$3,Invest[Amortissement HT + intérêts]))*BC37</f>
        <v>0</v>
      </c>
      <c r="C37" s="276">
        <f>(SUMIF(Fonctionnement[Affectation matrice],$AB$3,Fonctionnement[Montant (€HT)])+SUMIF(Invest[Affectation matrice],$AB$3,Invest[Amortissement HT + intérêts]))*BD37</f>
        <v>0</v>
      </c>
      <c r="D37" s="276">
        <f>(SUMIF(Fonctionnement[Affectation matrice],$AB$3,Fonctionnement[Montant (€HT)])+SUMIF(Invest[Affectation matrice],$AB$3,Invest[Amortissement HT + intérêts]))*BE37</f>
        <v>0</v>
      </c>
      <c r="E37" s="276">
        <f>(SUMIF(Fonctionnement[Affectation matrice],$AB$3,Fonctionnement[Montant (€HT)])+SUMIF(Invest[Affectation matrice],$AB$3,Invest[Amortissement HT + intérêts]))*BF37</f>
        <v>0</v>
      </c>
      <c r="F37" s="276">
        <f>(SUMIF(Fonctionnement[Affectation matrice],$AB$3,Fonctionnement[Montant (€HT)])+SUMIF(Invest[Affectation matrice],$AB$3,Invest[Amortissement HT + intérêts]))*BG37</f>
        <v>0</v>
      </c>
      <c r="G37" s="276">
        <f>(SUMIF(Fonctionnement[Affectation matrice],$AB$3,Fonctionnement[Montant (€HT)])+SUMIF(Invest[Affectation matrice],$AB$3,Invest[Amortissement HT + intérêts]))*BH37</f>
        <v>0</v>
      </c>
      <c r="H37" s="276">
        <f>(SUMIF(Fonctionnement[Affectation matrice],$AB$3,Fonctionnement[Montant (€HT)])+SUMIF(Invest[Affectation matrice],$AB$3,Invest[Amortissement HT + intérêts]))*BI37</f>
        <v>0</v>
      </c>
      <c r="I37" s="276">
        <f>(SUMIF(Fonctionnement[Affectation matrice],$AB$3,Fonctionnement[Montant (€HT)])+SUMIF(Invest[Affectation matrice],$AB$3,Invest[Amortissement HT + intérêts]))*BJ37</f>
        <v>0</v>
      </c>
      <c r="J37" s="276">
        <f>(SUMIF(Fonctionnement[Affectation matrice],$AB$3,Fonctionnement[Montant (€HT)])+SUMIF(Invest[Affectation matrice],$AB$3,Invest[Amortissement HT + intérêts]))*BK37</f>
        <v>0</v>
      </c>
      <c r="K37" s="276">
        <f>(SUMIF(Fonctionnement[Affectation matrice],$AB$3,Fonctionnement[Montant (€HT)])+SUMIF(Invest[Affectation matrice],$AB$3,Invest[Amortissement HT + intérêts]))*BL37</f>
        <v>0</v>
      </c>
      <c r="L37" s="276">
        <f>(SUMIF(Fonctionnement[Affectation matrice],$AB$3,Fonctionnement[Montant (€HT)])+SUMIF(Invest[Affectation matrice],$AB$3,Invest[Amortissement HT + intérêts]))*BM37</f>
        <v>0</v>
      </c>
      <c r="M37" s="276">
        <f>(SUMIF(Fonctionnement[Affectation matrice],$AB$3,Fonctionnement[Montant (€HT)])+SUMIF(Invest[Affectation matrice],$AB$3,Invest[Amortissement HT + intérêts]))*BN37</f>
        <v>0</v>
      </c>
      <c r="N37" s="276">
        <f>(SUMIF(Fonctionnement[Affectation matrice],$AB$3,Fonctionnement[Montant (€HT)])+SUMIF(Invest[Affectation matrice],$AB$3,Invest[Amortissement HT + intérêts]))*BO37</f>
        <v>0</v>
      </c>
      <c r="O37" s="276">
        <f>(SUMIF(Fonctionnement[Affectation matrice],$AB$3,Fonctionnement[Montant (€HT)])+SUMIF(Invest[Affectation matrice],$AB$3,Invest[Amortissement HT + intérêts]))*BP37</f>
        <v>0</v>
      </c>
      <c r="P37" s="276">
        <f>(SUMIF(Fonctionnement[Affectation matrice],$AB$3,Fonctionnement[Montant (€HT)])+SUMIF(Invest[Affectation matrice],$AB$3,Invest[Amortissement HT + intérêts]))*BQ37</f>
        <v>0</v>
      </c>
      <c r="Q37" s="276">
        <f>(SUMIF(Fonctionnement[Affectation matrice],$AB$3,Fonctionnement[Montant (€HT)])+SUMIF(Invest[Affectation matrice],$AB$3,Invest[Amortissement HT + intérêts]))*BR37</f>
        <v>0</v>
      </c>
      <c r="R37" s="276">
        <f>(SUMIF(Fonctionnement[Affectation matrice],$AB$3,Fonctionnement[Montant (€HT)])+SUMIF(Invest[Affectation matrice],$AB$3,Invest[Amortissement HT + intérêts]))*BS37</f>
        <v>0</v>
      </c>
      <c r="S37" s="276">
        <f>(SUMIF(Fonctionnement[Affectation matrice],$AB$3,Fonctionnement[Montant (€HT)])+SUMIF(Invest[Affectation matrice],$AB$3,Invest[Amortissement HT + intérêts]))*BT37</f>
        <v>0</v>
      </c>
      <c r="T37" s="276">
        <f>(SUMIF(Fonctionnement[Affectation matrice],$AB$3,Fonctionnement[Montant (€HT)])+SUMIF(Invest[Affectation matrice],$AB$3,Invest[Amortissement HT + intérêts]))*BU37</f>
        <v>0</v>
      </c>
      <c r="U37" s="276">
        <f>(SUMIF(Fonctionnement[Affectation matrice],$AB$3,Fonctionnement[Montant (€HT)])+SUMIF(Invest[Affectation matrice],$AB$3,Invest[Amortissement HT + intérêts]))*BV37</f>
        <v>0</v>
      </c>
      <c r="V37" s="276">
        <f>(SUMIF(Fonctionnement[Affectation matrice],$AB$3,Fonctionnement[Montant (€HT)])+SUMIF(Invest[Affectation matrice],$AB$3,Invest[Amortissement HT + intérêts]))*BW37</f>
        <v>0</v>
      </c>
      <c r="W37" s="276">
        <f>(SUMIF(Fonctionnement[Affectation matrice],$AB$3,Fonctionnement[Montant (€HT)])+SUMIF(Invest[Affectation matrice],$AB$3,Invest[Amortissement HT + intérêts]))*BX37</f>
        <v>0</v>
      </c>
      <c r="X37" s="276">
        <f>(SUMIF(Fonctionnement[Affectation matrice],$AB$3,Fonctionnement[Montant (€HT)])+SUMIF(Invest[Affectation matrice],$AB$3,Invest[Amortissement HT + intérêts]))*BY37</f>
        <v>0</v>
      </c>
      <c r="Y37" s="276">
        <f>(SUMIF(Fonctionnement[Affectation matrice],$AB$3,Fonctionnement[Montant (€HT)])+SUMIF(Invest[Affectation matrice],$AB$3,Invest[Amortissement HT + intérêts]))*BZ37</f>
        <v>0</v>
      </c>
      <c r="Z37" s="276">
        <f>(SUMIF(Fonctionnement[Affectation matrice],$AB$3,Fonctionnement[Montant (€HT)])+SUMIF(Invest[Affectation matrice],$AB$3,Invest[Amortissement HT + intérêts]))*CA37</f>
        <v>0</v>
      </c>
      <c r="AA37" s="199"/>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283">
        <f t="shared" si="4"/>
        <v>0</v>
      </c>
      <c r="BB37" s="7"/>
      <c r="BC37" s="61">
        <f t="shared" si="10"/>
        <v>0</v>
      </c>
      <c r="BD37" s="61">
        <f t="shared" si="10"/>
        <v>0</v>
      </c>
      <c r="BE37" s="61">
        <f t="shared" si="10"/>
        <v>0</v>
      </c>
      <c r="BF37" s="61">
        <f t="shared" si="10"/>
        <v>0</v>
      </c>
      <c r="BG37" s="61">
        <f t="shared" si="10"/>
        <v>0</v>
      </c>
      <c r="BH37" s="61">
        <f t="shared" si="10"/>
        <v>0</v>
      </c>
      <c r="BI37" s="61">
        <f t="shared" si="10"/>
        <v>0</v>
      </c>
      <c r="BJ37" s="61">
        <f t="shared" si="10"/>
        <v>0</v>
      </c>
      <c r="BK37" s="61">
        <f t="shared" si="10"/>
        <v>0</v>
      </c>
      <c r="BL37" s="61">
        <f t="shared" si="10"/>
        <v>0</v>
      </c>
      <c r="BM37" s="61">
        <f t="shared" si="11"/>
        <v>0</v>
      </c>
      <c r="BN37" s="61">
        <f t="shared" si="11"/>
        <v>0</v>
      </c>
      <c r="BO37" s="61">
        <f t="shared" si="11"/>
        <v>0</v>
      </c>
      <c r="BP37" s="61">
        <f t="shared" si="11"/>
        <v>0</v>
      </c>
      <c r="BQ37" s="61">
        <f t="shared" si="11"/>
        <v>0</v>
      </c>
      <c r="BR37" s="61">
        <f t="shared" si="11"/>
        <v>0</v>
      </c>
      <c r="BS37" s="61">
        <f t="shared" si="11"/>
        <v>0</v>
      </c>
      <c r="BT37" s="61">
        <f t="shared" si="11"/>
        <v>0</v>
      </c>
      <c r="BU37" s="61">
        <f t="shared" si="11"/>
        <v>0</v>
      </c>
      <c r="BV37" s="61">
        <f t="shared" si="11"/>
        <v>0</v>
      </c>
      <c r="BW37" s="61">
        <f t="shared" si="11"/>
        <v>0</v>
      </c>
      <c r="BX37" s="61">
        <f t="shared" si="11"/>
        <v>0</v>
      </c>
      <c r="BY37" s="61">
        <f t="shared" si="11"/>
        <v>0</v>
      </c>
      <c r="BZ37" s="61">
        <f t="shared" si="11"/>
        <v>0</v>
      </c>
      <c r="CA37" s="61">
        <f t="shared" si="11"/>
        <v>0</v>
      </c>
      <c r="CB37" s="61">
        <f t="shared" si="5"/>
        <v>0</v>
      </c>
      <c r="CD37" s="200">
        <f>(SUMIF(Fonctionnement[Affectation matrice],$AB$3,Fonctionnement[TVA acquittée])+SUMIF(Invest[Affectation matrice],$AB$3,Invest[TVA acquittée]))*BC37</f>
        <v>0</v>
      </c>
      <c r="CE37" s="200">
        <f>(SUMIF(Fonctionnement[Affectation matrice],$AB$3,Fonctionnement[TVA acquittée])+SUMIF(Invest[Affectation matrice],$AB$3,Invest[TVA acquittée]))*BD37</f>
        <v>0</v>
      </c>
      <c r="CF37" s="200">
        <f>(SUMIF(Fonctionnement[Affectation matrice],$AB$3,Fonctionnement[TVA acquittée])+SUMIF(Invest[Affectation matrice],$AB$3,Invest[TVA acquittée]))*BE37</f>
        <v>0</v>
      </c>
      <c r="CG37" s="200">
        <f>(SUMIF(Fonctionnement[Affectation matrice],$AB$3,Fonctionnement[TVA acquittée])+SUMIF(Invest[Affectation matrice],$AB$3,Invest[TVA acquittée]))*BF37</f>
        <v>0</v>
      </c>
      <c r="CH37" s="200">
        <f>(SUMIF(Fonctionnement[Affectation matrice],$AB$3,Fonctionnement[TVA acquittée])+SUMIF(Invest[Affectation matrice],$AB$3,Invest[TVA acquittée]))*BG37</f>
        <v>0</v>
      </c>
      <c r="CI37" s="200">
        <f>(SUMIF(Fonctionnement[Affectation matrice],$AB$3,Fonctionnement[TVA acquittée])+SUMIF(Invest[Affectation matrice],$AB$3,Invest[TVA acquittée]))*BH37</f>
        <v>0</v>
      </c>
      <c r="CJ37" s="200">
        <f>(SUMIF(Fonctionnement[Affectation matrice],$AB$3,Fonctionnement[TVA acquittée])+SUMIF(Invest[Affectation matrice],$AB$3,Invest[TVA acquittée]))*BI37</f>
        <v>0</v>
      </c>
      <c r="CK37" s="200">
        <f>(SUMIF(Fonctionnement[Affectation matrice],$AB$3,Fonctionnement[TVA acquittée])+SUMIF(Invest[Affectation matrice],$AB$3,Invest[TVA acquittée]))*BJ37</f>
        <v>0</v>
      </c>
      <c r="CL37" s="200">
        <f>(SUMIF(Fonctionnement[Affectation matrice],$AB$3,Fonctionnement[TVA acquittée])+SUMIF(Invest[Affectation matrice],$AB$3,Invest[TVA acquittée]))*BK37</f>
        <v>0</v>
      </c>
      <c r="CM37" s="200">
        <f>(SUMIF(Fonctionnement[Affectation matrice],$AB$3,Fonctionnement[TVA acquittée])+SUMIF(Invest[Affectation matrice],$AB$3,Invest[TVA acquittée]))*BL37</f>
        <v>0</v>
      </c>
      <c r="CN37" s="200">
        <f>(SUMIF(Fonctionnement[Affectation matrice],$AB$3,Fonctionnement[TVA acquittée])+SUMIF(Invest[Affectation matrice],$AB$3,Invest[TVA acquittée]))*BM37</f>
        <v>0</v>
      </c>
      <c r="CO37" s="200">
        <f>(SUMIF(Fonctionnement[Affectation matrice],$AB$3,Fonctionnement[TVA acquittée])+SUMIF(Invest[Affectation matrice],$AB$3,Invest[TVA acquittée]))*BN37</f>
        <v>0</v>
      </c>
      <c r="CP37" s="200">
        <f>(SUMIF(Fonctionnement[Affectation matrice],$AB$3,Fonctionnement[TVA acquittée])+SUMIF(Invest[Affectation matrice],$AB$3,Invest[TVA acquittée]))*BO37</f>
        <v>0</v>
      </c>
      <c r="CQ37" s="200">
        <f>(SUMIF(Fonctionnement[Affectation matrice],$AB$3,Fonctionnement[TVA acquittée])+SUMIF(Invest[Affectation matrice],$AB$3,Invest[TVA acquittée]))*BP37</f>
        <v>0</v>
      </c>
      <c r="CR37" s="200">
        <f>(SUMIF(Fonctionnement[Affectation matrice],$AB$3,Fonctionnement[TVA acquittée])+SUMIF(Invest[Affectation matrice],$AB$3,Invest[TVA acquittée]))*BQ37</f>
        <v>0</v>
      </c>
      <c r="CS37" s="200">
        <f>(SUMIF(Fonctionnement[Affectation matrice],$AB$3,Fonctionnement[TVA acquittée])+SUMIF(Invest[Affectation matrice],$AB$3,Invest[TVA acquittée]))*BR37</f>
        <v>0</v>
      </c>
      <c r="CT37" s="200">
        <f>(SUMIF(Fonctionnement[Affectation matrice],$AB$3,Fonctionnement[TVA acquittée])+SUMIF(Invest[Affectation matrice],$AB$3,Invest[TVA acquittée]))*BS37</f>
        <v>0</v>
      </c>
      <c r="CU37" s="200">
        <f>(SUMIF(Fonctionnement[Affectation matrice],$AB$3,Fonctionnement[TVA acquittée])+SUMIF(Invest[Affectation matrice],$AB$3,Invest[TVA acquittée]))*BT37</f>
        <v>0</v>
      </c>
      <c r="CV37" s="200">
        <f>(SUMIF(Fonctionnement[Affectation matrice],$AB$3,Fonctionnement[TVA acquittée])+SUMIF(Invest[Affectation matrice],$AB$3,Invest[TVA acquittée]))*BU37</f>
        <v>0</v>
      </c>
      <c r="CW37" s="200">
        <f>(SUMIF(Fonctionnement[Affectation matrice],$AB$3,Fonctionnement[TVA acquittée])+SUMIF(Invest[Affectation matrice],$AB$3,Invest[TVA acquittée]))*BV37</f>
        <v>0</v>
      </c>
      <c r="CX37" s="200">
        <f>(SUMIF(Fonctionnement[Affectation matrice],$AB$3,Fonctionnement[TVA acquittée])+SUMIF(Invest[Affectation matrice],$AB$3,Invest[TVA acquittée]))*BW37</f>
        <v>0</v>
      </c>
      <c r="CY37" s="200">
        <f>(SUMIF(Fonctionnement[Affectation matrice],$AB$3,Fonctionnement[TVA acquittée])+SUMIF(Invest[Affectation matrice],$AB$3,Invest[TVA acquittée]))*BX37</f>
        <v>0</v>
      </c>
      <c r="CZ37" s="200">
        <f>(SUMIF(Fonctionnement[Affectation matrice],$AB$3,Fonctionnement[TVA acquittée])+SUMIF(Invest[Affectation matrice],$AB$3,Invest[TVA acquittée]))*BY37</f>
        <v>0</v>
      </c>
      <c r="DA37" s="200">
        <f>(SUMIF(Fonctionnement[Affectation matrice],$AB$3,Fonctionnement[TVA acquittée])+SUMIF(Invest[Affectation matrice],$AB$3,Invest[TVA acquittée]))*BZ37</f>
        <v>0</v>
      </c>
      <c r="DB37" s="200">
        <f>(SUMIF(Fonctionnement[Affectation matrice],$AB$3,Fonctionnement[TVA acquittée])+SUMIF(Invest[Affectation matrice],$AB$3,Invest[TVA acquittée]))*CA37</f>
        <v>0</v>
      </c>
    </row>
    <row r="38" spans="1:106" s="22" customFormat="1" ht="12.75" hidden="1" customHeight="1" x14ac:dyDescent="0.25">
      <c r="A38" s="42" t="str">
        <f>Matrice[[#This Row],[Ligne de la matrice]]</f>
        <v>Redevance spéciale et facturation à l'usager</v>
      </c>
      <c r="B38" s="276">
        <f>(SUMIF(Fonctionnement[Affectation matrice],$AB$3,Fonctionnement[Montant (€HT)])+SUMIF(Invest[Affectation matrice],$AB$3,Invest[Amortissement HT + intérêts]))*BC38</f>
        <v>0</v>
      </c>
      <c r="C38" s="276">
        <f>(SUMIF(Fonctionnement[Affectation matrice],$AB$3,Fonctionnement[Montant (€HT)])+SUMIF(Invest[Affectation matrice],$AB$3,Invest[Amortissement HT + intérêts]))*BD38</f>
        <v>0</v>
      </c>
      <c r="D38" s="276">
        <f>(SUMIF(Fonctionnement[Affectation matrice],$AB$3,Fonctionnement[Montant (€HT)])+SUMIF(Invest[Affectation matrice],$AB$3,Invest[Amortissement HT + intérêts]))*BE38</f>
        <v>0</v>
      </c>
      <c r="E38" s="276">
        <f>(SUMIF(Fonctionnement[Affectation matrice],$AB$3,Fonctionnement[Montant (€HT)])+SUMIF(Invest[Affectation matrice],$AB$3,Invest[Amortissement HT + intérêts]))*BF38</f>
        <v>0</v>
      </c>
      <c r="F38" s="276">
        <f>(SUMIF(Fonctionnement[Affectation matrice],$AB$3,Fonctionnement[Montant (€HT)])+SUMIF(Invest[Affectation matrice],$AB$3,Invest[Amortissement HT + intérêts]))*BG38</f>
        <v>0</v>
      </c>
      <c r="G38" s="276">
        <f>(SUMIF(Fonctionnement[Affectation matrice],$AB$3,Fonctionnement[Montant (€HT)])+SUMIF(Invest[Affectation matrice],$AB$3,Invest[Amortissement HT + intérêts]))*BH38</f>
        <v>0</v>
      </c>
      <c r="H38" s="276">
        <f>(SUMIF(Fonctionnement[Affectation matrice],$AB$3,Fonctionnement[Montant (€HT)])+SUMIF(Invest[Affectation matrice],$AB$3,Invest[Amortissement HT + intérêts]))*BI38</f>
        <v>0</v>
      </c>
      <c r="I38" s="276">
        <f>(SUMIF(Fonctionnement[Affectation matrice],$AB$3,Fonctionnement[Montant (€HT)])+SUMIF(Invest[Affectation matrice],$AB$3,Invest[Amortissement HT + intérêts]))*BJ38</f>
        <v>0</v>
      </c>
      <c r="J38" s="276">
        <f>(SUMIF(Fonctionnement[Affectation matrice],$AB$3,Fonctionnement[Montant (€HT)])+SUMIF(Invest[Affectation matrice],$AB$3,Invest[Amortissement HT + intérêts]))*BK38</f>
        <v>0</v>
      </c>
      <c r="K38" s="276">
        <f>(SUMIF(Fonctionnement[Affectation matrice],$AB$3,Fonctionnement[Montant (€HT)])+SUMIF(Invest[Affectation matrice],$AB$3,Invest[Amortissement HT + intérêts]))*BL38</f>
        <v>0</v>
      </c>
      <c r="L38" s="276">
        <f>(SUMIF(Fonctionnement[Affectation matrice],$AB$3,Fonctionnement[Montant (€HT)])+SUMIF(Invest[Affectation matrice],$AB$3,Invest[Amortissement HT + intérêts]))*BM38</f>
        <v>0</v>
      </c>
      <c r="M38" s="276">
        <f>(SUMIF(Fonctionnement[Affectation matrice],$AB$3,Fonctionnement[Montant (€HT)])+SUMIF(Invest[Affectation matrice],$AB$3,Invest[Amortissement HT + intérêts]))*BN38</f>
        <v>0</v>
      </c>
      <c r="N38" s="276">
        <f>(SUMIF(Fonctionnement[Affectation matrice],$AB$3,Fonctionnement[Montant (€HT)])+SUMIF(Invest[Affectation matrice],$AB$3,Invest[Amortissement HT + intérêts]))*BO38</f>
        <v>0</v>
      </c>
      <c r="O38" s="276">
        <f>(SUMIF(Fonctionnement[Affectation matrice],$AB$3,Fonctionnement[Montant (€HT)])+SUMIF(Invest[Affectation matrice],$AB$3,Invest[Amortissement HT + intérêts]))*BP38</f>
        <v>0</v>
      </c>
      <c r="P38" s="276">
        <f>(SUMIF(Fonctionnement[Affectation matrice],$AB$3,Fonctionnement[Montant (€HT)])+SUMIF(Invest[Affectation matrice],$AB$3,Invest[Amortissement HT + intérêts]))*BQ38</f>
        <v>0</v>
      </c>
      <c r="Q38" s="276">
        <f>(SUMIF(Fonctionnement[Affectation matrice],$AB$3,Fonctionnement[Montant (€HT)])+SUMIF(Invest[Affectation matrice],$AB$3,Invest[Amortissement HT + intérêts]))*BR38</f>
        <v>0</v>
      </c>
      <c r="R38" s="276">
        <f>(SUMIF(Fonctionnement[Affectation matrice],$AB$3,Fonctionnement[Montant (€HT)])+SUMIF(Invest[Affectation matrice],$AB$3,Invest[Amortissement HT + intérêts]))*BS38</f>
        <v>0</v>
      </c>
      <c r="S38" s="276">
        <f>(SUMIF(Fonctionnement[Affectation matrice],$AB$3,Fonctionnement[Montant (€HT)])+SUMIF(Invest[Affectation matrice],$AB$3,Invest[Amortissement HT + intérêts]))*BT38</f>
        <v>0</v>
      </c>
      <c r="T38" s="276">
        <f>(SUMIF(Fonctionnement[Affectation matrice],$AB$3,Fonctionnement[Montant (€HT)])+SUMIF(Invest[Affectation matrice],$AB$3,Invest[Amortissement HT + intérêts]))*BU38</f>
        <v>0</v>
      </c>
      <c r="U38" s="276">
        <f>(SUMIF(Fonctionnement[Affectation matrice],$AB$3,Fonctionnement[Montant (€HT)])+SUMIF(Invest[Affectation matrice],$AB$3,Invest[Amortissement HT + intérêts]))*BV38</f>
        <v>0</v>
      </c>
      <c r="V38" s="276">
        <f>(SUMIF(Fonctionnement[Affectation matrice],$AB$3,Fonctionnement[Montant (€HT)])+SUMIF(Invest[Affectation matrice],$AB$3,Invest[Amortissement HT + intérêts]))*BW38</f>
        <v>0</v>
      </c>
      <c r="W38" s="276">
        <f>(SUMIF(Fonctionnement[Affectation matrice],$AB$3,Fonctionnement[Montant (€HT)])+SUMIF(Invest[Affectation matrice],$AB$3,Invest[Amortissement HT + intérêts]))*BX38</f>
        <v>0</v>
      </c>
      <c r="X38" s="276">
        <f>(SUMIF(Fonctionnement[Affectation matrice],$AB$3,Fonctionnement[Montant (€HT)])+SUMIF(Invest[Affectation matrice],$AB$3,Invest[Amortissement HT + intérêts]))*BY38</f>
        <v>0</v>
      </c>
      <c r="Y38" s="276">
        <f>(SUMIF(Fonctionnement[Affectation matrice],$AB$3,Fonctionnement[Montant (€HT)])+SUMIF(Invest[Affectation matrice],$AB$3,Invest[Amortissement HT + intérêts]))*BZ38</f>
        <v>0</v>
      </c>
      <c r="Z38" s="276">
        <f>(SUMIF(Fonctionnement[Affectation matrice],$AB$3,Fonctionnement[Montant (€HT)])+SUMIF(Invest[Affectation matrice],$AB$3,Invest[Amortissement HT + intérêts]))*CA38</f>
        <v>0</v>
      </c>
      <c r="AA38" s="199"/>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283">
        <f t="shared" si="4"/>
        <v>0</v>
      </c>
      <c r="BB38" s="7"/>
      <c r="BC38" s="61">
        <f t="shared" si="10"/>
        <v>0</v>
      </c>
      <c r="BD38" s="61">
        <f t="shared" si="10"/>
        <v>0</v>
      </c>
      <c r="BE38" s="61">
        <f t="shared" si="10"/>
        <v>0</v>
      </c>
      <c r="BF38" s="61">
        <f t="shared" si="10"/>
        <v>0</v>
      </c>
      <c r="BG38" s="61">
        <f t="shared" si="10"/>
        <v>0</v>
      </c>
      <c r="BH38" s="61">
        <f t="shared" si="10"/>
        <v>0</v>
      </c>
      <c r="BI38" s="61">
        <f t="shared" si="10"/>
        <v>0</v>
      </c>
      <c r="BJ38" s="61">
        <f t="shared" si="10"/>
        <v>0</v>
      </c>
      <c r="BK38" s="61">
        <f t="shared" si="10"/>
        <v>0</v>
      </c>
      <c r="BL38" s="61">
        <f t="shared" si="10"/>
        <v>0</v>
      </c>
      <c r="BM38" s="61">
        <f t="shared" si="11"/>
        <v>0</v>
      </c>
      <c r="BN38" s="61">
        <f t="shared" si="11"/>
        <v>0</v>
      </c>
      <c r="BO38" s="61">
        <f t="shared" si="11"/>
        <v>0</v>
      </c>
      <c r="BP38" s="61">
        <f t="shared" si="11"/>
        <v>0</v>
      </c>
      <c r="BQ38" s="61">
        <f t="shared" si="11"/>
        <v>0</v>
      </c>
      <c r="BR38" s="61">
        <f t="shared" si="11"/>
        <v>0</v>
      </c>
      <c r="BS38" s="61">
        <f t="shared" si="11"/>
        <v>0</v>
      </c>
      <c r="BT38" s="61">
        <f t="shared" si="11"/>
        <v>0</v>
      </c>
      <c r="BU38" s="61">
        <f t="shared" si="11"/>
        <v>0</v>
      </c>
      <c r="BV38" s="61">
        <f t="shared" si="11"/>
        <v>0</v>
      </c>
      <c r="BW38" s="61">
        <f t="shared" si="11"/>
        <v>0</v>
      </c>
      <c r="BX38" s="61">
        <f t="shared" si="11"/>
        <v>0</v>
      </c>
      <c r="BY38" s="61">
        <f t="shared" si="11"/>
        <v>0</v>
      </c>
      <c r="BZ38" s="61">
        <f t="shared" si="11"/>
        <v>0</v>
      </c>
      <c r="CA38" s="61">
        <f t="shared" si="11"/>
        <v>0</v>
      </c>
      <c r="CB38" s="61">
        <f t="shared" si="5"/>
        <v>0</v>
      </c>
      <c r="CD38" s="200">
        <f>(SUMIF(Fonctionnement[Affectation matrice],$AB$3,Fonctionnement[TVA acquittée])+SUMIF(Invest[Affectation matrice],$AB$3,Invest[TVA acquittée]))*BC38</f>
        <v>0</v>
      </c>
      <c r="CE38" s="200">
        <f>(SUMIF(Fonctionnement[Affectation matrice],$AB$3,Fonctionnement[TVA acquittée])+SUMIF(Invest[Affectation matrice],$AB$3,Invest[TVA acquittée]))*BD38</f>
        <v>0</v>
      </c>
      <c r="CF38" s="200">
        <f>(SUMIF(Fonctionnement[Affectation matrice],$AB$3,Fonctionnement[TVA acquittée])+SUMIF(Invest[Affectation matrice],$AB$3,Invest[TVA acquittée]))*BE38</f>
        <v>0</v>
      </c>
      <c r="CG38" s="200">
        <f>(SUMIF(Fonctionnement[Affectation matrice],$AB$3,Fonctionnement[TVA acquittée])+SUMIF(Invest[Affectation matrice],$AB$3,Invest[TVA acquittée]))*BF38</f>
        <v>0</v>
      </c>
      <c r="CH38" s="200">
        <f>(SUMIF(Fonctionnement[Affectation matrice],$AB$3,Fonctionnement[TVA acquittée])+SUMIF(Invest[Affectation matrice],$AB$3,Invest[TVA acquittée]))*BG38</f>
        <v>0</v>
      </c>
      <c r="CI38" s="200">
        <f>(SUMIF(Fonctionnement[Affectation matrice],$AB$3,Fonctionnement[TVA acquittée])+SUMIF(Invest[Affectation matrice],$AB$3,Invest[TVA acquittée]))*BH38</f>
        <v>0</v>
      </c>
      <c r="CJ38" s="200">
        <f>(SUMIF(Fonctionnement[Affectation matrice],$AB$3,Fonctionnement[TVA acquittée])+SUMIF(Invest[Affectation matrice],$AB$3,Invest[TVA acquittée]))*BI38</f>
        <v>0</v>
      </c>
      <c r="CK38" s="200">
        <f>(SUMIF(Fonctionnement[Affectation matrice],$AB$3,Fonctionnement[TVA acquittée])+SUMIF(Invest[Affectation matrice],$AB$3,Invest[TVA acquittée]))*BJ38</f>
        <v>0</v>
      </c>
      <c r="CL38" s="200">
        <f>(SUMIF(Fonctionnement[Affectation matrice],$AB$3,Fonctionnement[TVA acquittée])+SUMIF(Invest[Affectation matrice],$AB$3,Invest[TVA acquittée]))*BK38</f>
        <v>0</v>
      </c>
      <c r="CM38" s="200">
        <f>(SUMIF(Fonctionnement[Affectation matrice],$AB$3,Fonctionnement[TVA acquittée])+SUMIF(Invest[Affectation matrice],$AB$3,Invest[TVA acquittée]))*BL38</f>
        <v>0</v>
      </c>
      <c r="CN38" s="200">
        <f>(SUMIF(Fonctionnement[Affectation matrice],$AB$3,Fonctionnement[TVA acquittée])+SUMIF(Invest[Affectation matrice],$AB$3,Invest[TVA acquittée]))*BM38</f>
        <v>0</v>
      </c>
      <c r="CO38" s="200">
        <f>(SUMIF(Fonctionnement[Affectation matrice],$AB$3,Fonctionnement[TVA acquittée])+SUMIF(Invest[Affectation matrice],$AB$3,Invest[TVA acquittée]))*BN38</f>
        <v>0</v>
      </c>
      <c r="CP38" s="200">
        <f>(SUMIF(Fonctionnement[Affectation matrice],$AB$3,Fonctionnement[TVA acquittée])+SUMIF(Invest[Affectation matrice],$AB$3,Invest[TVA acquittée]))*BO38</f>
        <v>0</v>
      </c>
      <c r="CQ38" s="200">
        <f>(SUMIF(Fonctionnement[Affectation matrice],$AB$3,Fonctionnement[TVA acquittée])+SUMIF(Invest[Affectation matrice],$AB$3,Invest[TVA acquittée]))*BP38</f>
        <v>0</v>
      </c>
      <c r="CR38" s="200">
        <f>(SUMIF(Fonctionnement[Affectation matrice],$AB$3,Fonctionnement[TVA acquittée])+SUMIF(Invest[Affectation matrice],$AB$3,Invest[TVA acquittée]))*BQ38</f>
        <v>0</v>
      </c>
      <c r="CS38" s="200">
        <f>(SUMIF(Fonctionnement[Affectation matrice],$AB$3,Fonctionnement[TVA acquittée])+SUMIF(Invest[Affectation matrice],$AB$3,Invest[TVA acquittée]))*BR38</f>
        <v>0</v>
      </c>
      <c r="CT38" s="200">
        <f>(SUMIF(Fonctionnement[Affectation matrice],$AB$3,Fonctionnement[TVA acquittée])+SUMIF(Invest[Affectation matrice],$AB$3,Invest[TVA acquittée]))*BS38</f>
        <v>0</v>
      </c>
      <c r="CU38" s="200">
        <f>(SUMIF(Fonctionnement[Affectation matrice],$AB$3,Fonctionnement[TVA acquittée])+SUMIF(Invest[Affectation matrice],$AB$3,Invest[TVA acquittée]))*BT38</f>
        <v>0</v>
      </c>
      <c r="CV38" s="200">
        <f>(SUMIF(Fonctionnement[Affectation matrice],$AB$3,Fonctionnement[TVA acquittée])+SUMIF(Invest[Affectation matrice],$AB$3,Invest[TVA acquittée]))*BU38</f>
        <v>0</v>
      </c>
      <c r="CW38" s="200">
        <f>(SUMIF(Fonctionnement[Affectation matrice],$AB$3,Fonctionnement[TVA acquittée])+SUMIF(Invest[Affectation matrice],$AB$3,Invest[TVA acquittée]))*BV38</f>
        <v>0</v>
      </c>
      <c r="CX38" s="200">
        <f>(SUMIF(Fonctionnement[Affectation matrice],$AB$3,Fonctionnement[TVA acquittée])+SUMIF(Invest[Affectation matrice],$AB$3,Invest[TVA acquittée]))*BW38</f>
        <v>0</v>
      </c>
      <c r="CY38" s="200">
        <f>(SUMIF(Fonctionnement[Affectation matrice],$AB$3,Fonctionnement[TVA acquittée])+SUMIF(Invest[Affectation matrice],$AB$3,Invest[TVA acquittée]))*BX38</f>
        <v>0</v>
      </c>
      <c r="CZ38" s="200">
        <f>(SUMIF(Fonctionnement[Affectation matrice],$AB$3,Fonctionnement[TVA acquittée])+SUMIF(Invest[Affectation matrice],$AB$3,Invest[TVA acquittée]))*BY38</f>
        <v>0</v>
      </c>
      <c r="DA38" s="200">
        <f>(SUMIF(Fonctionnement[Affectation matrice],$AB$3,Fonctionnement[TVA acquittée])+SUMIF(Invest[Affectation matrice],$AB$3,Invest[TVA acquittée]))*BZ38</f>
        <v>0</v>
      </c>
      <c r="DB38" s="200">
        <f>(SUMIF(Fonctionnement[Affectation matrice],$AB$3,Fonctionnement[TVA acquittée])+SUMIF(Invest[Affectation matrice],$AB$3,Invest[TVA acquittée]))*CA38</f>
        <v>0</v>
      </c>
    </row>
    <row r="39" spans="1:106" s="22" customFormat="1" ht="12.75" hidden="1" customHeight="1" x14ac:dyDescent="0.25">
      <c r="A39" s="42" t="str">
        <f>Matrice[[#This Row],[Ligne de la matrice]]</f>
        <v>Redevance spéciale</v>
      </c>
      <c r="B39" s="276">
        <f>(SUMIF(Fonctionnement[Affectation matrice],$AB$3,Fonctionnement[Montant (€HT)])+SUMIF(Invest[Affectation matrice],$AB$3,Invest[Amortissement HT + intérêts]))*BC39</f>
        <v>0</v>
      </c>
      <c r="C39" s="276">
        <f>(SUMIF(Fonctionnement[Affectation matrice],$AB$3,Fonctionnement[Montant (€HT)])+SUMIF(Invest[Affectation matrice],$AB$3,Invest[Amortissement HT + intérêts]))*BD39</f>
        <v>0</v>
      </c>
      <c r="D39" s="276">
        <f>(SUMIF(Fonctionnement[Affectation matrice],$AB$3,Fonctionnement[Montant (€HT)])+SUMIF(Invest[Affectation matrice],$AB$3,Invest[Amortissement HT + intérêts]))*BE39</f>
        <v>0</v>
      </c>
      <c r="E39" s="276">
        <f>(SUMIF(Fonctionnement[Affectation matrice],$AB$3,Fonctionnement[Montant (€HT)])+SUMIF(Invest[Affectation matrice],$AB$3,Invest[Amortissement HT + intérêts]))*BF39</f>
        <v>0</v>
      </c>
      <c r="F39" s="276">
        <f>(SUMIF(Fonctionnement[Affectation matrice],$AB$3,Fonctionnement[Montant (€HT)])+SUMIF(Invest[Affectation matrice],$AB$3,Invest[Amortissement HT + intérêts]))*BG39</f>
        <v>0</v>
      </c>
      <c r="G39" s="276">
        <f>(SUMIF(Fonctionnement[Affectation matrice],$AB$3,Fonctionnement[Montant (€HT)])+SUMIF(Invest[Affectation matrice],$AB$3,Invest[Amortissement HT + intérêts]))*BH39</f>
        <v>0</v>
      </c>
      <c r="H39" s="276">
        <f>(SUMIF(Fonctionnement[Affectation matrice],$AB$3,Fonctionnement[Montant (€HT)])+SUMIF(Invest[Affectation matrice],$AB$3,Invest[Amortissement HT + intérêts]))*BI39</f>
        <v>0</v>
      </c>
      <c r="I39" s="276">
        <f>(SUMIF(Fonctionnement[Affectation matrice],$AB$3,Fonctionnement[Montant (€HT)])+SUMIF(Invest[Affectation matrice],$AB$3,Invest[Amortissement HT + intérêts]))*BJ39</f>
        <v>0</v>
      </c>
      <c r="J39" s="276">
        <f>(SUMIF(Fonctionnement[Affectation matrice],$AB$3,Fonctionnement[Montant (€HT)])+SUMIF(Invest[Affectation matrice],$AB$3,Invest[Amortissement HT + intérêts]))*BK39</f>
        <v>0</v>
      </c>
      <c r="K39" s="276">
        <f>(SUMIF(Fonctionnement[Affectation matrice],$AB$3,Fonctionnement[Montant (€HT)])+SUMIF(Invest[Affectation matrice],$AB$3,Invest[Amortissement HT + intérêts]))*BL39</f>
        <v>0</v>
      </c>
      <c r="L39" s="276">
        <f>(SUMIF(Fonctionnement[Affectation matrice],$AB$3,Fonctionnement[Montant (€HT)])+SUMIF(Invest[Affectation matrice],$AB$3,Invest[Amortissement HT + intérêts]))*BM39</f>
        <v>0</v>
      </c>
      <c r="M39" s="276">
        <f>(SUMIF(Fonctionnement[Affectation matrice],$AB$3,Fonctionnement[Montant (€HT)])+SUMIF(Invest[Affectation matrice],$AB$3,Invest[Amortissement HT + intérêts]))*BN39</f>
        <v>0</v>
      </c>
      <c r="N39" s="276">
        <f>(SUMIF(Fonctionnement[Affectation matrice],$AB$3,Fonctionnement[Montant (€HT)])+SUMIF(Invest[Affectation matrice],$AB$3,Invest[Amortissement HT + intérêts]))*BO39</f>
        <v>0</v>
      </c>
      <c r="O39" s="276">
        <f>(SUMIF(Fonctionnement[Affectation matrice],$AB$3,Fonctionnement[Montant (€HT)])+SUMIF(Invest[Affectation matrice],$AB$3,Invest[Amortissement HT + intérêts]))*BP39</f>
        <v>0</v>
      </c>
      <c r="P39" s="276">
        <f>(SUMIF(Fonctionnement[Affectation matrice],$AB$3,Fonctionnement[Montant (€HT)])+SUMIF(Invest[Affectation matrice],$AB$3,Invest[Amortissement HT + intérêts]))*BQ39</f>
        <v>0</v>
      </c>
      <c r="Q39" s="276">
        <f>(SUMIF(Fonctionnement[Affectation matrice],$AB$3,Fonctionnement[Montant (€HT)])+SUMIF(Invest[Affectation matrice],$AB$3,Invest[Amortissement HT + intérêts]))*BR39</f>
        <v>0</v>
      </c>
      <c r="R39" s="276">
        <f>(SUMIF(Fonctionnement[Affectation matrice],$AB$3,Fonctionnement[Montant (€HT)])+SUMIF(Invest[Affectation matrice],$AB$3,Invest[Amortissement HT + intérêts]))*BS39</f>
        <v>0</v>
      </c>
      <c r="S39" s="276">
        <f>(SUMIF(Fonctionnement[Affectation matrice],$AB$3,Fonctionnement[Montant (€HT)])+SUMIF(Invest[Affectation matrice],$AB$3,Invest[Amortissement HT + intérêts]))*BT39</f>
        <v>0</v>
      </c>
      <c r="T39" s="276">
        <f>(SUMIF(Fonctionnement[Affectation matrice],$AB$3,Fonctionnement[Montant (€HT)])+SUMIF(Invest[Affectation matrice],$AB$3,Invest[Amortissement HT + intérêts]))*BU39</f>
        <v>0</v>
      </c>
      <c r="U39" s="276">
        <f>(SUMIF(Fonctionnement[Affectation matrice],$AB$3,Fonctionnement[Montant (€HT)])+SUMIF(Invest[Affectation matrice],$AB$3,Invest[Amortissement HT + intérêts]))*BV39</f>
        <v>0</v>
      </c>
      <c r="V39" s="276">
        <f>(SUMIF(Fonctionnement[Affectation matrice],$AB$3,Fonctionnement[Montant (€HT)])+SUMIF(Invest[Affectation matrice],$AB$3,Invest[Amortissement HT + intérêts]))*BW39</f>
        <v>0</v>
      </c>
      <c r="W39" s="276">
        <f>(SUMIF(Fonctionnement[Affectation matrice],$AB$3,Fonctionnement[Montant (€HT)])+SUMIF(Invest[Affectation matrice],$AB$3,Invest[Amortissement HT + intérêts]))*BX39</f>
        <v>0</v>
      </c>
      <c r="X39" s="276">
        <f>(SUMIF(Fonctionnement[Affectation matrice],$AB$3,Fonctionnement[Montant (€HT)])+SUMIF(Invest[Affectation matrice],$AB$3,Invest[Amortissement HT + intérêts]))*BY39</f>
        <v>0</v>
      </c>
      <c r="Y39" s="276">
        <f>(SUMIF(Fonctionnement[Affectation matrice],$AB$3,Fonctionnement[Montant (€HT)])+SUMIF(Invest[Affectation matrice],$AB$3,Invest[Amortissement HT + intérêts]))*BZ39</f>
        <v>0</v>
      </c>
      <c r="Z39" s="276">
        <f>(SUMIF(Fonctionnement[Affectation matrice],$AB$3,Fonctionnement[Montant (€HT)])+SUMIF(Invest[Affectation matrice],$AB$3,Invest[Amortissement HT + intérêts]))*CA39</f>
        <v>0</v>
      </c>
      <c r="AA39" s="199"/>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283">
        <f t="shared" si="4"/>
        <v>0</v>
      </c>
      <c r="BB39" s="7"/>
      <c r="BC39" s="61">
        <f t="shared" si="10"/>
        <v>0</v>
      </c>
      <c r="BD39" s="61">
        <f t="shared" si="10"/>
        <v>0</v>
      </c>
      <c r="BE39" s="61">
        <f t="shared" si="10"/>
        <v>0</v>
      </c>
      <c r="BF39" s="61">
        <f t="shared" si="10"/>
        <v>0</v>
      </c>
      <c r="BG39" s="61">
        <f t="shared" si="10"/>
        <v>0</v>
      </c>
      <c r="BH39" s="61">
        <f t="shared" si="10"/>
        <v>0</v>
      </c>
      <c r="BI39" s="61">
        <f t="shared" si="10"/>
        <v>0</v>
      </c>
      <c r="BJ39" s="61">
        <f t="shared" si="10"/>
        <v>0</v>
      </c>
      <c r="BK39" s="61">
        <f t="shared" si="10"/>
        <v>0</v>
      </c>
      <c r="BL39" s="61">
        <f t="shared" si="10"/>
        <v>0</v>
      </c>
      <c r="BM39" s="61">
        <f t="shared" si="11"/>
        <v>0</v>
      </c>
      <c r="BN39" s="61">
        <f t="shared" si="11"/>
        <v>0</v>
      </c>
      <c r="BO39" s="61">
        <f t="shared" si="11"/>
        <v>0</v>
      </c>
      <c r="BP39" s="61">
        <f t="shared" si="11"/>
        <v>0</v>
      </c>
      <c r="BQ39" s="61">
        <f t="shared" si="11"/>
        <v>0</v>
      </c>
      <c r="BR39" s="61">
        <f t="shared" si="11"/>
        <v>0</v>
      </c>
      <c r="BS39" s="61">
        <f t="shared" si="11"/>
        <v>0</v>
      </c>
      <c r="BT39" s="61">
        <f t="shared" si="11"/>
        <v>0</v>
      </c>
      <c r="BU39" s="61">
        <f t="shared" si="11"/>
        <v>0</v>
      </c>
      <c r="BV39" s="61">
        <f t="shared" si="11"/>
        <v>0</v>
      </c>
      <c r="BW39" s="61">
        <f t="shared" si="11"/>
        <v>0</v>
      </c>
      <c r="BX39" s="61">
        <f t="shared" si="11"/>
        <v>0</v>
      </c>
      <c r="BY39" s="61">
        <f t="shared" si="11"/>
        <v>0</v>
      </c>
      <c r="BZ39" s="61">
        <f t="shared" si="11"/>
        <v>0</v>
      </c>
      <c r="CA39" s="61">
        <f t="shared" si="11"/>
        <v>0</v>
      </c>
      <c r="CB39" s="61">
        <f t="shared" si="5"/>
        <v>0</v>
      </c>
      <c r="CD39" s="200">
        <f>(SUMIF(Fonctionnement[Affectation matrice],$AB$3,Fonctionnement[TVA acquittée])+SUMIF(Invest[Affectation matrice],$AB$3,Invest[TVA acquittée]))*BC39</f>
        <v>0</v>
      </c>
      <c r="CE39" s="200">
        <f>(SUMIF(Fonctionnement[Affectation matrice],$AB$3,Fonctionnement[TVA acquittée])+SUMIF(Invest[Affectation matrice],$AB$3,Invest[TVA acquittée]))*BD39</f>
        <v>0</v>
      </c>
      <c r="CF39" s="200">
        <f>(SUMIF(Fonctionnement[Affectation matrice],$AB$3,Fonctionnement[TVA acquittée])+SUMIF(Invest[Affectation matrice],$AB$3,Invest[TVA acquittée]))*BE39</f>
        <v>0</v>
      </c>
      <c r="CG39" s="200">
        <f>(SUMIF(Fonctionnement[Affectation matrice],$AB$3,Fonctionnement[TVA acquittée])+SUMIF(Invest[Affectation matrice],$AB$3,Invest[TVA acquittée]))*BF39</f>
        <v>0</v>
      </c>
      <c r="CH39" s="200">
        <f>(SUMIF(Fonctionnement[Affectation matrice],$AB$3,Fonctionnement[TVA acquittée])+SUMIF(Invest[Affectation matrice],$AB$3,Invest[TVA acquittée]))*BG39</f>
        <v>0</v>
      </c>
      <c r="CI39" s="200">
        <f>(SUMIF(Fonctionnement[Affectation matrice],$AB$3,Fonctionnement[TVA acquittée])+SUMIF(Invest[Affectation matrice],$AB$3,Invest[TVA acquittée]))*BH39</f>
        <v>0</v>
      </c>
      <c r="CJ39" s="200">
        <f>(SUMIF(Fonctionnement[Affectation matrice],$AB$3,Fonctionnement[TVA acquittée])+SUMIF(Invest[Affectation matrice],$AB$3,Invest[TVA acquittée]))*BI39</f>
        <v>0</v>
      </c>
      <c r="CK39" s="200">
        <f>(SUMIF(Fonctionnement[Affectation matrice],$AB$3,Fonctionnement[TVA acquittée])+SUMIF(Invest[Affectation matrice],$AB$3,Invest[TVA acquittée]))*BJ39</f>
        <v>0</v>
      </c>
      <c r="CL39" s="200">
        <f>(SUMIF(Fonctionnement[Affectation matrice],$AB$3,Fonctionnement[TVA acquittée])+SUMIF(Invest[Affectation matrice],$AB$3,Invest[TVA acquittée]))*BK39</f>
        <v>0</v>
      </c>
      <c r="CM39" s="200">
        <f>(SUMIF(Fonctionnement[Affectation matrice],$AB$3,Fonctionnement[TVA acquittée])+SUMIF(Invest[Affectation matrice],$AB$3,Invest[TVA acquittée]))*BL39</f>
        <v>0</v>
      </c>
      <c r="CN39" s="200">
        <f>(SUMIF(Fonctionnement[Affectation matrice],$AB$3,Fonctionnement[TVA acquittée])+SUMIF(Invest[Affectation matrice],$AB$3,Invest[TVA acquittée]))*BM39</f>
        <v>0</v>
      </c>
      <c r="CO39" s="200">
        <f>(SUMIF(Fonctionnement[Affectation matrice],$AB$3,Fonctionnement[TVA acquittée])+SUMIF(Invest[Affectation matrice],$AB$3,Invest[TVA acquittée]))*BN39</f>
        <v>0</v>
      </c>
      <c r="CP39" s="200">
        <f>(SUMIF(Fonctionnement[Affectation matrice],$AB$3,Fonctionnement[TVA acquittée])+SUMIF(Invest[Affectation matrice],$AB$3,Invest[TVA acquittée]))*BO39</f>
        <v>0</v>
      </c>
      <c r="CQ39" s="200">
        <f>(SUMIF(Fonctionnement[Affectation matrice],$AB$3,Fonctionnement[TVA acquittée])+SUMIF(Invest[Affectation matrice],$AB$3,Invest[TVA acquittée]))*BP39</f>
        <v>0</v>
      </c>
      <c r="CR39" s="200">
        <f>(SUMIF(Fonctionnement[Affectation matrice],$AB$3,Fonctionnement[TVA acquittée])+SUMIF(Invest[Affectation matrice],$AB$3,Invest[TVA acquittée]))*BQ39</f>
        <v>0</v>
      </c>
      <c r="CS39" s="200">
        <f>(SUMIF(Fonctionnement[Affectation matrice],$AB$3,Fonctionnement[TVA acquittée])+SUMIF(Invest[Affectation matrice],$AB$3,Invest[TVA acquittée]))*BR39</f>
        <v>0</v>
      </c>
      <c r="CT39" s="200">
        <f>(SUMIF(Fonctionnement[Affectation matrice],$AB$3,Fonctionnement[TVA acquittée])+SUMIF(Invest[Affectation matrice],$AB$3,Invest[TVA acquittée]))*BS39</f>
        <v>0</v>
      </c>
      <c r="CU39" s="200">
        <f>(SUMIF(Fonctionnement[Affectation matrice],$AB$3,Fonctionnement[TVA acquittée])+SUMIF(Invest[Affectation matrice],$AB$3,Invest[TVA acquittée]))*BT39</f>
        <v>0</v>
      </c>
      <c r="CV39" s="200">
        <f>(SUMIF(Fonctionnement[Affectation matrice],$AB$3,Fonctionnement[TVA acquittée])+SUMIF(Invest[Affectation matrice],$AB$3,Invest[TVA acquittée]))*BU39</f>
        <v>0</v>
      </c>
      <c r="CW39" s="200">
        <f>(SUMIF(Fonctionnement[Affectation matrice],$AB$3,Fonctionnement[TVA acquittée])+SUMIF(Invest[Affectation matrice],$AB$3,Invest[TVA acquittée]))*BV39</f>
        <v>0</v>
      </c>
      <c r="CX39" s="200">
        <f>(SUMIF(Fonctionnement[Affectation matrice],$AB$3,Fonctionnement[TVA acquittée])+SUMIF(Invest[Affectation matrice],$AB$3,Invest[TVA acquittée]))*BW39</f>
        <v>0</v>
      </c>
      <c r="CY39" s="200">
        <f>(SUMIF(Fonctionnement[Affectation matrice],$AB$3,Fonctionnement[TVA acquittée])+SUMIF(Invest[Affectation matrice],$AB$3,Invest[TVA acquittée]))*BX39</f>
        <v>0</v>
      </c>
      <c r="CZ39" s="200">
        <f>(SUMIF(Fonctionnement[Affectation matrice],$AB$3,Fonctionnement[TVA acquittée])+SUMIF(Invest[Affectation matrice],$AB$3,Invest[TVA acquittée]))*BY39</f>
        <v>0</v>
      </c>
      <c r="DA39" s="200">
        <f>(SUMIF(Fonctionnement[Affectation matrice],$AB$3,Fonctionnement[TVA acquittée])+SUMIF(Invest[Affectation matrice],$AB$3,Invest[TVA acquittée]))*BZ39</f>
        <v>0</v>
      </c>
      <c r="DB39" s="200">
        <f>(SUMIF(Fonctionnement[Affectation matrice],$AB$3,Fonctionnement[TVA acquittée])+SUMIF(Invest[Affectation matrice],$AB$3,Invest[TVA acquittée]))*CA39</f>
        <v>0</v>
      </c>
    </row>
    <row r="40" spans="1:106" s="22" customFormat="1" ht="12.75" hidden="1" customHeight="1" x14ac:dyDescent="0.25">
      <c r="A40" s="42" t="str">
        <f>Matrice[[#This Row],[Ligne de la matrice]]</f>
        <v>Facturation à l'usager</v>
      </c>
      <c r="B40" s="276">
        <f>(SUMIF(Fonctionnement[Affectation matrice],$AB$3,Fonctionnement[Montant (€HT)])+SUMIF(Invest[Affectation matrice],$AB$3,Invest[Amortissement HT + intérêts]))*BC40</f>
        <v>0</v>
      </c>
      <c r="C40" s="276">
        <f>(SUMIF(Fonctionnement[Affectation matrice],$AB$3,Fonctionnement[Montant (€HT)])+SUMIF(Invest[Affectation matrice],$AB$3,Invest[Amortissement HT + intérêts]))*BD40</f>
        <v>0</v>
      </c>
      <c r="D40" s="276">
        <f>(SUMIF(Fonctionnement[Affectation matrice],$AB$3,Fonctionnement[Montant (€HT)])+SUMIF(Invest[Affectation matrice],$AB$3,Invest[Amortissement HT + intérêts]))*BE40</f>
        <v>0</v>
      </c>
      <c r="E40" s="276">
        <f>(SUMIF(Fonctionnement[Affectation matrice],$AB$3,Fonctionnement[Montant (€HT)])+SUMIF(Invest[Affectation matrice],$AB$3,Invest[Amortissement HT + intérêts]))*BF40</f>
        <v>0</v>
      </c>
      <c r="F40" s="276">
        <f>(SUMIF(Fonctionnement[Affectation matrice],$AB$3,Fonctionnement[Montant (€HT)])+SUMIF(Invest[Affectation matrice],$AB$3,Invest[Amortissement HT + intérêts]))*BG40</f>
        <v>0</v>
      </c>
      <c r="G40" s="276">
        <f>(SUMIF(Fonctionnement[Affectation matrice],$AB$3,Fonctionnement[Montant (€HT)])+SUMIF(Invest[Affectation matrice],$AB$3,Invest[Amortissement HT + intérêts]))*BH40</f>
        <v>0</v>
      </c>
      <c r="H40" s="276">
        <f>(SUMIF(Fonctionnement[Affectation matrice],$AB$3,Fonctionnement[Montant (€HT)])+SUMIF(Invest[Affectation matrice],$AB$3,Invest[Amortissement HT + intérêts]))*BI40</f>
        <v>0</v>
      </c>
      <c r="I40" s="276">
        <f>(SUMIF(Fonctionnement[Affectation matrice],$AB$3,Fonctionnement[Montant (€HT)])+SUMIF(Invest[Affectation matrice],$AB$3,Invest[Amortissement HT + intérêts]))*BJ40</f>
        <v>0</v>
      </c>
      <c r="J40" s="276">
        <f>(SUMIF(Fonctionnement[Affectation matrice],$AB$3,Fonctionnement[Montant (€HT)])+SUMIF(Invest[Affectation matrice],$AB$3,Invest[Amortissement HT + intérêts]))*BK40</f>
        <v>0</v>
      </c>
      <c r="K40" s="276">
        <f>(SUMIF(Fonctionnement[Affectation matrice],$AB$3,Fonctionnement[Montant (€HT)])+SUMIF(Invest[Affectation matrice],$AB$3,Invest[Amortissement HT + intérêts]))*BL40</f>
        <v>0</v>
      </c>
      <c r="L40" s="276">
        <f>(SUMIF(Fonctionnement[Affectation matrice],$AB$3,Fonctionnement[Montant (€HT)])+SUMIF(Invest[Affectation matrice],$AB$3,Invest[Amortissement HT + intérêts]))*BM40</f>
        <v>0</v>
      </c>
      <c r="M40" s="276">
        <f>(SUMIF(Fonctionnement[Affectation matrice],$AB$3,Fonctionnement[Montant (€HT)])+SUMIF(Invest[Affectation matrice],$AB$3,Invest[Amortissement HT + intérêts]))*BN40</f>
        <v>0</v>
      </c>
      <c r="N40" s="276">
        <f>(SUMIF(Fonctionnement[Affectation matrice],$AB$3,Fonctionnement[Montant (€HT)])+SUMIF(Invest[Affectation matrice],$AB$3,Invest[Amortissement HT + intérêts]))*BO40</f>
        <v>0</v>
      </c>
      <c r="O40" s="276">
        <f>(SUMIF(Fonctionnement[Affectation matrice],$AB$3,Fonctionnement[Montant (€HT)])+SUMIF(Invest[Affectation matrice],$AB$3,Invest[Amortissement HT + intérêts]))*BP40</f>
        <v>0</v>
      </c>
      <c r="P40" s="276">
        <f>(SUMIF(Fonctionnement[Affectation matrice],$AB$3,Fonctionnement[Montant (€HT)])+SUMIF(Invest[Affectation matrice],$AB$3,Invest[Amortissement HT + intérêts]))*BQ40</f>
        <v>0</v>
      </c>
      <c r="Q40" s="276">
        <f>(SUMIF(Fonctionnement[Affectation matrice],$AB$3,Fonctionnement[Montant (€HT)])+SUMIF(Invest[Affectation matrice],$AB$3,Invest[Amortissement HT + intérêts]))*BR40</f>
        <v>0</v>
      </c>
      <c r="R40" s="276">
        <f>(SUMIF(Fonctionnement[Affectation matrice],$AB$3,Fonctionnement[Montant (€HT)])+SUMIF(Invest[Affectation matrice],$AB$3,Invest[Amortissement HT + intérêts]))*BS40</f>
        <v>0</v>
      </c>
      <c r="S40" s="276">
        <f>(SUMIF(Fonctionnement[Affectation matrice],$AB$3,Fonctionnement[Montant (€HT)])+SUMIF(Invest[Affectation matrice],$AB$3,Invest[Amortissement HT + intérêts]))*BT40</f>
        <v>0</v>
      </c>
      <c r="T40" s="276">
        <f>(SUMIF(Fonctionnement[Affectation matrice],$AB$3,Fonctionnement[Montant (€HT)])+SUMIF(Invest[Affectation matrice],$AB$3,Invest[Amortissement HT + intérêts]))*BU40</f>
        <v>0</v>
      </c>
      <c r="U40" s="276">
        <f>(SUMIF(Fonctionnement[Affectation matrice],$AB$3,Fonctionnement[Montant (€HT)])+SUMIF(Invest[Affectation matrice],$AB$3,Invest[Amortissement HT + intérêts]))*BV40</f>
        <v>0</v>
      </c>
      <c r="V40" s="276">
        <f>(SUMIF(Fonctionnement[Affectation matrice],$AB$3,Fonctionnement[Montant (€HT)])+SUMIF(Invest[Affectation matrice],$AB$3,Invest[Amortissement HT + intérêts]))*BW40</f>
        <v>0</v>
      </c>
      <c r="W40" s="276">
        <f>(SUMIF(Fonctionnement[Affectation matrice],$AB$3,Fonctionnement[Montant (€HT)])+SUMIF(Invest[Affectation matrice],$AB$3,Invest[Amortissement HT + intérêts]))*BX40</f>
        <v>0</v>
      </c>
      <c r="X40" s="276">
        <f>(SUMIF(Fonctionnement[Affectation matrice],$AB$3,Fonctionnement[Montant (€HT)])+SUMIF(Invest[Affectation matrice],$AB$3,Invest[Amortissement HT + intérêts]))*BY40</f>
        <v>0</v>
      </c>
      <c r="Y40" s="276">
        <f>(SUMIF(Fonctionnement[Affectation matrice],$AB$3,Fonctionnement[Montant (€HT)])+SUMIF(Invest[Affectation matrice],$AB$3,Invest[Amortissement HT + intérêts]))*BZ40</f>
        <v>0</v>
      </c>
      <c r="Z40" s="276">
        <f>(SUMIF(Fonctionnement[Affectation matrice],$AB$3,Fonctionnement[Montant (€HT)])+SUMIF(Invest[Affectation matrice],$AB$3,Invest[Amortissement HT + intérêts]))*CA40</f>
        <v>0</v>
      </c>
      <c r="AA40" s="199"/>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283">
        <f t="shared" si="4"/>
        <v>0</v>
      </c>
      <c r="BB40" s="7"/>
      <c r="BC40" s="61">
        <f t="shared" si="10"/>
        <v>0</v>
      </c>
      <c r="BD40" s="61">
        <f t="shared" si="10"/>
        <v>0</v>
      </c>
      <c r="BE40" s="61">
        <f t="shared" si="10"/>
        <v>0</v>
      </c>
      <c r="BF40" s="61">
        <f t="shared" si="10"/>
        <v>0</v>
      </c>
      <c r="BG40" s="61">
        <f t="shared" si="10"/>
        <v>0</v>
      </c>
      <c r="BH40" s="61">
        <f t="shared" si="10"/>
        <v>0</v>
      </c>
      <c r="BI40" s="61">
        <f t="shared" si="10"/>
        <v>0</v>
      </c>
      <c r="BJ40" s="61">
        <f t="shared" si="10"/>
        <v>0</v>
      </c>
      <c r="BK40" s="61">
        <f t="shared" si="10"/>
        <v>0</v>
      </c>
      <c r="BL40" s="61">
        <f t="shared" si="10"/>
        <v>0</v>
      </c>
      <c r="BM40" s="61">
        <f t="shared" si="11"/>
        <v>0</v>
      </c>
      <c r="BN40" s="61">
        <f t="shared" si="11"/>
        <v>0</v>
      </c>
      <c r="BO40" s="61">
        <f t="shared" si="11"/>
        <v>0</v>
      </c>
      <c r="BP40" s="61">
        <f t="shared" si="11"/>
        <v>0</v>
      </c>
      <c r="BQ40" s="61">
        <f t="shared" si="11"/>
        <v>0</v>
      </c>
      <c r="BR40" s="61">
        <f t="shared" si="11"/>
        <v>0</v>
      </c>
      <c r="BS40" s="61">
        <f t="shared" si="11"/>
        <v>0</v>
      </c>
      <c r="BT40" s="61">
        <f t="shared" si="11"/>
        <v>0</v>
      </c>
      <c r="BU40" s="61">
        <f t="shared" si="11"/>
        <v>0</v>
      </c>
      <c r="BV40" s="61">
        <f t="shared" si="11"/>
        <v>0</v>
      </c>
      <c r="BW40" s="61">
        <f t="shared" si="11"/>
        <v>0</v>
      </c>
      <c r="BX40" s="61">
        <f t="shared" si="11"/>
        <v>0</v>
      </c>
      <c r="BY40" s="61">
        <f t="shared" si="11"/>
        <v>0</v>
      </c>
      <c r="BZ40" s="61">
        <f t="shared" si="11"/>
        <v>0</v>
      </c>
      <c r="CA40" s="61">
        <f t="shared" si="11"/>
        <v>0</v>
      </c>
      <c r="CB40" s="61">
        <f t="shared" si="5"/>
        <v>0</v>
      </c>
      <c r="CD40" s="200">
        <f>(SUMIF(Fonctionnement[Affectation matrice],$AB$3,Fonctionnement[TVA acquittée])+SUMIF(Invest[Affectation matrice],$AB$3,Invest[TVA acquittée]))*BC40</f>
        <v>0</v>
      </c>
      <c r="CE40" s="200">
        <f>(SUMIF(Fonctionnement[Affectation matrice],$AB$3,Fonctionnement[TVA acquittée])+SUMIF(Invest[Affectation matrice],$AB$3,Invest[TVA acquittée]))*BD40</f>
        <v>0</v>
      </c>
      <c r="CF40" s="200">
        <f>(SUMIF(Fonctionnement[Affectation matrice],$AB$3,Fonctionnement[TVA acquittée])+SUMIF(Invest[Affectation matrice],$AB$3,Invest[TVA acquittée]))*BE40</f>
        <v>0</v>
      </c>
      <c r="CG40" s="200">
        <f>(SUMIF(Fonctionnement[Affectation matrice],$AB$3,Fonctionnement[TVA acquittée])+SUMIF(Invest[Affectation matrice],$AB$3,Invest[TVA acquittée]))*BF40</f>
        <v>0</v>
      </c>
      <c r="CH40" s="200">
        <f>(SUMIF(Fonctionnement[Affectation matrice],$AB$3,Fonctionnement[TVA acquittée])+SUMIF(Invest[Affectation matrice],$AB$3,Invest[TVA acquittée]))*BG40</f>
        <v>0</v>
      </c>
      <c r="CI40" s="200">
        <f>(SUMIF(Fonctionnement[Affectation matrice],$AB$3,Fonctionnement[TVA acquittée])+SUMIF(Invest[Affectation matrice],$AB$3,Invest[TVA acquittée]))*BH40</f>
        <v>0</v>
      </c>
      <c r="CJ40" s="200">
        <f>(SUMIF(Fonctionnement[Affectation matrice],$AB$3,Fonctionnement[TVA acquittée])+SUMIF(Invest[Affectation matrice],$AB$3,Invest[TVA acquittée]))*BI40</f>
        <v>0</v>
      </c>
      <c r="CK40" s="200">
        <f>(SUMIF(Fonctionnement[Affectation matrice],$AB$3,Fonctionnement[TVA acquittée])+SUMIF(Invest[Affectation matrice],$AB$3,Invest[TVA acquittée]))*BJ40</f>
        <v>0</v>
      </c>
      <c r="CL40" s="200">
        <f>(SUMIF(Fonctionnement[Affectation matrice],$AB$3,Fonctionnement[TVA acquittée])+SUMIF(Invest[Affectation matrice],$AB$3,Invest[TVA acquittée]))*BK40</f>
        <v>0</v>
      </c>
      <c r="CM40" s="200">
        <f>(SUMIF(Fonctionnement[Affectation matrice],$AB$3,Fonctionnement[TVA acquittée])+SUMIF(Invest[Affectation matrice],$AB$3,Invest[TVA acquittée]))*BL40</f>
        <v>0</v>
      </c>
      <c r="CN40" s="200">
        <f>(SUMIF(Fonctionnement[Affectation matrice],$AB$3,Fonctionnement[TVA acquittée])+SUMIF(Invest[Affectation matrice],$AB$3,Invest[TVA acquittée]))*BM40</f>
        <v>0</v>
      </c>
      <c r="CO40" s="200">
        <f>(SUMIF(Fonctionnement[Affectation matrice],$AB$3,Fonctionnement[TVA acquittée])+SUMIF(Invest[Affectation matrice],$AB$3,Invest[TVA acquittée]))*BN40</f>
        <v>0</v>
      </c>
      <c r="CP40" s="200">
        <f>(SUMIF(Fonctionnement[Affectation matrice],$AB$3,Fonctionnement[TVA acquittée])+SUMIF(Invest[Affectation matrice],$AB$3,Invest[TVA acquittée]))*BO40</f>
        <v>0</v>
      </c>
      <c r="CQ40" s="200">
        <f>(SUMIF(Fonctionnement[Affectation matrice],$AB$3,Fonctionnement[TVA acquittée])+SUMIF(Invest[Affectation matrice],$AB$3,Invest[TVA acquittée]))*BP40</f>
        <v>0</v>
      </c>
      <c r="CR40" s="200">
        <f>(SUMIF(Fonctionnement[Affectation matrice],$AB$3,Fonctionnement[TVA acquittée])+SUMIF(Invest[Affectation matrice],$AB$3,Invest[TVA acquittée]))*BQ40</f>
        <v>0</v>
      </c>
      <c r="CS40" s="200">
        <f>(SUMIF(Fonctionnement[Affectation matrice],$AB$3,Fonctionnement[TVA acquittée])+SUMIF(Invest[Affectation matrice],$AB$3,Invest[TVA acquittée]))*BR40</f>
        <v>0</v>
      </c>
      <c r="CT40" s="200">
        <f>(SUMIF(Fonctionnement[Affectation matrice],$AB$3,Fonctionnement[TVA acquittée])+SUMIF(Invest[Affectation matrice],$AB$3,Invest[TVA acquittée]))*BS40</f>
        <v>0</v>
      </c>
      <c r="CU40" s="200">
        <f>(SUMIF(Fonctionnement[Affectation matrice],$AB$3,Fonctionnement[TVA acquittée])+SUMIF(Invest[Affectation matrice],$AB$3,Invest[TVA acquittée]))*BT40</f>
        <v>0</v>
      </c>
      <c r="CV40" s="200">
        <f>(SUMIF(Fonctionnement[Affectation matrice],$AB$3,Fonctionnement[TVA acquittée])+SUMIF(Invest[Affectation matrice],$AB$3,Invest[TVA acquittée]))*BU40</f>
        <v>0</v>
      </c>
      <c r="CW40" s="200">
        <f>(SUMIF(Fonctionnement[Affectation matrice],$AB$3,Fonctionnement[TVA acquittée])+SUMIF(Invest[Affectation matrice],$AB$3,Invest[TVA acquittée]))*BV40</f>
        <v>0</v>
      </c>
      <c r="CX40" s="200">
        <f>(SUMIF(Fonctionnement[Affectation matrice],$AB$3,Fonctionnement[TVA acquittée])+SUMIF(Invest[Affectation matrice],$AB$3,Invest[TVA acquittée]))*BW40</f>
        <v>0</v>
      </c>
      <c r="CY40" s="200">
        <f>(SUMIF(Fonctionnement[Affectation matrice],$AB$3,Fonctionnement[TVA acquittée])+SUMIF(Invest[Affectation matrice],$AB$3,Invest[TVA acquittée]))*BX40</f>
        <v>0</v>
      </c>
      <c r="CZ40" s="200">
        <f>(SUMIF(Fonctionnement[Affectation matrice],$AB$3,Fonctionnement[TVA acquittée])+SUMIF(Invest[Affectation matrice],$AB$3,Invest[TVA acquittée]))*BY40</f>
        <v>0</v>
      </c>
      <c r="DA40" s="200">
        <f>(SUMIF(Fonctionnement[Affectation matrice],$AB$3,Fonctionnement[TVA acquittée])+SUMIF(Invest[Affectation matrice],$AB$3,Invest[TVA acquittée]))*BZ40</f>
        <v>0</v>
      </c>
      <c r="DB40" s="200">
        <f>(SUMIF(Fonctionnement[Affectation matrice],$AB$3,Fonctionnement[TVA acquittée])+SUMIF(Invest[Affectation matrice],$AB$3,Invest[TVA acquittée]))*CA40</f>
        <v>0</v>
      </c>
    </row>
    <row r="41" spans="1:106" s="22" customFormat="1" ht="12.75" hidden="1" customHeight="1" x14ac:dyDescent="0.25">
      <c r="A41" s="42" t="str">
        <f>Matrice[[#This Row],[Ligne de la matrice]]</f>
        <v>Contribution des collectivités</v>
      </c>
      <c r="B41" s="276">
        <f>(SUMIF(Fonctionnement[Affectation matrice],$AB$3,Fonctionnement[Montant (€HT)])+SUMIF(Invest[Affectation matrice],$AB$3,Invest[Amortissement HT + intérêts]))*BC41</f>
        <v>0</v>
      </c>
      <c r="C41" s="276">
        <f>(SUMIF(Fonctionnement[Affectation matrice],$AB$3,Fonctionnement[Montant (€HT)])+SUMIF(Invest[Affectation matrice],$AB$3,Invest[Amortissement HT + intérêts]))*BD41</f>
        <v>0</v>
      </c>
      <c r="D41" s="276">
        <f>(SUMIF(Fonctionnement[Affectation matrice],$AB$3,Fonctionnement[Montant (€HT)])+SUMIF(Invest[Affectation matrice],$AB$3,Invest[Amortissement HT + intérêts]))*BE41</f>
        <v>0</v>
      </c>
      <c r="E41" s="276">
        <f>(SUMIF(Fonctionnement[Affectation matrice],$AB$3,Fonctionnement[Montant (€HT)])+SUMIF(Invest[Affectation matrice],$AB$3,Invest[Amortissement HT + intérêts]))*BF41</f>
        <v>0</v>
      </c>
      <c r="F41" s="276">
        <f>(SUMIF(Fonctionnement[Affectation matrice],$AB$3,Fonctionnement[Montant (€HT)])+SUMIF(Invest[Affectation matrice],$AB$3,Invest[Amortissement HT + intérêts]))*BG41</f>
        <v>0</v>
      </c>
      <c r="G41" s="276">
        <f>(SUMIF(Fonctionnement[Affectation matrice],$AB$3,Fonctionnement[Montant (€HT)])+SUMIF(Invest[Affectation matrice],$AB$3,Invest[Amortissement HT + intérêts]))*BH41</f>
        <v>0</v>
      </c>
      <c r="H41" s="276">
        <f>(SUMIF(Fonctionnement[Affectation matrice],$AB$3,Fonctionnement[Montant (€HT)])+SUMIF(Invest[Affectation matrice],$AB$3,Invest[Amortissement HT + intérêts]))*BI41</f>
        <v>0</v>
      </c>
      <c r="I41" s="276">
        <f>(SUMIF(Fonctionnement[Affectation matrice],$AB$3,Fonctionnement[Montant (€HT)])+SUMIF(Invest[Affectation matrice],$AB$3,Invest[Amortissement HT + intérêts]))*BJ41</f>
        <v>0</v>
      </c>
      <c r="J41" s="276">
        <f>(SUMIF(Fonctionnement[Affectation matrice],$AB$3,Fonctionnement[Montant (€HT)])+SUMIF(Invest[Affectation matrice],$AB$3,Invest[Amortissement HT + intérêts]))*BK41</f>
        <v>0</v>
      </c>
      <c r="K41" s="276">
        <f>(SUMIF(Fonctionnement[Affectation matrice],$AB$3,Fonctionnement[Montant (€HT)])+SUMIF(Invest[Affectation matrice],$AB$3,Invest[Amortissement HT + intérêts]))*BL41</f>
        <v>0</v>
      </c>
      <c r="L41" s="276">
        <f>(SUMIF(Fonctionnement[Affectation matrice],$AB$3,Fonctionnement[Montant (€HT)])+SUMIF(Invest[Affectation matrice],$AB$3,Invest[Amortissement HT + intérêts]))*BM41</f>
        <v>0</v>
      </c>
      <c r="M41" s="276">
        <f>(SUMIF(Fonctionnement[Affectation matrice],$AB$3,Fonctionnement[Montant (€HT)])+SUMIF(Invest[Affectation matrice],$AB$3,Invest[Amortissement HT + intérêts]))*BN41</f>
        <v>0</v>
      </c>
      <c r="N41" s="276">
        <f>(SUMIF(Fonctionnement[Affectation matrice],$AB$3,Fonctionnement[Montant (€HT)])+SUMIF(Invest[Affectation matrice],$AB$3,Invest[Amortissement HT + intérêts]))*BO41</f>
        <v>0</v>
      </c>
      <c r="O41" s="276">
        <f>(SUMIF(Fonctionnement[Affectation matrice],$AB$3,Fonctionnement[Montant (€HT)])+SUMIF(Invest[Affectation matrice],$AB$3,Invest[Amortissement HT + intérêts]))*BP41</f>
        <v>0</v>
      </c>
      <c r="P41" s="276">
        <f>(SUMIF(Fonctionnement[Affectation matrice],$AB$3,Fonctionnement[Montant (€HT)])+SUMIF(Invest[Affectation matrice],$AB$3,Invest[Amortissement HT + intérêts]))*BQ41</f>
        <v>0</v>
      </c>
      <c r="Q41" s="276">
        <f>(SUMIF(Fonctionnement[Affectation matrice],$AB$3,Fonctionnement[Montant (€HT)])+SUMIF(Invest[Affectation matrice],$AB$3,Invest[Amortissement HT + intérêts]))*BR41</f>
        <v>0</v>
      </c>
      <c r="R41" s="276">
        <f>(SUMIF(Fonctionnement[Affectation matrice],$AB$3,Fonctionnement[Montant (€HT)])+SUMIF(Invest[Affectation matrice],$AB$3,Invest[Amortissement HT + intérêts]))*BS41</f>
        <v>0</v>
      </c>
      <c r="S41" s="276">
        <f>(SUMIF(Fonctionnement[Affectation matrice],$AB$3,Fonctionnement[Montant (€HT)])+SUMIF(Invest[Affectation matrice],$AB$3,Invest[Amortissement HT + intérêts]))*BT41</f>
        <v>0</v>
      </c>
      <c r="T41" s="276">
        <f>(SUMIF(Fonctionnement[Affectation matrice],$AB$3,Fonctionnement[Montant (€HT)])+SUMIF(Invest[Affectation matrice],$AB$3,Invest[Amortissement HT + intérêts]))*BU41</f>
        <v>0</v>
      </c>
      <c r="U41" s="276">
        <f>(SUMIF(Fonctionnement[Affectation matrice],$AB$3,Fonctionnement[Montant (€HT)])+SUMIF(Invest[Affectation matrice],$AB$3,Invest[Amortissement HT + intérêts]))*BV41</f>
        <v>0</v>
      </c>
      <c r="V41" s="276">
        <f>(SUMIF(Fonctionnement[Affectation matrice],$AB$3,Fonctionnement[Montant (€HT)])+SUMIF(Invest[Affectation matrice],$AB$3,Invest[Amortissement HT + intérêts]))*BW41</f>
        <v>0</v>
      </c>
      <c r="W41" s="276">
        <f>(SUMIF(Fonctionnement[Affectation matrice],$AB$3,Fonctionnement[Montant (€HT)])+SUMIF(Invest[Affectation matrice],$AB$3,Invest[Amortissement HT + intérêts]))*BX41</f>
        <v>0</v>
      </c>
      <c r="X41" s="276">
        <f>(SUMIF(Fonctionnement[Affectation matrice],$AB$3,Fonctionnement[Montant (€HT)])+SUMIF(Invest[Affectation matrice],$AB$3,Invest[Amortissement HT + intérêts]))*BY41</f>
        <v>0</v>
      </c>
      <c r="Y41" s="276">
        <f>(SUMIF(Fonctionnement[Affectation matrice],$AB$3,Fonctionnement[Montant (€HT)])+SUMIF(Invest[Affectation matrice],$AB$3,Invest[Amortissement HT + intérêts]))*BZ41</f>
        <v>0</v>
      </c>
      <c r="Z41" s="276">
        <f>(SUMIF(Fonctionnement[Affectation matrice],$AB$3,Fonctionnement[Montant (€HT)])+SUMIF(Invest[Affectation matrice],$AB$3,Invest[Amortissement HT + intérêts]))*CA41</f>
        <v>0</v>
      </c>
      <c r="AA41" s="199"/>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283">
        <f t="shared" si="4"/>
        <v>0</v>
      </c>
      <c r="BB41" s="7"/>
      <c r="BC41" s="61">
        <f t="shared" si="10"/>
        <v>0</v>
      </c>
      <c r="BD41" s="61">
        <f t="shared" si="10"/>
        <v>0</v>
      </c>
      <c r="BE41" s="61">
        <f t="shared" si="10"/>
        <v>0</v>
      </c>
      <c r="BF41" s="61">
        <f t="shared" si="10"/>
        <v>0</v>
      </c>
      <c r="BG41" s="61">
        <f t="shared" si="10"/>
        <v>0</v>
      </c>
      <c r="BH41" s="61">
        <f t="shared" si="10"/>
        <v>0</v>
      </c>
      <c r="BI41" s="61">
        <f t="shared" si="10"/>
        <v>0</v>
      </c>
      <c r="BJ41" s="61">
        <f t="shared" si="10"/>
        <v>0</v>
      </c>
      <c r="BK41" s="61">
        <f t="shared" si="10"/>
        <v>0</v>
      </c>
      <c r="BL41" s="61">
        <f t="shared" si="10"/>
        <v>0</v>
      </c>
      <c r="BM41" s="61">
        <f t="shared" si="11"/>
        <v>0</v>
      </c>
      <c r="BN41" s="61">
        <f t="shared" si="11"/>
        <v>0</v>
      </c>
      <c r="BO41" s="61">
        <f t="shared" si="11"/>
        <v>0</v>
      </c>
      <c r="BP41" s="61">
        <f t="shared" si="11"/>
        <v>0</v>
      </c>
      <c r="BQ41" s="61">
        <f t="shared" si="11"/>
        <v>0</v>
      </c>
      <c r="BR41" s="61">
        <f t="shared" si="11"/>
        <v>0</v>
      </c>
      <c r="BS41" s="61">
        <f t="shared" si="11"/>
        <v>0</v>
      </c>
      <c r="BT41" s="61">
        <f t="shared" si="11"/>
        <v>0</v>
      </c>
      <c r="BU41" s="61">
        <f t="shared" si="11"/>
        <v>0</v>
      </c>
      <c r="BV41" s="61">
        <f t="shared" si="11"/>
        <v>0</v>
      </c>
      <c r="BW41" s="61">
        <f t="shared" si="11"/>
        <v>0</v>
      </c>
      <c r="BX41" s="61">
        <f t="shared" si="11"/>
        <v>0</v>
      </c>
      <c r="BY41" s="61">
        <f t="shared" si="11"/>
        <v>0</v>
      </c>
      <c r="BZ41" s="61">
        <f t="shared" si="11"/>
        <v>0</v>
      </c>
      <c r="CA41" s="61">
        <f t="shared" si="11"/>
        <v>0</v>
      </c>
      <c r="CB41" s="61">
        <f t="shared" si="5"/>
        <v>0</v>
      </c>
      <c r="CD41" s="200">
        <f>(SUMIF(Fonctionnement[Affectation matrice],$AB$3,Fonctionnement[TVA acquittée])+SUMIF(Invest[Affectation matrice],$AB$3,Invest[TVA acquittée]))*BC41</f>
        <v>0</v>
      </c>
      <c r="CE41" s="200">
        <f>(SUMIF(Fonctionnement[Affectation matrice],$AB$3,Fonctionnement[TVA acquittée])+SUMIF(Invest[Affectation matrice],$AB$3,Invest[TVA acquittée]))*BD41</f>
        <v>0</v>
      </c>
      <c r="CF41" s="200">
        <f>(SUMIF(Fonctionnement[Affectation matrice],$AB$3,Fonctionnement[TVA acquittée])+SUMIF(Invest[Affectation matrice],$AB$3,Invest[TVA acquittée]))*BE41</f>
        <v>0</v>
      </c>
      <c r="CG41" s="200">
        <f>(SUMIF(Fonctionnement[Affectation matrice],$AB$3,Fonctionnement[TVA acquittée])+SUMIF(Invest[Affectation matrice],$AB$3,Invest[TVA acquittée]))*BF41</f>
        <v>0</v>
      </c>
      <c r="CH41" s="200">
        <f>(SUMIF(Fonctionnement[Affectation matrice],$AB$3,Fonctionnement[TVA acquittée])+SUMIF(Invest[Affectation matrice],$AB$3,Invest[TVA acquittée]))*BG41</f>
        <v>0</v>
      </c>
      <c r="CI41" s="200">
        <f>(SUMIF(Fonctionnement[Affectation matrice],$AB$3,Fonctionnement[TVA acquittée])+SUMIF(Invest[Affectation matrice],$AB$3,Invest[TVA acquittée]))*BH41</f>
        <v>0</v>
      </c>
      <c r="CJ41" s="200">
        <f>(SUMIF(Fonctionnement[Affectation matrice],$AB$3,Fonctionnement[TVA acquittée])+SUMIF(Invest[Affectation matrice],$AB$3,Invest[TVA acquittée]))*BI41</f>
        <v>0</v>
      </c>
      <c r="CK41" s="200">
        <f>(SUMIF(Fonctionnement[Affectation matrice],$AB$3,Fonctionnement[TVA acquittée])+SUMIF(Invest[Affectation matrice],$AB$3,Invest[TVA acquittée]))*BJ41</f>
        <v>0</v>
      </c>
      <c r="CL41" s="200">
        <f>(SUMIF(Fonctionnement[Affectation matrice],$AB$3,Fonctionnement[TVA acquittée])+SUMIF(Invest[Affectation matrice],$AB$3,Invest[TVA acquittée]))*BK41</f>
        <v>0</v>
      </c>
      <c r="CM41" s="200">
        <f>(SUMIF(Fonctionnement[Affectation matrice],$AB$3,Fonctionnement[TVA acquittée])+SUMIF(Invest[Affectation matrice],$AB$3,Invest[TVA acquittée]))*BL41</f>
        <v>0</v>
      </c>
      <c r="CN41" s="200">
        <f>(SUMIF(Fonctionnement[Affectation matrice],$AB$3,Fonctionnement[TVA acquittée])+SUMIF(Invest[Affectation matrice],$AB$3,Invest[TVA acquittée]))*BM41</f>
        <v>0</v>
      </c>
      <c r="CO41" s="200">
        <f>(SUMIF(Fonctionnement[Affectation matrice],$AB$3,Fonctionnement[TVA acquittée])+SUMIF(Invest[Affectation matrice],$AB$3,Invest[TVA acquittée]))*BN41</f>
        <v>0</v>
      </c>
      <c r="CP41" s="200">
        <f>(SUMIF(Fonctionnement[Affectation matrice],$AB$3,Fonctionnement[TVA acquittée])+SUMIF(Invest[Affectation matrice],$AB$3,Invest[TVA acquittée]))*BO41</f>
        <v>0</v>
      </c>
      <c r="CQ41" s="200">
        <f>(SUMIF(Fonctionnement[Affectation matrice],$AB$3,Fonctionnement[TVA acquittée])+SUMIF(Invest[Affectation matrice],$AB$3,Invest[TVA acquittée]))*BP41</f>
        <v>0</v>
      </c>
      <c r="CR41" s="200">
        <f>(SUMIF(Fonctionnement[Affectation matrice],$AB$3,Fonctionnement[TVA acquittée])+SUMIF(Invest[Affectation matrice],$AB$3,Invest[TVA acquittée]))*BQ41</f>
        <v>0</v>
      </c>
      <c r="CS41" s="200">
        <f>(SUMIF(Fonctionnement[Affectation matrice],$AB$3,Fonctionnement[TVA acquittée])+SUMIF(Invest[Affectation matrice],$AB$3,Invest[TVA acquittée]))*BR41</f>
        <v>0</v>
      </c>
      <c r="CT41" s="200">
        <f>(SUMIF(Fonctionnement[Affectation matrice],$AB$3,Fonctionnement[TVA acquittée])+SUMIF(Invest[Affectation matrice],$AB$3,Invest[TVA acquittée]))*BS41</f>
        <v>0</v>
      </c>
      <c r="CU41" s="200">
        <f>(SUMIF(Fonctionnement[Affectation matrice],$AB$3,Fonctionnement[TVA acquittée])+SUMIF(Invest[Affectation matrice],$AB$3,Invest[TVA acquittée]))*BT41</f>
        <v>0</v>
      </c>
      <c r="CV41" s="200">
        <f>(SUMIF(Fonctionnement[Affectation matrice],$AB$3,Fonctionnement[TVA acquittée])+SUMIF(Invest[Affectation matrice],$AB$3,Invest[TVA acquittée]))*BU41</f>
        <v>0</v>
      </c>
      <c r="CW41" s="200">
        <f>(SUMIF(Fonctionnement[Affectation matrice],$AB$3,Fonctionnement[TVA acquittée])+SUMIF(Invest[Affectation matrice],$AB$3,Invest[TVA acquittée]))*BV41</f>
        <v>0</v>
      </c>
      <c r="CX41" s="200">
        <f>(SUMIF(Fonctionnement[Affectation matrice],$AB$3,Fonctionnement[TVA acquittée])+SUMIF(Invest[Affectation matrice],$AB$3,Invest[TVA acquittée]))*BW41</f>
        <v>0</v>
      </c>
      <c r="CY41" s="200">
        <f>(SUMIF(Fonctionnement[Affectation matrice],$AB$3,Fonctionnement[TVA acquittée])+SUMIF(Invest[Affectation matrice],$AB$3,Invest[TVA acquittée]))*BX41</f>
        <v>0</v>
      </c>
      <c r="CZ41" s="200">
        <f>(SUMIF(Fonctionnement[Affectation matrice],$AB$3,Fonctionnement[TVA acquittée])+SUMIF(Invest[Affectation matrice],$AB$3,Invest[TVA acquittée]))*BY41</f>
        <v>0</v>
      </c>
      <c r="DA41" s="200">
        <f>(SUMIF(Fonctionnement[Affectation matrice],$AB$3,Fonctionnement[TVA acquittée])+SUMIF(Invest[Affectation matrice],$AB$3,Invest[TVA acquittée]))*BZ41</f>
        <v>0</v>
      </c>
      <c r="DB41" s="200">
        <f>(SUMIF(Fonctionnement[Affectation matrice],$AB$3,Fonctionnement[TVA acquittée])+SUMIF(Invest[Affectation matrice],$AB$3,Invest[TVA acquittée]))*CA41</f>
        <v>0</v>
      </c>
    </row>
    <row r="42" spans="1:106" s="204" customFormat="1" hidden="1" x14ac:dyDescent="0.25">
      <c r="A42" s="186"/>
      <c r="B42" s="277"/>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02"/>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row>
    <row r="43" spans="1:106" s="204" customFormat="1" ht="12.75" hidden="1" customHeight="1" x14ac:dyDescent="0.25">
      <c r="A43" s="186"/>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02"/>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row>
    <row r="44" spans="1:106" hidden="1" x14ac:dyDescent="0.25">
      <c r="A44" s="42" t="str">
        <f>Matrice[[#This Row],[Ligne de la matrice]]</f>
        <v>Exemple : REG incinération / énergie</v>
      </c>
      <c r="B44" s="276">
        <f>(SUMIF(Fonctionnement[Affectation matrice],$AB$3,Fonctionnement[Montant (€HT)])+SUMIF(Invest[Affectation matrice],$AB$3,Invest[Amortissement HT + intérêts]))*BC44</f>
        <v>0</v>
      </c>
      <c r="C44" s="276">
        <f>(SUMIF(Fonctionnement[Affectation matrice],$AB$3,Fonctionnement[Montant (€HT)])+SUMIF(Invest[Affectation matrice],$AB$3,Invest[Amortissement HT + intérêts]))*BD44</f>
        <v>0</v>
      </c>
      <c r="D44" s="276">
        <f>(SUMIF(Fonctionnement[Affectation matrice],$AB$3,Fonctionnement[Montant (€HT)])+SUMIF(Invest[Affectation matrice],$AB$3,Invest[Amortissement HT + intérêts]))*BE44</f>
        <v>0</v>
      </c>
      <c r="E44" s="276">
        <f>(SUMIF(Fonctionnement[Affectation matrice],$AB$3,Fonctionnement[Montant (€HT)])+SUMIF(Invest[Affectation matrice],$AB$3,Invest[Amortissement HT + intérêts]))*BF44</f>
        <v>0</v>
      </c>
      <c r="F44" s="276">
        <f>(SUMIF(Fonctionnement[Affectation matrice],$AB$3,Fonctionnement[Montant (€HT)])+SUMIF(Invest[Affectation matrice],$AB$3,Invest[Amortissement HT + intérêts]))*BG44</f>
        <v>0</v>
      </c>
      <c r="G44" s="276">
        <f>(SUMIF(Fonctionnement[Affectation matrice],$AB$3,Fonctionnement[Montant (€HT)])+SUMIF(Invest[Affectation matrice],$AB$3,Invest[Amortissement HT + intérêts]))*BH44</f>
        <v>0</v>
      </c>
      <c r="H44" s="276">
        <f>(SUMIF(Fonctionnement[Affectation matrice],$AB$3,Fonctionnement[Montant (€HT)])+SUMIF(Invest[Affectation matrice],$AB$3,Invest[Amortissement HT + intérêts]))*BI44</f>
        <v>0</v>
      </c>
      <c r="I44" s="276">
        <f>(SUMIF(Fonctionnement[Affectation matrice],$AB$3,Fonctionnement[Montant (€HT)])+SUMIF(Invest[Affectation matrice],$AB$3,Invest[Amortissement HT + intérêts]))*BJ44</f>
        <v>0</v>
      </c>
      <c r="J44" s="276">
        <f>(SUMIF(Fonctionnement[Affectation matrice],$AB$3,Fonctionnement[Montant (€HT)])+SUMIF(Invest[Affectation matrice],$AB$3,Invest[Amortissement HT + intérêts]))*BK44</f>
        <v>0</v>
      </c>
      <c r="K44" s="276">
        <f>(SUMIF(Fonctionnement[Affectation matrice],$AB$3,Fonctionnement[Montant (€HT)])+SUMIF(Invest[Affectation matrice],$AB$3,Invest[Amortissement HT + intérêts]))*BL44</f>
        <v>0</v>
      </c>
      <c r="L44" s="276">
        <f>(SUMIF(Fonctionnement[Affectation matrice],$AB$3,Fonctionnement[Montant (€HT)])+SUMIF(Invest[Affectation matrice],$AB$3,Invest[Amortissement HT + intérêts]))*BM44</f>
        <v>0</v>
      </c>
      <c r="M44" s="276">
        <f>(SUMIF(Fonctionnement[Affectation matrice],$AB$3,Fonctionnement[Montant (€HT)])+SUMIF(Invest[Affectation matrice],$AB$3,Invest[Amortissement HT + intérêts]))*BN44</f>
        <v>0</v>
      </c>
      <c r="N44" s="276">
        <f>(SUMIF(Fonctionnement[Affectation matrice],$AB$3,Fonctionnement[Montant (€HT)])+SUMIF(Invest[Affectation matrice],$AB$3,Invest[Amortissement HT + intérêts]))*BO44</f>
        <v>0</v>
      </c>
      <c r="O44" s="276">
        <f>(SUMIF(Fonctionnement[Affectation matrice],$AB$3,Fonctionnement[Montant (€HT)])+SUMIF(Invest[Affectation matrice],$AB$3,Invest[Amortissement HT + intérêts]))*BP44</f>
        <v>0</v>
      </c>
      <c r="P44" s="276">
        <f>(SUMIF(Fonctionnement[Affectation matrice],$AB$3,Fonctionnement[Montant (€HT)])+SUMIF(Invest[Affectation matrice],$AB$3,Invest[Amortissement HT + intérêts]))*BQ44</f>
        <v>0</v>
      </c>
      <c r="Q44" s="276">
        <f>(SUMIF(Fonctionnement[Affectation matrice],$AB$3,Fonctionnement[Montant (€HT)])+SUMIF(Invest[Affectation matrice],$AB$3,Invest[Amortissement HT + intérêts]))*BR44</f>
        <v>0</v>
      </c>
      <c r="R44" s="276">
        <f>(SUMIF(Fonctionnement[Affectation matrice],$AB$3,Fonctionnement[Montant (€HT)])+SUMIF(Invest[Affectation matrice],$AB$3,Invest[Amortissement HT + intérêts]))*BS44</f>
        <v>0</v>
      </c>
      <c r="S44" s="276">
        <f>(SUMIF(Fonctionnement[Affectation matrice],$AB$3,Fonctionnement[Montant (€HT)])+SUMIF(Invest[Affectation matrice],$AB$3,Invest[Amortissement HT + intérêts]))*BT44</f>
        <v>0</v>
      </c>
      <c r="T44" s="276">
        <f>(SUMIF(Fonctionnement[Affectation matrice],$AB$3,Fonctionnement[Montant (€HT)])+SUMIF(Invest[Affectation matrice],$AB$3,Invest[Amortissement HT + intérêts]))*BU44</f>
        <v>0</v>
      </c>
      <c r="U44" s="276">
        <f>(SUMIF(Fonctionnement[Affectation matrice],$AB$3,Fonctionnement[Montant (€HT)])+SUMIF(Invest[Affectation matrice],$AB$3,Invest[Amortissement HT + intérêts]))*BV44</f>
        <v>0</v>
      </c>
      <c r="V44" s="276">
        <f>(SUMIF(Fonctionnement[Affectation matrice],$AB$3,Fonctionnement[Montant (€HT)])+SUMIF(Invest[Affectation matrice],$AB$3,Invest[Amortissement HT + intérêts]))*BW44</f>
        <v>0</v>
      </c>
      <c r="W44" s="276">
        <f>(SUMIF(Fonctionnement[Affectation matrice],$AB$3,Fonctionnement[Montant (€HT)])+SUMIF(Invest[Affectation matrice],$AB$3,Invest[Amortissement HT + intérêts]))*BX44</f>
        <v>0</v>
      </c>
      <c r="X44" s="276">
        <f>(SUMIF(Fonctionnement[Affectation matrice],$AB$3,Fonctionnement[Montant (€HT)])+SUMIF(Invest[Affectation matrice],$AB$3,Invest[Amortissement HT + intérêts]))*BY44</f>
        <v>0</v>
      </c>
      <c r="Y44" s="276">
        <f>(SUMIF(Fonctionnement[Affectation matrice],$AB$3,Fonctionnement[Montant (€HT)])+SUMIF(Invest[Affectation matrice],$AB$3,Invest[Amortissement HT + intérêts]))*BZ44</f>
        <v>0</v>
      </c>
      <c r="Z44" s="276">
        <f>(SUMIF(Fonctionnement[Affectation matrice],$AB$3,Fonctionnement[Montant (€HT)])+SUMIF(Invest[Affectation matrice],$AB$3,Invest[Amortissement HT + intérêts]))*CA44</f>
        <v>0</v>
      </c>
      <c r="AA44" s="199"/>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283">
        <f t="shared" si="4"/>
        <v>0</v>
      </c>
      <c r="BC44" s="61">
        <f t="shared" ref="BC44:BR52" si="12">IF($BA$53=0,0,AB44/$BA$53)</f>
        <v>0</v>
      </c>
      <c r="BD44" s="61">
        <f t="shared" si="12"/>
        <v>0</v>
      </c>
      <c r="BE44" s="61">
        <f t="shared" si="12"/>
        <v>0</v>
      </c>
      <c r="BF44" s="61">
        <f t="shared" si="12"/>
        <v>0</v>
      </c>
      <c r="BG44" s="61">
        <f t="shared" si="12"/>
        <v>0</v>
      </c>
      <c r="BH44" s="61">
        <f t="shared" si="12"/>
        <v>0</v>
      </c>
      <c r="BI44" s="61">
        <f t="shared" si="12"/>
        <v>0</v>
      </c>
      <c r="BJ44" s="61">
        <f t="shared" si="12"/>
        <v>0</v>
      </c>
      <c r="BK44" s="61">
        <f t="shared" si="12"/>
        <v>0</v>
      </c>
      <c r="BL44" s="61">
        <f t="shared" si="12"/>
        <v>0</v>
      </c>
      <c r="BM44" s="61">
        <f t="shared" si="12"/>
        <v>0</v>
      </c>
      <c r="BN44" s="61">
        <f t="shared" si="12"/>
        <v>0</v>
      </c>
      <c r="BO44" s="61">
        <f t="shared" si="12"/>
        <v>0</v>
      </c>
      <c r="BP44" s="61">
        <f t="shared" si="12"/>
        <v>0</v>
      </c>
      <c r="BQ44" s="61">
        <f t="shared" si="12"/>
        <v>0</v>
      </c>
      <c r="BR44" s="61">
        <f t="shared" si="12"/>
        <v>0</v>
      </c>
      <c r="BS44" s="61">
        <f t="shared" ref="BS44:CA52" si="13">IF($BA$53=0,0,AR44/$BA$53)</f>
        <v>0</v>
      </c>
      <c r="BT44" s="61">
        <f t="shared" si="13"/>
        <v>0</v>
      </c>
      <c r="BU44" s="61">
        <f t="shared" si="13"/>
        <v>0</v>
      </c>
      <c r="BV44" s="61">
        <f t="shared" si="13"/>
        <v>0</v>
      </c>
      <c r="BW44" s="61">
        <f t="shared" si="13"/>
        <v>0</v>
      </c>
      <c r="BX44" s="61">
        <f t="shared" si="13"/>
        <v>0</v>
      </c>
      <c r="BY44" s="61">
        <f t="shared" si="13"/>
        <v>0</v>
      </c>
      <c r="BZ44" s="61">
        <f t="shared" si="13"/>
        <v>0</v>
      </c>
      <c r="CA44" s="61">
        <f t="shared" si="13"/>
        <v>0</v>
      </c>
      <c r="CB44" s="61">
        <f t="shared" si="5"/>
        <v>0</v>
      </c>
      <c r="CD44" s="200">
        <f>(SUMIF(Fonctionnement[Affectation matrice],$AB$3,Fonctionnement[TVA acquittée])+SUMIF(Invest[Affectation matrice],$AB$3,Invest[TVA acquittée]))*BC44</f>
        <v>0</v>
      </c>
      <c r="CE44" s="200">
        <f>(SUMIF(Fonctionnement[Affectation matrice],$AB$3,Fonctionnement[TVA acquittée])+SUMIF(Invest[Affectation matrice],$AB$3,Invest[TVA acquittée]))*BD44</f>
        <v>0</v>
      </c>
      <c r="CF44" s="200">
        <f>(SUMIF(Fonctionnement[Affectation matrice],$AB$3,Fonctionnement[TVA acquittée])+SUMIF(Invest[Affectation matrice],$AB$3,Invest[TVA acquittée]))*BE44</f>
        <v>0</v>
      </c>
      <c r="CG44" s="200">
        <f>(SUMIF(Fonctionnement[Affectation matrice],$AB$3,Fonctionnement[TVA acquittée])+SUMIF(Invest[Affectation matrice],$AB$3,Invest[TVA acquittée]))*BF44</f>
        <v>0</v>
      </c>
      <c r="CH44" s="200">
        <f>(SUMIF(Fonctionnement[Affectation matrice],$AB$3,Fonctionnement[TVA acquittée])+SUMIF(Invest[Affectation matrice],$AB$3,Invest[TVA acquittée]))*BG44</f>
        <v>0</v>
      </c>
      <c r="CI44" s="200">
        <f>(SUMIF(Fonctionnement[Affectation matrice],$AB$3,Fonctionnement[TVA acquittée])+SUMIF(Invest[Affectation matrice],$AB$3,Invest[TVA acquittée]))*BH44</f>
        <v>0</v>
      </c>
      <c r="CJ44" s="200">
        <f>(SUMIF(Fonctionnement[Affectation matrice],$AB$3,Fonctionnement[TVA acquittée])+SUMIF(Invest[Affectation matrice],$AB$3,Invest[TVA acquittée]))*BI44</f>
        <v>0</v>
      </c>
      <c r="CK44" s="200">
        <f>(SUMIF(Fonctionnement[Affectation matrice],$AB$3,Fonctionnement[TVA acquittée])+SUMIF(Invest[Affectation matrice],$AB$3,Invest[TVA acquittée]))*BJ44</f>
        <v>0</v>
      </c>
      <c r="CL44" s="200">
        <f>(SUMIF(Fonctionnement[Affectation matrice],$AB$3,Fonctionnement[TVA acquittée])+SUMIF(Invest[Affectation matrice],$AB$3,Invest[TVA acquittée]))*BK44</f>
        <v>0</v>
      </c>
      <c r="CM44" s="200">
        <f>(SUMIF(Fonctionnement[Affectation matrice],$AB$3,Fonctionnement[TVA acquittée])+SUMIF(Invest[Affectation matrice],$AB$3,Invest[TVA acquittée]))*BL44</f>
        <v>0</v>
      </c>
      <c r="CN44" s="200">
        <f>(SUMIF(Fonctionnement[Affectation matrice],$AB$3,Fonctionnement[TVA acquittée])+SUMIF(Invest[Affectation matrice],$AB$3,Invest[TVA acquittée]))*BM44</f>
        <v>0</v>
      </c>
      <c r="CO44" s="200">
        <f>(SUMIF(Fonctionnement[Affectation matrice],$AB$3,Fonctionnement[TVA acquittée])+SUMIF(Invest[Affectation matrice],$AB$3,Invest[TVA acquittée]))*BN44</f>
        <v>0</v>
      </c>
      <c r="CP44" s="200">
        <f>(SUMIF(Fonctionnement[Affectation matrice],$AB$3,Fonctionnement[TVA acquittée])+SUMIF(Invest[Affectation matrice],$AB$3,Invest[TVA acquittée]))*BO44</f>
        <v>0</v>
      </c>
      <c r="CQ44" s="200">
        <f>(SUMIF(Fonctionnement[Affectation matrice],$AB$3,Fonctionnement[TVA acquittée])+SUMIF(Invest[Affectation matrice],$AB$3,Invest[TVA acquittée]))*BP44</f>
        <v>0</v>
      </c>
      <c r="CR44" s="200">
        <f>(SUMIF(Fonctionnement[Affectation matrice],$AB$3,Fonctionnement[TVA acquittée])+SUMIF(Invest[Affectation matrice],$AB$3,Invest[TVA acquittée]))*BQ44</f>
        <v>0</v>
      </c>
      <c r="CS44" s="200">
        <f>(SUMIF(Fonctionnement[Affectation matrice],$AB$3,Fonctionnement[TVA acquittée])+SUMIF(Invest[Affectation matrice],$AB$3,Invest[TVA acquittée]))*BR44</f>
        <v>0</v>
      </c>
      <c r="CT44" s="200">
        <f>(SUMIF(Fonctionnement[Affectation matrice],$AB$3,Fonctionnement[TVA acquittée])+SUMIF(Invest[Affectation matrice],$AB$3,Invest[TVA acquittée]))*BS44</f>
        <v>0</v>
      </c>
      <c r="CU44" s="200">
        <f>(SUMIF(Fonctionnement[Affectation matrice],$AB$3,Fonctionnement[TVA acquittée])+SUMIF(Invest[Affectation matrice],$AB$3,Invest[TVA acquittée]))*BT44</f>
        <v>0</v>
      </c>
      <c r="CV44" s="200">
        <f>(SUMIF(Fonctionnement[Affectation matrice],$AB$3,Fonctionnement[TVA acquittée])+SUMIF(Invest[Affectation matrice],$AB$3,Invest[TVA acquittée]))*BU44</f>
        <v>0</v>
      </c>
      <c r="CW44" s="200">
        <f>(SUMIF(Fonctionnement[Affectation matrice],$AB$3,Fonctionnement[TVA acquittée])+SUMIF(Invest[Affectation matrice],$AB$3,Invest[TVA acquittée]))*BV44</f>
        <v>0</v>
      </c>
      <c r="CX44" s="200">
        <f>(SUMIF(Fonctionnement[Affectation matrice],$AB$3,Fonctionnement[TVA acquittée])+SUMIF(Invest[Affectation matrice],$AB$3,Invest[TVA acquittée]))*BW44</f>
        <v>0</v>
      </c>
      <c r="CY44" s="200">
        <f>(SUMIF(Fonctionnement[Affectation matrice],$AB$3,Fonctionnement[TVA acquittée])+SUMIF(Invest[Affectation matrice],$AB$3,Invest[TVA acquittée]))*BX44</f>
        <v>0</v>
      </c>
      <c r="CZ44" s="200">
        <f>(SUMIF(Fonctionnement[Affectation matrice],$AB$3,Fonctionnement[TVA acquittée])+SUMIF(Invest[Affectation matrice],$AB$3,Invest[TVA acquittée]))*BY44</f>
        <v>0</v>
      </c>
      <c r="DA44" s="200">
        <f>(SUMIF(Fonctionnement[Affectation matrice],$AB$3,Fonctionnement[TVA acquittée])+SUMIF(Invest[Affectation matrice],$AB$3,Invest[TVA acquittée]))*BZ44</f>
        <v>0</v>
      </c>
      <c r="DB44" s="200">
        <f>(SUMIF(Fonctionnement[Affectation matrice],$AB$3,Fonctionnement[TVA acquittée])+SUMIF(Invest[Affectation matrice],$AB$3,Invest[TVA acquittée]))*CA44</f>
        <v>0</v>
      </c>
    </row>
    <row r="45" spans="1:106" hidden="1" x14ac:dyDescent="0.25">
      <c r="A45" s="42">
        <f>Matrice[[#This Row],[Ligne de la matrice]]</f>
        <v>0</v>
      </c>
      <c r="B45" s="276">
        <f>(SUMIF(Fonctionnement[Affectation matrice],$AB$3,Fonctionnement[Montant (€HT)])+SUMIF(Invest[Affectation matrice],$AB$3,Invest[Amortissement HT + intérêts]))*BC45</f>
        <v>0</v>
      </c>
      <c r="C45" s="276">
        <f>(SUMIF(Fonctionnement[Affectation matrice],$AB$3,Fonctionnement[Montant (€HT)])+SUMIF(Invest[Affectation matrice],$AB$3,Invest[Amortissement HT + intérêts]))*BD45</f>
        <v>0</v>
      </c>
      <c r="D45" s="276">
        <f>(SUMIF(Fonctionnement[Affectation matrice],$AB$3,Fonctionnement[Montant (€HT)])+SUMIF(Invest[Affectation matrice],$AB$3,Invest[Amortissement HT + intérêts]))*BE45</f>
        <v>0</v>
      </c>
      <c r="E45" s="276">
        <f>(SUMIF(Fonctionnement[Affectation matrice],$AB$3,Fonctionnement[Montant (€HT)])+SUMIF(Invest[Affectation matrice],$AB$3,Invest[Amortissement HT + intérêts]))*BF45</f>
        <v>0</v>
      </c>
      <c r="F45" s="276">
        <f>(SUMIF(Fonctionnement[Affectation matrice],$AB$3,Fonctionnement[Montant (€HT)])+SUMIF(Invest[Affectation matrice],$AB$3,Invest[Amortissement HT + intérêts]))*BG45</f>
        <v>0</v>
      </c>
      <c r="G45" s="276">
        <f>(SUMIF(Fonctionnement[Affectation matrice],$AB$3,Fonctionnement[Montant (€HT)])+SUMIF(Invest[Affectation matrice],$AB$3,Invest[Amortissement HT + intérêts]))*BH45</f>
        <v>0</v>
      </c>
      <c r="H45" s="276">
        <f>(SUMIF(Fonctionnement[Affectation matrice],$AB$3,Fonctionnement[Montant (€HT)])+SUMIF(Invest[Affectation matrice],$AB$3,Invest[Amortissement HT + intérêts]))*BI45</f>
        <v>0</v>
      </c>
      <c r="I45" s="276">
        <f>(SUMIF(Fonctionnement[Affectation matrice],$AB$3,Fonctionnement[Montant (€HT)])+SUMIF(Invest[Affectation matrice],$AB$3,Invest[Amortissement HT + intérêts]))*BJ45</f>
        <v>0</v>
      </c>
      <c r="J45" s="276">
        <f>(SUMIF(Fonctionnement[Affectation matrice],$AB$3,Fonctionnement[Montant (€HT)])+SUMIF(Invest[Affectation matrice],$AB$3,Invest[Amortissement HT + intérêts]))*BK45</f>
        <v>0</v>
      </c>
      <c r="K45" s="276">
        <f>(SUMIF(Fonctionnement[Affectation matrice],$AB$3,Fonctionnement[Montant (€HT)])+SUMIF(Invest[Affectation matrice],$AB$3,Invest[Amortissement HT + intérêts]))*BL45</f>
        <v>0</v>
      </c>
      <c r="L45" s="276">
        <f>(SUMIF(Fonctionnement[Affectation matrice],$AB$3,Fonctionnement[Montant (€HT)])+SUMIF(Invest[Affectation matrice],$AB$3,Invest[Amortissement HT + intérêts]))*BM45</f>
        <v>0</v>
      </c>
      <c r="M45" s="276">
        <f>(SUMIF(Fonctionnement[Affectation matrice],$AB$3,Fonctionnement[Montant (€HT)])+SUMIF(Invest[Affectation matrice],$AB$3,Invest[Amortissement HT + intérêts]))*BN45</f>
        <v>0</v>
      </c>
      <c r="N45" s="276">
        <f>(SUMIF(Fonctionnement[Affectation matrice],$AB$3,Fonctionnement[Montant (€HT)])+SUMIF(Invest[Affectation matrice],$AB$3,Invest[Amortissement HT + intérêts]))*BO45</f>
        <v>0</v>
      </c>
      <c r="O45" s="276">
        <f>(SUMIF(Fonctionnement[Affectation matrice],$AB$3,Fonctionnement[Montant (€HT)])+SUMIF(Invest[Affectation matrice],$AB$3,Invest[Amortissement HT + intérêts]))*BP45</f>
        <v>0</v>
      </c>
      <c r="P45" s="276">
        <f>(SUMIF(Fonctionnement[Affectation matrice],$AB$3,Fonctionnement[Montant (€HT)])+SUMIF(Invest[Affectation matrice],$AB$3,Invest[Amortissement HT + intérêts]))*BQ45</f>
        <v>0</v>
      </c>
      <c r="Q45" s="276">
        <f>(SUMIF(Fonctionnement[Affectation matrice],$AB$3,Fonctionnement[Montant (€HT)])+SUMIF(Invest[Affectation matrice],$AB$3,Invest[Amortissement HT + intérêts]))*BR45</f>
        <v>0</v>
      </c>
      <c r="R45" s="276">
        <f>(SUMIF(Fonctionnement[Affectation matrice],$AB$3,Fonctionnement[Montant (€HT)])+SUMIF(Invest[Affectation matrice],$AB$3,Invest[Amortissement HT + intérêts]))*BS45</f>
        <v>0</v>
      </c>
      <c r="S45" s="276">
        <f>(SUMIF(Fonctionnement[Affectation matrice],$AB$3,Fonctionnement[Montant (€HT)])+SUMIF(Invest[Affectation matrice],$AB$3,Invest[Amortissement HT + intérêts]))*BT45</f>
        <v>0</v>
      </c>
      <c r="T45" s="276">
        <f>(SUMIF(Fonctionnement[Affectation matrice],$AB$3,Fonctionnement[Montant (€HT)])+SUMIF(Invest[Affectation matrice],$AB$3,Invest[Amortissement HT + intérêts]))*BU45</f>
        <v>0</v>
      </c>
      <c r="U45" s="276">
        <f>(SUMIF(Fonctionnement[Affectation matrice],$AB$3,Fonctionnement[Montant (€HT)])+SUMIF(Invest[Affectation matrice],$AB$3,Invest[Amortissement HT + intérêts]))*BV45</f>
        <v>0</v>
      </c>
      <c r="V45" s="276">
        <f>(SUMIF(Fonctionnement[Affectation matrice],$AB$3,Fonctionnement[Montant (€HT)])+SUMIF(Invest[Affectation matrice],$AB$3,Invest[Amortissement HT + intérêts]))*BW45</f>
        <v>0</v>
      </c>
      <c r="W45" s="276">
        <f>(SUMIF(Fonctionnement[Affectation matrice],$AB$3,Fonctionnement[Montant (€HT)])+SUMIF(Invest[Affectation matrice],$AB$3,Invest[Amortissement HT + intérêts]))*BX45</f>
        <v>0</v>
      </c>
      <c r="X45" s="276">
        <f>(SUMIF(Fonctionnement[Affectation matrice],$AB$3,Fonctionnement[Montant (€HT)])+SUMIF(Invest[Affectation matrice],$AB$3,Invest[Amortissement HT + intérêts]))*BY45</f>
        <v>0</v>
      </c>
      <c r="Y45" s="276">
        <f>(SUMIF(Fonctionnement[Affectation matrice],$AB$3,Fonctionnement[Montant (€HT)])+SUMIF(Invest[Affectation matrice],$AB$3,Invest[Amortissement HT + intérêts]))*BZ45</f>
        <v>0</v>
      </c>
      <c r="Z45" s="276">
        <f>(SUMIF(Fonctionnement[Affectation matrice],$AB$3,Fonctionnement[Montant (€HT)])+SUMIF(Invest[Affectation matrice],$AB$3,Invest[Amortissement HT + intérêts]))*CA45</f>
        <v>0</v>
      </c>
      <c r="AA45" s="199"/>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283">
        <f t="shared" si="4"/>
        <v>0</v>
      </c>
      <c r="BC45" s="61">
        <f t="shared" si="12"/>
        <v>0</v>
      </c>
      <c r="BD45" s="61">
        <f t="shared" si="12"/>
        <v>0</v>
      </c>
      <c r="BE45" s="61">
        <f t="shared" si="12"/>
        <v>0</v>
      </c>
      <c r="BF45" s="61">
        <f t="shared" si="12"/>
        <v>0</v>
      </c>
      <c r="BG45" s="61">
        <f t="shared" si="12"/>
        <v>0</v>
      </c>
      <c r="BH45" s="61">
        <f t="shared" si="12"/>
        <v>0</v>
      </c>
      <c r="BI45" s="61">
        <f t="shared" si="12"/>
        <v>0</v>
      </c>
      <c r="BJ45" s="61">
        <f t="shared" si="12"/>
        <v>0</v>
      </c>
      <c r="BK45" s="61">
        <f t="shared" si="12"/>
        <v>0</v>
      </c>
      <c r="BL45" s="61">
        <f t="shared" si="12"/>
        <v>0</v>
      </c>
      <c r="BM45" s="61">
        <f t="shared" si="12"/>
        <v>0</v>
      </c>
      <c r="BN45" s="61">
        <f t="shared" si="12"/>
        <v>0</v>
      </c>
      <c r="BO45" s="61">
        <f t="shared" si="12"/>
        <v>0</v>
      </c>
      <c r="BP45" s="61">
        <f t="shared" si="12"/>
        <v>0</v>
      </c>
      <c r="BQ45" s="61">
        <f t="shared" si="12"/>
        <v>0</v>
      </c>
      <c r="BR45" s="61">
        <f t="shared" si="12"/>
        <v>0</v>
      </c>
      <c r="BS45" s="61">
        <f t="shared" si="13"/>
        <v>0</v>
      </c>
      <c r="BT45" s="61">
        <f t="shared" si="13"/>
        <v>0</v>
      </c>
      <c r="BU45" s="61">
        <f t="shared" si="13"/>
        <v>0</v>
      </c>
      <c r="BV45" s="61">
        <f t="shared" si="13"/>
        <v>0</v>
      </c>
      <c r="BW45" s="61">
        <f t="shared" si="13"/>
        <v>0</v>
      </c>
      <c r="BX45" s="61">
        <f t="shared" si="13"/>
        <v>0</v>
      </c>
      <c r="BY45" s="61">
        <f t="shared" si="13"/>
        <v>0</v>
      </c>
      <c r="BZ45" s="61">
        <f t="shared" si="13"/>
        <v>0</v>
      </c>
      <c r="CA45" s="61">
        <f t="shared" si="13"/>
        <v>0</v>
      </c>
      <c r="CB45" s="61">
        <f t="shared" si="5"/>
        <v>0</v>
      </c>
      <c r="CD45" s="200">
        <f>(SUMIF(Fonctionnement[Affectation matrice],$AB$3,Fonctionnement[TVA acquittée])+SUMIF(Invest[Affectation matrice],$AB$3,Invest[TVA acquittée]))*BC45</f>
        <v>0</v>
      </c>
      <c r="CE45" s="200">
        <f>(SUMIF(Fonctionnement[Affectation matrice],$AB$3,Fonctionnement[TVA acquittée])+SUMIF(Invest[Affectation matrice],$AB$3,Invest[TVA acquittée]))*BD45</f>
        <v>0</v>
      </c>
      <c r="CF45" s="200">
        <f>(SUMIF(Fonctionnement[Affectation matrice],$AB$3,Fonctionnement[TVA acquittée])+SUMIF(Invest[Affectation matrice],$AB$3,Invest[TVA acquittée]))*BE45</f>
        <v>0</v>
      </c>
      <c r="CG45" s="200">
        <f>(SUMIF(Fonctionnement[Affectation matrice],$AB$3,Fonctionnement[TVA acquittée])+SUMIF(Invest[Affectation matrice],$AB$3,Invest[TVA acquittée]))*BF45</f>
        <v>0</v>
      </c>
      <c r="CH45" s="200">
        <f>(SUMIF(Fonctionnement[Affectation matrice],$AB$3,Fonctionnement[TVA acquittée])+SUMIF(Invest[Affectation matrice],$AB$3,Invest[TVA acquittée]))*BG45</f>
        <v>0</v>
      </c>
      <c r="CI45" s="200">
        <f>(SUMIF(Fonctionnement[Affectation matrice],$AB$3,Fonctionnement[TVA acquittée])+SUMIF(Invest[Affectation matrice],$AB$3,Invest[TVA acquittée]))*BH45</f>
        <v>0</v>
      </c>
      <c r="CJ45" s="200">
        <f>(SUMIF(Fonctionnement[Affectation matrice],$AB$3,Fonctionnement[TVA acquittée])+SUMIF(Invest[Affectation matrice],$AB$3,Invest[TVA acquittée]))*BI45</f>
        <v>0</v>
      </c>
      <c r="CK45" s="200">
        <f>(SUMIF(Fonctionnement[Affectation matrice],$AB$3,Fonctionnement[TVA acquittée])+SUMIF(Invest[Affectation matrice],$AB$3,Invest[TVA acquittée]))*BJ45</f>
        <v>0</v>
      </c>
      <c r="CL45" s="200">
        <f>(SUMIF(Fonctionnement[Affectation matrice],$AB$3,Fonctionnement[TVA acquittée])+SUMIF(Invest[Affectation matrice],$AB$3,Invest[TVA acquittée]))*BK45</f>
        <v>0</v>
      </c>
      <c r="CM45" s="200">
        <f>(SUMIF(Fonctionnement[Affectation matrice],$AB$3,Fonctionnement[TVA acquittée])+SUMIF(Invest[Affectation matrice],$AB$3,Invest[TVA acquittée]))*BL45</f>
        <v>0</v>
      </c>
      <c r="CN45" s="200">
        <f>(SUMIF(Fonctionnement[Affectation matrice],$AB$3,Fonctionnement[TVA acquittée])+SUMIF(Invest[Affectation matrice],$AB$3,Invest[TVA acquittée]))*BM45</f>
        <v>0</v>
      </c>
      <c r="CO45" s="200">
        <f>(SUMIF(Fonctionnement[Affectation matrice],$AB$3,Fonctionnement[TVA acquittée])+SUMIF(Invest[Affectation matrice],$AB$3,Invest[TVA acquittée]))*BN45</f>
        <v>0</v>
      </c>
      <c r="CP45" s="200">
        <f>(SUMIF(Fonctionnement[Affectation matrice],$AB$3,Fonctionnement[TVA acquittée])+SUMIF(Invest[Affectation matrice],$AB$3,Invest[TVA acquittée]))*BO45</f>
        <v>0</v>
      </c>
      <c r="CQ45" s="200">
        <f>(SUMIF(Fonctionnement[Affectation matrice],$AB$3,Fonctionnement[TVA acquittée])+SUMIF(Invest[Affectation matrice],$AB$3,Invest[TVA acquittée]))*BP45</f>
        <v>0</v>
      </c>
      <c r="CR45" s="200">
        <f>(SUMIF(Fonctionnement[Affectation matrice],$AB$3,Fonctionnement[TVA acquittée])+SUMIF(Invest[Affectation matrice],$AB$3,Invest[TVA acquittée]))*BQ45</f>
        <v>0</v>
      </c>
      <c r="CS45" s="200">
        <f>(SUMIF(Fonctionnement[Affectation matrice],$AB$3,Fonctionnement[TVA acquittée])+SUMIF(Invest[Affectation matrice],$AB$3,Invest[TVA acquittée]))*BR45</f>
        <v>0</v>
      </c>
      <c r="CT45" s="200">
        <f>(SUMIF(Fonctionnement[Affectation matrice],$AB$3,Fonctionnement[TVA acquittée])+SUMIF(Invest[Affectation matrice],$AB$3,Invest[TVA acquittée]))*BS45</f>
        <v>0</v>
      </c>
      <c r="CU45" s="200">
        <f>(SUMIF(Fonctionnement[Affectation matrice],$AB$3,Fonctionnement[TVA acquittée])+SUMIF(Invest[Affectation matrice],$AB$3,Invest[TVA acquittée]))*BT45</f>
        <v>0</v>
      </c>
      <c r="CV45" s="200">
        <f>(SUMIF(Fonctionnement[Affectation matrice],$AB$3,Fonctionnement[TVA acquittée])+SUMIF(Invest[Affectation matrice],$AB$3,Invest[TVA acquittée]))*BU45</f>
        <v>0</v>
      </c>
      <c r="CW45" s="200">
        <f>(SUMIF(Fonctionnement[Affectation matrice],$AB$3,Fonctionnement[TVA acquittée])+SUMIF(Invest[Affectation matrice],$AB$3,Invest[TVA acquittée]))*BV45</f>
        <v>0</v>
      </c>
      <c r="CX45" s="200">
        <f>(SUMIF(Fonctionnement[Affectation matrice],$AB$3,Fonctionnement[TVA acquittée])+SUMIF(Invest[Affectation matrice],$AB$3,Invest[TVA acquittée]))*BW45</f>
        <v>0</v>
      </c>
      <c r="CY45" s="200">
        <f>(SUMIF(Fonctionnement[Affectation matrice],$AB$3,Fonctionnement[TVA acquittée])+SUMIF(Invest[Affectation matrice],$AB$3,Invest[TVA acquittée]))*BX45</f>
        <v>0</v>
      </c>
      <c r="CZ45" s="200">
        <f>(SUMIF(Fonctionnement[Affectation matrice],$AB$3,Fonctionnement[TVA acquittée])+SUMIF(Invest[Affectation matrice],$AB$3,Invest[TVA acquittée]))*BY45</f>
        <v>0</v>
      </c>
      <c r="DA45" s="200">
        <f>(SUMIF(Fonctionnement[Affectation matrice],$AB$3,Fonctionnement[TVA acquittée])+SUMIF(Invest[Affectation matrice],$AB$3,Invest[TVA acquittée]))*BZ45</f>
        <v>0</v>
      </c>
      <c r="DB45" s="200">
        <f>(SUMIF(Fonctionnement[Affectation matrice],$AB$3,Fonctionnement[TVA acquittée])+SUMIF(Invest[Affectation matrice],$AB$3,Invest[TVA acquittée]))*CA45</f>
        <v>0</v>
      </c>
    </row>
    <row r="46" spans="1:106" ht="12.75" hidden="1" customHeight="1" x14ac:dyDescent="0.25">
      <c r="A46" s="42">
        <f>Matrice[[#This Row],[Ligne de la matrice]]</f>
        <v>0</v>
      </c>
      <c r="B46" s="276">
        <f>(SUMIF(Fonctionnement[Affectation matrice],$AB$3,Fonctionnement[Montant (€HT)])+SUMIF(Invest[Affectation matrice],$AB$3,Invest[Amortissement HT + intérêts]))*BC46</f>
        <v>0</v>
      </c>
      <c r="C46" s="276">
        <f>(SUMIF(Fonctionnement[Affectation matrice],$AB$3,Fonctionnement[Montant (€HT)])+SUMIF(Invest[Affectation matrice],$AB$3,Invest[Amortissement HT + intérêts]))*BD46</f>
        <v>0</v>
      </c>
      <c r="D46" s="276">
        <f>(SUMIF(Fonctionnement[Affectation matrice],$AB$3,Fonctionnement[Montant (€HT)])+SUMIF(Invest[Affectation matrice],$AB$3,Invest[Amortissement HT + intérêts]))*BE46</f>
        <v>0</v>
      </c>
      <c r="E46" s="276">
        <f>(SUMIF(Fonctionnement[Affectation matrice],$AB$3,Fonctionnement[Montant (€HT)])+SUMIF(Invest[Affectation matrice],$AB$3,Invest[Amortissement HT + intérêts]))*BF46</f>
        <v>0</v>
      </c>
      <c r="F46" s="276">
        <f>(SUMIF(Fonctionnement[Affectation matrice],$AB$3,Fonctionnement[Montant (€HT)])+SUMIF(Invest[Affectation matrice],$AB$3,Invest[Amortissement HT + intérêts]))*BG46</f>
        <v>0</v>
      </c>
      <c r="G46" s="276">
        <f>(SUMIF(Fonctionnement[Affectation matrice],$AB$3,Fonctionnement[Montant (€HT)])+SUMIF(Invest[Affectation matrice],$AB$3,Invest[Amortissement HT + intérêts]))*BH46</f>
        <v>0</v>
      </c>
      <c r="H46" s="276">
        <f>(SUMIF(Fonctionnement[Affectation matrice],$AB$3,Fonctionnement[Montant (€HT)])+SUMIF(Invest[Affectation matrice],$AB$3,Invest[Amortissement HT + intérêts]))*BI46</f>
        <v>0</v>
      </c>
      <c r="I46" s="276">
        <f>(SUMIF(Fonctionnement[Affectation matrice],$AB$3,Fonctionnement[Montant (€HT)])+SUMIF(Invest[Affectation matrice],$AB$3,Invest[Amortissement HT + intérêts]))*BJ46</f>
        <v>0</v>
      </c>
      <c r="J46" s="276">
        <f>(SUMIF(Fonctionnement[Affectation matrice],$AB$3,Fonctionnement[Montant (€HT)])+SUMIF(Invest[Affectation matrice],$AB$3,Invest[Amortissement HT + intérêts]))*BK46</f>
        <v>0</v>
      </c>
      <c r="K46" s="276">
        <f>(SUMIF(Fonctionnement[Affectation matrice],$AB$3,Fonctionnement[Montant (€HT)])+SUMIF(Invest[Affectation matrice],$AB$3,Invest[Amortissement HT + intérêts]))*BL46</f>
        <v>0</v>
      </c>
      <c r="L46" s="276">
        <f>(SUMIF(Fonctionnement[Affectation matrice],$AB$3,Fonctionnement[Montant (€HT)])+SUMIF(Invest[Affectation matrice],$AB$3,Invest[Amortissement HT + intérêts]))*BM46</f>
        <v>0</v>
      </c>
      <c r="M46" s="276">
        <f>(SUMIF(Fonctionnement[Affectation matrice],$AB$3,Fonctionnement[Montant (€HT)])+SUMIF(Invest[Affectation matrice],$AB$3,Invest[Amortissement HT + intérêts]))*BN46</f>
        <v>0</v>
      </c>
      <c r="N46" s="276">
        <f>(SUMIF(Fonctionnement[Affectation matrice],$AB$3,Fonctionnement[Montant (€HT)])+SUMIF(Invest[Affectation matrice],$AB$3,Invest[Amortissement HT + intérêts]))*BO46</f>
        <v>0</v>
      </c>
      <c r="O46" s="276">
        <f>(SUMIF(Fonctionnement[Affectation matrice],$AB$3,Fonctionnement[Montant (€HT)])+SUMIF(Invest[Affectation matrice],$AB$3,Invest[Amortissement HT + intérêts]))*BP46</f>
        <v>0</v>
      </c>
      <c r="P46" s="276">
        <f>(SUMIF(Fonctionnement[Affectation matrice],$AB$3,Fonctionnement[Montant (€HT)])+SUMIF(Invest[Affectation matrice],$AB$3,Invest[Amortissement HT + intérêts]))*BQ46</f>
        <v>0</v>
      </c>
      <c r="Q46" s="276">
        <f>(SUMIF(Fonctionnement[Affectation matrice],$AB$3,Fonctionnement[Montant (€HT)])+SUMIF(Invest[Affectation matrice],$AB$3,Invest[Amortissement HT + intérêts]))*BR46</f>
        <v>0</v>
      </c>
      <c r="R46" s="276">
        <f>(SUMIF(Fonctionnement[Affectation matrice],$AB$3,Fonctionnement[Montant (€HT)])+SUMIF(Invest[Affectation matrice],$AB$3,Invest[Amortissement HT + intérêts]))*BS46</f>
        <v>0</v>
      </c>
      <c r="S46" s="276">
        <f>(SUMIF(Fonctionnement[Affectation matrice],$AB$3,Fonctionnement[Montant (€HT)])+SUMIF(Invest[Affectation matrice],$AB$3,Invest[Amortissement HT + intérêts]))*BT46</f>
        <v>0</v>
      </c>
      <c r="T46" s="276">
        <f>(SUMIF(Fonctionnement[Affectation matrice],$AB$3,Fonctionnement[Montant (€HT)])+SUMIF(Invest[Affectation matrice],$AB$3,Invest[Amortissement HT + intérêts]))*BU46</f>
        <v>0</v>
      </c>
      <c r="U46" s="276">
        <f>(SUMIF(Fonctionnement[Affectation matrice],$AB$3,Fonctionnement[Montant (€HT)])+SUMIF(Invest[Affectation matrice],$AB$3,Invest[Amortissement HT + intérêts]))*BV46</f>
        <v>0</v>
      </c>
      <c r="V46" s="276">
        <f>(SUMIF(Fonctionnement[Affectation matrice],$AB$3,Fonctionnement[Montant (€HT)])+SUMIF(Invest[Affectation matrice],$AB$3,Invest[Amortissement HT + intérêts]))*BW46</f>
        <v>0</v>
      </c>
      <c r="W46" s="276">
        <f>(SUMIF(Fonctionnement[Affectation matrice],$AB$3,Fonctionnement[Montant (€HT)])+SUMIF(Invest[Affectation matrice],$AB$3,Invest[Amortissement HT + intérêts]))*BX46</f>
        <v>0</v>
      </c>
      <c r="X46" s="276">
        <f>(SUMIF(Fonctionnement[Affectation matrice],$AB$3,Fonctionnement[Montant (€HT)])+SUMIF(Invest[Affectation matrice],$AB$3,Invest[Amortissement HT + intérêts]))*BY46</f>
        <v>0</v>
      </c>
      <c r="Y46" s="276">
        <f>(SUMIF(Fonctionnement[Affectation matrice],$AB$3,Fonctionnement[Montant (€HT)])+SUMIF(Invest[Affectation matrice],$AB$3,Invest[Amortissement HT + intérêts]))*BZ46</f>
        <v>0</v>
      </c>
      <c r="Z46" s="276">
        <f>(SUMIF(Fonctionnement[Affectation matrice],$AB$3,Fonctionnement[Montant (€HT)])+SUMIF(Invest[Affectation matrice],$AB$3,Invest[Amortissement HT + intérêts]))*CA46</f>
        <v>0</v>
      </c>
      <c r="AA46" s="199"/>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283">
        <f t="shared" si="4"/>
        <v>0</v>
      </c>
      <c r="BC46" s="61">
        <f t="shared" si="12"/>
        <v>0</v>
      </c>
      <c r="BD46" s="61">
        <f t="shared" si="12"/>
        <v>0</v>
      </c>
      <c r="BE46" s="61">
        <f t="shared" si="12"/>
        <v>0</v>
      </c>
      <c r="BF46" s="61">
        <f t="shared" si="12"/>
        <v>0</v>
      </c>
      <c r="BG46" s="61">
        <f t="shared" si="12"/>
        <v>0</v>
      </c>
      <c r="BH46" s="61">
        <f t="shared" si="12"/>
        <v>0</v>
      </c>
      <c r="BI46" s="61">
        <f t="shared" si="12"/>
        <v>0</v>
      </c>
      <c r="BJ46" s="61">
        <f t="shared" si="12"/>
        <v>0</v>
      </c>
      <c r="BK46" s="61">
        <f t="shared" si="12"/>
        <v>0</v>
      </c>
      <c r="BL46" s="61">
        <f t="shared" si="12"/>
        <v>0</v>
      </c>
      <c r="BM46" s="61">
        <f t="shared" si="12"/>
        <v>0</v>
      </c>
      <c r="BN46" s="61">
        <f t="shared" si="12"/>
        <v>0</v>
      </c>
      <c r="BO46" s="61">
        <f t="shared" si="12"/>
        <v>0</v>
      </c>
      <c r="BP46" s="61">
        <f t="shared" si="12"/>
        <v>0</v>
      </c>
      <c r="BQ46" s="61">
        <f t="shared" si="12"/>
        <v>0</v>
      </c>
      <c r="BR46" s="61">
        <f t="shared" si="12"/>
        <v>0</v>
      </c>
      <c r="BS46" s="61">
        <f t="shared" si="13"/>
        <v>0</v>
      </c>
      <c r="BT46" s="61">
        <f t="shared" si="13"/>
        <v>0</v>
      </c>
      <c r="BU46" s="61">
        <f t="shared" si="13"/>
        <v>0</v>
      </c>
      <c r="BV46" s="61">
        <f t="shared" si="13"/>
        <v>0</v>
      </c>
      <c r="BW46" s="61">
        <f t="shared" si="13"/>
        <v>0</v>
      </c>
      <c r="BX46" s="61">
        <f t="shared" si="13"/>
        <v>0</v>
      </c>
      <c r="BY46" s="61">
        <f t="shared" si="13"/>
        <v>0</v>
      </c>
      <c r="BZ46" s="61">
        <f t="shared" si="13"/>
        <v>0</v>
      </c>
      <c r="CA46" s="61">
        <f t="shared" si="13"/>
        <v>0</v>
      </c>
      <c r="CB46" s="61">
        <f t="shared" si="5"/>
        <v>0</v>
      </c>
      <c r="CD46" s="200">
        <f>(SUMIF(Fonctionnement[Affectation matrice],$AB$3,Fonctionnement[TVA acquittée])+SUMIF(Invest[Affectation matrice],$AB$3,Invest[TVA acquittée]))*BC46</f>
        <v>0</v>
      </c>
      <c r="CE46" s="200">
        <f>(SUMIF(Fonctionnement[Affectation matrice],$AB$3,Fonctionnement[TVA acquittée])+SUMIF(Invest[Affectation matrice],$AB$3,Invest[TVA acquittée]))*BD46</f>
        <v>0</v>
      </c>
      <c r="CF46" s="200">
        <f>(SUMIF(Fonctionnement[Affectation matrice],$AB$3,Fonctionnement[TVA acquittée])+SUMIF(Invest[Affectation matrice],$AB$3,Invest[TVA acquittée]))*BE46</f>
        <v>0</v>
      </c>
      <c r="CG46" s="200">
        <f>(SUMIF(Fonctionnement[Affectation matrice],$AB$3,Fonctionnement[TVA acquittée])+SUMIF(Invest[Affectation matrice],$AB$3,Invest[TVA acquittée]))*BF46</f>
        <v>0</v>
      </c>
      <c r="CH46" s="200">
        <f>(SUMIF(Fonctionnement[Affectation matrice],$AB$3,Fonctionnement[TVA acquittée])+SUMIF(Invest[Affectation matrice],$AB$3,Invest[TVA acquittée]))*BG46</f>
        <v>0</v>
      </c>
      <c r="CI46" s="200">
        <f>(SUMIF(Fonctionnement[Affectation matrice],$AB$3,Fonctionnement[TVA acquittée])+SUMIF(Invest[Affectation matrice],$AB$3,Invest[TVA acquittée]))*BH46</f>
        <v>0</v>
      </c>
      <c r="CJ46" s="200">
        <f>(SUMIF(Fonctionnement[Affectation matrice],$AB$3,Fonctionnement[TVA acquittée])+SUMIF(Invest[Affectation matrice],$AB$3,Invest[TVA acquittée]))*BI46</f>
        <v>0</v>
      </c>
      <c r="CK46" s="200">
        <f>(SUMIF(Fonctionnement[Affectation matrice],$AB$3,Fonctionnement[TVA acquittée])+SUMIF(Invest[Affectation matrice],$AB$3,Invest[TVA acquittée]))*BJ46</f>
        <v>0</v>
      </c>
      <c r="CL46" s="200">
        <f>(SUMIF(Fonctionnement[Affectation matrice],$AB$3,Fonctionnement[TVA acquittée])+SUMIF(Invest[Affectation matrice],$AB$3,Invest[TVA acquittée]))*BK46</f>
        <v>0</v>
      </c>
      <c r="CM46" s="200">
        <f>(SUMIF(Fonctionnement[Affectation matrice],$AB$3,Fonctionnement[TVA acquittée])+SUMIF(Invest[Affectation matrice],$AB$3,Invest[TVA acquittée]))*BL46</f>
        <v>0</v>
      </c>
      <c r="CN46" s="200">
        <f>(SUMIF(Fonctionnement[Affectation matrice],$AB$3,Fonctionnement[TVA acquittée])+SUMIF(Invest[Affectation matrice],$AB$3,Invest[TVA acquittée]))*BM46</f>
        <v>0</v>
      </c>
      <c r="CO46" s="200">
        <f>(SUMIF(Fonctionnement[Affectation matrice],$AB$3,Fonctionnement[TVA acquittée])+SUMIF(Invest[Affectation matrice],$AB$3,Invest[TVA acquittée]))*BN46</f>
        <v>0</v>
      </c>
      <c r="CP46" s="200">
        <f>(SUMIF(Fonctionnement[Affectation matrice],$AB$3,Fonctionnement[TVA acquittée])+SUMIF(Invest[Affectation matrice],$AB$3,Invest[TVA acquittée]))*BO46</f>
        <v>0</v>
      </c>
      <c r="CQ46" s="200">
        <f>(SUMIF(Fonctionnement[Affectation matrice],$AB$3,Fonctionnement[TVA acquittée])+SUMIF(Invest[Affectation matrice],$AB$3,Invest[TVA acquittée]))*BP46</f>
        <v>0</v>
      </c>
      <c r="CR46" s="200">
        <f>(SUMIF(Fonctionnement[Affectation matrice],$AB$3,Fonctionnement[TVA acquittée])+SUMIF(Invest[Affectation matrice],$AB$3,Invest[TVA acquittée]))*BQ46</f>
        <v>0</v>
      </c>
      <c r="CS46" s="200">
        <f>(SUMIF(Fonctionnement[Affectation matrice],$AB$3,Fonctionnement[TVA acquittée])+SUMIF(Invest[Affectation matrice],$AB$3,Invest[TVA acquittée]))*BR46</f>
        <v>0</v>
      </c>
      <c r="CT46" s="200">
        <f>(SUMIF(Fonctionnement[Affectation matrice],$AB$3,Fonctionnement[TVA acquittée])+SUMIF(Invest[Affectation matrice],$AB$3,Invest[TVA acquittée]))*BS46</f>
        <v>0</v>
      </c>
      <c r="CU46" s="200">
        <f>(SUMIF(Fonctionnement[Affectation matrice],$AB$3,Fonctionnement[TVA acquittée])+SUMIF(Invest[Affectation matrice],$AB$3,Invest[TVA acquittée]))*BT46</f>
        <v>0</v>
      </c>
      <c r="CV46" s="200">
        <f>(SUMIF(Fonctionnement[Affectation matrice],$AB$3,Fonctionnement[TVA acquittée])+SUMIF(Invest[Affectation matrice],$AB$3,Invest[TVA acquittée]))*BU46</f>
        <v>0</v>
      </c>
      <c r="CW46" s="200">
        <f>(SUMIF(Fonctionnement[Affectation matrice],$AB$3,Fonctionnement[TVA acquittée])+SUMIF(Invest[Affectation matrice],$AB$3,Invest[TVA acquittée]))*BV46</f>
        <v>0</v>
      </c>
      <c r="CX46" s="200">
        <f>(SUMIF(Fonctionnement[Affectation matrice],$AB$3,Fonctionnement[TVA acquittée])+SUMIF(Invest[Affectation matrice],$AB$3,Invest[TVA acquittée]))*BW46</f>
        <v>0</v>
      </c>
      <c r="CY46" s="200">
        <f>(SUMIF(Fonctionnement[Affectation matrice],$AB$3,Fonctionnement[TVA acquittée])+SUMIF(Invest[Affectation matrice],$AB$3,Invest[TVA acquittée]))*BX46</f>
        <v>0</v>
      </c>
      <c r="CZ46" s="200">
        <f>(SUMIF(Fonctionnement[Affectation matrice],$AB$3,Fonctionnement[TVA acquittée])+SUMIF(Invest[Affectation matrice],$AB$3,Invest[TVA acquittée]))*BY46</f>
        <v>0</v>
      </c>
      <c r="DA46" s="200">
        <f>(SUMIF(Fonctionnement[Affectation matrice],$AB$3,Fonctionnement[TVA acquittée])+SUMIF(Invest[Affectation matrice],$AB$3,Invest[TVA acquittée]))*BZ46</f>
        <v>0</v>
      </c>
      <c r="DB46" s="200">
        <f>(SUMIF(Fonctionnement[Affectation matrice],$AB$3,Fonctionnement[TVA acquittée])+SUMIF(Invest[Affectation matrice],$AB$3,Invest[TVA acquittée]))*CA46</f>
        <v>0</v>
      </c>
    </row>
    <row r="47" spans="1:106" ht="12.75" hidden="1" customHeight="1" x14ac:dyDescent="0.25">
      <c r="A47" s="42">
        <f>Matrice[[#This Row],[Ligne de la matrice]]</f>
        <v>0</v>
      </c>
      <c r="B47" s="276">
        <f>(SUMIF(Fonctionnement[Affectation matrice],$AB$3,Fonctionnement[Montant (€HT)])+SUMIF(Invest[Affectation matrice],$AB$3,Invest[Amortissement HT + intérêts]))*BC47</f>
        <v>0</v>
      </c>
      <c r="C47" s="276">
        <f>(SUMIF(Fonctionnement[Affectation matrice],$AB$3,Fonctionnement[Montant (€HT)])+SUMIF(Invest[Affectation matrice],$AB$3,Invest[Amortissement HT + intérêts]))*BD47</f>
        <v>0</v>
      </c>
      <c r="D47" s="276">
        <f>(SUMIF(Fonctionnement[Affectation matrice],$AB$3,Fonctionnement[Montant (€HT)])+SUMIF(Invest[Affectation matrice],$AB$3,Invest[Amortissement HT + intérêts]))*BE47</f>
        <v>0</v>
      </c>
      <c r="E47" s="276">
        <f>(SUMIF(Fonctionnement[Affectation matrice],$AB$3,Fonctionnement[Montant (€HT)])+SUMIF(Invest[Affectation matrice],$AB$3,Invest[Amortissement HT + intérêts]))*BF47</f>
        <v>0</v>
      </c>
      <c r="F47" s="276">
        <f>(SUMIF(Fonctionnement[Affectation matrice],$AB$3,Fonctionnement[Montant (€HT)])+SUMIF(Invest[Affectation matrice],$AB$3,Invest[Amortissement HT + intérêts]))*BG47</f>
        <v>0</v>
      </c>
      <c r="G47" s="276">
        <f>(SUMIF(Fonctionnement[Affectation matrice],$AB$3,Fonctionnement[Montant (€HT)])+SUMIF(Invest[Affectation matrice],$AB$3,Invest[Amortissement HT + intérêts]))*BH47</f>
        <v>0</v>
      </c>
      <c r="H47" s="276">
        <f>(SUMIF(Fonctionnement[Affectation matrice],$AB$3,Fonctionnement[Montant (€HT)])+SUMIF(Invest[Affectation matrice],$AB$3,Invest[Amortissement HT + intérêts]))*BI47</f>
        <v>0</v>
      </c>
      <c r="I47" s="276">
        <f>(SUMIF(Fonctionnement[Affectation matrice],$AB$3,Fonctionnement[Montant (€HT)])+SUMIF(Invest[Affectation matrice],$AB$3,Invest[Amortissement HT + intérêts]))*BJ47</f>
        <v>0</v>
      </c>
      <c r="J47" s="276">
        <f>(SUMIF(Fonctionnement[Affectation matrice],$AB$3,Fonctionnement[Montant (€HT)])+SUMIF(Invest[Affectation matrice],$AB$3,Invest[Amortissement HT + intérêts]))*BK47</f>
        <v>0</v>
      </c>
      <c r="K47" s="276">
        <f>(SUMIF(Fonctionnement[Affectation matrice],$AB$3,Fonctionnement[Montant (€HT)])+SUMIF(Invest[Affectation matrice],$AB$3,Invest[Amortissement HT + intérêts]))*BL47</f>
        <v>0</v>
      </c>
      <c r="L47" s="276">
        <f>(SUMIF(Fonctionnement[Affectation matrice],$AB$3,Fonctionnement[Montant (€HT)])+SUMIF(Invest[Affectation matrice],$AB$3,Invest[Amortissement HT + intérêts]))*BM47</f>
        <v>0</v>
      </c>
      <c r="M47" s="276">
        <f>(SUMIF(Fonctionnement[Affectation matrice],$AB$3,Fonctionnement[Montant (€HT)])+SUMIF(Invest[Affectation matrice],$AB$3,Invest[Amortissement HT + intérêts]))*BN47</f>
        <v>0</v>
      </c>
      <c r="N47" s="276">
        <f>(SUMIF(Fonctionnement[Affectation matrice],$AB$3,Fonctionnement[Montant (€HT)])+SUMIF(Invest[Affectation matrice],$AB$3,Invest[Amortissement HT + intérêts]))*BO47</f>
        <v>0</v>
      </c>
      <c r="O47" s="276">
        <f>(SUMIF(Fonctionnement[Affectation matrice],$AB$3,Fonctionnement[Montant (€HT)])+SUMIF(Invest[Affectation matrice],$AB$3,Invest[Amortissement HT + intérêts]))*BP47</f>
        <v>0</v>
      </c>
      <c r="P47" s="276">
        <f>(SUMIF(Fonctionnement[Affectation matrice],$AB$3,Fonctionnement[Montant (€HT)])+SUMIF(Invest[Affectation matrice],$AB$3,Invest[Amortissement HT + intérêts]))*BQ47</f>
        <v>0</v>
      </c>
      <c r="Q47" s="276">
        <f>(SUMIF(Fonctionnement[Affectation matrice],$AB$3,Fonctionnement[Montant (€HT)])+SUMIF(Invest[Affectation matrice],$AB$3,Invest[Amortissement HT + intérêts]))*BR47</f>
        <v>0</v>
      </c>
      <c r="R47" s="276">
        <f>(SUMIF(Fonctionnement[Affectation matrice],$AB$3,Fonctionnement[Montant (€HT)])+SUMIF(Invest[Affectation matrice],$AB$3,Invest[Amortissement HT + intérêts]))*BS47</f>
        <v>0</v>
      </c>
      <c r="S47" s="276">
        <f>(SUMIF(Fonctionnement[Affectation matrice],$AB$3,Fonctionnement[Montant (€HT)])+SUMIF(Invest[Affectation matrice],$AB$3,Invest[Amortissement HT + intérêts]))*BT47</f>
        <v>0</v>
      </c>
      <c r="T47" s="276">
        <f>(SUMIF(Fonctionnement[Affectation matrice],$AB$3,Fonctionnement[Montant (€HT)])+SUMIF(Invest[Affectation matrice],$AB$3,Invest[Amortissement HT + intérêts]))*BU47</f>
        <v>0</v>
      </c>
      <c r="U47" s="276">
        <f>(SUMIF(Fonctionnement[Affectation matrice],$AB$3,Fonctionnement[Montant (€HT)])+SUMIF(Invest[Affectation matrice],$AB$3,Invest[Amortissement HT + intérêts]))*BV47</f>
        <v>0</v>
      </c>
      <c r="V47" s="276">
        <f>(SUMIF(Fonctionnement[Affectation matrice],$AB$3,Fonctionnement[Montant (€HT)])+SUMIF(Invest[Affectation matrice],$AB$3,Invest[Amortissement HT + intérêts]))*BW47</f>
        <v>0</v>
      </c>
      <c r="W47" s="276">
        <f>(SUMIF(Fonctionnement[Affectation matrice],$AB$3,Fonctionnement[Montant (€HT)])+SUMIF(Invest[Affectation matrice],$AB$3,Invest[Amortissement HT + intérêts]))*BX47</f>
        <v>0</v>
      </c>
      <c r="X47" s="276">
        <f>(SUMIF(Fonctionnement[Affectation matrice],$AB$3,Fonctionnement[Montant (€HT)])+SUMIF(Invest[Affectation matrice],$AB$3,Invest[Amortissement HT + intérêts]))*BY47</f>
        <v>0</v>
      </c>
      <c r="Y47" s="276">
        <f>(SUMIF(Fonctionnement[Affectation matrice],$AB$3,Fonctionnement[Montant (€HT)])+SUMIF(Invest[Affectation matrice],$AB$3,Invest[Amortissement HT + intérêts]))*BZ47</f>
        <v>0</v>
      </c>
      <c r="Z47" s="276">
        <f>(SUMIF(Fonctionnement[Affectation matrice],$AB$3,Fonctionnement[Montant (€HT)])+SUMIF(Invest[Affectation matrice],$AB$3,Invest[Amortissement HT + intérêts]))*CA47</f>
        <v>0</v>
      </c>
      <c r="AA47" s="199"/>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283">
        <f t="shared" si="4"/>
        <v>0</v>
      </c>
      <c r="BC47" s="61">
        <f t="shared" si="12"/>
        <v>0</v>
      </c>
      <c r="BD47" s="61">
        <f t="shared" si="12"/>
        <v>0</v>
      </c>
      <c r="BE47" s="61">
        <f t="shared" si="12"/>
        <v>0</v>
      </c>
      <c r="BF47" s="61">
        <f t="shared" si="12"/>
        <v>0</v>
      </c>
      <c r="BG47" s="61">
        <f t="shared" si="12"/>
        <v>0</v>
      </c>
      <c r="BH47" s="61">
        <f t="shared" si="12"/>
        <v>0</v>
      </c>
      <c r="BI47" s="61">
        <f t="shared" si="12"/>
        <v>0</v>
      </c>
      <c r="BJ47" s="61">
        <f t="shared" si="12"/>
        <v>0</v>
      </c>
      <c r="BK47" s="61">
        <f t="shared" si="12"/>
        <v>0</v>
      </c>
      <c r="BL47" s="61">
        <f t="shared" si="12"/>
        <v>0</v>
      </c>
      <c r="BM47" s="61">
        <f t="shared" si="12"/>
        <v>0</v>
      </c>
      <c r="BN47" s="61">
        <f t="shared" si="12"/>
        <v>0</v>
      </c>
      <c r="BO47" s="61">
        <f t="shared" si="12"/>
        <v>0</v>
      </c>
      <c r="BP47" s="61">
        <f t="shared" si="12"/>
        <v>0</v>
      </c>
      <c r="BQ47" s="61">
        <f t="shared" si="12"/>
        <v>0</v>
      </c>
      <c r="BR47" s="61">
        <f t="shared" si="12"/>
        <v>0</v>
      </c>
      <c r="BS47" s="61">
        <f t="shared" si="13"/>
        <v>0</v>
      </c>
      <c r="BT47" s="61">
        <f t="shared" si="13"/>
        <v>0</v>
      </c>
      <c r="BU47" s="61">
        <f t="shared" si="13"/>
        <v>0</v>
      </c>
      <c r="BV47" s="61">
        <f t="shared" si="13"/>
        <v>0</v>
      </c>
      <c r="BW47" s="61">
        <f t="shared" si="13"/>
        <v>0</v>
      </c>
      <c r="BX47" s="61">
        <f t="shared" si="13"/>
        <v>0</v>
      </c>
      <c r="BY47" s="61">
        <f t="shared" si="13"/>
        <v>0</v>
      </c>
      <c r="BZ47" s="61">
        <f t="shared" si="13"/>
        <v>0</v>
      </c>
      <c r="CA47" s="61">
        <f t="shared" si="13"/>
        <v>0</v>
      </c>
      <c r="CB47" s="61">
        <f t="shared" si="5"/>
        <v>0</v>
      </c>
      <c r="CD47" s="200">
        <f>(SUMIF(Fonctionnement[Affectation matrice],$AB$3,Fonctionnement[TVA acquittée])+SUMIF(Invest[Affectation matrice],$AB$3,Invest[TVA acquittée]))*BC47</f>
        <v>0</v>
      </c>
      <c r="CE47" s="200">
        <f>(SUMIF(Fonctionnement[Affectation matrice],$AB$3,Fonctionnement[TVA acquittée])+SUMIF(Invest[Affectation matrice],$AB$3,Invest[TVA acquittée]))*BD47</f>
        <v>0</v>
      </c>
      <c r="CF47" s="200">
        <f>(SUMIF(Fonctionnement[Affectation matrice],$AB$3,Fonctionnement[TVA acquittée])+SUMIF(Invest[Affectation matrice],$AB$3,Invest[TVA acquittée]))*BE47</f>
        <v>0</v>
      </c>
      <c r="CG47" s="200">
        <f>(SUMIF(Fonctionnement[Affectation matrice],$AB$3,Fonctionnement[TVA acquittée])+SUMIF(Invest[Affectation matrice],$AB$3,Invest[TVA acquittée]))*BF47</f>
        <v>0</v>
      </c>
      <c r="CH47" s="200">
        <f>(SUMIF(Fonctionnement[Affectation matrice],$AB$3,Fonctionnement[TVA acquittée])+SUMIF(Invest[Affectation matrice],$AB$3,Invest[TVA acquittée]))*BG47</f>
        <v>0</v>
      </c>
      <c r="CI47" s="200">
        <f>(SUMIF(Fonctionnement[Affectation matrice],$AB$3,Fonctionnement[TVA acquittée])+SUMIF(Invest[Affectation matrice],$AB$3,Invest[TVA acquittée]))*BH47</f>
        <v>0</v>
      </c>
      <c r="CJ47" s="200">
        <f>(SUMIF(Fonctionnement[Affectation matrice],$AB$3,Fonctionnement[TVA acquittée])+SUMIF(Invest[Affectation matrice],$AB$3,Invest[TVA acquittée]))*BI47</f>
        <v>0</v>
      </c>
      <c r="CK47" s="200">
        <f>(SUMIF(Fonctionnement[Affectation matrice],$AB$3,Fonctionnement[TVA acquittée])+SUMIF(Invest[Affectation matrice],$AB$3,Invest[TVA acquittée]))*BJ47</f>
        <v>0</v>
      </c>
      <c r="CL47" s="200">
        <f>(SUMIF(Fonctionnement[Affectation matrice],$AB$3,Fonctionnement[TVA acquittée])+SUMIF(Invest[Affectation matrice],$AB$3,Invest[TVA acquittée]))*BK47</f>
        <v>0</v>
      </c>
      <c r="CM47" s="200">
        <f>(SUMIF(Fonctionnement[Affectation matrice],$AB$3,Fonctionnement[TVA acquittée])+SUMIF(Invest[Affectation matrice],$AB$3,Invest[TVA acquittée]))*BL47</f>
        <v>0</v>
      </c>
      <c r="CN47" s="200">
        <f>(SUMIF(Fonctionnement[Affectation matrice],$AB$3,Fonctionnement[TVA acquittée])+SUMIF(Invest[Affectation matrice],$AB$3,Invest[TVA acquittée]))*BM47</f>
        <v>0</v>
      </c>
      <c r="CO47" s="200">
        <f>(SUMIF(Fonctionnement[Affectation matrice],$AB$3,Fonctionnement[TVA acquittée])+SUMIF(Invest[Affectation matrice],$AB$3,Invest[TVA acquittée]))*BN47</f>
        <v>0</v>
      </c>
      <c r="CP47" s="200">
        <f>(SUMIF(Fonctionnement[Affectation matrice],$AB$3,Fonctionnement[TVA acquittée])+SUMIF(Invest[Affectation matrice],$AB$3,Invest[TVA acquittée]))*BO47</f>
        <v>0</v>
      </c>
      <c r="CQ47" s="200">
        <f>(SUMIF(Fonctionnement[Affectation matrice],$AB$3,Fonctionnement[TVA acquittée])+SUMIF(Invest[Affectation matrice],$AB$3,Invest[TVA acquittée]))*BP47</f>
        <v>0</v>
      </c>
      <c r="CR47" s="200">
        <f>(SUMIF(Fonctionnement[Affectation matrice],$AB$3,Fonctionnement[TVA acquittée])+SUMIF(Invest[Affectation matrice],$AB$3,Invest[TVA acquittée]))*BQ47</f>
        <v>0</v>
      </c>
      <c r="CS47" s="200">
        <f>(SUMIF(Fonctionnement[Affectation matrice],$AB$3,Fonctionnement[TVA acquittée])+SUMIF(Invest[Affectation matrice],$AB$3,Invest[TVA acquittée]))*BR47</f>
        <v>0</v>
      </c>
      <c r="CT47" s="200">
        <f>(SUMIF(Fonctionnement[Affectation matrice],$AB$3,Fonctionnement[TVA acquittée])+SUMIF(Invest[Affectation matrice],$AB$3,Invest[TVA acquittée]))*BS47</f>
        <v>0</v>
      </c>
      <c r="CU47" s="200">
        <f>(SUMIF(Fonctionnement[Affectation matrice],$AB$3,Fonctionnement[TVA acquittée])+SUMIF(Invest[Affectation matrice],$AB$3,Invest[TVA acquittée]))*BT47</f>
        <v>0</v>
      </c>
      <c r="CV47" s="200">
        <f>(SUMIF(Fonctionnement[Affectation matrice],$AB$3,Fonctionnement[TVA acquittée])+SUMIF(Invest[Affectation matrice],$AB$3,Invest[TVA acquittée]))*BU47</f>
        <v>0</v>
      </c>
      <c r="CW47" s="200">
        <f>(SUMIF(Fonctionnement[Affectation matrice],$AB$3,Fonctionnement[TVA acquittée])+SUMIF(Invest[Affectation matrice],$AB$3,Invest[TVA acquittée]))*BV47</f>
        <v>0</v>
      </c>
      <c r="CX47" s="200">
        <f>(SUMIF(Fonctionnement[Affectation matrice],$AB$3,Fonctionnement[TVA acquittée])+SUMIF(Invest[Affectation matrice],$AB$3,Invest[TVA acquittée]))*BW47</f>
        <v>0</v>
      </c>
      <c r="CY47" s="200">
        <f>(SUMIF(Fonctionnement[Affectation matrice],$AB$3,Fonctionnement[TVA acquittée])+SUMIF(Invest[Affectation matrice],$AB$3,Invest[TVA acquittée]))*BX47</f>
        <v>0</v>
      </c>
      <c r="CZ47" s="200">
        <f>(SUMIF(Fonctionnement[Affectation matrice],$AB$3,Fonctionnement[TVA acquittée])+SUMIF(Invest[Affectation matrice],$AB$3,Invest[TVA acquittée]))*BY47</f>
        <v>0</v>
      </c>
      <c r="DA47" s="200">
        <f>(SUMIF(Fonctionnement[Affectation matrice],$AB$3,Fonctionnement[TVA acquittée])+SUMIF(Invest[Affectation matrice],$AB$3,Invest[TVA acquittée]))*BZ47</f>
        <v>0</v>
      </c>
      <c r="DB47" s="200">
        <f>(SUMIF(Fonctionnement[Affectation matrice],$AB$3,Fonctionnement[TVA acquittée])+SUMIF(Invest[Affectation matrice],$AB$3,Invest[TVA acquittée]))*CA47</f>
        <v>0</v>
      </c>
    </row>
    <row r="48" spans="1:106" ht="12.75" hidden="1" customHeight="1" x14ac:dyDescent="0.25">
      <c r="A48" s="42">
        <f>Matrice[[#This Row],[Ligne de la matrice]]</f>
        <v>0</v>
      </c>
      <c r="B48" s="276">
        <f>(SUMIF(Fonctionnement[Affectation matrice],$AB$3,Fonctionnement[Montant (€HT)])+SUMIF(Invest[Affectation matrice],$AB$3,Invest[Amortissement HT + intérêts]))*BC48</f>
        <v>0</v>
      </c>
      <c r="C48" s="276">
        <f>(SUMIF(Fonctionnement[Affectation matrice],$AB$3,Fonctionnement[Montant (€HT)])+SUMIF(Invest[Affectation matrice],$AB$3,Invest[Amortissement HT + intérêts]))*BD48</f>
        <v>0</v>
      </c>
      <c r="D48" s="276">
        <f>(SUMIF(Fonctionnement[Affectation matrice],$AB$3,Fonctionnement[Montant (€HT)])+SUMIF(Invest[Affectation matrice],$AB$3,Invest[Amortissement HT + intérêts]))*BE48</f>
        <v>0</v>
      </c>
      <c r="E48" s="276">
        <f>(SUMIF(Fonctionnement[Affectation matrice],$AB$3,Fonctionnement[Montant (€HT)])+SUMIF(Invest[Affectation matrice],$AB$3,Invest[Amortissement HT + intérêts]))*BF48</f>
        <v>0</v>
      </c>
      <c r="F48" s="276">
        <f>(SUMIF(Fonctionnement[Affectation matrice],$AB$3,Fonctionnement[Montant (€HT)])+SUMIF(Invest[Affectation matrice],$AB$3,Invest[Amortissement HT + intérêts]))*BG48</f>
        <v>0</v>
      </c>
      <c r="G48" s="276">
        <f>(SUMIF(Fonctionnement[Affectation matrice],$AB$3,Fonctionnement[Montant (€HT)])+SUMIF(Invest[Affectation matrice],$AB$3,Invest[Amortissement HT + intérêts]))*BH48</f>
        <v>0</v>
      </c>
      <c r="H48" s="276">
        <f>(SUMIF(Fonctionnement[Affectation matrice],$AB$3,Fonctionnement[Montant (€HT)])+SUMIF(Invest[Affectation matrice],$AB$3,Invest[Amortissement HT + intérêts]))*BI48</f>
        <v>0</v>
      </c>
      <c r="I48" s="276">
        <f>(SUMIF(Fonctionnement[Affectation matrice],$AB$3,Fonctionnement[Montant (€HT)])+SUMIF(Invest[Affectation matrice],$AB$3,Invest[Amortissement HT + intérêts]))*BJ48</f>
        <v>0</v>
      </c>
      <c r="J48" s="276">
        <f>(SUMIF(Fonctionnement[Affectation matrice],$AB$3,Fonctionnement[Montant (€HT)])+SUMIF(Invest[Affectation matrice],$AB$3,Invest[Amortissement HT + intérêts]))*BK48</f>
        <v>0</v>
      </c>
      <c r="K48" s="276">
        <f>(SUMIF(Fonctionnement[Affectation matrice],$AB$3,Fonctionnement[Montant (€HT)])+SUMIF(Invest[Affectation matrice],$AB$3,Invest[Amortissement HT + intérêts]))*BL48</f>
        <v>0</v>
      </c>
      <c r="L48" s="276">
        <f>(SUMIF(Fonctionnement[Affectation matrice],$AB$3,Fonctionnement[Montant (€HT)])+SUMIF(Invest[Affectation matrice],$AB$3,Invest[Amortissement HT + intérêts]))*BM48</f>
        <v>0</v>
      </c>
      <c r="M48" s="276">
        <f>(SUMIF(Fonctionnement[Affectation matrice],$AB$3,Fonctionnement[Montant (€HT)])+SUMIF(Invest[Affectation matrice],$AB$3,Invest[Amortissement HT + intérêts]))*BN48</f>
        <v>0</v>
      </c>
      <c r="N48" s="276">
        <f>(SUMIF(Fonctionnement[Affectation matrice],$AB$3,Fonctionnement[Montant (€HT)])+SUMIF(Invest[Affectation matrice],$AB$3,Invest[Amortissement HT + intérêts]))*BO48</f>
        <v>0</v>
      </c>
      <c r="O48" s="276">
        <f>(SUMIF(Fonctionnement[Affectation matrice],$AB$3,Fonctionnement[Montant (€HT)])+SUMIF(Invest[Affectation matrice],$AB$3,Invest[Amortissement HT + intérêts]))*BP48</f>
        <v>0</v>
      </c>
      <c r="P48" s="276">
        <f>(SUMIF(Fonctionnement[Affectation matrice],$AB$3,Fonctionnement[Montant (€HT)])+SUMIF(Invest[Affectation matrice],$AB$3,Invest[Amortissement HT + intérêts]))*BQ48</f>
        <v>0</v>
      </c>
      <c r="Q48" s="276">
        <f>(SUMIF(Fonctionnement[Affectation matrice],$AB$3,Fonctionnement[Montant (€HT)])+SUMIF(Invest[Affectation matrice],$AB$3,Invest[Amortissement HT + intérêts]))*BR48</f>
        <v>0</v>
      </c>
      <c r="R48" s="276">
        <f>(SUMIF(Fonctionnement[Affectation matrice],$AB$3,Fonctionnement[Montant (€HT)])+SUMIF(Invest[Affectation matrice],$AB$3,Invest[Amortissement HT + intérêts]))*BS48</f>
        <v>0</v>
      </c>
      <c r="S48" s="276">
        <f>(SUMIF(Fonctionnement[Affectation matrice],$AB$3,Fonctionnement[Montant (€HT)])+SUMIF(Invest[Affectation matrice],$AB$3,Invest[Amortissement HT + intérêts]))*BT48</f>
        <v>0</v>
      </c>
      <c r="T48" s="276">
        <f>(SUMIF(Fonctionnement[Affectation matrice],$AB$3,Fonctionnement[Montant (€HT)])+SUMIF(Invest[Affectation matrice],$AB$3,Invest[Amortissement HT + intérêts]))*BU48</f>
        <v>0</v>
      </c>
      <c r="U48" s="276">
        <f>(SUMIF(Fonctionnement[Affectation matrice],$AB$3,Fonctionnement[Montant (€HT)])+SUMIF(Invest[Affectation matrice],$AB$3,Invest[Amortissement HT + intérêts]))*BV48</f>
        <v>0</v>
      </c>
      <c r="V48" s="276">
        <f>(SUMIF(Fonctionnement[Affectation matrice],$AB$3,Fonctionnement[Montant (€HT)])+SUMIF(Invest[Affectation matrice],$AB$3,Invest[Amortissement HT + intérêts]))*BW48</f>
        <v>0</v>
      </c>
      <c r="W48" s="276">
        <f>(SUMIF(Fonctionnement[Affectation matrice],$AB$3,Fonctionnement[Montant (€HT)])+SUMIF(Invest[Affectation matrice],$AB$3,Invest[Amortissement HT + intérêts]))*BX48</f>
        <v>0</v>
      </c>
      <c r="X48" s="276">
        <f>(SUMIF(Fonctionnement[Affectation matrice],$AB$3,Fonctionnement[Montant (€HT)])+SUMIF(Invest[Affectation matrice],$AB$3,Invest[Amortissement HT + intérêts]))*BY48</f>
        <v>0</v>
      </c>
      <c r="Y48" s="276">
        <f>(SUMIF(Fonctionnement[Affectation matrice],$AB$3,Fonctionnement[Montant (€HT)])+SUMIF(Invest[Affectation matrice],$AB$3,Invest[Amortissement HT + intérêts]))*BZ48</f>
        <v>0</v>
      </c>
      <c r="Z48" s="276">
        <f>(SUMIF(Fonctionnement[Affectation matrice],$AB$3,Fonctionnement[Montant (€HT)])+SUMIF(Invest[Affectation matrice],$AB$3,Invest[Amortissement HT + intérêts]))*CA48</f>
        <v>0</v>
      </c>
      <c r="AA48" s="199"/>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283">
        <f t="shared" si="4"/>
        <v>0</v>
      </c>
      <c r="BC48" s="61">
        <f t="shared" si="12"/>
        <v>0</v>
      </c>
      <c r="BD48" s="61">
        <f t="shared" si="12"/>
        <v>0</v>
      </c>
      <c r="BE48" s="61">
        <f t="shared" si="12"/>
        <v>0</v>
      </c>
      <c r="BF48" s="61">
        <f t="shared" si="12"/>
        <v>0</v>
      </c>
      <c r="BG48" s="61">
        <f t="shared" si="12"/>
        <v>0</v>
      </c>
      <c r="BH48" s="61">
        <f t="shared" si="12"/>
        <v>0</v>
      </c>
      <c r="BI48" s="61">
        <f t="shared" si="12"/>
        <v>0</v>
      </c>
      <c r="BJ48" s="61">
        <f t="shared" si="12"/>
        <v>0</v>
      </c>
      <c r="BK48" s="61">
        <f t="shared" si="12"/>
        <v>0</v>
      </c>
      <c r="BL48" s="61">
        <f t="shared" si="12"/>
        <v>0</v>
      </c>
      <c r="BM48" s="61">
        <f t="shared" si="12"/>
        <v>0</v>
      </c>
      <c r="BN48" s="61">
        <f t="shared" si="12"/>
        <v>0</v>
      </c>
      <c r="BO48" s="61">
        <f t="shared" si="12"/>
        <v>0</v>
      </c>
      <c r="BP48" s="61">
        <f t="shared" si="12"/>
        <v>0</v>
      </c>
      <c r="BQ48" s="61">
        <f t="shared" si="12"/>
        <v>0</v>
      </c>
      <c r="BR48" s="61">
        <f t="shared" si="12"/>
        <v>0</v>
      </c>
      <c r="BS48" s="61">
        <f t="shared" si="13"/>
        <v>0</v>
      </c>
      <c r="BT48" s="61">
        <f t="shared" si="13"/>
        <v>0</v>
      </c>
      <c r="BU48" s="61">
        <f t="shared" si="13"/>
        <v>0</v>
      </c>
      <c r="BV48" s="61">
        <f t="shared" si="13"/>
        <v>0</v>
      </c>
      <c r="BW48" s="61">
        <f t="shared" si="13"/>
        <v>0</v>
      </c>
      <c r="BX48" s="61">
        <f t="shared" si="13"/>
        <v>0</v>
      </c>
      <c r="BY48" s="61">
        <f t="shared" si="13"/>
        <v>0</v>
      </c>
      <c r="BZ48" s="61">
        <f t="shared" si="13"/>
        <v>0</v>
      </c>
      <c r="CA48" s="61">
        <f t="shared" si="13"/>
        <v>0</v>
      </c>
      <c r="CB48" s="61">
        <f t="shared" si="5"/>
        <v>0</v>
      </c>
      <c r="CD48" s="200">
        <f>(SUMIF(Fonctionnement[Affectation matrice],$AB$3,Fonctionnement[TVA acquittée])+SUMIF(Invest[Affectation matrice],$AB$3,Invest[TVA acquittée]))*BC48</f>
        <v>0</v>
      </c>
      <c r="CE48" s="200">
        <f>(SUMIF(Fonctionnement[Affectation matrice],$AB$3,Fonctionnement[TVA acquittée])+SUMIF(Invest[Affectation matrice],$AB$3,Invest[TVA acquittée]))*BD48</f>
        <v>0</v>
      </c>
      <c r="CF48" s="200">
        <f>(SUMIF(Fonctionnement[Affectation matrice],$AB$3,Fonctionnement[TVA acquittée])+SUMIF(Invest[Affectation matrice],$AB$3,Invest[TVA acquittée]))*BE48</f>
        <v>0</v>
      </c>
      <c r="CG48" s="200">
        <f>(SUMIF(Fonctionnement[Affectation matrice],$AB$3,Fonctionnement[TVA acquittée])+SUMIF(Invest[Affectation matrice],$AB$3,Invest[TVA acquittée]))*BF48</f>
        <v>0</v>
      </c>
      <c r="CH48" s="200">
        <f>(SUMIF(Fonctionnement[Affectation matrice],$AB$3,Fonctionnement[TVA acquittée])+SUMIF(Invest[Affectation matrice],$AB$3,Invest[TVA acquittée]))*BG48</f>
        <v>0</v>
      </c>
      <c r="CI48" s="200">
        <f>(SUMIF(Fonctionnement[Affectation matrice],$AB$3,Fonctionnement[TVA acquittée])+SUMIF(Invest[Affectation matrice],$AB$3,Invest[TVA acquittée]))*BH48</f>
        <v>0</v>
      </c>
      <c r="CJ48" s="200">
        <f>(SUMIF(Fonctionnement[Affectation matrice],$AB$3,Fonctionnement[TVA acquittée])+SUMIF(Invest[Affectation matrice],$AB$3,Invest[TVA acquittée]))*BI48</f>
        <v>0</v>
      </c>
      <c r="CK48" s="200">
        <f>(SUMIF(Fonctionnement[Affectation matrice],$AB$3,Fonctionnement[TVA acquittée])+SUMIF(Invest[Affectation matrice],$AB$3,Invest[TVA acquittée]))*BJ48</f>
        <v>0</v>
      </c>
      <c r="CL48" s="200">
        <f>(SUMIF(Fonctionnement[Affectation matrice],$AB$3,Fonctionnement[TVA acquittée])+SUMIF(Invest[Affectation matrice],$AB$3,Invest[TVA acquittée]))*BK48</f>
        <v>0</v>
      </c>
      <c r="CM48" s="200">
        <f>(SUMIF(Fonctionnement[Affectation matrice],$AB$3,Fonctionnement[TVA acquittée])+SUMIF(Invest[Affectation matrice],$AB$3,Invest[TVA acquittée]))*BL48</f>
        <v>0</v>
      </c>
      <c r="CN48" s="200">
        <f>(SUMIF(Fonctionnement[Affectation matrice],$AB$3,Fonctionnement[TVA acquittée])+SUMIF(Invest[Affectation matrice],$AB$3,Invest[TVA acquittée]))*BM48</f>
        <v>0</v>
      </c>
      <c r="CO48" s="200">
        <f>(SUMIF(Fonctionnement[Affectation matrice],$AB$3,Fonctionnement[TVA acquittée])+SUMIF(Invest[Affectation matrice],$AB$3,Invest[TVA acquittée]))*BN48</f>
        <v>0</v>
      </c>
      <c r="CP48" s="200">
        <f>(SUMIF(Fonctionnement[Affectation matrice],$AB$3,Fonctionnement[TVA acquittée])+SUMIF(Invest[Affectation matrice],$AB$3,Invest[TVA acquittée]))*BO48</f>
        <v>0</v>
      </c>
      <c r="CQ48" s="200">
        <f>(SUMIF(Fonctionnement[Affectation matrice],$AB$3,Fonctionnement[TVA acquittée])+SUMIF(Invest[Affectation matrice],$AB$3,Invest[TVA acquittée]))*BP48</f>
        <v>0</v>
      </c>
      <c r="CR48" s="200">
        <f>(SUMIF(Fonctionnement[Affectation matrice],$AB$3,Fonctionnement[TVA acquittée])+SUMIF(Invest[Affectation matrice],$AB$3,Invest[TVA acquittée]))*BQ48</f>
        <v>0</v>
      </c>
      <c r="CS48" s="200">
        <f>(SUMIF(Fonctionnement[Affectation matrice],$AB$3,Fonctionnement[TVA acquittée])+SUMIF(Invest[Affectation matrice],$AB$3,Invest[TVA acquittée]))*BR48</f>
        <v>0</v>
      </c>
      <c r="CT48" s="200">
        <f>(SUMIF(Fonctionnement[Affectation matrice],$AB$3,Fonctionnement[TVA acquittée])+SUMIF(Invest[Affectation matrice],$AB$3,Invest[TVA acquittée]))*BS48</f>
        <v>0</v>
      </c>
      <c r="CU48" s="200">
        <f>(SUMIF(Fonctionnement[Affectation matrice],$AB$3,Fonctionnement[TVA acquittée])+SUMIF(Invest[Affectation matrice],$AB$3,Invest[TVA acquittée]))*BT48</f>
        <v>0</v>
      </c>
      <c r="CV48" s="200">
        <f>(SUMIF(Fonctionnement[Affectation matrice],$AB$3,Fonctionnement[TVA acquittée])+SUMIF(Invest[Affectation matrice],$AB$3,Invest[TVA acquittée]))*BU48</f>
        <v>0</v>
      </c>
      <c r="CW48" s="200">
        <f>(SUMIF(Fonctionnement[Affectation matrice],$AB$3,Fonctionnement[TVA acquittée])+SUMIF(Invest[Affectation matrice],$AB$3,Invest[TVA acquittée]))*BV48</f>
        <v>0</v>
      </c>
      <c r="CX48" s="200">
        <f>(SUMIF(Fonctionnement[Affectation matrice],$AB$3,Fonctionnement[TVA acquittée])+SUMIF(Invest[Affectation matrice],$AB$3,Invest[TVA acquittée]))*BW48</f>
        <v>0</v>
      </c>
      <c r="CY48" s="200">
        <f>(SUMIF(Fonctionnement[Affectation matrice],$AB$3,Fonctionnement[TVA acquittée])+SUMIF(Invest[Affectation matrice],$AB$3,Invest[TVA acquittée]))*BX48</f>
        <v>0</v>
      </c>
      <c r="CZ48" s="200">
        <f>(SUMIF(Fonctionnement[Affectation matrice],$AB$3,Fonctionnement[TVA acquittée])+SUMIF(Invest[Affectation matrice],$AB$3,Invest[TVA acquittée]))*BY48</f>
        <v>0</v>
      </c>
      <c r="DA48" s="200">
        <f>(SUMIF(Fonctionnement[Affectation matrice],$AB$3,Fonctionnement[TVA acquittée])+SUMIF(Invest[Affectation matrice],$AB$3,Invest[TVA acquittée]))*BZ48</f>
        <v>0</v>
      </c>
      <c r="DB48" s="200">
        <f>(SUMIF(Fonctionnement[Affectation matrice],$AB$3,Fonctionnement[TVA acquittée])+SUMIF(Invest[Affectation matrice],$AB$3,Invest[TVA acquittée]))*CA48</f>
        <v>0</v>
      </c>
    </row>
    <row r="49" spans="1:107" ht="12.75" hidden="1" customHeight="1" x14ac:dyDescent="0.25">
      <c r="A49" s="42">
        <f>Matrice[[#This Row],[Ligne de la matrice]]</f>
        <v>0</v>
      </c>
      <c r="B49" s="276">
        <f>(SUMIF(Fonctionnement[Affectation matrice],$AB$3,Fonctionnement[Montant (€HT)])+SUMIF(Invest[Affectation matrice],$AB$3,Invest[Amortissement HT + intérêts]))*BC49</f>
        <v>0</v>
      </c>
      <c r="C49" s="276">
        <f>(SUMIF(Fonctionnement[Affectation matrice],$AB$3,Fonctionnement[Montant (€HT)])+SUMIF(Invest[Affectation matrice],$AB$3,Invest[Amortissement HT + intérêts]))*BD49</f>
        <v>0</v>
      </c>
      <c r="D49" s="276">
        <f>(SUMIF(Fonctionnement[Affectation matrice],$AB$3,Fonctionnement[Montant (€HT)])+SUMIF(Invest[Affectation matrice],$AB$3,Invest[Amortissement HT + intérêts]))*BE49</f>
        <v>0</v>
      </c>
      <c r="E49" s="276">
        <f>(SUMIF(Fonctionnement[Affectation matrice],$AB$3,Fonctionnement[Montant (€HT)])+SUMIF(Invest[Affectation matrice],$AB$3,Invest[Amortissement HT + intérêts]))*BF49</f>
        <v>0</v>
      </c>
      <c r="F49" s="276">
        <f>(SUMIF(Fonctionnement[Affectation matrice],$AB$3,Fonctionnement[Montant (€HT)])+SUMIF(Invest[Affectation matrice],$AB$3,Invest[Amortissement HT + intérêts]))*BG49</f>
        <v>0</v>
      </c>
      <c r="G49" s="276">
        <f>(SUMIF(Fonctionnement[Affectation matrice],$AB$3,Fonctionnement[Montant (€HT)])+SUMIF(Invest[Affectation matrice],$AB$3,Invest[Amortissement HT + intérêts]))*BH49</f>
        <v>0</v>
      </c>
      <c r="H49" s="276">
        <f>(SUMIF(Fonctionnement[Affectation matrice],$AB$3,Fonctionnement[Montant (€HT)])+SUMIF(Invest[Affectation matrice],$AB$3,Invest[Amortissement HT + intérêts]))*BI49</f>
        <v>0</v>
      </c>
      <c r="I49" s="276">
        <f>(SUMIF(Fonctionnement[Affectation matrice],$AB$3,Fonctionnement[Montant (€HT)])+SUMIF(Invest[Affectation matrice],$AB$3,Invest[Amortissement HT + intérêts]))*BJ49</f>
        <v>0</v>
      </c>
      <c r="J49" s="276">
        <f>(SUMIF(Fonctionnement[Affectation matrice],$AB$3,Fonctionnement[Montant (€HT)])+SUMIF(Invest[Affectation matrice],$AB$3,Invest[Amortissement HT + intérêts]))*BK49</f>
        <v>0</v>
      </c>
      <c r="K49" s="276">
        <f>(SUMIF(Fonctionnement[Affectation matrice],$AB$3,Fonctionnement[Montant (€HT)])+SUMIF(Invest[Affectation matrice],$AB$3,Invest[Amortissement HT + intérêts]))*BL49</f>
        <v>0</v>
      </c>
      <c r="L49" s="276">
        <f>(SUMIF(Fonctionnement[Affectation matrice],$AB$3,Fonctionnement[Montant (€HT)])+SUMIF(Invest[Affectation matrice],$AB$3,Invest[Amortissement HT + intérêts]))*BM49</f>
        <v>0</v>
      </c>
      <c r="M49" s="276">
        <f>(SUMIF(Fonctionnement[Affectation matrice],$AB$3,Fonctionnement[Montant (€HT)])+SUMIF(Invest[Affectation matrice],$AB$3,Invest[Amortissement HT + intérêts]))*BN49</f>
        <v>0</v>
      </c>
      <c r="N49" s="276">
        <f>(SUMIF(Fonctionnement[Affectation matrice],$AB$3,Fonctionnement[Montant (€HT)])+SUMIF(Invest[Affectation matrice],$AB$3,Invest[Amortissement HT + intérêts]))*BO49</f>
        <v>0</v>
      </c>
      <c r="O49" s="276">
        <f>(SUMIF(Fonctionnement[Affectation matrice],$AB$3,Fonctionnement[Montant (€HT)])+SUMIF(Invest[Affectation matrice],$AB$3,Invest[Amortissement HT + intérêts]))*BP49</f>
        <v>0</v>
      </c>
      <c r="P49" s="276">
        <f>(SUMIF(Fonctionnement[Affectation matrice],$AB$3,Fonctionnement[Montant (€HT)])+SUMIF(Invest[Affectation matrice],$AB$3,Invest[Amortissement HT + intérêts]))*BQ49</f>
        <v>0</v>
      </c>
      <c r="Q49" s="276">
        <f>(SUMIF(Fonctionnement[Affectation matrice],$AB$3,Fonctionnement[Montant (€HT)])+SUMIF(Invest[Affectation matrice],$AB$3,Invest[Amortissement HT + intérêts]))*BR49</f>
        <v>0</v>
      </c>
      <c r="R49" s="276">
        <f>(SUMIF(Fonctionnement[Affectation matrice],$AB$3,Fonctionnement[Montant (€HT)])+SUMIF(Invest[Affectation matrice],$AB$3,Invest[Amortissement HT + intérêts]))*BS49</f>
        <v>0</v>
      </c>
      <c r="S49" s="276">
        <f>(SUMIF(Fonctionnement[Affectation matrice],$AB$3,Fonctionnement[Montant (€HT)])+SUMIF(Invest[Affectation matrice],$AB$3,Invest[Amortissement HT + intérêts]))*BT49</f>
        <v>0</v>
      </c>
      <c r="T49" s="276">
        <f>(SUMIF(Fonctionnement[Affectation matrice],$AB$3,Fonctionnement[Montant (€HT)])+SUMIF(Invest[Affectation matrice],$AB$3,Invest[Amortissement HT + intérêts]))*BU49</f>
        <v>0</v>
      </c>
      <c r="U49" s="276">
        <f>(SUMIF(Fonctionnement[Affectation matrice],$AB$3,Fonctionnement[Montant (€HT)])+SUMIF(Invest[Affectation matrice],$AB$3,Invest[Amortissement HT + intérêts]))*BV49</f>
        <v>0</v>
      </c>
      <c r="V49" s="276">
        <f>(SUMIF(Fonctionnement[Affectation matrice],$AB$3,Fonctionnement[Montant (€HT)])+SUMIF(Invest[Affectation matrice],$AB$3,Invest[Amortissement HT + intérêts]))*BW49</f>
        <v>0</v>
      </c>
      <c r="W49" s="276">
        <f>(SUMIF(Fonctionnement[Affectation matrice],$AB$3,Fonctionnement[Montant (€HT)])+SUMIF(Invest[Affectation matrice],$AB$3,Invest[Amortissement HT + intérêts]))*BX49</f>
        <v>0</v>
      </c>
      <c r="X49" s="276">
        <f>(SUMIF(Fonctionnement[Affectation matrice],$AB$3,Fonctionnement[Montant (€HT)])+SUMIF(Invest[Affectation matrice],$AB$3,Invest[Amortissement HT + intérêts]))*BY49</f>
        <v>0</v>
      </c>
      <c r="Y49" s="276">
        <f>(SUMIF(Fonctionnement[Affectation matrice],$AB$3,Fonctionnement[Montant (€HT)])+SUMIF(Invest[Affectation matrice],$AB$3,Invest[Amortissement HT + intérêts]))*BZ49</f>
        <v>0</v>
      </c>
      <c r="Z49" s="276">
        <f>(SUMIF(Fonctionnement[Affectation matrice],$AB$3,Fonctionnement[Montant (€HT)])+SUMIF(Invest[Affectation matrice],$AB$3,Invest[Amortissement HT + intérêts]))*CA49</f>
        <v>0</v>
      </c>
      <c r="AA49" s="199"/>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283">
        <f t="shared" si="4"/>
        <v>0</v>
      </c>
      <c r="BC49" s="61">
        <f t="shared" si="12"/>
        <v>0</v>
      </c>
      <c r="BD49" s="61">
        <f t="shared" si="12"/>
        <v>0</v>
      </c>
      <c r="BE49" s="61">
        <f t="shared" si="12"/>
        <v>0</v>
      </c>
      <c r="BF49" s="61">
        <f t="shared" si="12"/>
        <v>0</v>
      </c>
      <c r="BG49" s="61">
        <f t="shared" si="12"/>
        <v>0</v>
      </c>
      <c r="BH49" s="61">
        <f t="shared" si="12"/>
        <v>0</v>
      </c>
      <c r="BI49" s="61">
        <f t="shared" si="12"/>
        <v>0</v>
      </c>
      <c r="BJ49" s="61">
        <f t="shared" si="12"/>
        <v>0</v>
      </c>
      <c r="BK49" s="61">
        <f t="shared" si="12"/>
        <v>0</v>
      </c>
      <c r="BL49" s="61">
        <f t="shared" si="12"/>
        <v>0</v>
      </c>
      <c r="BM49" s="61">
        <f t="shared" si="12"/>
        <v>0</v>
      </c>
      <c r="BN49" s="61">
        <f t="shared" si="12"/>
        <v>0</v>
      </c>
      <c r="BO49" s="61">
        <f t="shared" si="12"/>
        <v>0</v>
      </c>
      <c r="BP49" s="61">
        <f t="shared" si="12"/>
        <v>0</v>
      </c>
      <c r="BQ49" s="61">
        <f t="shared" si="12"/>
        <v>0</v>
      </c>
      <c r="BR49" s="61">
        <f t="shared" si="12"/>
        <v>0</v>
      </c>
      <c r="BS49" s="61">
        <f t="shared" si="13"/>
        <v>0</v>
      </c>
      <c r="BT49" s="61">
        <f t="shared" si="13"/>
        <v>0</v>
      </c>
      <c r="BU49" s="61">
        <f t="shared" si="13"/>
        <v>0</v>
      </c>
      <c r="BV49" s="61">
        <f t="shared" si="13"/>
        <v>0</v>
      </c>
      <c r="BW49" s="61">
        <f t="shared" si="13"/>
        <v>0</v>
      </c>
      <c r="BX49" s="61">
        <f t="shared" si="13"/>
        <v>0</v>
      </c>
      <c r="BY49" s="61">
        <f t="shared" si="13"/>
        <v>0</v>
      </c>
      <c r="BZ49" s="61">
        <f t="shared" si="13"/>
        <v>0</v>
      </c>
      <c r="CA49" s="61">
        <f t="shared" si="13"/>
        <v>0</v>
      </c>
      <c r="CB49" s="61">
        <f t="shared" si="5"/>
        <v>0</v>
      </c>
      <c r="CD49" s="200">
        <f>(SUMIF(Fonctionnement[Affectation matrice],$AB$3,Fonctionnement[TVA acquittée])+SUMIF(Invest[Affectation matrice],$AB$3,Invest[TVA acquittée]))*BC49</f>
        <v>0</v>
      </c>
      <c r="CE49" s="200">
        <f>(SUMIF(Fonctionnement[Affectation matrice],$AB$3,Fonctionnement[TVA acquittée])+SUMIF(Invest[Affectation matrice],$AB$3,Invest[TVA acquittée]))*BD49</f>
        <v>0</v>
      </c>
      <c r="CF49" s="200">
        <f>(SUMIF(Fonctionnement[Affectation matrice],$AB$3,Fonctionnement[TVA acquittée])+SUMIF(Invest[Affectation matrice],$AB$3,Invest[TVA acquittée]))*BE49</f>
        <v>0</v>
      </c>
      <c r="CG49" s="200">
        <f>(SUMIF(Fonctionnement[Affectation matrice],$AB$3,Fonctionnement[TVA acquittée])+SUMIF(Invest[Affectation matrice],$AB$3,Invest[TVA acquittée]))*BF49</f>
        <v>0</v>
      </c>
      <c r="CH49" s="200">
        <f>(SUMIF(Fonctionnement[Affectation matrice],$AB$3,Fonctionnement[TVA acquittée])+SUMIF(Invest[Affectation matrice],$AB$3,Invest[TVA acquittée]))*BG49</f>
        <v>0</v>
      </c>
      <c r="CI49" s="200">
        <f>(SUMIF(Fonctionnement[Affectation matrice],$AB$3,Fonctionnement[TVA acquittée])+SUMIF(Invest[Affectation matrice],$AB$3,Invest[TVA acquittée]))*BH49</f>
        <v>0</v>
      </c>
      <c r="CJ49" s="200">
        <f>(SUMIF(Fonctionnement[Affectation matrice],$AB$3,Fonctionnement[TVA acquittée])+SUMIF(Invest[Affectation matrice],$AB$3,Invest[TVA acquittée]))*BI49</f>
        <v>0</v>
      </c>
      <c r="CK49" s="200">
        <f>(SUMIF(Fonctionnement[Affectation matrice],$AB$3,Fonctionnement[TVA acquittée])+SUMIF(Invest[Affectation matrice],$AB$3,Invest[TVA acquittée]))*BJ49</f>
        <v>0</v>
      </c>
      <c r="CL49" s="200">
        <f>(SUMIF(Fonctionnement[Affectation matrice],$AB$3,Fonctionnement[TVA acquittée])+SUMIF(Invest[Affectation matrice],$AB$3,Invest[TVA acquittée]))*BK49</f>
        <v>0</v>
      </c>
      <c r="CM49" s="200">
        <f>(SUMIF(Fonctionnement[Affectation matrice],$AB$3,Fonctionnement[TVA acquittée])+SUMIF(Invest[Affectation matrice],$AB$3,Invest[TVA acquittée]))*BL49</f>
        <v>0</v>
      </c>
      <c r="CN49" s="200">
        <f>(SUMIF(Fonctionnement[Affectation matrice],$AB$3,Fonctionnement[TVA acquittée])+SUMIF(Invest[Affectation matrice],$AB$3,Invest[TVA acquittée]))*BM49</f>
        <v>0</v>
      </c>
      <c r="CO49" s="200">
        <f>(SUMIF(Fonctionnement[Affectation matrice],$AB$3,Fonctionnement[TVA acquittée])+SUMIF(Invest[Affectation matrice],$AB$3,Invest[TVA acquittée]))*BN49</f>
        <v>0</v>
      </c>
      <c r="CP49" s="200">
        <f>(SUMIF(Fonctionnement[Affectation matrice],$AB$3,Fonctionnement[TVA acquittée])+SUMIF(Invest[Affectation matrice],$AB$3,Invest[TVA acquittée]))*BO49</f>
        <v>0</v>
      </c>
      <c r="CQ49" s="200">
        <f>(SUMIF(Fonctionnement[Affectation matrice],$AB$3,Fonctionnement[TVA acquittée])+SUMIF(Invest[Affectation matrice],$AB$3,Invest[TVA acquittée]))*BP49</f>
        <v>0</v>
      </c>
      <c r="CR49" s="200">
        <f>(SUMIF(Fonctionnement[Affectation matrice],$AB$3,Fonctionnement[TVA acquittée])+SUMIF(Invest[Affectation matrice],$AB$3,Invest[TVA acquittée]))*BQ49</f>
        <v>0</v>
      </c>
      <c r="CS49" s="200">
        <f>(SUMIF(Fonctionnement[Affectation matrice],$AB$3,Fonctionnement[TVA acquittée])+SUMIF(Invest[Affectation matrice],$AB$3,Invest[TVA acquittée]))*BR49</f>
        <v>0</v>
      </c>
      <c r="CT49" s="200">
        <f>(SUMIF(Fonctionnement[Affectation matrice],$AB$3,Fonctionnement[TVA acquittée])+SUMIF(Invest[Affectation matrice],$AB$3,Invest[TVA acquittée]))*BS49</f>
        <v>0</v>
      </c>
      <c r="CU49" s="200">
        <f>(SUMIF(Fonctionnement[Affectation matrice],$AB$3,Fonctionnement[TVA acquittée])+SUMIF(Invest[Affectation matrice],$AB$3,Invest[TVA acquittée]))*BT49</f>
        <v>0</v>
      </c>
      <c r="CV49" s="200">
        <f>(SUMIF(Fonctionnement[Affectation matrice],$AB$3,Fonctionnement[TVA acquittée])+SUMIF(Invest[Affectation matrice],$AB$3,Invest[TVA acquittée]))*BU49</f>
        <v>0</v>
      </c>
      <c r="CW49" s="200">
        <f>(SUMIF(Fonctionnement[Affectation matrice],$AB$3,Fonctionnement[TVA acquittée])+SUMIF(Invest[Affectation matrice],$AB$3,Invest[TVA acquittée]))*BV49</f>
        <v>0</v>
      </c>
      <c r="CX49" s="200">
        <f>(SUMIF(Fonctionnement[Affectation matrice],$AB$3,Fonctionnement[TVA acquittée])+SUMIF(Invest[Affectation matrice],$AB$3,Invest[TVA acquittée]))*BW49</f>
        <v>0</v>
      </c>
      <c r="CY49" s="200">
        <f>(SUMIF(Fonctionnement[Affectation matrice],$AB$3,Fonctionnement[TVA acquittée])+SUMIF(Invest[Affectation matrice],$AB$3,Invest[TVA acquittée]))*BX49</f>
        <v>0</v>
      </c>
      <c r="CZ49" s="200">
        <f>(SUMIF(Fonctionnement[Affectation matrice],$AB$3,Fonctionnement[TVA acquittée])+SUMIF(Invest[Affectation matrice],$AB$3,Invest[TVA acquittée]))*BY49</f>
        <v>0</v>
      </c>
      <c r="DA49" s="200">
        <f>(SUMIF(Fonctionnement[Affectation matrice],$AB$3,Fonctionnement[TVA acquittée])+SUMIF(Invest[Affectation matrice],$AB$3,Invest[TVA acquittée]))*BZ49</f>
        <v>0</v>
      </c>
      <c r="DB49" s="200">
        <f>(SUMIF(Fonctionnement[Affectation matrice],$AB$3,Fonctionnement[TVA acquittée])+SUMIF(Invest[Affectation matrice],$AB$3,Invest[TVA acquittée]))*CA49</f>
        <v>0</v>
      </c>
    </row>
    <row r="50" spans="1:107" ht="12.75" hidden="1" customHeight="1" x14ac:dyDescent="0.25">
      <c r="A50" s="42">
        <f>Matrice[[#This Row],[Ligne de la matrice]]</f>
        <v>0</v>
      </c>
      <c r="B50" s="276">
        <f>(SUMIF(Fonctionnement[Affectation matrice],$AB$3,Fonctionnement[Montant (€HT)])+SUMIF(Invest[Affectation matrice],$AB$3,Invest[Amortissement HT + intérêts]))*BC50</f>
        <v>0</v>
      </c>
      <c r="C50" s="276">
        <f>(SUMIF(Fonctionnement[Affectation matrice],$AB$3,Fonctionnement[Montant (€HT)])+SUMIF(Invest[Affectation matrice],$AB$3,Invest[Amortissement HT + intérêts]))*BD50</f>
        <v>0</v>
      </c>
      <c r="D50" s="276">
        <f>(SUMIF(Fonctionnement[Affectation matrice],$AB$3,Fonctionnement[Montant (€HT)])+SUMIF(Invest[Affectation matrice],$AB$3,Invest[Amortissement HT + intérêts]))*BE50</f>
        <v>0</v>
      </c>
      <c r="E50" s="276">
        <f>(SUMIF(Fonctionnement[Affectation matrice],$AB$3,Fonctionnement[Montant (€HT)])+SUMIF(Invest[Affectation matrice],$AB$3,Invest[Amortissement HT + intérêts]))*BF50</f>
        <v>0</v>
      </c>
      <c r="F50" s="276">
        <f>(SUMIF(Fonctionnement[Affectation matrice],$AB$3,Fonctionnement[Montant (€HT)])+SUMIF(Invest[Affectation matrice],$AB$3,Invest[Amortissement HT + intérêts]))*BG50</f>
        <v>0</v>
      </c>
      <c r="G50" s="276">
        <f>(SUMIF(Fonctionnement[Affectation matrice],$AB$3,Fonctionnement[Montant (€HT)])+SUMIF(Invest[Affectation matrice],$AB$3,Invest[Amortissement HT + intérêts]))*BH50</f>
        <v>0</v>
      </c>
      <c r="H50" s="276">
        <f>(SUMIF(Fonctionnement[Affectation matrice],$AB$3,Fonctionnement[Montant (€HT)])+SUMIF(Invest[Affectation matrice],$AB$3,Invest[Amortissement HT + intérêts]))*BI50</f>
        <v>0</v>
      </c>
      <c r="I50" s="276">
        <f>(SUMIF(Fonctionnement[Affectation matrice],$AB$3,Fonctionnement[Montant (€HT)])+SUMIF(Invest[Affectation matrice],$AB$3,Invest[Amortissement HT + intérêts]))*BJ50</f>
        <v>0</v>
      </c>
      <c r="J50" s="276">
        <f>(SUMIF(Fonctionnement[Affectation matrice],$AB$3,Fonctionnement[Montant (€HT)])+SUMIF(Invest[Affectation matrice],$AB$3,Invest[Amortissement HT + intérêts]))*BK50</f>
        <v>0</v>
      </c>
      <c r="K50" s="276">
        <f>(SUMIF(Fonctionnement[Affectation matrice],$AB$3,Fonctionnement[Montant (€HT)])+SUMIF(Invest[Affectation matrice],$AB$3,Invest[Amortissement HT + intérêts]))*BL50</f>
        <v>0</v>
      </c>
      <c r="L50" s="276">
        <f>(SUMIF(Fonctionnement[Affectation matrice],$AB$3,Fonctionnement[Montant (€HT)])+SUMIF(Invest[Affectation matrice],$AB$3,Invest[Amortissement HT + intérêts]))*BM50</f>
        <v>0</v>
      </c>
      <c r="M50" s="276">
        <f>(SUMIF(Fonctionnement[Affectation matrice],$AB$3,Fonctionnement[Montant (€HT)])+SUMIF(Invest[Affectation matrice],$AB$3,Invest[Amortissement HT + intérêts]))*BN50</f>
        <v>0</v>
      </c>
      <c r="N50" s="276">
        <f>(SUMIF(Fonctionnement[Affectation matrice],$AB$3,Fonctionnement[Montant (€HT)])+SUMIF(Invest[Affectation matrice],$AB$3,Invest[Amortissement HT + intérêts]))*BO50</f>
        <v>0</v>
      </c>
      <c r="O50" s="276">
        <f>(SUMIF(Fonctionnement[Affectation matrice],$AB$3,Fonctionnement[Montant (€HT)])+SUMIF(Invest[Affectation matrice],$AB$3,Invest[Amortissement HT + intérêts]))*BP50</f>
        <v>0</v>
      </c>
      <c r="P50" s="276">
        <f>(SUMIF(Fonctionnement[Affectation matrice],$AB$3,Fonctionnement[Montant (€HT)])+SUMIF(Invest[Affectation matrice],$AB$3,Invest[Amortissement HT + intérêts]))*BQ50</f>
        <v>0</v>
      </c>
      <c r="Q50" s="276">
        <f>(SUMIF(Fonctionnement[Affectation matrice],$AB$3,Fonctionnement[Montant (€HT)])+SUMIF(Invest[Affectation matrice],$AB$3,Invest[Amortissement HT + intérêts]))*BR50</f>
        <v>0</v>
      </c>
      <c r="R50" s="276">
        <f>(SUMIF(Fonctionnement[Affectation matrice],$AB$3,Fonctionnement[Montant (€HT)])+SUMIF(Invest[Affectation matrice],$AB$3,Invest[Amortissement HT + intérêts]))*BS50</f>
        <v>0</v>
      </c>
      <c r="S50" s="276">
        <f>(SUMIF(Fonctionnement[Affectation matrice],$AB$3,Fonctionnement[Montant (€HT)])+SUMIF(Invest[Affectation matrice],$AB$3,Invest[Amortissement HT + intérêts]))*BT50</f>
        <v>0</v>
      </c>
      <c r="T50" s="276">
        <f>(SUMIF(Fonctionnement[Affectation matrice],$AB$3,Fonctionnement[Montant (€HT)])+SUMIF(Invest[Affectation matrice],$AB$3,Invest[Amortissement HT + intérêts]))*BU50</f>
        <v>0</v>
      </c>
      <c r="U50" s="276">
        <f>(SUMIF(Fonctionnement[Affectation matrice],$AB$3,Fonctionnement[Montant (€HT)])+SUMIF(Invest[Affectation matrice],$AB$3,Invest[Amortissement HT + intérêts]))*BV50</f>
        <v>0</v>
      </c>
      <c r="V50" s="276">
        <f>(SUMIF(Fonctionnement[Affectation matrice],$AB$3,Fonctionnement[Montant (€HT)])+SUMIF(Invest[Affectation matrice],$AB$3,Invest[Amortissement HT + intérêts]))*BW50</f>
        <v>0</v>
      </c>
      <c r="W50" s="276">
        <f>(SUMIF(Fonctionnement[Affectation matrice],$AB$3,Fonctionnement[Montant (€HT)])+SUMIF(Invest[Affectation matrice],$AB$3,Invest[Amortissement HT + intérêts]))*BX50</f>
        <v>0</v>
      </c>
      <c r="X50" s="276">
        <f>(SUMIF(Fonctionnement[Affectation matrice],$AB$3,Fonctionnement[Montant (€HT)])+SUMIF(Invest[Affectation matrice],$AB$3,Invest[Amortissement HT + intérêts]))*BY50</f>
        <v>0</v>
      </c>
      <c r="Y50" s="276">
        <f>(SUMIF(Fonctionnement[Affectation matrice],$AB$3,Fonctionnement[Montant (€HT)])+SUMIF(Invest[Affectation matrice],$AB$3,Invest[Amortissement HT + intérêts]))*BZ50</f>
        <v>0</v>
      </c>
      <c r="Z50" s="276">
        <f>(SUMIF(Fonctionnement[Affectation matrice],$AB$3,Fonctionnement[Montant (€HT)])+SUMIF(Invest[Affectation matrice],$AB$3,Invest[Amortissement HT + intérêts]))*CA50</f>
        <v>0</v>
      </c>
      <c r="AA50" s="199"/>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283">
        <f t="shared" si="4"/>
        <v>0</v>
      </c>
      <c r="BC50" s="61">
        <f t="shared" si="12"/>
        <v>0</v>
      </c>
      <c r="BD50" s="61">
        <f t="shared" si="12"/>
        <v>0</v>
      </c>
      <c r="BE50" s="61">
        <f t="shared" si="12"/>
        <v>0</v>
      </c>
      <c r="BF50" s="61">
        <f t="shared" si="12"/>
        <v>0</v>
      </c>
      <c r="BG50" s="61">
        <f t="shared" si="12"/>
        <v>0</v>
      </c>
      <c r="BH50" s="61">
        <f t="shared" si="12"/>
        <v>0</v>
      </c>
      <c r="BI50" s="61">
        <f t="shared" si="12"/>
        <v>0</v>
      </c>
      <c r="BJ50" s="61">
        <f t="shared" si="12"/>
        <v>0</v>
      </c>
      <c r="BK50" s="61">
        <f t="shared" si="12"/>
        <v>0</v>
      </c>
      <c r="BL50" s="61">
        <f t="shared" si="12"/>
        <v>0</v>
      </c>
      <c r="BM50" s="61">
        <f t="shared" si="12"/>
        <v>0</v>
      </c>
      <c r="BN50" s="61">
        <f t="shared" si="12"/>
        <v>0</v>
      </c>
      <c r="BO50" s="61">
        <f t="shared" si="12"/>
        <v>0</v>
      </c>
      <c r="BP50" s="61">
        <f t="shared" si="12"/>
        <v>0</v>
      </c>
      <c r="BQ50" s="61">
        <f t="shared" si="12"/>
        <v>0</v>
      </c>
      <c r="BR50" s="61">
        <f t="shared" si="12"/>
        <v>0</v>
      </c>
      <c r="BS50" s="61">
        <f t="shared" si="13"/>
        <v>0</v>
      </c>
      <c r="BT50" s="61">
        <f t="shared" si="13"/>
        <v>0</v>
      </c>
      <c r="BU50" s="61">
        <f t="shared" si="13"/>
        <v>0</v>
      </c>
      <c r="BV50" s="61">
        <f t="shared" si="13"/>
        <v>0</v>
      </c>
      <c r="BW50" s="61">
        <f t="shared" si="13"/>
        <v>0</v>
      </c>
      <c r="BX50" s="61">
        <f t="shared" si="13"/>
        <v>0</v>
      </c>
      <c r="BY50" s="61">
        <f t="shared" si="13"/>
        <v>0</v>
      </c>
      <c r="BZ50" s="61">
        <f t="shared" si="13"/>
        <v>0</v>
      </c>
      <c r="CA50" s="61">
        <f t="shared" si="13"/>
        <v>0</v>
      </c>
      <c r="CB50" s="61">
        <f t="shared" si="5"/>
        <v>0</v>
      </c>
      <c r="CD50" s="200">
        <f>(SUMIF(Fonctionnement[Affectation matrice],$AB$3,Fonctionnement[TVA acquittée])+SUMIF(Invest[Affectation matrice],$AB$3,Invest[TVA acquittée]))*BC50</f>
        <v>0</v>
      </c>
      <c r="CE50" s="200">
        <f>(SUMIF(Fonctionnement[Affectation matrice],$AB$3,Fonctionnement[TVA acquittée])+SUMIF(Invest[Affectation matrice],$AB$3,Invest[TVA acquittée]))*BD50</f>
        <v>0</v>
      </c>
      <c r="CF50" s="200">
        <f>(SUMIF(Fonctionnement[Affectation matrice],$AB$3,Fonctionnement[TVA acquittée])+SUMIF(Invest[Affectation matrice],$AB$3,Invest[TVA acquittée]))*BE50</f>
        <v>0</v>
      </c>
      <c r="CG50" s="200">
        <f>(SUMIF(Fonctionnement[Affectation matrice],$AB$3,Fonctionnement[TVA acquittée])+SUMIF(Invest[Affectation matrice],$AB$3,Invest[TVA acquittée]))*BF50</f>
        <v>0</v>
      </c>
      <c r="CH50" s="200">
        <f>(SUMIF(Fonctionnement[Affectation matrice],$AB$3,Fonctionnement[TVA acquittée])+SUMIF(Invest[Affectation matrice],$AB$3,Invest[TVA acquittée]))*BG50</f>
        <v>0</v>
      </c>
      <c r="CI50" s="200">
        <f>(SUMIF(Fonctionnement[Affectation matrice],$AB$3,Fonctionnement[TVA acquittée])+SUMIF(Invest[Affectation matrice],$AB$3,Invest[TVA acquittée]))*BH50</f>
        <v>0</v>
      </c>
      <c r="CJ50" s="200">
        <f>(SUMIF(Fonctionnement[Affectation matrice],$AB$3,Fonctionnement[TVA acquittée])+SUMIF(Invest[Affectation matrice],$AB$3,Invest[TVA acquittée]))*BI50</f>
        <v>0</v>
      </c>
      <c r="CK50" s="200">
        <f>(SUMIF(Fonctionnement[Affectation matrice],$AB$3,Fonctionnement[TVA acquittée])+SUMIF(Invest[Affectation matrice],$AB$3,Invest[TVA acquittée]))*BJ50</f>
        <v>0</v>
      </c>
      <c r="CL50" s="200">
        <f>(SUMIF(Fonctionnement[Affectation matrice],$AB$3,Fonctionnement[TVA acquittée])+SUMIF(Invest[Affectation matrice],$AB$3,Invest[TVA acquittée]))*BK50</f>
        <v>0</v>
      </c>
      <c r="CM50" s="200">
        <f>(SUMIF(Fonctionnement[Affectation matrice],$AB$3,Fonctionnement[TVA acquittée])+SUMIF(Invest[Affectation matrice],$AB$3,Invest[TVA acquittée]))*BL50</f>
        <v>0</v>
      </c>
      <c r="CN50" s="200">
        <f>(SUMIF(Fonctionnement[Affectation matrice],$AB$3,Fonctionnement[TVA acquittée])+SUMIF(Invest[Affectation matrice],$AB$3,Invest[TVA acquittée]))*BM50</f>
        <v>0</v>
      </c>
      <c r="CO50" s="200">
        <f>(SUMIF(Fonctionnement[Affectation matrice],$AB$3,Fonctionnement[TVA acquittée])+SUMIF(Invest[Affectation matrice],$AB$3,Invest[TVA acquittée]))*BN50</f>
        <v>0</v>
      </c>
      <c r="CP50" s="200">
        <f>(SUMIF(Fonctionnement[Affectation matrice],$AB$3,Fonctionnement[TVA acquittée])+SUMIF(Invest[Affectation matrice],$AB$3,Invest[TVA acquittée]))*BO50</f>
        <v>0</v>
      </c>
      <c r="CQ50" s="200">
        <f>(SUMIF(Fonctionnement[Affectation matrice],$AB$3,Fonctionnement[TVA acquittée])+SUMIF(Invest[Affectation matrice],$AB$3,Invest[TVA acquittée]))*BP50</f>
        <v>0</v>
      </c>
      <c r="CR50" s="200">
        <f>(SUMIF(Fonctionnement[Affectation matrice],$AB$3,Fonctionnement[TVA acquittée])+SUMIF(Invest[Affectation matrice],$AB$3,Invest[TVA acquittée]))*BQ50</f>
        <v>0</v>
      </c>
      <c r="CS50" s="200">
        <f>(SUMIF(Fonctionnement[Affectation matrice],$AB$3,Fonctionnement[TVA acquittée])+SUMIF(Invest[Affectation matrice],$AB$3,Invest[TVA acquittée]))*BR50</f>
        <v>0</v>
      </c>
      <c r="CT50" s="200">
        <f>(SUMIF(Fonctionnement[Affectation matrice],$AB$3,Fonctionnement[TVA acquittée])+SUMIF(Invest[Affectation matrice],$AB$3,Invest[TVA acquittée]))*BS50</f>
        <v>0</v>
      </c>
      <c r="CU50" s="200">
        <f>(SUMIF(Fonctionnement[Affectation matrice],$AB$3,Fonctionnement[TVA acquittée])+SUMIF(Invest[Affectation matrice],$AB$3,Invest[TVA acquittée]))*BT50</f>
        <v>0</v>
      </c>
      <c r="CV50" s="200">
        <f>(SUMIF(Fonctionnement[Affectation matrice],$AB$3,Fonctionnement[TVA acquittée])+SUMIF(Invest[Affectation matrice],$AB$3,Invest[TVA acquittée]))*BU50</f>
        <v>0</v>
      </c>
      <c r="CW50" s="200">
        <f>(SUMIF(Fonctionnement[Affectation matrice],$AB$3,Fonctionnement[TVA acquittée])+SUMIF(Invest[Affectation matrice],$AB$3,Invest[TVA acquittée]))*BV50</f>
        <v>0</v>
      </c>
      <c r="CX50" s="200">
        <f>(SUMIF(Fonctionnement[Affectation matrice],$AB$3,Fonctionnement[TVA acquittée])+SUMIF(Invest[Affectation matrice],$AB$3,Invest[TVA acquittée]))*BW50</f>
        <v>0</v>
      </c>
      <c r="CY50" s="200">
        <f>(SUMIF(Fonctionnement[Affectation matrice],$AB$3,Fonctionnement[TVA acquittée])+SUMIF(Invest[Affectation matrice],$AB$3,Invest[TVA acquittée]))*BX50</f>
        <v>0</v>
      </c>
      <c r="CZ50" s="200">
        <f>(SUMIF(Fonctionnement[Affectation matrice],$AB$3,Fonctionnement[TVA acquittée])+SUMIF(Invest[Affectation matrice],$AB$3,Invest[TVA acquittée]))*BY50</f>
        <v>0</v>
      </c>
      <c r="DA50" s="200">
        <f>(SUMIF(Fonctionnement[Affectation matrice],$AB$3,Fonctionnement[TVA acquittée])+SUMIF(Invest[Affectation matrice],$AB$3,Invest[TVA acquittée]))*BZ50</f>
        <v>0</v>
      </c>
      <c r="DB50" s="200">
        <f>(SUMIF(Fonctionnement[Affectation matrice],$AB$3,Fonctionnement[TVA acquittée])+SUMIF(Invest[Affectation matrice],$AB$3,Invest[TVA acquittée]))*CA50</f>
        <v>0</v>
      </c>
    </row>
    <row r="51" spans="1:107" ht="12.75" hidden="1" customHeight="1" x14ac:dyDescent="0.25">
      <c r="A51" s="42">
        <f>Matrice[[#This Row],[Ligne de la matrice]]</f>
        <v>0</v>
      </c>
      <c r="B51" s="276">
        <f>(SUMIF(Fonctionnement[Affectation matrice],$AB$3,Fonctionnement[Montant (€HT)])+SUMIF(Invest[Affectation matrice],$AB$3,Invest[Amortissement HT + intérêts]))*BC51</f>
        <v>0</v>
      </c>
      <c r="C51" s="276">
        <f>(SUMIF(Fonctionnement[Affectation matrice],$AB$3,Fonctionnement[Montant (€HT)])+SUMIF(Invest[Affectation matrice],$AB$3,Invest[Amortissement HT + intérêts]))*BD51</f>
        <v>0</v>
      </c>
      <c r="D51" s="276">
        <f>(SUMIF(Fonctionnement[Affectation matrice],$AB$3,Fonctionnement[Montant (€HT)])+SUMIF(Invest[Affectation matrice],$AB$3,Invest[Amortissement HT + intérêts]))*BE51</f>
        <v>0</v>
      </c>
      <c r="E51" s="276">
        <f>(SUMIF(Fonctionnement[Affectation matrice],$AB$3,Fonctionnement[Montant (€HT)])+SUMIF(Invest[Affectation matrice],$AB$3,Invest[Amortissement HT + intérêts]))*BF51</f>
        <v>0</v>
      </c>
      <c r="F51" s="276">
        <f>(SUMIF(Fonctionnement[Affectation matrice],$AB$3,Fonctionnement[Montant (€HT)])+SUMIF(Invest[Affectation matrice],$AB$3,Invest[Amortissement HT + intérêts]))*BG51</f>
        <v>0</v>
      </c>
      <c r="G51" s="276">
        <f>(SUMIF(Fonctionnement[Affectation matrice],$AB$3,Fonctionnement[Montant (€HT)])+SUMIF(Invest[Affectation matrice],$AB$3,Invest[Amortissement HT + intérêts]))*BH51</f>
        <v>0</v>
      </c>
      <c r="H51" s="276">
        <f>(SUMIF(Fonctionnement[Affectation matrice],$AB$3,Fonctionnement[Montant (€HT)])+SUMIF(Invest[Affectation matrice],$AB$3,Invest[Amortissement HT + intérêts]))*BI51</f>
        <v>0</v>
      </c>
      <c r="I51" s="276">
        <f>(SUMIF(Fonctionnement[Affectation matrice],$AB$3,Fonctionnement[Montant (€HT)])+SUMIF(Invest[Affectation matrice],$AB$3,Invest[Amortissement HT + intérêts]))*BJ51</f>
        <v>0</v>
      </c>
      <c r="J51" s="276">
        <f>(SUMIF(Fonctionnement[Affectation matrice],$AB$3,Fonctionnement[Montant (€HT)])+SUMIF(Invest[Affectation matrice],$AB$3,Invest[Amortissement HT + intérêts]))*BK51</f>
        <v>0</v>
      </c>
      <c r="K51" s="276">
        <f>(SUMIF(Fonctionnement[Affectation matrice],$AB$3,Fonctionnement[Montant (€HT)])+SUMIF(Invest[Affectation matrice],$AB$3,Invest[Amortissement HT + intérêts]))*BL51</f>
        <v>0</v>
      </c>
      <c r="L51" s="276">
        <f>(SUMIF(Fonctionnement[Affectation matrice],$AB$3,Fonctionnement[Montant (€HT)])+SUMIF(Invest[Affectation matrice],$AB$3,Invest[Amortissement HT + intérêts]))*BM51</f>
        <v>0</v>
      </c>
      <c r="M51" s="276">
        <f>(SUMIF(Fonctionnement[Affectation matrice],$AB$3,Fonctionnement[Montant (€HT)])+SUMIF(Invest[Affectation matrice],$AB$3,Invest[Amortissement HT + intérêts]))*BN51</f>
        <v>0</v>
      </c>
      <c r="N51" s="276">
        <f>(SUMIF(Fonctionnement[Affectation matrice],$AB$3,Fonctionnement[Montant (€HT)])+SUMIF(Invest[Affectation matrice],$AB$3,Invest[Amortissement HT + intérêts]))*BO51</f>
        <v>0</v>
      </c>
      <c r="O51" s="276">
        <f>(SUMIF(Fonctionnement[Affectation matrice],$AB$3,Fonctionnement[Montant (€HT)])+SUMIF(Invest[Affectation matrice],$AB$3,Invest[Amortissement HT + intérêts]))*BP51</f>
        <v>0</v>
      </c>
      <c r="P51" s="276">
        <f>(SUMIF(Fonctionnement[Affectation matrice],$AB$3,Fonctionnement[Montant (€HT)])+SUMIF(Invest[Affectation matrice],$AB$3,Invest[Amortissement HT + intérêts]))*BQ51</f>
        <v>0</v>
      </c>
      <c r="Q51" s="276">
        <f>(SUMIF(Fonctionnement[Affectation matrice],$AB$3,Fonctionnement[Montant (€HT)])+SUMIF(Invest[Affectation matrice],$AB$3,Invest[Amortissement HT + intérêts]))*BR51</f>
        <v>0</v>
      </c>
      <c r="R51" s="276">
        <f>(SUMIF(Fonctionnement[Affectation matrice],$AB$3,Fonctionnement[Montant (€HT)])+SUMIF(Invest[Affectation matrice],$AB$3,Invest[Amortissement HT + intérêts]))*BS51</f>
        <v>0</v>
      </c>
      <c r="S51" s="276">
        <f>(SUMIF(Fonctionnement[Affectation matrice],$AB$3,Fonctionnement[Montant (€HT)])+SUMIF(Invest[Affectation matrice],$AB$3,Invest[Amortissement HT + intérêts]))*BT51</f>
        <v>0</v>
      </c>
      <c r="T51" s="276">
        <f>(SUMIF(Fonctionnement[Affectation matrice],$AB$3,Fonctionnement[Montant (€HT)])+SUMIF(Invest[Affectation matrice],$AB$3,Invest[Amortissement HT + intérêts]))*BU51</f>
        <v>0</v>
      </c>
      <c r="U51" s="276">
        <f>(SUMIF(Fonctionnement[Affectation matrice],$AB$3,Fonctionnement[Montant (€HT)])+SUMIF(Invest[Affectation matrice],$AB$3,Invest[Amortissement HT + intérêts]))*BV51</f>
        <v>0</v>
      </c>
      <c r="V51" s="276">
        <f>(SUMIF(Fonctionnement[Affectation matrice],$AB$3,Fonctionnement[Montant (€HT)])+SUMIF(Invest[Affectation matrice],$AB$3,Invest[Amortissement HT + intérêts]))*BW51</f>
        <v>0</v>
      </c>
      <c r="W51" s="276">
        <f>(SUMIF(Fonctionnement[Affectation matrice],$AB$3,Fonctionnement[Montant (€HT)])+SUMIF(Invest[Affectation matrice],$AB$3,Invest[Amortissement HT + intérêts]))*BX51</f>
        <v>0</v>
      </c>
      <c r="X51" s="276">
        <f>(SUMIF(Fonctionnement[Affectation matrice],$AB$3,Fonctionnement[Montant (€HT)])+SUMIF(Invest[Affectation matrice],$AB$3,Invest[Amortissement HT + intérêts]))*BY51</f>
        <v>0</v>
      </c>
      <c r="Y51" s="276">
        <f>(SUMIF(Fonctionnement[Affectation matrice],$AB$3,Fonctionnement[Montant (€HT)])+SUMIF(Invest[Affectation matrice],$AB$3,Invest[Amortissement HT + intérêts]))*BZ51</f>
        <v>0</v>
      </c>
      <c r="Z51" s="276">
        <f>(SUMIF(Fonctionnement[Affectation matrice],$AB$3,Fonctionnement[Montant (€HT)])+SUMIF(Invest[Affectation matrice],$AB$3,Invest[Amortissement HT + intérêts]))*CA51</f>
        <v>0</v>
      </c>
      <c r="AA51" s="199"/>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283">
        <f t="shared" si="4"/>
        <v>0</v>
      </c>
      <c r="BC51" s="61">
        <f t="shared" si="12"/>
        <v>0</v>
      </c>
      <c r="BD51" s="61">
        <f t="shared" si="12"/>
        <v>0</v>
      </c>
      <c r="BE51" s="61">
        <f t="shared" si="12"/>
        <v>0</v>
      </c>
      <c r="BF51" s="61">
        <f t="shared" si="12"/>
        <v>0</v>
      </c>
      <c r="BG51" s="61">
        <f t="shared" si="12"/>
        <v>0</v>
      </c>
      <c r="BH51" s="61">
        <f t="shared" si="12"/>
        <v>0</v>
      </c>
      <c r="BI51" s="61">
        <f t="shared" si="12"/>
        <v>0</v>
      </c>
      <c r="BJ51" s="61">
        <f t="shared" si="12"/>
        <v>0</v>
      </c>
      <c r="BK51" s="61">
        <f t="shared" si="12"/>
        <v>0</v>
      </c>
      <c r="BL51" s="61">
        <f t="shared" si="12"/>
        <v>0</v>
      </c>
      <c r="BM51" s="61">
        <f t="shared" si="12"/>
        <v>0</v>
      </c>
      <c r="BN51" s="61">
        <f t="shared" si="12"/>
        <v>0</v>
      </c>
      <c r="BO51" s="61">
        <f t="shared" si="12"/>
        <v>0</v>
      </c>
      <c r="BP51" s="61">
        <f t="shared" si="12"/>
        <v>0</v>
      </c>
      <c r="BQ51" s="61">
        <f t="shared" si="12"/>
        <v>0</v>
      </c>
      <c r="BR51" s="61">
        <f t="shared" si="12"/>
        <v>0</v>
      </c>
      <c r="BS51" s="61">
        <f t="shared" si="13"/>
        <v>0</v>
      </c>
      <c r="BT51" s="61">
        <f t="shared" si="13"/>
        <v>0</v>
      </c>
      <c r="BU51" s="61">
        <f t="shared" si="13"/>
        <v>0</v>
      </c>
      <c r="BV51" s="61">
        <f t="shared" si="13"/>
        <v>0</v>
      </c>
      <c r="BW51" s="61">
        <f t="shared" si="13"/>
        <v>0</v>
      </c>
      <c r="BX51" s="61">
        <f t="shared" si="13"/>
        <v>0</v>
      </c>
      <c r="BY51" s="61">
        <f t="shared" si="13"/>
        <v>0</v>
      </c>
      <c r="BZ51" s="61">
        <f t="shared" si="13"/>
        <v>0</v>
      </c>
      <c r="CA51" s="61">
        <f t="shared" si="13"/>
        <v>0</v>
      </c>
      <c r="CB51" s="61">
        <f t="shared" si="5"/>
        <v>0</v>
      </c>
      <c r="CD51" s="200">
        <f>(SUMIF(Fonctionnement[Affectation matrice],$AB$3,Fonctionnement[TVA acquittée])+SUMIF(Invest[Affectation matrice],$AB$3,Invest[TVA acquittée]))*BC51</f>
        <v>0</v>
      </c>
      <c r="CE51" s="200">
        <f>(SUMIF(Fonctionnement[Affectation matrice],$AB$3,Fonctionnement[TVA acquittée])+SUMIF(Invest[Affectation matrice],$AB$3,Invest[TVA acquittée]))*BD51</f>
        <v>0</v>
      </c>
      <c r="CF51" s="200">
        <f>(SUMIF(Fonctionnement[Affectation matrice],$AB$3,Fonctionnement[TVA acquittée])+SUMIF(Invest[Affectation matrice],$AB$3,Invest[TVA acquittée]))*BE51</f>
        <v>0</v>
      </c>
      <c r="CG51" s="200">
        <f>(SUMIF(Fonctionnement[Affectation matrice],$AB$3,Fonctionnement[TVA acquittée])+SUMIF(Invest[Affectation matrice],$AB$3,Invest[TVA acquittée]))*BF51</f>
        <v>0</v>
      </c>
      <c r="CH51" s="200">
        <f>(SUMIF(Fonctionnement[Affectation matrice],$AB$3,Fonctionnement[TVA acquittée])+SUMIF(Invest[Affectation matrice],$AB$3,Invest[TVA acquittée]))*BG51</f>
        <v>0</v>
      </c>
      <c r="CI51" s="200">
        <f>(SUMIF(Fonctionnement[Affectation matrice],$AB$3,Fonctionnement[TVA acquittée])+SUMIF(Invest[Affectation matrice],$AB$3,Invest[TVA acquittée]))*BH51</f>
        <v>0</v>
      </c>
      <c r="CJ51" s="200">
        <f>(SUMIF(Fonctionnement[Affectation matrice],$AB$3,Fonctionnement[TVA acquittée])+SUMIF(Invest[Affectation matrice],$AB$3,Invest[TVA acquittée]))*BI51</f>
        <v>0</v>
      </c>
      <c r="CK51" s="200">
        <f>(SUMIF(Fonctionnement[Affectation matrice],$AB$3,Fonctionnement[TVA acquittée])+SUMIF(Invest[Affectation matrice],$AB$3,Invest[TVA acquittée]))*BJ51</f>
        <v>0</v>
      </c>
      <c r="CL51" s="200">
        <f>(SUMIF(Fonctionnement[Affectation matrice],$AB$3,Fonctionnement[TVA acquittée])+SUMIF(Invest[Affectation matrice],$AB$3,Invest[TVA acquittée]))*BK51</f>
        <v>0</v>
      </c>
      <c r="CM51" s="200">
        <f>(SUMIF(Fonctionnement[Affectation matrice],$AB$3,Fonctionnement[TVA acquittée])+SUMIF(Invest[Affectation matrice],$AB$3,Invest[TVA acquittée]))*BL51</f>
        <v>0</v>
      </c>
      <c r="CN51" s="200">
        <f>(SUMIF(Fonctionnement[Affectation matrice],$AB$3,Fonctionnement[TVA acquittée])+SUMIF(Invest[Affectation matrice],$AB$3,Invest[TVA acquittée]))*BM51</f>
        <v>0</v>
      </c>
      <c r="CO51" s="200">
        <f>(SUMIF(Fonctionnement[Affectation matrice],$AB$3,Fonctionnement[TVA acquittée])+SUMIF(Invest[Affectation matrice],$AB$3,Invest[TVA acquittée]))*BN51</f>
        <v>0</v>
      </c>
      <c r="CP51" s="200">
        <f>(SUMIF(Fonctionnement[Affectation matrice],$AB$3,Fonctionnement[TVA acquittée])+SUMIF(Invest[Affectation matrice],$AB$3,Invest[TVA acquittée]))*BO51</f>
        <v>0</v>
      </c>
      <c r="CQ51" s="200">
        <f>(SUMIF(Fonctionnement[Affectation matrice],$AB$3,Fonctionnement[TVA acquittée])+SUMIF(Invest[Affectation matrice],$AB$3,Invest[TVA acquittée]))*BP51</f>
        <v>0</v>
      </c>
      <c r="CR51" s="200">
        <f>(SUMIF(Fonctionnement[Affectation matrice],$AB$3,Fonctionnement[TVA acquittée])+SUMIF(Invest[Affectation matrice],$AB$3,Invest[TVA acquittée]))*BQ51</f>
        <v>0</v>
      </c>
      <c r="CS51" s="200">
        <f>(SUMIF(Fonctionnement[Affectation matrice],$AB$3,Fonctionnement[TVA acquittée])+SUMIF(Invest[Affectation matrice],$AB$3,Invest[TVA acquittée]))*BR51</f>
        <v>0</v>
      </c>
      <c r="CT51" s="200">
        <f>(SUMIF(Fonctionnement[Affectation matrice],$AB$3,Fonctionnement[TVA acquittée])+SUMIF(Invest[Affectation matrice],$AB$3,Invest[TVA acquittée]))*BS51</f>
        <v>0</v>
      </c>
      <c r="CU51" s="200">
        <f>(SUMIF(Fonctionnement[Affectation matrice],$AB$3,Fonctionnement[TVA acquittée])+SUMIF(Invest[Affectation matrice],$AB$3,Invest[TVA acquittée]))*BT51</f>
        <v>0</v>
      </c>
      <c r="CV51" s="200">
        <f>(SUMIF(Fonctionnement[Affectation matrice],$AB$3,Fonctionnement[TVA acquittée])+SUMIF(Invest[Affectation matrice],$AB$3,Invest[TVA acquittée]))*BU51</f>
        <v>0</v>
      </c>
      <c r="CW51" s="200">
        <f>(SUMIF(Fonctionnement[Affectation matrice],$AB$3,Fonctionnement[TVA acquittée])+SUMIF(Invest[Affectation matrice],$AB$3,Invest[TVA acquittée]))*BV51</f>
        <v>0</v>
      </c>
      <c r="CX51" s="200">
        <f>(SUMIF(Fonctionnement[Affectation matrice],$AB$3,Fonctionnement[TVA acquittée])+SUMIF(Invest[Affectation matrice],$AB$3,Invest[TVA acquittée]))*BW51</f>
        <v>0</v>
      </c>
      <c r="CY51" s="200">
        <f>(SUMIF(Fonctionnement[Affectation matrice],$AB$3,Fonctionnement[TVA acquittée])+SUMIF(Invest[Affectation matrice],$AB$3,Invest[TVA acquittée]))*BX51</f>
        <v>0</v>
      </c>
      <c r="CZ51" s="200">
        <f>(SUMIF(Fonctionnement[Affectation matrice],$AB$3,Fonctionnement[TVA acquittée])+SUMIF(Invest[Affectation matrice],$AB$3,Invest[TVA acquittée]))*BY51</f>
        <v>0</v>
      </c>
      <c r="DA51" s="200">
        <f>(SUMIF(Fonctionnement[Affectation matrice],$AB$3,Fonctionnement[TVA acquittée])+SUMIF(Invest[Affectation matrice],$AB$3,Invest[TVA acquittée]))*BZ51</f>
        <v>0</v>
      </c>
      <c r="DB51" s="200">
        <f>(SUMIF(Fonctionnement[Affectation matrice],$AB$3,Fonctionnement[TVA acquittée])+SUMIF(Invest[Affectation matrice],$AB$3,Invest[TVA acquittée]))*CA51</f>
        <v>0</v>
      </c>
    </row>
    <row r="52" spans="1:107" hidden="1" x14ac:dyDescent="0.25">
      <c r="A52" s="42">
        <f>Matrice[[#This Row],[Ligne de la matrice]]</f>
        <v>0</v>
      </c>
      <c r="B52" s="276">
        <f>(SUMIF(Fonctionnement[Affectation matrice],$AB$3,Fonctionnement[Montant (€HT)])+SUMIF(Invest[Affectation matrice],$AB$3,Invest[Amortissement HT + intérêts]))*BC52</f>
        <v>0</v>
      </c>
      <c r="C52" s="276">
        <f>(SUMIF(Fonctionnement[Affectation matrice],$AB$3,Fonctionnement[Montant (€HT)])+SUMIF(Invest[Affectation matrice],$AB$3,Invest[Amortissement HT + intérêts]))*BD52</f>
        <v>0</v>
      </c>
      <c r="D52" s="276">
        <f>(SUMIF(Fonctionnement[Affectation matrice],$AB$3,Fonctionnement[Montant (€HT)])+SUMIF(Invest[Affectation matrice],$AB$3,Invest[Amortissement HT + intérêts]))*BE52</f>
        <v>0</v>
      </c>
      <c r="E52" s="276">
        <f>(SUMIF(Fonctionnement[Affectation matrice],$AB$3,Fonctionnement[Montant (€HT)])+SUMIF(Invest[Affectation matrice],$AB$3,Invest[Amortissement HT + intérêts]))*BF52</f>
        <v>0</v>
      </c>
      <c r="F52" s="276">
        <f>(SUMIF(Fonctionnement[Affectation matrice],$AB$3,Fonctionnement[Montant (€HT)])+SUMIF(Invest[Affectation matrice],$AB$3,Invest[Amortissement HT + intérêts]))*BG52</f>
        <v>0</v>
      </c>
      <c r="G52" s="276">
        <f>(SUMIF(Fonctionnement[Affectation matrice],$AB$3,Fonctionnement[Montant (€HT)])+SUMIF(Invest[Affectation matrice],$AB$3,Invest[Amortissement HT + intérêts]))*BH52</f>
        <v>0</v>
      </c>
      <c r="H52" s="276">
        <f>(SUMIF(Fonctionnement[Affectation matrice],$AB$3,Fonctionnement[Montant (€HT)])+SUMIF(Invest[Affectation matrice],$AB$3,Invest[Amortissement HT + intérêts]))*BI52</f>
        <v>0</v>
      </c>
      <c r="I52" s="276">
        <f>(SUMIF(Fonctionnement[Affectation matrice],$AB$3,Fonctionnement[Montant (€HT)])+SUMIF(Invest[Affectation matrice],$AB$3,Invest[Amortissement HT + intérêts]))*BJ52</f>
        <v>0</v>
      </c>
      <c r="J52" s="276">
        <f>(SUMIF(Fonctionnement[Affectation matrice],$AB$3,Fonctionnement[Montant (€HT)])+SUMIF(Invest[Affectation matrice],$AB$3,Invest[Amortissement HT + intérêts]))*BK52</f>
        <v>0</v>
      </c>
      <c r="K52" s="276">
        <f>(SUMIF(Fonctionnement[Affectation matrice],$AB$3,Fonctionnement[Montant (€HT)])+SUMIF(Invest[Affectation matrice],$AB$3,Invest[Amortissement HT + intérêts]))*BL52</f>
        <v>0</v>
      </c>
      <c r="L52" s="276">
        <f>(SUMIF(Fonctionnement[Affectation matrice],$AB$3,Fonctionnement[Montant (€HT)])+SUMIF(Invest[Affectation matrice],$AB$3,Invest[Amortissement HT + intérêts]))*BM52</f>
        <v>0</v>
      </c>
      <c r="M52" s="276">
        <f>(SUMIF(Fonctionnement[Affectation matrice],$AB$3,Fonctionnement[Montant (€HT)])+SUMIF(Invest[Affectation matrice],$AB$3,Invest[Amortissement HT + intérêts]))*BN52</f>
        <v>0</v>
      </c>
      <c r="N52" s="276">
        <f>(SUMIF(Fonctionnement[Affectation matrice],$AB$3,Fonctionnement[Montant (€HT)])+SUMIF(Invest[Affectation matrice],$AB$3,Invest[Amortissement HT + intérêts]))*BO52</f>
        <v>0</v>
      </c>
      <c r="O52" s="276">
        <f>(SUMIF(Fonctionnement[Affectation matrice],$AB$3,Fonctionnement[Montant (€HT)])+SUMIF(Invest[Affectation matrice],$AB$3,Invest[Amortissement HT + intérêts]))*BP52</f>
        <v>0</v>
      </c>
      <c r="P52" s="276">
        <f>(SUMIF(Fonctionnement[Affectation matrice],$AB$3,Fonctionnement[Montant (€HT)])+SUMIF(Invest[Affectation matrice],$AB$3,Invest[Amortissement HT + intérêts]))*BQ52</f>
        <v>0</v>
      </c>
      <c r="Q52" s="276">
        <f>(SUMIF(Fonctionnement[Affectation matrice],$AB$3,Fonctionnement[Montant (€HT)])+SUMIF(Invest[Affectation matrice],$AB$3,Invest[Amortissement HT + intérêts]))*BR52</f>
        <v>0</v>
      </c>
      <c r="R52" s="276">
        <f>(SUMIF(Fonctionnement[Affectation matrice],$AB$3,Fonctionnement[Montant (€HT)])+SUMIF(Invest[Affectation matrice],$AB$3,Invest[Amortissement HT + intérêts]))*BS52</f>
        <v>0</v>
      </c>
      <c r="S52" s="276">
        <f>(SUMIF(Fonctionnement[Affectation matrice],$AB$3,Fonctionnement[Montant (€HT)])+SUMIF(Invest[Affectation matrice],$AB$3,Invest[Amortissement HT + intérêts]))*BT52</f>
        <v>0</v>
      </c>
      <c r="T52" s="276">
        <f>(SUMIF(Fonctionnement[Affectation matrice],$AB$3,Fonctionnement[Montant (€HT)])+SUMIF(Invest[Affectation matrice],$AB$3,Invest[Amortissement HT + intérêts]))*BU52</f>
        <v>0</v>
      </c>
      <c r="U52" s="276">
        <f>(SUMIF(Fonctionnement[Affectation matrice],$AB$3,Fonctionnement[Montant (€HT)])+SUMIF(Invest[Affectation matrice],$AB$3,Invest[Amortissement HT + intérêts]))*BV52</f>
        <v>0</v>
      </c>
      <c r="V52" s="276">
        <f>(SUMIF(Fonctionnement[Affectation matrice],$AB$3,Fonctionnement[Montant (€HT)])+SUMIF(Invest[Affectation matrice],$AB$3,Invest[Amortissement HT + intérêts]))*BW52</f>
        <v>0</v>
      </c>
      <c r="W52" s="276">
        <f>(SUMIF(Fonctionnement[Affectation matrice],$AB$3,Fonctionnement[Montant (€HT)])+SUMIF(Invest[Affectation matrice],$AB$3,Invest[Amortissement HT + intérêts]))*BX52</f>
        <v>0</v>
      </c>
      <c r="X52" s="276">
        <f>(SUMIF(Fonctionnement[Affectation matrice],$AB$3,Fonctionnement[Montant (€HT)])+SUMIF(Invest[Affectation matrice],$AB$3,Invest[Amortissement HT + intérêts]))*BY52</f>
        <v>0</v>
      </c>
      <c r="Y52" s="276">
        <f>(SUMIF(Fonctionnement[Affectation matrice],$AB$3,Fonctionnement[Montant (€HT)])+SUMIF(Invest[Affectation matrice],$AB$3,Invest[Amortissement HT + intérêts]))*BZ52</f>
        <v>0</v>
      </c>
      <c r="Z52" s="276">
        <f>(SUMIF(Fonctionnement[Affectation matrice],$AB$3,Fonctionnement[Montant (€HT)])+SUMIF(Invest[Affectation matrice],$AB$3,Invest[Amortissement HT + intérêts]))*CA52</f>
        <v>0</v>
      </c>
      <c r="AA52" s="199"/>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283">
        <f t="shared" si="4"/>
        <v>0</v>
      </c>
      <c r="BC52" s="61">
        <f t="shared" si="12"/>
        <v>0</v>
      </c>
      <c r="BD52" s="61">
        <f t="shared" si="12"/>
        <v>0</v>
      </c>
      <c r="BE52" s="61">
        <f t="shared" si="12"/>
        <v>0</v>
      </c>
      <c r="BF52" s="61">
        <f t="shared" si="12"/>
        <v>0</v>
      </c>
      <c r="BG52" s="61">
        <f t="shared" si="12"/>
        <v>0</v>
      </c>
      <c r="BH52" s="61">
        <f t="shared" si="12"/>
        <v>0</v>
      </c>
      <c r="BI52" s="61">
        <f t="shared" si="12"/>
        <v>0</v>
      </c>
      <c r="BJ52" s="61">
        <f t="shared" si="12"/>
        <v>0</v>
      </c>
      <c r="BK52" s="61">
        <f t="shared" si="12"/>
        <v>0</v>
      </c>
      <c r="BL52" s="61">
        <f t="shared" si="12"/>
        <v>0</v>
      </c>
      <c r="BM52" s="61">
        <f t="shared" si="12"/>
        <v>0</v>
      </c>
      <c r="BN52" s="61">
        <f t="shared" si="12"/>
        <v>0</v>
      </c>
      <c r="BO52" s="61">
        <f t="shared" si="12"/>
        <v>0</v>
      </c>
      <c r="BP52" s="61">
        <f t="shared" si="12"/>
        <v>0</v>
      </c>
      <c r="BQ52" s="61">
        <f t="shared" si="12"/>
        <v>0</v>
      </c>
      <c r="BR52" s="61">
        <f t="shared" si="12"/>
        <v>0</v>
      </c>
      <c r="BS52" s="61">
        <f t="shared" si="13"/>
        <v>0</v>
      </c>
      <c r="BT52" s="61">
        <f t="shared" si="13"/>
        <v>0</v>
      </c>
      <c r="BU52" s="61">
        <f t="shared" si="13"/>
        <v>0</v>
      </c>
      <c r="BV52" s="61">
        <f t="shared" si="13"/>
        <v>0</v>
      </c>
      <c r="BW52" s="61">
        <f t="shared" si="13"/>
        <v>0</v>
      </c>
      <c r="BX52" s="61">
        <f t="shared" si="13"/>
        <v>0</v>
      </c>
      <c r="BY52" s="61">
        <f t="shared" si="13"/>
        <v>0</v>
      </c>
      <c r="BZ52" s="61">
        <f t="shared" si="13"/>
        <v>0</v>
      </c>
      <c r="CA52" s="61">
        <f t="shared" si="13"/>
        <v>0</v>
      </c>
      <c r="CB52" s="61">
        <f t="shared" si="5"/>
        <v>0</v>
      </c>
      <c r="CD52" s="200">
        <f>(SUMIF(Fonctionnement[Affectation matrice],$AB$3,Fonctionnement[TVA acquittée])+SUMIF(Invest[Affectation matrice],$AB$3,Invest[TVA acquittée]))*BC52</f>
        <v>0</v>
      </c>
      <c r="CE52" s="200">
        <f>(SUMIF(Fonctionnement[Affectation matrice],$AB$3,Fonctionnement[TVA acquittée])+SUMIF(Invest[Affectation matrice],$AB$3,Invest[TVA acquittée]))*BD52</f>
        <v>0</v>
      </c>
      <c r="CF52" s="200">
        <f>(SUMIF(Fonctionnement[Affectation matrice],$AB$3,Fonctionnement[TVA acquittée])+SUMIF(Invest[Affectation matrice],$AB$3,Invest[TVA acquittée]))*BE52</f>
        <v>0</v>
      </c>
      <c r="CG52" s="200">
        <f>(SUMIF(Fonctionnement[Affectation matrice],$AB$3,Fonctionnement[TVA acquittée])+SUMIF(Invest[Affectation matrice],$AB$3,Invest[TVA acquittée]))*BF52</f>
        <v>0</v>
      </c>
      <c r="CH52" s="200">
        <f>(SUMIF(Fonctionnement[Affectation matrice],$AB$3,Fonctionnement[TVA acquittée])+SUMIF(Invest[Affectation matrice],$AB$3,Invest[TVA acquittée]))*BG52</f>
        <v>0</v>
      </c>
      <c r="CI52" s="200">
        <f>(SUMIF(Fonctionnement[Affectation matrice],$AB$3,Fonctionnement[TVA acquittée])+SUMIF(Invest[Affectation matrice],$AB$3,Invest[TVA acquittée]))*BH52</f>
        <v>0</v>
      </c>
      <c r="CJ52" s="200">
        <f>(SUMIF(Fonctionnement[Affectation matrice],$AB$3,Fonctionnement[TVA acquittée])+SUMIF(Invest[Affectation matrice],$AB$3,Invest[TVA acquittée]))*BI52</f>
        <v>0</v>
      </c>
      <c r="CK52" s="200">
        <f>(SUMIF(Fonctionnement[Affectation matrice],$AB$3,Fonctionnement[TVA acquittée])+SUMIF(Invest[Affectation matrice],$AB$3,Invest[TVA acquittée]))*BJ52</f>
        <v>0</v>
      </c>
      <c r="CL52" s="200">
        <f>(SUMIF(Fonctionnement[Affectation matrice],$AB$3,Fonctionnement[TVA acquittée])+SUMIF(Invest[Affectation matrice],$AB$3,Invest[TVA acquittée]))*BK52</f>
        <v>0</v>
      </c>
      <c r="CM52" s="200">
        <f>(SUMIF(Fonctionnement[Affectation matrice],$AB$3,Fonctionnement[TVA acquittée])+SUMIF(Invest[Affectation matrice],$AB$3,Invest[TVA acquittée]))*BL52</f>
        <v>0</v>
      </c>
      <c r="CN52" s="200">
        <f>(SUMIF(Fonctionnement[Affectation matrice],$AB$3,Fonctionnement[TVA acquittée])+SUMIF(Invest[Affectation matrice],$AB$3,Invest[TVA acquittée]))*BM52</f>
        <v>0</v>
      </c>
      <c r="CO52" s="200">
        <f>(SUMIF(Fonctionnement[Affectation matrice],$AB$3,Fonctionnement[TVA acquittée])+SUMIF(Invest[Affectation matrice],$AB$3,Invest[TVA acquittée]))*BN52</f>
        <v>0</v>
      </c>
      <c r="CP52" s="200">
        <f>(SUMIF(Fonctionnement[Affectation matrice],$AB$3,Fonctionnement[TVA acquittée])+SUMIF(Invest[Affectation matrice],$AB$3,Invest[TVA acquittée]))*BO52</f>
        <v>0</v>
      </c>
      <c r="CQ52" s="200">
        <f>(SUMIF(Fonctionnement[Affectation matrice],$AB$3,Fonctionnement[TVA acquittée])+SUMIF(Invest[Affectation matrice],$AB$3,Invest[TVA acquittée]))*BP52</f>
        <v>0</v>
      </c>
      <c r="CR52" s="200">
        <f>(SUMIF(Fonctionnement[Affectation matrice],$AB$3,Fonctionnement[TVA acquittée])+SUMIF(Invest[Affectation matrice],$AB$3,Invest[TVA acquittée]))*BQ52</f>
        <v>0</v>
      </c>
      <c r="CS52" s="200">
        <f>(SUMIF(Fonctionnement[Affectation matrice],$AB$3,Fonctionnement[TVA acquittée])+SUMIF(Invest[Affectation matrice],$AB$3,Invest[TVA acquittée]))*BR52</f>
        <v>0</v>
      </c>
      <c r="CT52" s="200">
        <f>(SUMIF(Fonctionnement[Affectation matrice],$AB$3,Fonctionnement[TVA acquittée])+SUMIF(Invest[Affectation matrice],$AB$3,Invest[TVA acquittée]))*BS52</f>
        <v>0</v>
      </c>
      <c r="CU52" s="200">
        <f>(SUMIF(Fonctionnement[Affectation matrice],$AB$3,Fonctionnement[TVA acquittée])+SUMIF(Invest[Affectation matrice],$AB$3,Invest[TVA acquittée]))*BT52</f>
        <v>0</v>
      </c>
      <c r="CV52" s="200">
        <f>(SUMIF(Fonctionnement[Affectation matrice],$AB$3,Fonctionnement[TVA acquittée])+SUMIF(Invest[Affectation matrice],$AB$3,Invest[TVA acquittée]))*BU52</f>
        <v>0</v>
      </c>
      <c r="CW52" s="200">
        <f>(SUMIF(Fonctionnement[Affectation matrice],$AB$3,Fonctionnement[TVA acquittée])+SUMIF(Invest[Affectation matrice],$AB$3,Invest[TVA acquittée]))*BV52</f>
        <v>0</v>
      </c>
      <c r="CX52" s="200">
        <f>(SUMIF(Fonctionnement[Affectation matrice],$AB$3,Fonctionnement[TVA acquittée])+SUMIF(Invest[Affectation matrice],$AB$3,Invest[TVA acquittée]))*BW52</f>
        <v>0</v>
      </c>
      <c r="CY52" s="200">
        <f>(SUMIF(Fonctionnement[Affectation matrice],$AB$3,Fonctionnement[TVA acquittée])+SUMIF(Invest[Affectation matrice],$AB$3,Invest[TVA acquittée]))*BX52</f>
        <v>0</v>
      </c>
      <c r="CZ52" s="200">
        <f>(SUMIF(Fonctionnement[Affectation matrice],$AB$3,Fonctionnement[TVA acquittée])+SUMIF(Invest[Affectation matrice],$AB$3,Invest[TVA acquittée]))*BY52</f>
        <v>0</v>
      </c>
      <c r="DA52" s="200">
        <f>(SUMIF(Fonctionnement[Affectation matrice],$AB$3,Fonctionnement[TVA acquittée])+SUMIF(Invest[Affectation matrice],$AB$3,Invest[TVA acquittée]))*BZ52</f>
        <v>0</v>
      </c>
      <c r="DB52" s="200">
        <f>(SUMIF(Fonctionnement[Affectation matrice],$AB$3,Fonctionnement[TVA acquittée])+SUMIF(Invest[Affectation matrice],$AB$3,Invest[TVA acquittée]))*CA52</f>
        <v>0</v>
      </c>
    </row>
    <row r="53" spans="1:107" x14ac:dyDescent="0.25">
      <c r="A53" s="206" t="s">
        <v>1101</v>
      </c>
      <c r="B53" s="279">
        <f>SUM(B5:B52)</f>
        <v>0</v>
      </c>
      <c r="C53" s="279">
        <f t="shared" ref="C53:Z53" si="14">SUM(C5:C52)</f>
        <v>0</v>
      </c>
      <c r="D53" s="279">
        <f t="shared" si="14"/>
        <v>0</v>
      </c>
      <c r="E53" s="279">
        <f t="shared" si="14"/>
        <v>0</v>
      </c>
      <c r="F53" s="279">
        <f t="shared" si="14"/>
        <v>0</v>
      </c>
      <c r="G53" s="279">
        <f t="shared" si="14"/>
        <v>0</v>
      </c>
      <c r="H53" s="279">
        <f t="shared" si="14"/>
        <v>0</v>
      </c>
      <c r="I53" s="279">
        <f t="shared" si="14"/>
        <v>0</v>
      </c>
      <c r="J53" s="279">
        <f t="shared" si="14"/>
        <v>0</v>
      </c>
      <c r="K53" s="279">
        <f t="shared" si="14"/>
        <v>0</v>
      </c>
      <c r="L53" s="279">
        <f t="shared" si="14"/>
        <v>0</v>
      </c>
      <c r="M53" s="279">
        <f t="shared" si="14"/>
        <v>0</v>
      </c>
      <c r="N53" s="279">
        <f t="shared" si="14"/>
        <v>0</v>
      </c>
      <c r="O53" s="279">
        <f t="shared" si="14"/>
        <v>0</v>
      </c>
      <c r="P53" s="279">
        <f t="shared" si="14"/>
        <v>0</v>
      </c>
      <c r="Q53" s="279">
        <f t="shared" si="14"/>
        <v>0</v>
      </c>
      <c r="R53" s="279">
        <f t="shared" si="14"/>
        <v>0</v>
      </c>
      <c r="S53" s="279">
        <f t="shared" si="14"/>
        <v>0</v>
      </c>
      <c r="T53" s="279">
        <f t="shared" si="14"/>
        <v>0</v>
      </c>
      <c r="U53" s="279">
        <f t="shared" si="14"/>
        <v>0</v>
      </c>
      <c r="V53" s="279">
        <f t="shared" si="14"/>
        <v>0</v>
      </c>
      <c r="W53" s="279">
        <f t="shared" si="14"/>
        <v>0</v>
      </c>
      <c r="X53" s="279">
        <f t="shared" si="14"/>
        <v>0</v>
      </c>
      <c r="Y53" s="279">
        <f t="shared" si="14"/>
        <v>0</v>
      </c>
      <c r="Z53" s="279">
        <f t="shared" si="14"/>
        <v>0</v>
      </c>
      <c r="AA53" s="199"/>
      <c r="AB53" s="61">
        <f>SUM(AB5:AB52)</f>
        <v>0</v>
      </c>
      <c r="AC53" s="61">
        <f t="shared" ref="AC53:BA53" si="15">SUM(AC5:AC52)</f>
        <v>0</v>
      </c>
      <c r="AD53" s="61">
        <f t="shared" si="15"/>
        <v>0</v>
      </c>
      <c r="AE53" s="61">
        <f t="shared" si="15"/>
        <v>0</v>
      </c>
      <c r="AF53" s="61">
        <f t="shared" si="15"/>
        <v>0</v>
      </c>
      <c r="AG53" s="61">
        <f t="shared" si="15"/>
        <v>0</v>
      </c>
      <c r="AH53" s="61">
        <f t="shared" si="15"/>
        <v>0</v>
      </c>
      <c r="AI53" s="61">
        <f t="shared" si="15"/>
        <v>0</v>
      </c>
      <c r="AJ53" s="61">
        <f t="shared" si="15"/>
        <v>0</v>
      </c>
      <c r="AK53" s="61">
        <f t="shared" si="15"/>
        <v>0</v>
      </c>
      <c r="AL53" s="61">
        <f t="shared" si="15"/>
        <v>0</v>
      </c>
      <c r="AM53" s="61">
        <f t="shared" si="15"/>
        <v>0</v>
      </c>
      <c r="AN53" s="61">
        <f t="shared" si="15"/>
        <v>0</v>
      </c>
      <c r="AO53" s="61">
        <f t="shared" si="15"/>
        <v>0</v>
      </c>
      <c r="AP53" s="61">
        <f t="shared" si="15"/>
        <v>0</v>
      </c>
      <c r="AQ53" s="61">
        <f t="shared" si="15"/>
        <v>0</v>
      </c>
      <c r="AR53" s="61">
        <f t="shared" si="15"/>
        <v>0</v>
      </c>
      <c r="AS53" s="61">
        <f t="shared" si="15"/>
        <v>0</v>
      </c>
      <c r="AT53" s="61">
        <f t="shared" si="15"/>
        <v>0</v>
      </c>
      <c r="AU53" s="61">
        <f t="shared" si="15"/>
        <v>0</v>
      </c>
      <c r="AV53" s="61">
        <f t="shared" si="15"/>
        <v>0</v>
      </c>
      <c r="AW53" s="61">
        <f t="shared" si="15"/>
        <v>0</v>
      </c>
      <c r="AX53" s="61">
        <f t="shared" si="15"/>
        <v>0</v>
      </c>
      <c r="AY53" s="61">
        <f t="shared" si="15"/>
        <v>0</v>
      </c>
      <c r="AZ53" s="61">
        <f t="shared" si="15"/>
        <v>0</v>
      </c>
      <c r="BA53" s="61">
        <f t="shared" si="15"/>
        <v>0</v>
      </c>
      <c r="BC53" s="61">
        <f t="shared" ref="BC53:CB53" si="16">SUM(BC5:BC52)</f>
        <v>0</v>
      </c>
      <c r="BD53" s="61">
        <f t="shared" si="16"/>
        <v>0</v>
      </c>
      <c r="BE53" s="61">
        <f t="shared" si="16"/>
        <v>0</v>
      </c>
      <c r="BF53" s="61">
        <f t="shared" si="16"/>
        <v>0</v>
      </c>
      <c r="BG53" s="61">
        <f t="shared" si="16"/>
        <v>0</v>
      </c>
      <c r="BH53" s="61">
        <f t="shared" si="16"/>
        <v>0</v>
      </c>
      <c r="BI53" s="61">
        <f t="shared" si="16"/>
        <v>0</v>
      </c>
      <c r="BJ53" s="61">
        <f t="shared" si="16"/>
        <v>0</v>
      </c>
      <c r="BK53" s="61">
        <f t="shared" si="16"/>
        <v>0</v>
      </c>
      <c r="BL53" s="61">
        <f t="shared" si="16"/>
        <v>0</v>
      </c>
      <c r="BM53" s="61">
        <f t="shared" si="16"/>
        <v>0</v>
      </c>
      <c r="BN53" s="61">
        <f t="shared" si="16"/>
        <v>0</v>
      </c>
      <c r="BO53" s="61">
        <f t="shared" si="16"/>
        <v>0</v>
      </c>
      <c r="BP53" s="61">
        <f t="shared" si="16"/>
        <v>0</v>
      </c>
      <c r="BQ53" s="61">
        <f t="shared" si="16"/>
        <v>0</v>
      </c>
      <c r="BR53" s="61">
        <f t="shared" si="16"/>
        <v>0</v>
      </c>
      <c r="BS53" s="61">
        <f t="shared" si="16"/>
        <v>0</v>
      </c>
      <c r="BT53" s="61">
        <f t="shared" si="16"/>
        <v>0</v>
      </c>
      <c r="BU53" s="61">
        <f t="shared" si="16"/>
        <v>0</v>
      </c>
      <c r="BV53" s="61">
        <f t="shared" si="16"/>
        <v>0</v>
      </c>
      <c r="BW53" s="61">
        <f t="shared" si="16"/>
        <v>0</v>
      </c>
      <c r="BX53" s="61">
        <f t="shared" si="16"/>
        <v>0</v>
      </c>
      <c r="BY53" s="61">
        <f t="shared" si="16"/>
        <v>0</v>
      </c>
      <c r="BZ53" s="61">
        <f t="shared" si="16"/>
        <v>0</v>
      </c>
      <c r="CA53" s="61">
        <f t="shared" si="16"/>
        <v>0</v>
      </c>
      <c r="CB53" s="207">
        <f t="shared" si="16"/>
        <v>0</v>
      </c>
      <c r="CD53" s="208">
        <f>(SUMIF(Fonctionnement[Affectation matrice],$AB$3,Fonctionnement[TVA acquittée])+SUMIF(Invest[Affectation matrice],$AB$3,Invest[TVA acquittée]))*BC53</f>
        <v>0</v>
      </c>
      <c r="CE53" s="208">
        <f>(SUMIF(Fonctionnement[Affectation matrice],$AB$3,Fonctionnement[TVA acquittée])+SUMIF(Invest[Affectation matrice],$AB$3,Invest[TVA acquittée]))*BD53</f>
        <v>0</v>
      </c>
      <c r="CF53" s="208">
        <f>(SUMIF(Fonctionnement[Affectation matrice],$AB$3,Fonctionnement[TVA acquittée])+SUMIF(Invest[Affectation matrice],$AB$3,Invest[TVA acquittée]))*BE53</f>
        <v>0</v>
      </c>
      <c r="CG53" s="208">
        <f>(SUMIF(Fonctionnement[Affectation matrice],$AB$3,Fonctionnement[TVA acquittée])+SUMIF(Invest[Affectation matrice],$AB$3,Invest[TVA acquittée]))*BF53</f>
        <v>0</v>
      </c>
      <c r="CH53" s="208">
        <f>(SUMIF(Fonctionnement[Affectation matrice],$AB$3,Fonctionnement[TVA acquittée])+SUMIF(Invest[Affectation matrice],$AB$3,Invest[TVA acquittée]))*BG53</f>
        <v>0</v>
      </c>
      <c r="CI53" s="208">
        <f>(SUMIF(Fonctionnement[Affectation matrice],$AB$3,Fonctionnement[TVA acquittée])+SUMIF(Invest[Affectation matrice],$AB$3,Invest[TVA acquittée]))*BH53</f>
        <v>0</v>
      </c>
      <c r="CJ53" s="208">
        <f>(SUMIF(Fonctionnement[Affectation matrice],$AB$3,Fonctionnement[TVA acquittée])+SUMIF(Invest[Affectation matrice],$AB$3,Invest[TVA acquittée]))*BI53</f>
        <v>0</v>
      </c>
      <c r="CK53" s="208">
        <f>(SUMIF(Fonctionnement[Affectation matrice],$AB$3,Fonctionnement[TVA acquittée])+SUMIF(Invest[Affectation matrice],$AB$3,Invest[TVA acquittée]))*BJ53</f>
        <v>0</v>
      </c>
      <c r="CL53" s="208">
        <f>(SUMIF(Fonctionnement[Affectation matrice],$AB$3,Fonctionnement[TVA acquittée])+SUMIF(Invest[Affectation matrice],$AB$3,Invest[TVA acquittée]))*BK53</f>
        <v>0</v>
      </c>
      <c r="CM53" s="208">
        <f>(SUMIF(Fonctionnement[Affectation matrice],$AB$3,Fonctionnement[TVA acquittée])+SUMIF(Invest[Affectation matrice],$AB$3,Invest[TVA acquittée]))*BL53</f>
        <v>0</v>
      </c>
      <c r="CN53" s="208">
        <f>(SUMIF(Fonctionnement[Affectation matrice],$AB$3,Fonctionnement[TVA acquittée])+SUMIF(Invest[Affectation matrice],$AB$3,Invest[TVA acquittée]))*BM53</f>
        <v>0</v>
      </c>
      <c r="CO53" s="208">
        <f>(SUMIF(Fonctionnement[Affectation matrice],$AB$3,Fonctionnement[TVA acquittée])+SUMIF(Invest[Affectation matrice],$AB$3,Invest[TVA acquittée]))*BN53</f>
        <v>0</v>
      </c>
      <c r="CP53" s="208">
        <f>(SUMIF(Fonctionnement[Affectation matrice],$AB$3,Fonctionnement[TVA acquittée])+SUMIF(Invest[Affectation matrice],$AB$3,Invest[TVA acquittée]))*BO53</f>
        <v>0</v>
      </c>
      <c r="CQ53" s="208">
        <f>(SUMIF(Fonctionnement[Affectation matrice],$AB$3,Fonctionnement[TVA acquittée])+SUMIF(Invest[Affectation matrice],$AB$3,Invest[TVA acquittée]))*BP53</f>
        <v>0</v>
      </c>
      <c r="CR53" s="208">
        <f>(SUMIF(Fonctionnement[Affectation matrice],$AB$3,Fonctionnement[TVA acquittée])+SUMIF(Invest[Affectation matrice],$AB$3,Invest[TVA acquittée]))*BQ53</f>
        <v>0</v>
      </c>
      <c r="CS53" s="208">
        <f>(SUMIF(Fonctionnement[Affectation matrice],$AB$3,Fonctionnement[TVA acquittée])+SUMIF(Invest[Affectation matrice],$AB$3,Invest[TVA acquittée]))*BR53</f>
        <v>0</v>
      </c>
      <c r="CT53" s="208">
        <f>(SUMIF(Fonctionnement[Affectation matrice],$AB$3,Fonctionnement[TVA acquittée])+SUMIF(Invest[Affectation matrice],$AB$3,Invest[TVA acquittée]))*BS53</f>
        <v>0</v>
      </c>
      <c r="CU53" s="208">
        <f>(SUMIF(Fonctionnement[Affectation matrice],$AB$3,Fonctionnement[TVA acquittée])+SUMIF(Invest[Affectation matrice],$AB$3,Invest[TVA acquittée]))*BT53</f>
        <v>0</v>
      </c>
      <c r="CV53" s="208">
        <f>(SUMIF(Fonctionnement[Affectation matrice],$AB$3,Fonctionnement[TVA acquittée])+SUMIF(Invest[Affectation matrice],$AB$3,Invest[TVA acquittée]))*BU53</f>
        <v>0</v>
      </c>
      <c r="CW53" s="208">
        <f>(SUMIF(Fonctionnement[Affectation matrice],$AB$3,Fonctionnement[TVA acquittée])+SUMIF(Invest[Affectation matrice],$AB$3,Invest[TVA acquittée]))*BV53</f>
        <v>0</v>
      </c>
      <c r="CX53" s="208">
        <f>(SUMIF(Fonctionnement[Affectation matrice],$AB$3,Fonctionnement[TVA acquittée])+SUMIF(Invest[Affectation matrice],$AB$3,Invest[TVA acquittée]))*BW53</f>
        <v>0</v>
      </c>
      <c r="CY53" s="208">
        <f>(SUMIF(Fonctionnement[Affectation matrice],$AB$3,Fonctionnement[TVA acquittée])+SUMIF(Invest[Affectation matrice],$AB$3,Invest[TVA acquittée]))*BX53</f>
        <v>0</v>
      </c>
      <c r="CZ53" s="208">
        <f>(SUMIF(Fonctionnement[Affectation matrice],$AB$3,Fonctionnement[TVA acquittée])+SUMIF(Invest[Affectation matrice],$AB$3,Invest[TVA acquittée]))*BY53</f>
        <v>0</v>
      </c>
      <c r="DA53" s="208">
        <f>(SUMIF(Fonctionnement[Affectation matrice],$AB$3,Fonctionnement[TVA acquittée])+SUMIF(Invest[Affectation matrice],$AB$3,Invest[TVA acquittée]))*BZ53</f>
        <v>0</v>
      </c>
      <c r="DB53" s="208">
        <f>(SUMIF(Fonctionnement[Affectation matrice],$AB$3,Fonctionnement[TVA acquittée])+SUMIF(Invest[Affectation matrice],$AB$3,Invest[TVA acquittée]))*CA53</f>
        <v>0</v>
      </c>
    </row>
    <row r="55" spans="1:107" x14ac:dyDescent="0.25">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C55" s="209"/>
      <c r="BD55" s="209"/>
      <c r="BE55" s="209"/>
      <c r="BF55" s="209"/>
      <c r="BG55" s="209"/>
      <c r="BH55" s="209"/>
      <c r="BI55" s="209"/>
      <c r="BJ55" s="209"/>
      <c r="BK55" s="209"/>
      <c r="BL55" s="209"/>
      <c r="BM55" s="209"/>
      <c r="BN55" s="209"/>
      <c r="BO55" s="209"/>
      <c r="BP55" s="209"/>
      <c r="BQ55" s="209"/>
      <c r="BR55" s="209"/>
      <c r="BS55" s="209"/>
      <c r="BT55" s="209"/>
      <c r="BU55" s="209"/>
      <c r="BV55" s="209"/>
      <c r="BW55" s="209"/>
      <c r="BX55" s="209"/>
      <c r="BY55" s="209"/>
      <c r="BZ55" s="209"/>
      <c r="CA55" s="209"/>
      <c r="CB55" s="209"/>
    </row>
    <row r="56" spans="1:107" ht="21" x14ac:dyDescent="0.4">
      <c r="A56" s="257" t="s">
        <v>1102</v>
      </c>
    </row>
    <row r="58" spans="1:107" x14ac:dyDescent="0.25">
      <c r="A58" s="301"/>
      <c r="B58"/>
      <c r="C58"/>
      <c r="D58"/>
      <c r="E58"/>
      <c r="F58"/>
      <c r="G58"/>
      <c r="H58"/>
      <c r="I58"/>
      <c r="J58"/>
      <c r="K58"/>
      <c r="L58"/>
      <c r="M58"/>
      <c r="N58"/>
      <c r="O58"/>
      <c r="P58"/>
      <c r="Q58"/>
      <c r="R58"/>
      <c r="S58"/>
      <c r="T58"/>
      <c r="U58"/>
      <c r="V58"/>
      <c r="W58"/>
      <c r="X58"/>
      <c r="Y58"/>
      <c r="Z58"/>
      <c r="AA58"/>
      <c r="AB58" s="61">
        <f>SUMIF(CODE,$A58,'4 - Codes matrice'!CF$4:CF$99)</f>
        <v>0</v>
      </c>
      <c r="AC58" s="61">
        <f>SUMIF(CODE,$A58,'4 - Codes matrice'!CG$4:CG$99)</f>
        <v>0</v>
      </c>
      <c r="AD58" s="61">
        <f>SUMIF(CODE,$A58,'4 - Codes matrice'!CH$4:CH$99)</f>
        <v>0</v>
      </c>
      <c r="AE58" s="61">
        <f>SUMIF(CODE,$A58,'4 - Codes matrice'!CI$4:CI$99)</f>
        <v>0</v>
      </c>
      <c r="AF58" s="61">
        <f>SUMIF(CODE,$A58,'4 - Codes matrice'!CJ$4:CJ$99)</f>
        <v>0</v>
      </c>
      <c r="AG58" s="61">
        <f>SUMIF(CODE,$A58,'4 - Codes matrice'!CK$4:CK$99)</f>
        <v>0</v>
      </c>
      <c r="AH58" s="61">
        <f>SUMIF(CODE,$A58,'4 - Codes matrice'!CL$4:CL$99)</f>
        <v>0</v>
      </c>
      <c r="AI58" s="61">
        <f>SUMIF(CODE,$A58,'4 - Codes matrice'!CM$4:CM$99)</f>
        <v>0</v>
      </c>
      <c r="AJ58" s="61">
        <f>SUMIF(CODE,$A58,'4 - Codes matrice'!CN$4:CN$99)</f>
        <v>0</v>
      </c>
      <c r="AK58" s="61">
        <f>SUMIF(CODE,$A58,'4 - Codes matrice'!CO$4:CO$99)</f>
        <v>0</v>
      </c>
      <c r="AL58" s="61">
        <f>SUMIF(CODE,$A58,'4 - Codes matrice'!CP$4:CP$99)</f>
        <v>0</v>
      </c>
      <c r="AM58" s="61">
        <f>SUMIF(CODE,$A58,'4 - Codes matrice'!CQ$4:CQ$99)</f>
        <v>0</v>
      </c>
      <c r="AN58" s="61">
        <f>SUMIF(CODE,$A58,'4 - Codes matrice'!CR$4:CR$99)</f>
        <v>0</v>
      </c>
      <c r="AO58" s="61">
        <f>SUMIF(CODE,$A58,'4 - Codes matrice'!CS$4:CS$99)</f>
        <v>0</v>
      </c>
      <c r="AP58" s="61">
        <f>SUMIF(CODE,$A58,'4 - Codes matrice'!CT$4:CT$99)</f>
        <v>0</v>
      </c>
      <c r="AQ58" s="61">
        <f>SUMIF(CODE,$A58,'4 - Codes matrice'!CU$4:CU$99)</f>
        <v>0</v>
      </c>
      <c r="AR58" s="61">
        <f>SUMIF(CODE,$A58,'4 - Codes matrice'!CV$4:CV$99)</f>
        <v>0</v>
      </c>
      <c r="AS58" s="61">
        <f>SUMIF(CODE,$A58,'4 - Codes matrice'!CW$4:CW$99)</f>
        <v>0</v>
      </c>
      <c r="AT58" s="61">
        <f>SUMIF(CODE,$A58,'4 - Codes matrice'!CX$4:CX$99)</f>
        <v>0</v>
      </c>
      <c r="AU58" s="61">
        <f>SUMIF(CODE,$A58,'4 - Codes matrice'!CY$4:CY$99)</f>
        <v>0</v>
      </c>
      <c r="AV58" s="61">
        <f>SUMIF(CODE,$A58,'4 - Codes matrice'!CZ$4:CZ$99)</f>
        <v>0</v>
      </c>
      <c r="AW58" s="61">
        <f>SUMIF(CODE,$A58,'4 - Codes matrice'!DA$4:DA$99)</f>
        <v>0</v>
      </c>
      <c r="AX58" s="61">
        <f>SUMIF(CODE,$A58,'4 - Codes matrice'!DB$4:DB$99)</f>
        <v>0</v>
      </c>
      <c r="AY58" s="61">
        <f>SUMIF(CODE,$A58,'4 - Codes matrice'!DC$4:DC$99)</f>
        <v>0</v>
      </c>
      <c r="AZ58" s="61">
        <f>SUMIF(CODE,$A58,'4 - Codes matrice'!DD$4:DD$99)</f>
        <v>0</v>
      </c>
      <c r="BA58" s="284">
        <f>SUM(AB58:AZ58)</f>
        <v>0</v>
      </c>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row>
    <row r="59" spans="1:107" x14ac:dyDescent="0.25">
      <c r="A59" s="301"/>
      <c r="B59"/>
      <c r="C59"/>
      <c r="D59"/>
      <c r="E59"/>
      <c r="F59"/>
      <c r="G59"/>
      <c r="H59"/>
      <c r="I59"/>
      <c r="J59"/>
      <c r="K59"/>
      <c r="L59"/>
      <c r="M59"/>
      <c r="N59"/>
      <c r="O59"/>
      <c r="P59"/>
      <c r="Q59"/>
      <c r="R59"/>
      <c r="S59"/>
      <c r="T59"/>
      <c r="U59"/>
      <c r="V59"/>
      <c r="W59"/>
      <c r="X59"/>
      <c r="Y59"/>
      <c r="Z59"/>
      <c r="AA59"/>
      <c r="AB59" s="61">
        <f>SUMIF(CODE,$A59,'4 - Codes matrice'!CF$4:CF$99)</f>
        <v>0</v>
      </c>
      <c r="AC59" s="61">
        <f>SUMIF(CODE,$A59,'4 - Codes matrice'!CG$4:CG$99)</f>
        <v>0</v>
      </c>
      <c r="AD59" s="61">
        <f>SUMIF(CODE,$A59,'4 - Codes matrice'!CH$4:CH$99)</f>
        <v>0</v>
      </c>
      <c r="AE59" s="61">
        <f>SUMIF(CODE,$A59,'4 - Codes matrice'!CI$4:CI$99)</f>
        <v>0</v>
      </c>
      <c r="AF59" s="61">
        <f>SUMIF(CODE,$A59,'4 - Codes matrice'!CJ$4:CJ$99)</f>
        <v>0</v>
      </c>
      <c r="AG59" s="61">
        <f>SUMIF(CODE,$A59,'4 - Codes matrice'!CK$4:CK$99)</f>
        <v>0</v>
      </c>
      <c r="AH59" s="61">
        <f>SUMIF(CODE,$A59,'4 - Codes matrice'!CL$4:CL$99)</f>
        <v>0</v>
      </c>
      <c r="AI59" s="61">
        <f>SUMIF(CODE,$A59,'4 - Codes matrice'!CM$4:CM$99)</f>
        <v>0</v>
      </c>
      <c r="AJ59" s="61">
        <f>SUMIF(CODE,$A59,'4 - Codes matrice'!CN$4:CN$99)</f>
        <v>0</v>
      </c>
      <c r="AK59" s="61">
        <f>SUMIF(CODE,$A59,'4 - Codes matrice'!CO$4:CO$99)</f>
        <v>0</v>
      </c>
      <c r="AL59" s="61">
        <f>SUMIF(CODE,$A59,'4 - Codes matrice'!CP$4:CP$99)</f>
        <v>0</v>
      </c>
      <c r="AM59" s="61">
        <f>SUMIF(CODE,$A59,'4 - Codes matrice'!CQ$4:CQ$99)</f>
        <v>0</v>
      </c>
      <c r="AN59" s="61">
        <f>SUMIF(CODE,$A59,'4 - Codes matrice'!CR$4:CR$99)</f>
        <v>0</v>
      </c>
      <c r="AO59" s="61">
        <f>SUMIF(CODE,$A59,'4 - Codes matrice'!CS$4:CS$99)</f>
        <v>0</v>
      </c>
      <c r="AP59" s="61">
        <f>SUMIF(CODE,$A59,'4 - Codes matrice'!CT$4:CT$99)</f>
        <v>0</v>
      </c>
      <c r="AQ59" s="61">
        <f>SUMIF(CODE,$A59,'4 - Codes matrice'!CU$4:CU$99)</f>
        <v>0</v>
      </c>
      <c r="AR59" s="61">
        <f>SUMIF(CODE,$A59,'4 - Codes matrice'!CV$4:CV$99)</f>
        <v>0</v>
      </c>
      <c r="AS59" s="61">
        <f>SUMIF(CODE,$A59,'4 - Codes matrice'!CW$4:CW$99)</f>
        <v>0</v>
      </c>
      <c r="AT59" s="61">
        <f>SUMIF(CODE,$A59,'4 - Codes matrice'!CX$4:CX$99)</f>
        <v>0</v>
      </c>
      <c r="AU59" s="61">
        <f>SUMIF(CODE,$A59,'4 - Codes matrice'!CY$4:CY$99)</f>
        <v>0</v>
      </c>
      <c r="AV59" s="61">
        <f>SUMIF(CODE,$A59,'4 - Codes matrice'!CZ$4:CZ$99)</f>
        <v>0</v>
      </c>
      <c r="AW59" s="61">
        <f>SUMIF(CODE,$A59,'4 - Codes matrice'!DA$4:DA$99)</f>
        <v>0</v>
      </c>
      <c r="AX59" s="61">
        <f>SUMIF(CODE,$A59,'4 - Codes matrice'!DB$4:DB$99)</f>
        <v>0</v>
      </c>
      <c r="AY59" s="61">
        <f>SUMIF(CODE,$A59,'4 - Codes matrice'!DC$4:DC$99)</f>
        <v>0</v>
      </c>
      <c r="AZ59" s="61">
        <f>SUMIF(CODE,$A59,'4 - Codes matrice'!DD$4:DD$99)</f>
        <v>0</v>
      </c>
      <c r="BA59" s="284">
        <f t="shared" ref="BA59:BA64" si="17">SUM(AB59:AZ59)</f>
        <v>0</v>
      </c>
    </row>
    <row r="60" spans="1:107" x14ac:dyDescent="0.25">
      <c r="A60" s="301"/>
      <c r="B60"/>
      <c r="C60"/>
      <c r="D60"/>
      <c r="E60"/>
      <c r="F60"/>
      <c r="G60"/>
      <c r="H60"/>
      <c r="I60"/>
      <c r="J60"/>
      <c r="K60"/>
      <c r="L60"/>
      <c r="M60"/>
      <c r="N60"/>
      <c r="O60"/>
      <c r="P60"/>
      <c r="Q60"/>
      <c r="R60"/>
      <c r="S60"/>
      <c r="T60"/>
      <c r="U60"/>
      <c r="V60"/>
      <c r="W60"/>
      <c r="X60"/>
      <c r="Y60"/>
      <c r="Z60"/>
      <c r="AA60"/>
      <c r="AB60" s="61">
        <f>SUMIF(CODE,$A60,'4 - Codes matrice'!CF$4:CF$99)</f>
        <v>0</v>
      </c>
      <c r="AC60" s="61">
        <f>SUMIF(CODE,$A60,'4 - Codes matrice'!CG$4:CG$99)</f>
        <v>0</v>
      </c>
      <c r="AD60" s="61">
        <f>SUMIF(CODE,$A60,'4 - Codes matrice'!CH$4:CH$99)</f>
        <v>0</v>
      </c>
      <c r="AE60" s="61">
        <f>SUMIF(CODE,$A60,'4 - Codes matrice'!CI$4:CI$99)</f>
        <v>0</v>
      </c>
      <c r="AF60" s="61">
        <f>SUMIF(CODE,$A60,'4 - Codes matrice'!CJ$4:CJ$99)</f>
        <v>0</v>
      </c>
      <c r="AG60" s="61">
        <f>SUMIF(CODE,$A60,'4 - Codes matrice'!CK$4:CK$99)</f>
        <v>0</v>
      </c>
      <c r="AH60" s="61">
        <f>SUMIF(CODE,$A60,'4 - Codes matrice'!CL$4:CL$99)</f>
        <v>0</v>
      </c>
      <c r="AI60" s="61">
        <f>SUMIF(CODE,$A60,'4 - Codes matrice'!CM$4:CM$99)</f>
        <v>0</v>
      </c>
      <c r="AJ60" s="61">
        <f>SUMIF(CODE,$A60,'4 - Codes matrice'!CN$4:CN$99)</f>
        <v>0</v>
      </c>
      <c r="AK60" s="61">
        <f>SUMIF(CODE,$A60,'4 - Codes matrice'!CO$4:CO$99)</f>
        <v>0</v>
      </c>
      <c r="AL60" s="61">
        <f>SUMIF(CODE,$A60,'4 - Codes matrice'!CP$4:CP$99)</f>
        <v>0</v>
      </c>
      <c r="AM60" s="61">
        <f>SUMIF(CODE,$A60,'4 - Codes matrice'!CQ$4:CQ$99)</f>
        <v>0</v>
      </c>
      <c r="AN60" s="61">
        <f>SUMIF(CODE,$A60,'4 - Codes matrice'!CR$4:CR$99)</f>
        <v>0</v>
      </c>
      <c r="AO60" s="61">
        <f>SUMIF(CODE,$A60,'4 - Codes matrice'!CS$4:CS$99)</f>
        <v>0</v>
      </c>
      <c r="AP60" s="61">
        <f>SUMIF(CODE,$A60,'4 - Codes matrice'!CT$4:CT$99)</f>
        <v>0</v>
      </c>
      <c r="AQ60" s="61">
        <f>SUMIF(CODE,$A60,'4 - Codes matrice'!CU$4:CU$99)</f>
        <v>0</v>
      </c>
      <c r="AR60" s="61">
        <f>SUMIF(CODE,$A60,'4 - Codes matrice'!CV$4:CV$99)</f>
        <v>0</v>
      </c>
      <c r="AS60" s="61">
        <f>SUMIF(CODE,$A60,'4 - Codes matrice'!CW$4:CW$99)</f>
        <v>0</v>
      </c>
      <c r="AT60" s="61">
        <f>SUMIF(CODE,$A60,'4 - Codes matrice'!CX$4:CX$99)</f>
        <v>0</v>
      </c>
      <c r="AU60" s="61">
        <f>SUMIF(CODE,$A60,'4 - Codes matrice'!CY$4:CY$99)</f>
        <v>0</v>
      </c>
      <c r="AV60" s="61">
        <f>SUMIF(CODE,$A60,'4 - Codes matrice'!CZ$4:CZ$99)</f>
        <v>0</v>
      </c>
      <c r="AW60" s="61">
        <f>SUMIF(CODE,$A60,'4 - Codes matrice'!DA$4:DA$99)</f>
        <v>0</v>
      </c>
      <c r="AX60" s="61">
        <f>SUMIF(CODE,$A60,'4 - Codes matrice'!DB$4:DB$99)</f>
        <v>0</v>
      </c>
      <c r="AY60" s="61">
        <f>SUMIF(CODE,$A60,'4 - Codes matrice'!DC$4:DC$99)</f>
        <v>0</v>
      </c>
      <c r="AZ60" s="61">
        <f>SUMIF(CODE,$A60,'4 - Codes matrice'!DD$4:DD$99)</f>
        <v>0</v>
      </c>
      <c r="BA60" s="284">
        <f t="shared" si="17"/>
        <v>0</v>
      </c>
    </row>
    <row r="61" spans="1:107" x14ac:dyDescent="0.25">
      <c r="A61" s="301"/>
      <c r="B61"/>
      <c r="C61"/>
      <c r="D61"/>
      <c r="E61"/>
      <c r="F61"/>
      <c r="G61"/>
      <c r="H61"/>
      <c r="I61"/>
      <c r="J61"/>
      <c r="K61"/>
      <c r="L61"/>
      <c r="M61"/>
      <c r="N61"/>
      <c r="O61"/>
      <c r="P61"/>
      <c r="Q61"/>
      <c r="R61"/>
      <c r="S61"/>
      <c r="T61"/>
      <c r="U61"/>
      <c r="V61"/>
      <c r="W61"/>
      <c r="X61"/>
      <c r="Y61"/>
      <c r="Z61"/>
      <c r="AA61"/>
      <c r="AB61" s="61">
        <f>SUMIF(CODE,$A61,'4 - Codes matrice'!CF$4:CF$99)</f>
        <v>0</v>
      </c>
      <c r="AC61" s="61">
        <f>SUMIF(CODE,$A61,'4 - Codes matrice'!CG$4:CG$99)</f>
        <v>0</v>
      </c>
      <c r="AD61" s="61">
        <f>SUMIF(CODE,$A61,'4 - Codes matrice'!CH$4:CH$99)</f>
        <v>0</v>
      </c>
      <c r="AE61" s="61">
        <f>SUMIF(CODE,$A61,'4 - Codes matrice'!CI$4:CI$99)</f>
        <v>0</v>
      </c>
      <c r="AF61" s="61">
        <f>SUMIF(CODE,$A61,'4 - Codes matrice'!CJ$4:CJ$99)</f>
        <v>0</v>
      </c>
      <c r="AG61" s="61">
        <f>SUMIF(CODE,$A61,'4 - Codes matrice'!CK$4:CK$99)</f>
        <v>0</v>
      </c>
      <c r="AH61" s="61">
        <f>SUMIF(CODE,$A61,'4 - Codes matrice'!CL$4:CL$99)</f>
        <v>0</v>
      </c>
      <c r="AI61" s="61">
        <f>SUMIF(CODE,$A61,'4 - Codes matrice'!CM$4:CM$99)</f>
        <v>0</v>
      </c>
      <c r="AJ61" s="61">
        <f>SUMIF(CODE,$A61,'4 - Codes matrice'!CN$4:CN$99)</f>
        <v>0</v>
      </c>
      <c r="AK61" s="61">
        <f>SUMIF(CODE,$A61,'4 - Codes matrice'!CO$4:CO$99)</f>
        <v>0</v>
      </c>
      <c r="AL61" s="61">
        <f>SUMIF(CODE,$A61,'4 - Codes matrice'!CP$4:CP$99)</f>
        <v>0</v>
      </c>
      <c r="AM61" s="61">
        <f>SUMIF(CODE,$A61,'4 - Codes matrice'!CQ$4:CQ$99)</f>
        <v>0</v>
      </c>
      <c r="AN61" s="61">
        <f>SUMIF(CODE,$A61,'4 - Codes matrice'!CR$4:CR$99)</f>
        <v>0</v>
      </c>
      <c r="AO61" s="61">
        <f>SUMIF(CODE,$A61,'4 - Codes matrice'!CS$4:CS$99)</f>
        <v>0</v>
      </c>
      <c r="AP61" s="61">
        <f>SUMIF(CODE,$A61,'4 - Codes matrice'!CT$4:CT$99)</f>
        <v>0</v>
      </c>
      <c r="AQ61" s="61">
        <f>SUMIF(CODE,$A61,'4 - Codes matrice'!CU$4:CU$99)</f>
        <v>0</v>
      </c>
      <c r="AR61" s="61">
        <f>SUMIF(CODE,$A61,'4 - Codes matrice'!CV$4:CV$99)</f>
        <v>0</v>
      </c>
      <c r="AS61" s="61">
        <f>SUMIF(CODE,$A61,'4 - Codes matrice'!CW$4:CW$99)</f>
        <v>0</v>
      </c>
      <c r="AT61" s="61">
        <f>SUMIF(CODE,$A61,'4 - Codes matrice'!CX$4:CX$99)</f>
        <v>0</v>
      </c>
      <c r="AU61" s="61">
        <f>SUMIF(CODE,$A61,'4 - Codes matrice'!CY$4:CY$99)</f>
        <v>0</v>
      </c>
      <c r="AV61" s="61">
        <f>SUMIF(CODE,$A61,'4 - Codes matrice'!CZ$4:CZ$99)</f>
        <v>0</v>
      </c>
      <c r="AW61" s="61">
        <f>SUMIF(CODE,$A61,'4 - Codes matrice'!DA$4:DA$99)</f>
        <v>0</v>
      </c>
      <c r="AX61" s="61">
        <f>SUMIF(CODE,$A61,'4 - Codes matrice'!DB$4:DB$99)</f>
        <v>0</v>
      </c>
      <c r="AY61" s="61">
        <f>SUMIF(CODE,$A61,'4 - Codes matrice'!DC$4:DC$99)</f>
        <v>0</v>
      </c>
      <c r="AZ61" s="61">
        <f>SUMIF(CODE,$A61,'4 - Codes matrice'!DD$4:DD$99)</f>
        <v>0</v>
      </c>
      <c r="BA61" s="284">
        <f t="shared" si="17"/>
        <v>0</v>
      </c>
    </row>
    <row r="62" spans="1:107" x14ac:dyDescent="0.25">
      <c r="A62" s="301"/>
      <c r="B62"/>
      <c r="C62"/>
      <c r="D62"/>
      <c r="E62"/>
      <c r="F62"/>
      <c r="G62"/>
      <c r="H62"/>
      <c r="I62"/>
      <c r="J62"/>
      <c r="K62"/>
      <c r="L62"/>
      <c r="M62"/>
      <c r="N62"/>
      <c r="O62"/>
      <c r="P62"/>
      <c r="Q62"/>
      <c r="R62"/>
      <c r="S62"/>
      <c r="T62"/>
      <c r="U62"/>
      <c r="V62"/>
      <c r="W62"/>
      <c r="X62"/>
      <c r="Y62"/>
      <c r="Z62"/>
      <c r="AA62"/>
      <c r="AB62" s="61">
        <f>SUMIF(CODE,$A62,'4 - Codes matrice'!CF$4:CF$99)</f>
        <v>0</v>
      </c>
      <c r="AC62" s="61">
        <f>SUMIF(CODE,$A62,'4 - Codes matrice'!CG$4:CG$99)</f>
        <v>0</v>
      </c>
      <c r="AD62" s="61">
        <f>SUMIF(CODE,$A62,'4 - Codes matrice'!CH$4:CH$99)</f>
        <v>0</v>
      </c>
      <c r="AE62" s="61">
        <f>SUMIF(CODE,$A62,'4 - Codes matrice'!CI$4:CI$99)</f>
        <v>0</v>
      </c>
      <c r="AF62" s="61">
        <f>SUMIF(CODE,$A62,'4 - Codes matrice'!CJ$4:CJ$99)</f>
        <v>0</v>
      </c>
      <c r="AG62" s="61">
        <f>SUMIF(CODE,$A62,'4 - Codes matrice'!CK$4:CK$99)</f>
        <v>0</v>
      </c>
      <c r="AH62" s="61">
        <f>SUMIF(CODE,$A62,'4 - Codes matrice'!CL$4:CL$99)</f>
        <v>0</v>
      </c>
      <c r="AI62" s="61">
        <f>SUMIF(CODE,$A62,'4 - Codes matrice'!CM$4:CM$99)</f>
        <v>0</v>
      </c>
      <c r="AJ62" s="61">
        <f>SUMIF(CODE,$A62,'4 - Codes matrice'!CN$4:CN$99)</f>
        <v>0</v>
      </c>
      <c r="AK62" s="61">
        <f>SUMIF(CODE,$A62,'4 - Codes matrice'!CO$4:CO$99)</f>
        <v>0</v>
      </c>
      <c r="AL62" s="61">
        <f>SUMIF(CODE,$A62,'4 - Codes matrice'!CP$4:CP$99)</f>
        <v>0</v>
      </c>
      <c r="AM62" s="61">
        <f>SUMIF(CODE,$A62,'4 - Codes matrice'!CQ$4:CQ$99)</f>
        <v>0</v>
      </c>
      <c r="AN62" s="61">
        <f>SUMIF(CODE,$A62,'4 - Codes matrice'!CR$4:CR$99)</f>
        <v>0</v>
      </c>
      <c r="AO62" s="61">
        <f>SUMIF(CODE,$A62,'4 - Codes matrice'!CS$4:CS$99)</f>
        <v>0</v>
      </c>
      <c r="AP62" s="61">
        <f>SUMIF(CODE,$A62,'4 - Codes matrice'!CT$4:CT$99)</f>
        <v>0</v>
      </c>
      <c r="AQ62" s="61">
        <f>SUMIF(CODE,$A62,'4 - Codes matrice'!CU$4:CU$99)</f>
        <v>0</v>
      </c>
      <c r="AR62" s="61">
        <f>SUMIF(CODE,$A62,'4 - Codes matrice'!CV$4:CV$99)</f>
        <v>0</v>
      </c>
      <c r="AS62" s="61">
        <f>SUMIF(CODE,$A62,'4 - Codes matrice'!CW$4:CW$99)</f>
        <v>0</v>
      </c>
      <c r="AT62" s="61">
        <f>SUMIF(CODE,$A62,'4 - Codes matrice'!CX$4:CX$99)</f>
        <v>0</v>
      </c>
      <c r="AU62" s="61">
        <f>SUMIF(CODE,$A62,'4 - Codes matrice'!CY$4:CY$99)</f>
        <v>0</v>
      </c>
      <c r="AV62" s="61">
        <f>SUMIF(CODE,$A62,'4 - Codes matrice'!CZ$4:CZ$99)</f>
        <v>0</v>
      </c>
      <c r="AW62" s="61">
        <f>SUMIF(CODE,$A62,'4 - Codes matrice'!DA$4:DA$99)</f>
        <v>0</v>
      </c>
      <c r="AX62" s="61">
        <f>SUMIF(CODE,$A62,'4 - Codes matrice'!DB$4:DB$99)</f>
        <v>0</v>
      </c>
      <c r="AY62" s="61">
        <f>SUMIF(CODE,$A62,'4 - Codes matrice'!DC$4:DC$99)</f>
        <v>0</v>
      </c>
      <c r="AZ62" s="61">
        <f>SUMIF(CODE,$A62,'4 - Codes matrice'!DD$4:DD$99)</f>
        <v>0</v>
      </c>
      <c r="BA62" s="284">
        <f t="shared" si="17"/>
        <v>0</v>
      </c>
    </row>
    <row r="63" spans="1:107" x14ac:dyDescent="0.25">
      <c r="A63" s="301"/>
      <c r="B63"/>
      <c r="C63"/>
      <c r="D63"/>
      <c r="E63"/>
      <c r="F63"/>
      <c r="G63"/>
      <c r="H63"/>
      <c r="I63"/>
      <c r="J63"/>
      <c r="K63"/>
      <c r="L63"/>
      <c r="M63"/>
      <c r="N63"/>
      <c r="O63"/>
      <c r="P63"/>
      <c r="Q63"/>
      <c r="R63"/>
      <c r="S63"/>
      <c r="T63"/>
      <c r="U63"/>
      <c r="V63"/>
      <c r="W63"/>
      <c r="X63"/>
      <c r="Y63"/>
      <c r="Z63"/>
      <c r="AA63"/>
      <c r="AB63" s="61">
        <f>SUMIF(CODE,$A63,'4 - Codes matrice'!CF$4:CF$99)</f>
        <v>0</v>
      </c>
      <c r="AC63" s="61">
        <f>SUMIF(CODE,$A63,'4 - Codes matrice'!CG$4:CG$99)</f>
        <v>0</v>
      </c>
      <c r="AD63" s="61">
        <f>SUMIF(CODE,$A63,'4 - Codes matrice'!CH$4:CH$99)</f>
        <v>0</v>
      </c>
      <c r="AE63" s="61">
        <f>SUMIF(CODE,$A63,'4 - Codes matrice'!CI$4:CI$99)</f>
        <v>0</v>
      </c>
      <c r="AF63" s="61">
        <f>SUMIF(CODE,$A63,'4 - Codes matrice'!CJ$4:CJ$99)</f>
        <v>0</v>
      </c>
      <c r="AG63" s="61">
        <f>SUMIF(CODE,$A63,'4 - Codes matrice'!CK$4:CK$99)</f>
        <v>0</v>
      </c>
      <c r="AH63" s="61">
        <f>SUMIF(CODE,$A63,'4 - Codes matrice'!CL$4:CL$99)</f>
        <v>0</v>
      </c>
      <c r="AI63" s="61">
        <f>SUMIF(CODE,$A63,'4 - Codes matrice'!CM$4:CM$99)</f>
        <v>0</v>
      </c>
      <c r="AJ63" s="61">
        <f>SUMIF(CODE,$A63,'4 - Codes matrice'!CN$4:CN$99)</f>
        <v>0</v>
      </c>
      <c r="AK63" s="61">
        <f>SUMIF(CODE,$A63,'4 - Codes matrice'!CO$4:CO$99)</f>
        <v>0</v>
      </c>
      <c r="AL63" s="61">
        <f>SUMIF(CODE,$A63,'4 - Codes matrice'!CP$4:CP$99)</f>
        <v>0</v>
      </c>
      <c r="AM63" s="61">
        <f>SUMIF(CODE,$A63,'4 - Codes matrice'!CQ$4:CQ$99)</f>
        <v>0</v>
      </c>
      <c r="AN63" s="61">
        <f>SUMIF(CODE,$A63,'4 - Codes matrice'!CR$4:CR$99)</f>
        <v>0</v>
      </c>
      <c r="AO63" s="61">
        <f>SUMIF(CODE,$A63,'4 - Codes matrice'!CS$4:CS$99)</f>
        <v>0</v>
      </c>
      <c r="AP63" s="61">
        <f>SUMIF(CODE,$A63,'4 - Codes matrice'!CT$4:CT$99)</f>
        <v>0</v>
      </c>
      <c r="AQ63" s="61">
        <f>SUMIF(CODE,$A63,'4 - Codes matrice'!CU$4:CU$99)</f>
        <v>0</v>
      </c>
      <c r="AR63" s="61">
        <f>SUMIF(CODE,$A63,'4 - Codes matrice'!CV$4:CV$99)</f>
        <v>0</v>
      </c>
      <c r="AS63" s="61">
        <f>SUMIF(CODE,$A63,'4 - Codes matrice'!CW$4:CW$99)</f>
        <v>0</v>
      </c>
      <c r="AT63" s="61">
        <f>SUMIF(CODE,$A63,'4 - Codes matrice'!CX$4:CX$99)</f>
        <v>0</v>
      </c>
      <c r="AU63" s="61">
        <f>SUMIF(CODE,$A63,'4 - Codes matrice'!CY$4:CY$99)</f>
        <v>0</v>
      </c>
      <c r="AV63" s="61">
        <f>SUMIF(CODE,$A63,'4 - Codes matrice'!CZ$4:CZ$99)</f>
        <v>0</v>
      </c>
      <c r="AW63" s="61">
        <f>SUMIF(CODE,$A63,'4 - Codes matrice'!DA$4:DA$99)</f>
        <v>0</v>
      </c>
      <c r="AX63" s="61">
        <f>SUMIF(CODE,$A63,'4 - Codes matrice'!DB$4:DB$99)</f>
        <v>0</v>
      </c>
      <c r="AY63" s="61">
        <f>SUMIF(CODE,$A63,'4 - Codes matrice'!DC$4:DC$99)</f>
        <v>0</v>
      </c>
      <c r="AZ63" s="61">
        <f>SUMIF(CODE,$A63,'4 - Codes matrice'!DD$4:DD$99)</f>
        <v>0</v>
      </c>
      <c r="BA63" s="284">
        <f t="shared" si="17"/>
        <v>0</v>
      </c>
    </row>
    <row r="64" spans="1:107" x14ac:dyDescent="0.25">
      <c r="A64" s="301"/>
      <c r="B64"/>
      <c r="C64"/>
      <c r="D64"/>
      <c r="E64"/>
      <c r="F64"/>
      <c r="G64"/>
      <c r="H64"/>
      <c r="I64"/>
      <c r="J64"/>
      <c r="K64"/>
      <c r="L64"/>
      <c r="M64"/>
      <c r="N64"/>
      <c r="O64"/>
      <c r="P64"/>
      <c r="Q64"/>
      <c r="R64"/>
      <c r="S64"/>
      <c r="T64"/>
      <c r="U64"/>
      <c r="V64"/>
      <c r="W64"/>
      <c r="X64"/>
      <c r="Y64"/>
      <c r="Z64"/>
      <c r="AA64"/>
      <c r="AB64" s="61">
        <f>SUMIF(CODE,$A64,'4 - Codes matrice'!CF$4:CF$99)</f>
        <v>0</v>
      </c>
      <c r="AC64" s="61">
        <f>SUMIF(CODE,$A64,'4 - Codes matrice'!CG$4:CG$99)</f>
        <v>0</v>
      </c>
      <c r="AD64" s="61">
        <f>SUMIF(CODE,$A64,'4 - Codes matrice'!CH$4:CH$99)</f>
        <v>0</v>
      </c>
      <c r="AE64" s="61">
        <f>SUMIF(CODE,$A64,'4 - Codes matrice'!CI$4:CI$99)</f>
        <v>0</v>
      </c>
      <c r="AF64" s="61">
        <f>SUMIF(CODE,$A64,'4 - Codes matrice'!CJ$4:CJ$99)</f>
        <v>0</v>
      </c>
      <c r="AG64" s="61">
        <f>SUMIF(CODE,$A64,'4 - Codes matrice'!CK$4:CK$99)</f>
        <v>0</v>
      </c>
      <c r="AH64" s="61">
        <f>SUMIF(CODE,$A64,'4 - Codes matrice'!CL$4:CL$99)</f>
        <v>0</v>
      </c>
      <c r="AI64" s="61">
        <f>SUMIF(CODE,$A64,'4 - Codes matrice'!CM$4:CM$99)</f>
        <v>0</v>
      </c>
      <c r="AJ64" s="61">
        <f>SUMIF(CODE,$A64,'4 - Codes matrice'!CN$4:CN$99)</f>
        <v>0</v>
      </c>
      <c r="AK64" s="61">
        <f>SUMIF(CODE,$A64,'4 - Codes matrice'!CO$4:CO$99)</f>
        <v>0</v>
      </c>
      <c r="AL64" s="61">
        <f>SUMIF(CODE,$A64,'4 - Codes matrice'!CP$4:CP$99)</f>
        <v>0</v>
      </c>
      <c r="AM64" s="61">
        <f>SUMIF(CODE,$A64,'4 - Codes matrice'!CQ$4:CQ$99)</f>
        <v>0</v>
      </c>
      <c r="AN64" s="61">
        <f>SUMIF(CODE,$A64,'4 - Codes matrice'!CR$4:CR$99)</f>
        <v>0</v>
      </c>
      <c r="AO64" s="61">
        <f>SUMIF(CODE,$A64,'4 - Codes matrice'!CS$4:CS$99)</f>
        <v>0</v>
      </c>
      <c r="AP64" s="61">
        <f>SUMIF(CODE,$A64,'4 - Codes matrice'!CT$4:CT$99)</f>
        <v>0</v>
      </c>
      <c r="AQ64" s="61">
        <f>SUMIF(CODE,$A64,'4 - Codes matrice'!CU$4:CU$99)</f>
        <v>0</v>
      </c>
      <c r="AR64" s="61">
        <f>SUMIF(CODE,$A64,'4 - Codes matrice'!CV$4:CV$99)</f>
        <v>0</v>
      </c>
      <c r="AS64" s="61">
        <f>SUMIF(CODE,$A64,'4 - Codes matrice'!CW$4:CW$99)</f>
        <v>0</v>
      </c>
      <c r="AT64" s="61">
        <f>SUMIF(CODE,$A64,'4 - Codes matrice'!CX$4:CX$99)</f>
        <v>0</v>
      </c>
      <c r="AU64" s="61">
        <f>SUMIF(CODE,$A64,'4 - Codes matrice'!CY$4:CY$99)</f>
        <v>0</v>
      </c>
      <c r="AV64" s="61">
        <f>SUMIF(CODE,$A64,'4 - Codes matrice'!CZ$4:CZ$99)</f>
        <v>0</v>
      </c>
      <c r="AW64" s="61">
        <f>SUMIF(CODE,$A64,'4 - Codes matrice'!DA$4:DA$99)</f>
        <v>0</v>
      </c>
      <c r="AX64" s="61">
        <f>SUMIF(CODE,$A64,'4 - Codes matrice'!DB$4:DB$99)</f>
        <v>0</v>
      </c>
      <c r="AY64" s="61">
        <f>SUMIF(CODE,$A64,'4 - Codes matrice'!DC$4:DC$99)</f>
        <v>0</v>
      </c>
      <c r="AZ64" s="61">
        <f>SUMIF(CODE,$A64,'4 - Codes matrice'!DD$4:DD$99)</f>
        <v>0</v>
      </c>
      <c r="BA64" s="284">
        <f t="shared" si="17"/>
        <v>0</v>
      </c>
    </row>
    <row r="66" spans="1:107" ht="21" x14ac:dyDescent="0.4">
      <c r="A66" s="257" t="s">
        <v>1103</v>
      </c>
    </row>
    <row r="68" spans="1:107" x14ac:dyDescent="0.25">
      <c r="A68" s="253" t="s">
        <v>219</v>
      </c>
      <c r="B68"/>
      <c r="C68"/>
      <c r="D68"/>
      <c r="E68"/>
      <c r="F68"/>
      <c r="G68"/>
      <c r="H68"/>
      <c r="I68"/>
      <c r="J68"/>
      <c r="K68"/>
      <c r="L68"/>
      <c r="M68"/>
      <c r="N68"/>
      <c r="O68"/>
      <c r="P68"/>
      <c r="Q68"/>
      <c r="R68"/>
      <c r="S68"/>
      <c r="T68"/>
      <c r="U68"/>
      <c r="V68"/>
      <c r="W68"/>
      <c r="X68"/>
      <c r="Y68"/>
      <c r="Z68"/>
      <c r="AA68"/>
      <c r="AB68" s="282">
        <f>'2 - Matrice finale'!B58</f>
        <v>0</v>
      </c>
      <c r="AC68" s="282">
        <f>'2 - Matrice finale'!C58</f>
        <v>0</v>
      </c>
      <c r="AD68" s="282">
        <f>'2 - Matrice finale'!D58</f>
        <v>0</v>
      </c>
      <c r="AE68" s="282">
        <f>'2 - Matrice finale'!E58</f>
        <v>0</v>
      </c>
      <c r="AF68" s="282">
        <f>'2 - Matrice finale'!F58</f>
        <v>0</v>
      </c>
      <c r="AG68" s="282">
        <f>'2 - Matrice finale'!G58</f>
        <v>0</v>
      </c>
      <c r="AH68" s="282">
        <f>'2 - Matrice finale'!H58</f>
        <v>0</v>
      </c>
      <c r="AI68" s="282">
        <f>'2 - Matrice finale'!I58</f>
        <v>0</v>
      </c>
      <c r="AJ68" s="282">
        <f>'2 - Matrice finale'!J58</f>
        <v>0</v>
      </c>
      <c r="AK68" s="282">
        <f>'2 - Matrice finale'!K58</f>
        <v>0</v>
      </c>
      <c r="AL68" s="282">
        <f>'2 - Matrice finale'!L58</f>
        <v>0</v>
      </c>
      <c r="AM68" s="282">
        <f>'2 - Matrice finale'!M58</f>
        <v>0</v>
      </c>
      <c r="AN68" s="282">
        <f>'2 - Matrice finale'!N58</f>
        <v>0</v>
      </c>
      <c r="AO68" s="282">
        <f>'2 - Matrice finale'!O58</f>
        <v>0</v>
      </c>
      <c r="AP68" s="282">
        <f>'2 - Matrice finale'!P58</f>
        <v>0</v>
      </c>
      <c r="AQ68" s="282">
        <f>'2 - Matrice finale'!Q58</f>
        <v>0</v>
      </c>
      <c r="AR68" s="282">
        <f>'2 - Matrice finale'!R58</f>
        <v>0</v>
      </c>
      <c r="AS68" s="282">
        <f>'2 - Matrice finale'!S58</f>
        <v>0</v>
      </c>
      <c r="AT68" s="282">
        <f>'2 - Matrice finale'!T58</f>
        <v>0</v>
      </c>
      <c r="AU68" s="282">
        <f>'2 - Matrice finale'!U58</f>
        <v>0</v>
      </c>
      <c r="AV68" s="282">
        <f>'2 - Matrice finale'!V58</f>
        <v>0</v>
      </c>
      <c r="AW68" s="282">
        <f>'2 - Matrice finale'!W58</f>
        <v>0</v>
      </c>
      <c r="AX68" s="282">
        <f>'2 - Matrice finale'!X58</f>
        <v>0</v>
      </c>
      <c r="AY68" s="282">
        <f>'2 - Matrice finale'!Y58</f>
        <v>0</v>
      </c>
      <c r="AZ68" s="282">
        <f>'2 - Matrice finale'!Z58</f>
        <v>0</v>
      </c>
      <c r="BA68" s="285"/>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row>
  </sheetData>
  <sheetProtection sheet="1" objects="1" scenarios="1" formatCells="0" formatColumns="0" formatRows="0"/>
  <mergeCells count="7">
    <mergeCell ref="CD3:DB3"/>
    <mergeCell ref="AC2:AE2"/>
    <mergeCell ref="B3:Z3"/>
    <mergeCell ref="AC3:AZ3"/>
    <mergeCell ref="BA3:BA4"/>
    <mergeCell ref="BC3:CA3"/>
    <mergeCell ref="CB3:CB4"/>
  </mergeCells>
  <conditionalFormatting sqref="A58:A64">
    <cfRule type="expression" dxfId="56" priority="2">
      <formula>OR(XFD58="Amortissement extra-comptable",XFD58="Reprise extra-comptable",XFD58="Non incorporable")</formula>
    </cfRule>
    <cfRule type="expression" dxfId="55" priority="3">
      <formula>AND(A58=0,OR(XFD58="Incorporable",XFD58="Supplétif",XFD58="Reprise",XFD58="Amortissement",XFD58="Atténuation de produit",XFD58="atténuation de charge"))</formula>
    </cfRule>
  </conditionalFormatting>
  <conditionalFormatting sqref="A68">
    <cfRule type="duplicateValues" dxfId="54" priority="1"/>
  </conditionalFormatting>
  <dataValidations count="1">
    <dataValidation type="list" showInputMessage="1" showErrorMessage="1" sqref="AB3 A58:A64" xr:uid="{00000000-0002-0000-1000-000000000000}">
      <formula1>OFFSET(CODE_1,0,0,COUNTA(CODE),1)</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DC68"/>
  <sheetViews>
    <sheetView showGridLines="0" zoomScaleNormal="100" workbookViewId="0">
      <pane xSplit="27" ySplit="4" topLeftCell="AB5" activePane="bottomRight" state="frozen"/>
      <selection pane="topRight" activeCell="AB55" sqref="AB55"/>
      <selection pane="bottomLeft" activeCell="AB55" sqref="AB55"/>
      <selection pane="bottomRight" activeCell="AE8" sqref="AE8"/>
    </sheetView>
  </sheetViews>
  <sheetFormatPr baseColWidth="10" defaultColWidth="11.44140625" defaultRowHeight="13.2" x14ac:dyDescent="0.25"/>
  <cols>
    <col min="1" max="1" width="36" style="20" customWidth="1"/>
    <col min="2" max="2" width="10.33203125" style="20" hidden="1" customWidth="1"/>
    <col min="3" max="26" width="8.5546875" style="20" hidden="1" customWidth="1"/>
    <col min="27" max="27" width="3.6640625" style="7" hidden="1" customWidth="1"/>
    <col min="28" max="32" width="13.44140625" style="7" customWidth="1"/>
    <col min="33" max="35" width="13.44140625" style="7" hidden="1" customWidth="1"/>
    <col min="36" max="52" width="2.44140625" style="7" hidden="1" customWidth="1"/>
    <col min="53" max="53" width="12.88671875" style="7" customWidth="1"/>
    <col min="54" max="54" width="2.44140625" style="7" customWidth="1"/>
    <col min="55" max="59" width="13.44140625" style="7" customWidth="1"/>
    <col min="60" max="62" width="13.44140625" style="7" hidden="1" customWidth="1"/>
    <col min="63" max="79" width="2.44140625" style="7" hidden="1" customWidth="1"/>
    <col min="80" max="80" width="12.88671875" style="7" customWidth="1"/>
    <col min="81" max="81" width="2.44140625" style="7" customWidth="1"/>
    <col min="82" max="106" width="11.44140625" style="7" hidden="1" customWidth="1"/>
    <col min="107" max="16384" width="11.44140625" style="7"/>
  </cols>
  <sheetData>
    <row r="1" spans="1:106" ht="21" x14ac:dyDescent="0.4">
      <c r="A1" s="19" t="s">
        <v>1106</v>
      </c>
    </row>
    <row r="2" spans="1:106" ht="16.2" thickBot="1" x14ac:dyDescent="0.35">
      <c r="A2" s="7"/>
      <c r="AA2" s="196"/>
      <c r="AC2" s="740" t="s">
        <v>245</v>
      </c>
      <c r="AD2" s="741"/>
      <c r="AE2" s="741"/>
      <c r="BA2" s="53" t="str">
        <f ca="1">IF(AND(CELL("format",BA53)="%0",BA53&lt;&gt;1,BA53&gt;0),"Le total ne fait pas 100%","")</f>
        <v/>
      </c>
      <c r="BC2" s="196"/>
      <c r="BD2" s="196"/>
      <c r="BE2" s="196"/>
      <c r="BF2" s="196"/>
      <c r="BG2" s="196"/>
      <c r="BH2" s="196"/>
      <c r="BI2" s="196"/>
      <c r="BJ2" s="196"/>
      <c r="BK2" s="196"/>
      <c r="BL2" s="196"/>
      <c r="BM2" s="196"/>
      <c r="BN2" s="196"/>
      <c r="BO2" s="196"/>
      <c r="BP2" s="196"/>
      <c r="BQ2" s="196"/>
      <c r="BR2" s="196"/>
      <c r="BS2" s="196"/>
      <c r="BT2" s="196"/>
      <c r="BU2" s="196"/>
      <c r="BV2" s="196"/>
      <c r="BW2" s="196"/>
      <c r="BX2" s="196"/>
      <c r="BY2" s="196"/>
      <c r="BZ2" s="196"/>
      <c r="CA2" s="196"/>
      <c r="CB2" s="196"/>
    </row>
    <row r="3" spans="1:106" ht="39" customHeight="1" thickBot="1" x14ac:dyDescent="0.3">
      <c r="A3" s="184"/>
      <c r="B3" s="742" t="s">
        <v>1098</v>
      </c>
      <c r="C3" s="743"/>
      <c r="D3" s="743"/>
      <c r="E3" s="743"/>
      <c r="F3" s="743"/>
      <c r="G3" s="743"/>
      <c r="H3" s="743"/>
      <c r="I3" s="743"/>
      <c r="J3" s="743"/>
      <c r="K3" s="743"/>
      <c r="L3" s="743"/>
      <c r="M3" s="743"/>
      <c r="N3" s="743"/>
      <c r="O3" s="743"/>
      <c r="P3" s="743"/>
      <c r="Q3" s="743"/>
      <c r="R3" s="743"/>
      <c r="S3" s="743"/>
      <c r="T3" s="743"/>
      <c r="U3" s="743"/>
      <c r="V3" s="743"/>
      <c r="W3" s="743"/>
      <c r="X3" s="743"/>
      <c r="Y3" s="743"/>
      <c r="Z3" s="744"/>
      <c r="AB3" s="190"/>
      <c r="AC3" s="745"/>
      <c r="AD3" s="746"/>
      <c r="AE3" s="746"/>
      <c r="AF3" s="746"/>
      <c r="AG3" s="746"/>
      <c r="AH3" s="746"/>
      <c r="AI3" s="746"/>
      <c r="AJ3" s="746"/>
      <c r="AK3" s="746"/>
      <c r="AL3" s="746"/>
      <c r="AM3" s="746"/>
      <c r="AN3" s="746"/>
      <c r="AO3" s="746"/>
      <c r="AP3" s="746"/>
      <c r="AQ3" s="746"/>
      <c r="AR3" s="746"/>
      <c r="AS3" s="746"/>
      <c r="AT3" s="746"/>
      <c r="AU3" s="746"/>
      <c r="AV3" s="746"/>
      <c r="AW3" s="746"/>
      <c r="AX3" s="746"/>
      <c r="AY3" s="746"/>
      <c r="AZ3" s="747"/>
      <c r="BA3" s="748" t="s">
        <v>172</v>
      </c>
      <c r="BC3" s="674" t="s">
        <v>1099</v>
      </c>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t="s">
        <v>172</v>
      </c>
      <c r="CD3" s="737" t="s">
        <v>1100</v>
      </c>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9"/>
    </row>
    <row r="4" spans="1:106" ht="42" customHeight="1" x14ac:dyDescent="0.25">
      <c r="A4" s="44" t="s">
        <v>173</v>
      </c>
      <c r="B4" s="640" t="str">
        <f>Matrice[[#Headers],[OMR]]</f>
        <v>OMR</v>
      </c>
      <c r="C4" s="640" t="str">
        <f>Matrice[[#Headers],[Verre]]</f>
        <v>Verre</v>
      </c>
      <c r="D4" s="640" t="str">
        <f>Matrice[[#Headers],[RSOM hors verre]]</f>
        <v>RSOM hors verre</v>
      </c>
      <c r="E4" s="640" t="str">
        <f>Matrice[[#Headers],[Déchets des déchèteries]]</f>
        <v>Déchets des déchèteries</v>
      </c>
      <c r="F4" s="640" t="str">
        <f>Matrice[[#Headers],[Flux 5]]</f>
        <v>Flux 5</v>
      </c>
      <c r="G4" s="640" t="str">
        <f>Matrice[[#Headers],[Flux 6]]</f>
        <v>Flux 6</v>
      </c>
      <c r="H4" s="640" t="str">
        <f>Matrice[[#Headers],[Flux 7]]</f>
        <v>Flux 7</v>
      </c>
      <c r="I4" s="640" t="str">
        <f>Matrice[[#Headers],[Flux 8]]</f>
        <v>Flux 8</v>
      </c>
      <c r="J4" s="640" t="str">
        <f>Matrice[[#Headers],[Flux 9]]</f>
        <v>Flux 9</v>
      </c>
      <c r="K4" s="640" t="str">
        <f>Matrice[[#Headers],[Flux 10]]</f>
        <v>Flux 10</v>
      </c>
      <c r="L4" s="640" t="str">
        <f>Matrice[[#Headers],[Flux 11]]</f>
        <v>Flux 11</v>
      </c>
      <c r="M4" s="640" t="str">
        <f>Matrice[[#Headers],[Flux 12]]</f>
        <v>Flux 12</v>
      </c>
      <c r="N4" s="640" t="str">
        <f>Matrice[[#Headers],[Flux 13]]</f>
        <v>Flux 13</v>
      </c>
      <c r="O4" s="640" t="str">
        <f>Matrice[[#Headers],[Flux 14]]</f>
        <v>Flux 14</v>
      </c>
      <c r="P4" s="640" t="str">
        <f>Matrice[[#Headers],[Flux 15]]</f>
        <v>Flux 15</v>
      </c>
      <c r="Q4" s="640" t="str">
        <f>Matrice[[#Headers],[Flux 16]]</f>
        <v>Flux 16</v>
      </c>
      <c r="R4" s="640" t="str">
        <f>Matrice[[#Headers],[Flux 17]]</f>
        <v>Flux 17</v>
      </c>
      <c r="S4" s="640" t="str">
        <f>Matrice[[#Headers],[Flux 18]]</f>
        <v>Flux 18</v>
      </c>
      <c r="T4" s="640" t="str">
        <f>Matrice[[#Headers],[Flux 19]]</f>
        <v>Flux 19</v>
      </c>
      <c r="U4" s="640" t="str">
        <f>Matrice[[#Headers],[Flux 20]]</f>
        <v>Flux 20</v>
      </c>
      <c r="V4" s="640" t="str">
        <f>Matrice[[#Headers],[Flux 21]]</f>
        <v>Flux 21</v>
      </c>
      <c r="W4" s="640" t="str">
        <f>Matrice[[#Headers],[Flux 22]]</f>
        <v>Flux 22</v>
      </c>
      <c r="X4" s="640" t="str">
        <f>Matrice[[#Headers],[Flux 23]]</f>
        <v>Flux 23</v>
      </c>
      <c r="Y4" s="640" t="str">
        <f>Matrice[[#Headers],[Flux 24]]</f>
        <v>Flux 24</v>
      </c>
      <c r="Z4" s="640" t="str">
        <f>Matrice[[#Headers],[Flux 25]]</f>
        <v>Flux 25</v>
      </c>
      <c r="AA4" s="197"/>
      <c r="AB4" s="640" t="str">
        <f t="shared" ref="AB4:AZ4" si="0">B4</f>
        <v>OMR</v>
      </c>
      <c r="AC4" s="187" t="str">
        <f t="shared" si="0"/>
        <v>Verre</v>
      </c>
      <c r="AD4" s="187" t="str">
        <f t="shared" si="0"/>
        <v>RSOM hors verre</v>
      </c>
      <c r="AE4" s="187" t="str">
        <f t="shared" si="0"/>
        <v>Déchets des déchèteries</v>
      </c>
      <c r="AF4" s="187" t="str">
        <f t="shared" si="0"/>
        <v>Flux 5</v>
      </c>
      <c r="AG4" s="187" t="str">
        <f t="shared" si="0"/>
        <v>Flux 6</v>
      </c>
      <c r="AH4" s="187" t="str">
        <f t="shared" si="0"/>
        <v>Flux 7</v>
      </c>
      <c r="AI4" s="187" t="str">
        <f t="shared" si="0"/>
        <v>Flux 8</v>
      </c>
      <c r="AJ4" s="187" t="str">
        <f t="shared" si="0"/>
        <v>Flux 9</v>
      </c>
      <c r="AK4" s="187" t="str">
        <f t="shared" si="0"/>
        <v>Flux 10</v>
      </c>
      <c r="AL4" s="187" t="str">
        <f t="shared" si="0"/>
        <v>Flux 11</v>
      </c>
      <c r="AM4" s="187" t="str">
        <f t="shared" si="0"/>
        <v>Flux 12</v>
      </c>
      <c r="AN4" s="187" t="str">
        <f t="shared" si="0"/>
        <v>Flux 13</v>
      </c>
      <c r="AO4" s="187" t="str">
        <f t="shared" si="0"/>
        <v>Flux 14</v>
      </c>
      <c r="AP4" s="187" t="str">
        <f t="shared" si="0"/>
        <v>Flux 15</v>
      </c>
      <c r="AQ4" s="187" t="str">
        <f t="shared" si="0"/>
        <v>Flux 16</v>
      </c>
      <c r="AR4" s="187" t="str">
        <f t="shared" si="0"/>
        <v>Flux 17</v>
      </c>
      <c r="AS4" s="187" t="str">
        <f t="shared" si="0"/>
        <v>Flux 18</v>
      </c>
      <c r="AT4" s="187" t="str">
        <f t="shared" si="0"/>
        <v>Flux 19</v>
      </c>
      <c r="AU4" s="187" t="str">
        <f t="shared" si="0"/>
        <v>Flux 20</v>
      </c>
      <c r="AV4" s="187" t="str">
        <f t="shared" si="0"/>
        <v>Flux 21</v>
      </c>
      <c r="AW4" s="187" t="str">
        <f t="shared" si="0"/>
        <v>Flux 22</v>
      </c>
      <c r="AX4" s="187" t="str">
        <f t="shared" si="0"/>
        <v>Flux 23</v>
      </c>
      <c r="AY4" s="187" t="str">
        <f t="shared" si="0"/>
        <v>Flux 24</v>
      </c>
      <c r="AZ4" s="187" t="str">
        <f t="shared" si="0"/>
        <v>Flux 25</v>
      </c>
      <c r="BA4" s="675"/>
      <c r="BC4" s="640" t="str">
        <f>AB4</f>
        <v>OMR</v>
      </c>
      <c r="BD4" s="640" t="str">
        <f t="shared" ref="BD4:CA4" si="1">AC4</f>
        <v>Verre</v>
      </c>
      <c r="BE4" s="640" t="str">
        <f t="shared" si="1"/>
        <v>RSOM hors verre</v>
      </c>
      <c r="BF4" s="640" t="str">
        <f t="shared" si="1"/>
        <v>Déchets des déchèteries</v>
      </c>
      <c r="BG4" s="640" t="str">
        <f t="shared" si="1"/>
        <v>Flux 5</v>
      </c>
      <c r="BH4" s="640" t="str">
        <f t="shared" si="1"/>
        <v>Flux 6</v>
      </c>
      <c r="BI4" s="640" t="str">
        <f t="shared" si="1"/>
        <v>Flux 7</v>
      </c>
      <c r="BJ4" s="640" t="str">
        <f t="shared" si="1"/>
        <v>Flux 8</v>
      </c>
      <c r="BK4" s="640" t="str">
        <f t="shared" si="1"/>
        <v>Flux 9</v>
      </c>
      <c r="BL4" s="640" t="str">
        <f t="shared" si="1"/>
        <v>Flux 10</v>
      </c>
      <c r="BM4" s="640" t="str">
        <f t="shared" si="1"/>
        <v>Flux 11</v>
      </c>
      <c r="BN4" s="640" t="str">
        <f t="shared" si="1"/>
        <v>Flux 12</v>
      </c>
      <c r="BO4" s="640" t="str">
        <f t="shared" si="1"/>
        <v>Flux 13</v>
      </c>
      <c r="BP4" s="640" t="str">
        <f t="shared" si="1"/>
        <v>Flux 14</v>
      </c>
      <c r="BQ4" s="640" t="str">
        <f t="shared" si="1"/>
        <v>Flux 15</v>
      </c>
      <c r="BR4" s="640" t="str">
        <f t="shared" si="1"/>
        <v>Flux 16</v>
      </c>
      <c r="BS4" s="640" t="str">
        <f t="shared" si="1"/>
        <v>Flux 17</v>
      </c>
      <c r="BT4" s="640" t="str">
        <f t="shared" si="1"/>
        <v>Flux 18</v>
      </c>
      <c r="BU4" s="640" t="str">
        <f t="shared" si="1"/>
        <v>Flux 19</v>
      </c>
      <c r="BV4" s="640" t="str">
        <f t="shared" si="1"/>
        <v>Flux 20</v>
      </c>
      <c r="BW4" s="640" t="str">
        <f t="shared" si="1"/>
        <v>Flux 21</v>
      </c>
      <c r="BX4" s="640" t="str">
        <f t="shared" si="1"/>
        <v>Flux 22</v>
      </c>
      <c r="BY4" s="640" t="str">
        <f t="shared" si="1"/>
        <v>Flux 23</v>
      </c>
      <c r="BZ4" s="640" t="str">
        <f t="shared" si="1"/>
        <v>Flux 24</v>
      </c>
      <c r="CA4" s="640" t="str">
        <f t="shared" si="1"/>
        <v>Flux 25</v>
      </c>
      <c r="CB4" s="675"/>
      <c r="CD4" s="185" t="str">
        <f>Matrice[[#Headers],[OMR]]</f>
        <v>OMR</v>
      </c>
      <c r="CE4" s="185" t="str">
        <f>Matrice[[#Headers],[Verre]]</f>
        <v>Verre</v>
      </c>
      <c r="CF4" s="185" t="str">
        <f>Matrice[[#Headers],[RSOM hors verre]]</f>
        <v>RSOM hors verre</v>
      </c>
      <c r="CG4" s="185" t="str">
        <f>Matrice[[#Headers],[Déchets des déchèteries]]</f>
        <v>Déchets des déchèteries</v>
      </c>
      <c r="CH4" s="185" t="str">
        <f>Matrice[[#Headers],[Flux 5]]</f>
        <v>Flux 5</v>
      </c>
      <c r="CI4" s="185" t="str">
        <f>Matrice[[#Headers],[Flux 6]]</f>
        <v>Flux 6</v>
      </c>
      <c r="CJ4" s="185" t="str">
        <f>Matrice[[#Headers],[Flux 7]]</f>
        <v>Flux 7</v>
      </c>
      <c r="CK4" s="185" t="str">
        <f>Matrice[[#Headers],[Flux 8]]</f>
        <v>Flux 8</v>
      </c>
      <c r="CL4" s="185" t="str">
        <f>Matrice[[#Headers],[Flux 9]]</f>
        <v>Flux 9</v>
      </c>
      <c r="CM4" s="185" t="str">
        <f>Matrice[[#Headers],[Flux 10]]</f>
        <v>Flux 10</v>
      </c>
      <c r="CN4" s="185" t="str">
        <f>Matrice[[#Headers],[Flux 11]]</f>
        <v>Flux 11</v>
      </c>
      <c r="CO4" s="185" t="str">
        <f>Matrice[[#Headers],[Flux 12]]</f>
        <v>Flux 12</v>
      </c>
      <c r="CP4" s="185" t="str">
        <f>Matrice[[#Headers],[Flux 13]]</f>
        <v>Flux 13</v>
      </c>
      <c r="CQ4" s="185" t="str">
        <f>Matrice[[#Headers],[Flux 14]]</f>
        <v>Flux 14</v>
      </c>
      <c r="CR4" s="185" t="str">
        <f>Matrice[[#Headers],[Flux 15]]</f>
        <v>Flux 15</v>
      </c>
      <c r="CS4" s="185" t="str">
        <f>Matrice[[#Headers],[Flux 16]]</f>
        <v>Flux 16</v>
      </c>
      <c r="CT4" s="185" t="str">
        <f>Matrice[[#Headers],[Flux 17]]</f>
        <v>Flux 17</v>
      </c>
      <c r="CU4" s="185" t="str">
        <f>Matrice[[#Headers],[Flux 18]]</f>
        <v>Flux 18</v>
      </c>
      <c r="CV4" s="185" t="str">
        <f>Matrice[[#Headers],[Flux 19]]</f>
        <v>Flux 19</v>
      </c>
      <c r="CW4" s="185" t="str">
        <f>Matrice[[#Headers],[Flux 20]]</f>
        <v>Flux 20</v>
      </c>
      <c r="CX4" s="185" t="str">
        <f>Matrice[[#Headers],[Flux 21]]</f>
        <v>Flux 21</v>
      </c>
      <c r="CY4" s="185" t="str">
        <f>Matrice[[#Headers],[Flux 22]]</f>
        <v>Flux 22</v>
      </c>
      <c r="CZ4" s="185" t="str">
        <f>Matrice[[#Headers],[Flux 23]]</f>
        <v>Flux 23</v>
      </c>
      <c r="DA4" s="185" t="str">
        <f>Matrice[[#Headers],[Flux 24]]</f>
        <v>Flux 24</v>
      </c>
      <c r="DB4" s="185" t="str">
        <f>Matrice[[#Headers],[Flux 25]]</f>
        <v>Flux 25</v>
      </c>
    </row>
    <row r="5" spans="1:106" x14ac:dyDescent="0.25">
      <c r="A5" s="42" t="str">
        <f>Matrice[[#This Row],[Ligne de la matrice]]</f>
        <v>Charges de structure</v>
      </c>
      <c r="B5" s="276">
        <f>(SUMIF(Fonctionnement[Affectation matrice],$AB$3,Fonctionnement[Montant (€HT)])+SUMIF(Invest[Affectation matrice],$AB$3,Invest[Amortissement HT + intérêts]))*BC5</f>
        <v>0</v>
      </c>
      <c r="C5" s="276">
        <f>(SUMIF(Fonctionnement[Affectation matrice],$AB$3,Fonctionnement[Montant (€HT)])+SUMIF(Invest[Affectation matrice],$AB$3,Invest[Amortissement HT + intérêts]))*BD5</f>
        <v>0</v>
      </c>
      <c r="D5" s="276">
        <f>(SUMIF(Fonctionnement[Affectation matrice],$AB$3,Fonctionnement[Montant (€HT)])+SUMIF(Invest[Affectation matrice],$AB$3,Invest[Amortissement HT + intérêts]))*BE5</f>
        <v>0</v>
      </c>
      <c r="E5" s="276">
        <f>(SUMIF(Fonctionnement[Affectation matrice],$AB$3,Fonctionnement[Montant (€HT)])+SUMIF(Invest[Affectation matrice],$AB$3,Invest[Amortissement HT + intérêts]))*BF5</f>
        <v>0</v>
      </c>
      <c r="F5" s="276">
        <f>(SUMIF(Fonctionnement[Affectation matrice],$AB$3,Fonctionnement[Montant (€HT)])+SUMIF(Invest[Affectation matrice],$AB$3,Invest[Amortissement HT + intérêts]))*BG5</f>
        <v>0</v>
      </c>
      <c r="G5" s="276">
        <f>(SUMIF(Fonctionnement[Affectation matrice],$AB$3,Fonctionnement[Montant (€HT)])+SUMIF(Invest[Affectation matrice],$AB$3,Invest[Amortissement HT + intérêts]))*BH5</f>
        <v>0</v>
      </c>
      <c r="H5" s="276">
        <f>(SUMIF(Fonctionnement[Affectation matrice],$AB$3,Fonctionnement[Montant (€HT)])+SUMIF(Invest[Affectation matrice],$AB$3,Invest[Amortissement HT + intérêts]))*BI5</f>
        <v>0</v>
      </c>
      <c r="I5" s="276">
        <f>(SUMIF(Fonctionnement[Affectation matrice],$AB$3,Fonctionnement[Montant (€HT)])+SUMIF(Invest[Affectation matrice],$AB$3,Invest[Amortissement HT + intérêts]))*BJ5</f>
        <v>0</v>
      </c>
      <c r="J5" s="276">
        <f>(SUMIF(Fonctionnement[Affectation matrice],$AB$3,Fonctionnement[Montant (€HT)])+SUMIF(Invest[Affectation matrice],$AB$3,Invest[Amortissement HT + intérêts]))*BK5</f>
        <v>0</v>
      </c>
      <c r="K5" s="276">
        <f>(SUMIF(Fonctionnement[Affectation matrice],$AB$3,Fonctionnement[Montant (€HT)])+SUMIF(Invest[Affectation matrice],$AB$3,Invest[Amortissement HT + intérêts]))*BL5</f>
        <v>0</v>
      </c>
      <c r="L5" s="276">
        <f>(SUMIF(Fonctionnement[Affectation matrice],$AB$3,Fonctionnement[Montant (€HT)])+SUMIF(Invest[Affectation matrice],$AB$3,Invest[Amortissement HT + intérêts]))*BM5</f>
        <v>0</v>
      </c>
      <c r="M5" s="276">
        <f>(SUMIF(Fonctionnement[Affectation matrice],$AB$3,Fonctionnement[Montant (€HT)])+SUMIF(Invest[Affectation matrice],$AB$3,Invest[Amortissement HT + intérêts]))*BN5</f>
        <v>0</v>
      </c>
      <c r="N5" s="276">
        <f>(SUMIF(Fonctionnement[Affectation matrice],$AB$3,Fonctionnement[Montant (€HT)])+SUMIF(Invest[Affectation matrice],$AB$3,Invest[Amortissement HT + intérêts]))*BO5</f>
        <v>0</v>
      </c>
      <c r="O5" s="276">
        <f>(SUMIF(Fonctionnement[Affectation matrice],$AB$3,Fonctionnement[Montant (€HT)])+SUMIF(Invest[Affectation matrice],$AB$3,Invest[Amortissement HT + intérêts]))*BP5</f>
        <v>0</v>
      </c>
      <c r="P5" s="276">
        <f>(SUMIF(Fonctionnement[Affectation matrice],$AB$3,Fonctionnement[Montant (€HT)])+SUMIF(Invest[Affectation matrice],$AB$3,Invest[Amortissement HT + intérêts]))*BQ5</f>
        <v>0</v>
      </c>
      <c r="Q5" s="276">
        <f>(SUMIF(Fonctionnement[Affectation matrice],$AB$3,Fonctionnement[Montant (€HT)])+SUMIF(Invest[Affectation matrice],$AB$3,Invest[Amortissement HT + intérêts]))*BR5</f>
        <v>0</v>
      </c>
      <c r="R5" s="276">
        <f>(SUMIF(Fonctionnement[Affectation matrice],$AB$3,Fonctionnement[Montant (€HT)])+SUMIF(Invest[Affectation matrice],$AB$3,Invest[Amortissement HT + intérêts]))*BS5</f>
        <v>0</v>
      </c>
      <c r="S5" s="276">
        <f>(SUMIF(Fonctionnement[Affectation matrice],$AB$3,Fonctionnement[Montant (€HT)])+SUMIF(Invest[Affectation matrice],$AB$3,Invest[Amortissement HT + intérêts]))*BT5</f>
        <v>0</v>
      </c>
      <c r="T5" s="276">
        <f>(SUMIF(Fonctionnement[Affectation matrice],$AB$3,Fonctionnement[Montant (€HT)])+SUMIF(Invest[Affectation matrice],$AB$3,Invest[Amortissement HT + intérêts]))*BU5</f>
        <v>0</v>
      </c>
      <c r="U5" s="276">
        <f>(SUMIF(Fonctionnement[Affectation matrice],$AB$3,Fonctionnement[Montant (€HT)])+SUMIF(Invest[Affectation matrice],$AB$3,Invest[Amortissement HT + intérêts]))*BV5</f>
        <v>0</v>
      </c>
      <c r="V5" s="276">
        <f>(SUMIF(Fonctionnement[Affectation matrice],$AB$3,Fonctionnement[Montant (€HT)])+SUMIF(Invest[Affectation matrice],$AB$3,Invest[Amortissement HT + intérêts]))*BW5</f>
        <v>0</v>
      </c>
      <c r="W5" s="276">
        <f>(SUMIF(Fonctionnement[Affectation matrice],$AB$3,Fonctionnement[Montant (€HT)])+SUMIF(Invest[Affectation matrice],$AB$3,Invest[Amortissement HT + intérêts]))*BX5</f>
        <v>0</v>
      </c>
      <c r="X5" s="276">
        <f>(SUMIF(Fonctionnement[Affectation matrice],$AB$3,Fonctionnement[Montant (€HT)])+SUMIF(Invest[Affectation matrice],$AB$3,Invest[Amortissement HT + intérêts]))*BY5</f>
        <v>0</v>
      </c>
      <c r="Y5" s="276">
        <f>(SUMIF(Fonctionnement[Affectation matrice],$AB$3,Fonctionnement[Montant (€HT)])+SUMIF(Invest[Affectation matrice],$AB$3,Invest[Amortissement HT + intérêts]))*BZ5</f>
        <v>0</v>
      </c>
      <c r="Z5" s="276">
        <f>(SUMIF(Fonctionnement[Affectation matrice],$AB$3,Fonctionnement[Montant (€HT)])+SUMIF(Invest[Affectation matrice],$AB$3,Invest[Amortissement HT + intérêts]))*CA5</f>
        <v>0</v>
      </c>
      <c r="AA5" s="199"/>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83">
        <f>SUM(AB5:AZ5)</f>
        <v>0</v>
      </c>
      <c r="BC5" s="61">
        <f t="shared" ref="BC5:BR20" si="2">IF($BA$53=0,0,AB5/$BA$53)</f>
        <v>0</v>
      </c>
      <c r="BD5" s="61">
        <f t="shared" si="2"/>
        <v>0</v>
      </c>
      <c r="BE5" s="61">
        <f t="shared" si="2"/>
        <v>0</v>
      </c>
      <c r="BF5" s="61">
        <f t="shared" si="2"/>
        <v>0</v>
      </c>
      <c r="BG5" s="61">
        <f t="shared" si="2"/>
        <v>0</v>
      </c>
      <c r="BH5" s="61">
        <f t="shared" si="2"/>
        <v>0</v>
      </c>
      <c r="BI5" s="61">
        <f t="shared" si="2"/>
        <v>0</v>
      </c>
      <c r="BJ5" s="61">
        <f t="shared" si="2"/>
        <v>0</v>
      </c>
      <c r="BK5" s="61">
        <f t="shared" si="2"/>
        <v>0</v>
      </c>
      <c r="BL5" s="61">
        <f t="shared" si="2"/>
        <v>0</v>
      </c>
      <c r="BM5" s="61">
        <f t="shared" si="2"/>
        <v>0</v>
      </c>
      <c r="BN5" s="61">
        <f t="shared" si="2"/>
        <v>0</v>
      </c>
      <c r="BO5" s="61">
        <f t="shared" si="2"/>
        <v>0</v>
      </c>
      <c r="BP5" s="61">
        <f t="shared" si="2"/>
        <v>0</v>
      </c>
      <c r="BQ5" s="61">
        <f t="shared" si="2"/>
        <v>0</v>
      </c>
      <c r="BR5" s="61">
        <f t="shared" si="2"/>
        <v>0</v>
      </c>
      <c r="BS5" s="61">
        <f t="shared" ref="BS5:CA22" si="3">IF($BA$53=0,0,AR5/$BA$53)</f>
        <v>0</v>
      </c>
      <c r="BT5" s="61">
        <f t="shared" si="3"/>
        <v>0</v>
      </c>
      <c r="BU5" s="61">
        <f t="shared" si="3"/>
        <v>0</v>
      </c>
      <c r="BV5" s="61">
        <f t="shared" si="3"/>
        <v>0</v>
      </c>
      <c r="BW5" s="61">
        <f t="shared" si="3"/>
        <v>0</v>
      </c>
      <c r="BX5" s="61">
        <f t="shared" si="3"/>
        <v>0</v>
      </c>
      <c r="BY5" s="61">
        <f t="shared" si="3"/>
        <v>0</v>
      </c>
      <c r="BZ5" s="61">
        <f t="shared" si="3"/>
        <v>0</v>
      </c>
      <c r="CA5" s="61">
        <f t="shared" si="3"/>
        <v>0</v>
      </c>
      <c r="CB5" s="61">
        <f>SUM(BC5:CA5)</f>
        <v>0</v>
      </c>
      <c r="CD5" s="200">
        <f>(SUMIF(Fonctionnement[Affectation matrice],$AB$3,Fonctionnement[TVA acquittée])+SUMIF(Invest[Affectation matrice],$AB$3,Invest[TVA acquittée]))*BC5</f>
        <v>0</v>
      </c>
      <c r="CE5" s="200">
        <f>(SUMIF(Fonctionnement[Affectation matrice],$AB$3,Fonctionnement[TVA acquittée])+SUMIF(Invest[Affectation matrice],$AB$3,Invest[TVA acquittée]))*BD5</f>
        <v>0</v>
      </c>
      <c r="CF5" s="200">
        <f>(SUMIF(Fonctionnement[Affectation matrice],$AB$3,Fonctionnement[TVA acquittée])+SUMIF(Invest[Affectation matrice],$AB$3,Invest[TVA acquittée]))*BE5</f>
        <v>0</v>
      </c>
      <c r="CG5" s="200">
        <f>(SUMIF(Fonctionnement[Affectation matrice],$AB$3,Fonctionnement[TVA acquittée])+SUMIF(Invest[Affectation matrice],$AB$3,Invest[TVA acquittée]))*BF5</f>
        <v>0</v>
      </c>
      <c r="CH5" s="200">
        <f>(SUMIF(Fonctionnement[Affectation matrice],$AB$3,Fonctionnement[TVA acquittée])+SUMIF(Invest[Affectation matrice],$AB$3,Invest[TVA acquittée]))*BG5</f>
        <v>0</v>
      </c>
      <c r="CI5" s="200">
        <f>(SUMIF(Fonctionnement[Affectation matrice],$AB$3,Fonctionnement[TVA acquittée])+SUMIF(Invest[Affectation matrice],$AB$3,Invest[TVA acquittée]))*BH5</f>
        <v>0</v>
      </c>
      <c r="CJ5" s="200">
        <f>(SUMIF(Fonctionnement[Affectation matrice],$AB$3,Fonctionnement[TVA acquittée])+SUMIF(Invest[Affectation matrice],$AB$3,Invest[TVA acquittée]))*BI5</f>
        <v>0</v>
      </c>
      <c r="CK5" s="200">
        <f>(SUMIF(Fonctionnement[Affectation matrice],$AB$3,Fonctionnement[TVA acquittée])+SUMIF(Invest[Affectation matrice],$AB$3,Invest[TVA acquittée]))*BJ5</f>
        <v>0</v>
      </c>
      <c r="CL5" s="200">
        <f>(SUMIF(Fonctionnement[Affectation matrice],$AB$3,Fonctionnement[TVA acquittée])+SUMIF(Invest[Affectation matrice],$AB$3,Invest[TVA acquittée]))*BK5</f>
        <v>0</v>
      </c>
      <c r="CM5" s="200">
        <f>(SUMIF(Fonctionnement[Affectation matrice],$AB$3,Fonctionnement[TVA acquittée])+SUMIF(Invest[Affectation matrice],$AB$3,Invest[TVA acquittée]))*BL5</f>
        <v>0</v>
      </c>
      <c r="CN5" s="200">
        <f>(SUMIF(Fonctionnement[Affectation matrice],$AB$3,Fonctionnement[TVA acquittée])+SUMIF(Invest[Affectation matrice],$AB$3,Invest[TVA acquittée]))*BM5</f>
        <v>0</v>
      </c>
      <c r="CO5" s="200">
        <f>(SUMIF(Fonctionnement[Affectation matrice],$AB$3,Fonctionnement[TVA acquittée])+SUMIF(Invest[Affectation matrice],$AB$3,Invest[TVA acquittée]))*BN5</f>
        <v>0</v>
      </c>
      <c r="CP5" s="200">
        <f>(SUMIF(Fonctionnement[Affectation matrice],$AB$3,Fonctionnement[TVA acquittée])+SUMIF(Invest[Affectation matrice],$AB$3,Invest[TVA acquittée]))*BO5</f>
        <v>0</v>
      </c>
      <c r="CQ5" s="200">
        <f>(SUMIF(Fonctionnement[Affectation matrice],$AB$3,Fonctionnement[TVA acquittée])+SUMIF(Invest[Affectation matrice],$AB$3,Invest[TVA acquittée]))*BP5</f>
        <v>0</v>
      </c>
      <c r="CR5" s="200">
        <f>(SUMIF(Fonctionnement[Affectation matrice],$AB$3,Fonctionnement[TVA acquittée])+SUMIF(Invest[Affectation matrice],$AB$3,Invest[TVA acquittée]))*BQ5</f>
        <v>0</v>
      </c>
      <c r="CS5" s="200">
        <f>(SUMIF(Fonctionnement[Affectation matrice],$AB$3,Fonctionnement[TVA acquittée])+SUMIF(Invest[Affectation matrice],$AB$3,Invest[TVA acquittée]))*BR5</f>
        <v>0</v>
      </c>
      <c r="CT5" s="200">
        <f>(SUMIF(Fonctionnement[Affectation matrice],$AB$3,Fonctionnement[TVA acquittée])+SUMIF(Invest[Affectation matrice],$AB$3,Invest[TVA acquittée]))*BS5</f>
        <v>0</v>
      </c>
      <c r="CU5" s="200">
        <f>(SUMIF(Fonctionnement[Affectation matrice],$AB$3,Fonctionnement[TVA acquittée])+SUMIF(Invest[Affectation matrice],$AB$3,Invest[TVA acquittée]))*BT5</f>
        <v>0</v>
      </c>
      <c r="CV5" s="200">
        <f>(SUMIF(Fonctionnement[Affectation matrice],$AB$3,Fonctionnement[TVA acquittée])+SUMIF(Invest[Affectation matrice],$AB$3,Invest[TVA acquittée]))*BU5</f>
        <v>0</v>
      </c>
      <c r="CW5" s="200">
        <f>(SUMIF(Fonctionnement[Affectation matrice],$AB$3,Fonctionnement[TVA acquittée])+SUMIF(Invest[Affectation matrice],$AB$3,Invest[TVA acquittée]))*BV5</f>
        <v>0</v>
      </c>
      <c r="CX5" s="200">
        <f>(SUMIF(Fonctionnement[Affectation matrice],$AB$3,Fonctionnement[TVA acquittée])+SUMIF(Invest[Affectation matrice],$AB$3,Invest[TVA acquittée]))*BW5</f>
        <v>0</v>
      </c>
      <c r="CY5" s="200">
        <f>(SUMIF(Fonctionnement[Affectation matrice],$AB$3,Fonctionnement[TVA acquittée])+SUMIF(Invest[Affectation matrice],$AB$3,Invest[TVA acquittée]))*BX5</f>
        <v>0</v>
      </c>
      <c r="CZ5" s="200">
        <f>(SUMIF(Fonctionnement[Affectation matrice],$AB$3,Fonctionnement[TVA acquittée])+SUMIF(Invest[Affectation matrice],$AB$3,Invest[TVA acquittée]))*BY5</f>
        <v>0</v>
      </c>
      <c r="DA5" s="200">
        <f>(SUMIF(Fonctionnement[Affectation matrice],$AB$3,Fonctionnement[TVA acquittée])+SUMIF(Invest[Affectation matrice],$AB$3,Invest[TVA acquittée]))*BZ5</f>
        <v>0</v>
      </c>
      <c r="DB5" s="200">
        <f>(SUMIF(Fonctionnement[Affectation matrice],$AB$3,Fonctionnement[TVA acquittée])+SUMIF(Invest[Affectation matrice],$AB$3,Invest[TVA acquittée]))*CA5</f>
        <v>0</v>
      </c>
    </row>
    <row r="6" spans="1:106" ht="15" customHeight="1" x14ac:dyDescent="0.25">
      <c r="A6" s="42" t="str">
        <f>Matrice[[#This Row],[Ligne de la matrice]]</f>
        <v>Communication</v>
      </c>
      <c r="B6" s="276">
        <f>(SUMIF(Fonctionnement[Affectation matrice],$AB$3,Fonctionnement[Montant (€HT)])+SUMIF(Invest[Affectation matrice],$AB$3,Invest[Amortissement HT + intérêts]))*BC6</f>
        <v>0</v>
      </c>
      <c r="C6" s="276">
        <f>(SUMIF(Fonctionnement[Affectation matrice],$AB$3,Fonctionnement[Montant (€HT)])+SUMIF(Invest[Affectation matrice],$AB$3,Invest[Amortissement HT + intérêts]))*BD6</f>
        <v>0</v>
      </c>
      <c r="D6" s="276">
        <f>(SUMIF(Fonctionnement[Affectation matrice],$AB$3,Fonctionnement[Montant (€HT)])+SUMIF(Invest[Affectation matrice],$AB$3,Invest[Amortissement HT + intérêts]))*BE6</f>
        <v>0</v>
      </c>
      <c r="E6" s="276">
        <f>(SUMIF(Fonctionnement[Affectation matrice],$AB$3,Fonctionnement[Montant (€HT)])+SUMIF(Invest[Affectation matrice],$AB$3,Invest[Amortissement HT + intérêts]))*BF6</f>
        <v>0</v>
      </c>
      <c r="F6" s="276">
        <f>(SUMIF(Fonctionnement[Affectation matrice],$AB$3,Fonctionnement[Montant (€HT)])+SUMIF(Invest[Affectation matrice],$AB$3,Invest[Amortissement HT + intérêts]))*BG6</f>
        <v>0</v>
      </c>
      <c r="G6" s="276">
        <f>(SUMIF(Fonctionnement[Affectation matrice],$AB$3,Fonctionnement[Montant (€HT)])+SUMIF(Invest[Affectation matrice],$AB$3,Invest[Amortissement HT + intérêts]))*BH6</f>
        <v>0</v>
      </c>
      <c r="H6" s="276">
        <f>(SUMIF(Fonctionnement[Affectation matrice],$AB$3,Fonctionnement[Montant (€HT)])+SUMIF(Invest[Affectation matrice],$AB$3,Invest[Amortissement HT + intérêts]))*BI6</f>
        <v>0</v>
      </c>
      <c r="I6" s="276">
        <f>(SUMIF(Fonctionnement[Affectation matrice],$AB$3,Fonctionnement[Montant (€HT)])+SUMIF(Invest[Affectation matrice],$AB$3,Invest[Amortissement HT + intérêts]))*BJ6</f>
        <v>0</v>
      </c>
      <c r="J6" s="276">
        <f>(SUMIF(Fonctionnement[Affectation matrice],$AB$3,Fonctionnement[Montant (€HT)])+SUMIF(Invest[Affectation matrice],$AB$3,Invest[Amortissement HT + intérêts]))*BK6</f>
        <v>0</v>
      </c>
      <c r="K6" s="276">
        <f>(SUMIF(Fonctionnement[Affectation matrice],$AB$3,Fonctionnement[Montant (€HT)])+SUMIF(Invest[Affectation matrice],$AB$3,Invest[Amortissement HT + intérêts]))*BL6</f>
        <v>0</v>
      </c>
      <c r="L6" s="276">
        <f>(SUMIF(Fonctionnement[Affectation matrice],$AB$3,Fonctionnement[Montant (€HT)])+SUMIF(Invest[Affectation matrice],$AB$3,Invest[Amortissement HT + intérêts]))*BM6</f>
        <v>0</v>
      </c>
      <c r="M6" s="276">
        <f>(SUMIF(Fonctionnement[Affectation matrice],$AB$3,Fonctionnement[Montant (€HT)])+SUMIF(Invest[Affectation matrice],$AB$3,Invest[Amortissement HT + intérêts]))*BN6</f>
        <v>0</v>
      </c>
      <c r="N6" s="276">
        <f>(SUMIF(Fonctionnement[Affectation matrice],$AB$3,Fonctionnement[Montant (€HT)])+SUMIF(Invest[Affectation matrice],$AB$3,Invest[Amortissement HT + intérêts]))*BO6</f>
        <v>0</v>
      </c>
      <c r="O6" s="276">
        <f>(SUMIF(Fonctionnement[Affectation matrice],$AB$3,Fonctionnement[Montant (€HT)])+SUMIF(Invest[Affectation matrice],$AB$3,Invest[Amortissement HT + intérêts]))*BP6</f>
        <v>0</v>
      </c>
      <c r="P6" s="276">
        <f>(SUMIF(Fonctionnement[Affectation matrice],$AB$3,Fonctionnement[Montant (€HT)])+SUMIF(Invest[Affectation matrice],$AB$3,Invest[Amortissement HT + intérêts]))*BQ6</f>
        <v>0</v>
      </c>
      <c r="Q6" s="276">
        <f>(SUMIF(Fonctionnement[Affectation matrice],$AB$3,Fonctionnement[Montant (€HT)])+SUMIF(Invest[Affectation matrice],$AB$3,Invest[Amortissement HT + intérêts]))*BR6</f>
        <v>0</v>
      </c>
      <c r="R6" s="276">
        <f>(SUMIF(Fonctionnement[Affectation matrice],$AB$3,Fonctionnement[Montant (€HT)])+SUMIF(Invest[Affectation matrice],$AB$3,Invest[Amortissement HT + intérêts]))*BS6</f>
        <v>0</v>
      </c>
      <c r="S6" s="276">
        <f>(SUMIF(Fonctionnement[Affectation matrice],$AB$3,Fonctionnement[Montant (€HT)])+SUMIF(Invest[Affectation matrice],$AB$3,Invest[Amortissement HT + intérêts]))*BT6</f>
        <v>0</v>
      </c>
      <c r="T6" s="276">
        <f>(SUMIF(Fonctionnement[Affectation matrice],$AB$3,Fonctionnement[Montant (€HT)])+SUMIF(Invest[Affectation matrice],$AB$3,Invest[Amortissement HT + intérêts]))*BU6</f>
        <v>0</v>
      </c>
      <c r="U6" s="276">
        <f>(SUMIF(Fonctionnement[Affectation matrice],$AB$3,Fonctionnement[Montant (€HT)])+SUMIF(Invest[Affectation matrice],$AB$3,Invest[Amortissement HT + intérêts]))*BV6</f>
        <v>0</v>
      </c>
      <c r="V6" s="276">
        <f>(SUMIF(Fonctionnement[Affectation matrice],$AB$3,Fonctionnement[Montant (€HT)])+SUMIF(Invest[Affectation matrice],$AB$3,Invest[Amortissement HT + intérêts]))*BW6</f>
        <v>0</v>
      </c>
      <c r="W6" s="276">
        <f>(SUMIF(Fonctionnement[Affectation matrice],$AB$3,Fonctionnement[Montant (€HT)])+SUMIF(Invest[Affectation matrice],$AB$3,Invest[Amortissement HT + intérêts]))*BX6</f>
        <v>0</v>
      </c>
      <c r="X6" s="276">
        <f>(SUMIF(Fonctionnement[Affectation matrice],$AB$3,Fonctionnement[Montant (€HT)])+SUMIF(Invest[Affectation matrice],$AB$3,Invest[Amortissement HT + intérêts]))*BY6</f>
        <v>0</v>
      </c>
      <c r="Y6" s="276">
        <f>(SUMIF(Fonctionnement[Affectation matrice],$AB$3,Fonctionnement[Montant (€HT)])+SUMIF(Invest[Affectation matrice],$AB$3,Invest[Amortissement HT + intérêts]))*BZ6</f>
        <v>0</v>
      </c>
      <c r="Z6" s="276">
        <f>(SUMIF(Fonctionnement[Affectation matrice],$AB$3,Fonctionnement[Montant (€HT)])+SUMIF(Invest[Affectation matrice],$AB$3,Invest[Amortissement HT + intérêts]))*CA6</f>
        <v>0</v>
      </c>
      <c r="AA6" s="199"/>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283">
        <f>SUM(AB6:AZ6)</f>
        <v>0</v>
      </c>
      <c r="BC6" s="61">
        <f t="shared" si="2"/>
        <v>0</v>
      </c>
      <c r="BD6" s="61">
        <f t="shared" si="2"/>
        <v>0</v>
      </c>
      <c r="BE6" s="61">
        <f t="shared" si="2"/>
        <v>0</v>
      </c>
      <c r="BF6" s="61">
        <f t="shared" si="2"/>
        <v>0</v>
      </c>
      <c r="BG6" s="61">
        <f t="shared" si="2"/>
        <v>0</v>
      </c>
      <c r="BH6" s="61">
        <f t="shared" si="2"/>
        <v>0</v>
      </c>
      <c r="BI6" s="61">
        <f t="shared" si="2"/>
        <v>0</v>
      </c>
      <c r="BJ6" s="61">
        <f t="shared" si="2"/>
        <v>0</v>
      </c>
      <c r="BK6" s="61">
        <f t="shared" si="2"/>
        <v>0</v>
      </c>
      <c r="BL6" s="61">
        <f t="shared" si="2"/>
        <v>0</v>
      </c>
      <c r="BM6" s="61">
        <f t="shared" si="2"/>
        <v>0</v>
      </c>
      <c r="BN6" s="61">
        <f t="shared" si="2"/>
        <v>0</v>
      </c>
      <c r="BO6" s="61">
        <f t="shared" si="2"/>
        <v>0</v>
      </c>
      <c r="BP6" s="61">
        <f t="shared" si="2"/>
        <v>0</v>
      </c>
      <c r="BQ6" s="61">
        <f t="shared" si="2"/>
        <v>0</v>
      </c>
      <c r="BR6" s="61">
        <f t="shared" si="2"/>
        <v>0</v>
      </c>
      <c r="BS6" s="61">
        <f t="shared" si="3"/>
        <v>0</v>
      </c>
      <c r="BT6" s="61">
        <f t="shared" si="3"/>
        <v>0</v>
      </c>
      <c r="BU6" s="61">
        <f t="shared" si="3"/>
        <v>0</v>
      </c>
      <c r="BV6" s="61">
        <f t="shared" si="3"/>
        <v>0</v>
      </c>
      <c r="BW6" s="61">
        <f t="shared" si="3"/>
        <v>0</v>
      </c>
      <c r="BX6" s="61">
        <f t="shared" si="3"/>
        <v>0</v>
      </c>
      <c r="BY6" s="61">
        <f t="shared" si="3"/>
        <v>0</v>
      </c>
      <c r="BZ6" s="61">
        <f t="shared" si="3"/>
        <v>0</v>
      </c>
      <c r="CA6" s="61">
        <f t="shared" si="3"/>
        <v>0</v>
      </c>
      <c r="CB6" s="61">
        <f>SUM(BC6:CA6)</f>
        <v>0</v>
      </c>
      <c r="CD6" s="200">
        <f>(SUMIF(Fonctionnement[Affectation matrice],$AB$3,Fonctionnement[TVA acquittée])+SUMIF(Invest[Affectation matrice],$AB$3,Invest[TVA acquittée]))*BC6</f>
        <v>0</v>
      </c>
      <c r="CE6" s="200">
        <f>(SUMIF(Fonctionnement[Affectation matrice],$AB$3,Fonctionnement[TVA acquittée])+SUMIF(Invest[Affectation matrice],$AB$3,Invest[TVA acquittée]))*BD6</f>
        <v>0</v>
      </c>
      <c r="CF6" s="200">
        <f>(SUMIF(Fonctionnement[Affectation matrice],$AB$3,Fonctionnement[TVA acquittée])+SUMIF(Invest[Affectation matrice],$AB$3,Invest[TVA acquittée]))*BE6</f>
        <v>0</v>
      </c>
      <c r="CG6" s="200">
        <f>(SUMIF(Fonctionnement[Affectation matrice],$AB$3,Fonctionnement[TVA acquittée])+SUMIF(Invest[Affectation matrice],$AB$3,Invest[TVA acquittée]))*BF6</f>
        <v>0</v>
      </c>
      <c r="CH6" s="200">
        <f>(SUMIF(Fonctionnement[Affectation matrice],$AB$3,Fonctionnement[TVA acquittée])+SUMIF(Invest[Affectation matrice],$AB$3,Invest[TVA acquittée]))*BG6</f>
        <v>0</v>
      </c>
      <c r="CI6" s="200">
        <f>(SUMIF(Fonctionnement[Affectation matrice],$AB$3,Fonctionnement[TVA acquittée])+SUMIF(Invest[Affectation matrice],$AB$3,Invest[TVA acquittée]))*BH6</f>
        <v>0</v>
      </c>
      <c r="CJ6" s="200">
        <f>(SUMIF(Fonctionnement[Affectation matrice],$AB$3,Fonctionnement[TVA acquittée])+SUMIF(Invest[Affectation matrice],$AB$3,Invest[TVA acquittée]))*BI6</f>
        <v>0</v>
      </c>
      <c r="CK6" s="200">
        <f>(SUMIF(Fonctionnement[Affectation matrice],$AB$3,Fonctionnement[TVA acquittée])+SUMIF(Invest[Affectation matrice],$AB$3,Invest[TVA acquittée]))*BJ6</f>
        <v>0</v>
      </c>
      <c r="CL6" s="200">
        <f>(SUMIF(Fonctionnement[Affectation matrice],$AB$3,Fonctionnement[TVA acquittée])+SUMIF(Invest[Affectation matrice],$AB$3,Invest[TVA acquittée]))*BK6</f>
        <v>0</v>
      </c>
      <c r="CM6" s="200">
        <f>(SUMIF(Fonctionnement[Affectation matrice],$AB$3,Fonctionnement[TVA acquittée])+SUMIF(Invest[Affectation matrice],$AB$3,Invest[TVA acquittée]))*BL6</f>
        <v>0</v>
      </c>
      <c r="CN6" s="200">
        <f>(SUMIF(Fonctionnement[Affectation matrice],$AB$3,Fonctionnement[TVA acquittée])+SUMIF(Invest[Affectation matrice],$AB$3,Invest[TVA acquittée]))*BM6</f>
        <v>0</v>
      </c>
      <c r="CO6" s="200">
        <f>(SUMIF(Fonctionnement[Affectation matrice],$AB$3,Fonctionnement[TVA acquittée])+SUMIF(Invest[Affectation matrice],$AB$3,Invest[TVA acquittée]))*BN6</f>
        <v>0</v>
      </c>
      <c r="CP6" s="200">
        <f>(SUMIF(Fonctionnement[Affectation matrice],$AB$3,Fonctionnement[TVA acquittée])+SUMIF(Invest[Affectation matrice],$AB$3,Invest[TVA acquittée]))*BO6</f>
        <v>0</v>
      </c>
      <c r="CQ6" s="200">
        <f>(SUMIF(Fonctionnement[Affectation matrice],$AB$3,Fonctionnement[TVA acquittée])+SUMIF(Invest[Affectation matrice],$AB$3,Invest[TVA acquittée]))*BP6</f>
        <v>0</v>
      </c>
      <c r="CR6" s="200">
        <f>(SUMIF(Fonctionnement[Affectation matrice],$AB$3,Fonctionnement[TVA acquittée])+SUMIF(Invest[Affectation matrice],$AB$3,Invest[TVA acquittée]))*BQ6</f>
        <v>0</v>
      </c>
      <c r="CS6" s="200">
        <f>(SUMIF(Fonctionnement[Affectation matrice],$AB$3,Fonctionnement[TVA acquittée])+SUMIF(Invest[Affectation matrice],$AB$3,Invest[TVA acquittée]))*BR6</f>
        <v>0</v>
      </c>
      <c r="CT6" s="200">
        <f>(SUMIF(Fonctionnement[Affectation matrice],$AB$3,Fonctionnement[TVA acquittée])+SUMIF(Invest[Affectation matrice],$AB$3,Invest[TVA acquittée]))*BS6</f>
        <v>0</v>
      </c>
      <c r="CU6" s="200">
        <f>(SUMIF(Fonctionnement[Affectation matrice],$AB$3,Fonctionnement[TVA acquittée])+SUMIF(Invest[Affectation matrice],$AB$3,Invest[TVA acquittée]))*BT6</f>
        <v>0</v>
      </c>
      <c r="CV6" s="200">
        <f>(SUMIF(Fonctionnement[Affectation matrice],$AB$3,Fonctionnement[TVA acquittée])+SUMIF(Invest[Affectation matrice],$AB$3,Invest[TVA acquittée]))*BU6</f>
        <v>0</v>
      </c>
      <c r="CW6" s="200">
        <f>(SUMIF(Fonctionnement[Affectation matrice],$AB$3,Fonctionnement[TVA acquittée])+SUMIF(Invest[Affectation matrice],$AB$3,Invest[TVA acquittée]))*BV6</f>
        <v>0</v>
      </c>
      <c r="CX6" s="200">
        <f>(SUMIF(Fonctionnement[Affectation matrice],$AB$3,Fonctionnement[TVA acquittée])+SUMIF(Invest[Affectation matrice],$AB$3,Invest[TVA acquittée]))*BW6</f>
        <v>0</v>
      </c>
      <c r="CY6" s="200">
        <f>(SUMIF(Fonctionnement[Affectation matrice],$AB$3,Fonctionnement[TVA acquittée])+SUMIF(Invest[Affectation matrice],$AB$3,Invest[TVA acquittée]))*BX6</f>
        <v>0</v>
      </c>
      <c r="CZ6" s="200">
        <f>(SUMIF(Fonctionnement[Affectation matrice],$AB$3,Fonctionnement[TVA acquittée])+SUMIF(Invest[Affectation matrice],$AB$3,Invest[TVA acquittée]))*BY6</f>
        <v>0</v>
      </c>
      <c r="DA6" s="200">
        <f>(SUMIF(Fonctionnement[Affectation matrice],$AB$3,Fonctionnement[TVA acquittée])+SUMIF(Invest[Affectation matrice],$AB$3,Invest[TVA acquittée]))*BZ6</f>
        <v>0</v>
      </c>
      <c r="DB6" s="200">
        <f>(SUMIF(Fonctionnement[Affectation matrice],$AB$3,Fonctionnement[TVA acquittée])+SUMIF(Invest[Affectation matrice],$AB$3,Invest[TVA acquittée]))*CA6</f>
        <v>0</v>
      </c>
    </row>
    <row r="7" spans="1:106" ht="15" customHeight="1" x14ac:dyDescent="0.25">
      <c r="A7" s="42" t="str">
        <f>Matrice[[#This Row],[Ligne de la matrice]]</f>
        <v>Prévention</v>
      </c>
      <c r="B7" s="276">
        <f>(SUMIF(Fonctionnement[Affectation matrice],$AB$3,Fonctionnement[Montant (€HT)])+SUMIF(Invest[Affectation matrice],$AB$3,Invest[Amortissement HT + intérêts]))*BC7</f>
        <v>0</v>
      </c>
      <c r="C7" s="276">
        <f>(SUMIF(Fonctionnement[Affectation matrice],$AB$3,Fonctionnement[Montant (€HT)])+SUMIF(Invest[Affectation matrice],$AB$3,Invest[Amortissement HT + intérêts]))*BD7</f>
        <v>0</v>
      </c>
      <c r="D7" s="276">
        <f>(SUMIF(Fonctionnement[Affectation matrice],$AB$3,Fonctionnement[Montant (€HT)])+SUMIF(Invest[Affectation matrice],$AB$3,Invest[Amortissement HT + intérêts]))*BE7</f>
        <v>0</v>
      </c>
      <c r="E7" s="276">
        <f>(SUMIF(Fonctionnement[Affectation matrice],$AB$3,Fonctionnement[Montant (€HT)])+SUMIF(Invest[Affectation matrice],$AB$3,Invest[Amortissement HT + intérêts]))*BF7</f>
        <v>0</v>
      </c>
      <c r="F7" s="276">
        <f>(SUMIF(Fonctionnement[Affectation matrice],$AB$3,Fonctionnement[Montant (€HT)])+SUMIF(Invest[Affectation matrice],$AB$3,Invest[Amortissement HT + intérêts]))*BG7</f>
        <v>0</v>
      </c>
      <c r="G7" s="276">
        <f>(SUMIF(Fonctionnement[Affectation matrice],$AB$3,Fonctionnement[Montant (€HT)])+SUMIF(Invest[Affectation matrice],$AB$3,Invest[Amortissement HT + intérêts]))*BH7</f>
        <v>0</v>
      </c>
      <c r="H7" s="276">
        <f>(SUMIF(Fonctionnement[Affectation matrice],$AB$3,Fonctionnement[Montant (€HT)])+SUMIF(Invest[Affectation matrice],$AB$3,Invest[Amortissement HT + intérêts]))*BI7</f>
        <v>0</v>
      </c>
      <c r="I7" s="276">
        <f>(SUMIF(Fonctionnement[Affectation matrice],$AB$3,Fonctionnement[Montant (€HT)])+SUMIF(Invest[Affectation matrice],$AB$3,Invest[Amortissement HT + intérêts]))*BJ7</f>
        <v>0</v>
      </c>
      <c r="J7" s="276">
        <f>(SUMIF(Fonctionnement[Affectation matrice],$AB$3,Fonctionnement[Montant (€HT)])+SUMIF(Invest[Affectation matrice],$AB$3,Invest[Amortissement HT + intérêts]))*BK7</f>
        <v>0</v>
      </c>
      <c r="K7" s="276">
        <f>(SUMIF(Fonctionnement[Affectation matrice],$AB$3,Fonctionnement[Montant (€HT)])+SUMIF(Invest[Affectation matrice],$AB$3,Invest[Amortissement HT + intérêts]))*BL7</f>
        <v>0</v>
      </c>
      <c r="L7" s="276">
        <f>(SUMIF(Fonctionnement[Affectation matrice],$AB$3,Fonctionnement[Montant (€HT)])+SUMIF(Invest[Affectation matrice],$AB$3,Invest[Amortissement HT + intérêts]))*BM7</f>
        <v>0</v>
      </c>
      <c r="M7" s="276">
        <f>(SUMIF(Fonctionnement[Affectation matrice],$AB$3,Fonctionnement[Montant (€HT)])+SUMIF(Invest[Affectation matrice],$AB$3,Invest[Amortissement HT + intérêts]))*BN7</f>
        <v>0</v>
      </c>
      <c r="N7" s="276">
        <f>(SUMIF(Fonctionnement[Affectation matrice],$AB$3,Fonctionnement[Montant (€HT)])+SUMIF(Invest[Affectation matrice],$AB$3,Invest[Amortissement HT + intérêts]))*BO7</f>
        <v>0</v>
      </c>
      <c r="O7" s="276">
        <f>(SUMIF(Fonctionnement[Affectation matrice],$AB$3,Fonctionnement[Montant (€HT)])+SUMIF(Invest[Affectation matrice],$AB$3,Invest[Amortissement HT + intérêts]))*BP7</f>
        <v>0</v>
      </c>
      <c r="P7" s="276">
        <f>(SUMIF(Fonctionnement[Affectation matrice],$AB$3,Fonctionnement[Montant (€HT)])+SUMIF(Invest[Affectation matrice],$AB$3,Invest[Amortissement HT + intérêts]))*BQ7</f>
        <v>0</v>
      </c>
      <c r="Q7" s="276">
        <f>(SUMIF(Fonctionnement[Affectation matrice],$AB$3,Fonctionnement[Montant (€HT)])+SUMIF(Invest[Affectation matrice],$AB$3,Invest[Amortissement HT + intérêts]))*BR7</f>
        <v>0</v>
      </c>
      <c r="R7" s="276">
        <f>(SUMIF(Fonctionnement[Affectation matrice],$AB$3,Fonctionnement[Montant (€HT)])+SUMIF(Invest[Affectation matrice],$AB$3,Invest[Amortissement HT + intérêts]))*BS7</f>
        <v>0</v>
      </c>
      <c r="S7" s="276">
        <f>(SUMIF(Fonctionnement[Affectation matrice],$AB$3,Fonctionnement[Montant (€HT)])+SUMIF(Invest[Affectation matrice],$AB$3,Invest[Amortissement HT + intérêts]))*BT7</f>
        <v>0</v>
      </c>
      <c r="T7" s="276">
        <f>(SUMIF(Fonctionnement[Affectation matrice],$AB$3,Fonctionnement[Montant (€HT)])+SUMIF(Invest[Affectation matrice],$AB$3,Invest[Amortissement HT + intérêts]))*BU7</f>
        <v>0</v>
      </c>
      <c r="U7" s="276">
        <f>(SUMIF(Fonctionnement[Affectation matrice],$AB$3,Fonctionnement[Montant (€HT)])+SUMIF(Invest[Affectation matrice],$AB$3,Invest[Amortissement HT + intérêts]))*BV7</f>
        <v>0</v>
      </c>
      <c r="V7" s="276">
        <f>(SUMIF(Fonctionnement[Affectation matrice],$AB$3,Fonctionnement[Montant (€HT)])+SUMIF(Invest[Affectation matrice],$AB$3,Invest[Amortissement HT + intérêts]))*BW7</f>
        <v>0</v>
      </c>
      <c r="W7" s="276">
        <f>(SUMIF(Fonctionnement[Affectation matrice],$AB$3,Fonctionnement[Montant (€HT)])+SUMIF(Invest[Affectation matrice],$AB$3,Invest[Amortissement HT + intérêts]))*BX7</f>
        <v>0</v>
      </c>
      <c r="X7" s="276">
        <f>(SUMIF(Fonctionnement[Affectation matrice],$AB$3,Fonctionnement[Montant (€HT)])+SUMIF(Invest[Affectation matrice],$AB$3,Invest[Amortissement HT + intérêts]))*BY7</f>
        <v>0</v>
      </c>
      <c r="Y7" s="276">
        <f>(SUMIF(Fonctionnement[Affectation matrice],$AB$3,Fonctionnement[Montant (€HT)])+SUMIF(Invest[Affectation matrice],$AB$3,Invest[Amortissement HT + intérêts]))*BZ7</f>
        <v>0</v>
      </c>
      <c r="Z7" s="276">
        <f>(SUMIF(Fonctionnement[Affectation matrice],$AB$3,Fonctionnement[Montant (€HT)])+SUMIF(Invest[Affectation matrice],$AB$3,Invest[Amortissement HT + intérêts]))*CA7</f>
        <v>0</v>
      </c>
      <c r="AA7" s="199"/>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283">
        <f t="shared" ref="BA7:BA52" si="4">SUM(AB7:AZ7)</f>
        <v>0</v>
      </c>
      <c r="BC7" s="61">
        <f t="shared" si="2"/>
        <v>0</v>
      </c>
      <c r="BD7" s="61">
        <f t="shared" si="2"/>
        <v>0</v>
      </c>
      <c r="BE7" s="61">
        <f t="shared" si="2"/>
        <v>0</v>
      </c>
      <c r="BF7" s="61">
        <f t="shared" si="2"/>
        <v>0</v>
      </c>
      <c r="BG7" s="61">
        <f t="shared" si="2"/>
        <v>0</v>
      </c>
      <c r="BH7" s="61">
        <f t="shared" si="2"/>
        <v>0</v>
      </c>
      <c r="BI7" s="61">
        <f t="shared" si="2"/>
        <v>0</v>
      </c>
      <c r="BJ7" s="61">
        <f t="shared" si="2"/>
        <v>0</v>
      </c>
      <c r="BK7" s="61">
        <f t="shared" si="2"/>
        <v>0</v>
      </c>
      <c r="BL7" s="61">
        <f t="shared" si="2"/>
        <v>0</v>
      </c>
      <c r="BM7" s="61">
        <f t="shared" si="2"/>
        <v>0</v>
      </c>
      <c r="BN7" s="61">
        <f t="shared" si="2"/>
        <v>0</v>
      </c>
      <c r="BO7" s="61">
        <f t="shared" si="2"/>
        <v>0</v>
      </c>
      <c r="BP7" s="61">
        <f t="shared" si="2"/>
        <v>0</v>
      </c>
      <c r="BQ7" s="61">
        <f t="shared" si="2"/>
        <v>0</v>
      </c>
      <c r="BR7" s="61">
        <f t="shared" si="2"/>
        <v>0</v>
      </c>
      <c r="BS7" s="61">
        <f t="shared" si="3"/>
        <v>0</v>
      </c>
      <c r="BT7" s="61">
        <f t="shared" si="3"/>
        <v>0</v>
      </c>
      <c r="BU7" s="61">
        <f t="shared" si="3"/>
        <v>0</v>
      </c>
      <c r="BV7" s="61">
        <f t="shared" si="3"/>
        <v>0</v>
      </c>
      <c r="BW7" s="61">
        <f t="shared" si="3"/>
        <v>0</v>
      </c>
      <c r="BX7" s="61">
        <f t="shared" si="3"/>
        <v>0</v>
      </c>
      <c r="BY7" s="61">
        <f t="shared" si="3"/>
        <v>0</v>
      </c>
      <c r="BZ7" s="61">
        <f t="shared" si="3"/>
        <v>0</v>
      </c>
      <c r="CA7" s="61">
        <f t="shared" si="3"/>
        <v>0</v>
      </c>
      <c r="CB7" s="61">
        <f t="shared" ref="CB7:CB52" si="5">SUM(BC7:CA7)</f>
        <v>0</v>
      </c>
      <c r="CD7" s="200">
        <f>(SUMIF(Fonctionnement[Affectation matrice],$AB$3,Fonctionnement[TVA acquittée])+SUMIF(Invest[Affectation matrice],$AB$3,Invest[TVA acquittée]))*BC7</f>
        <v>0</v>
      </c>
      <c r="CE7" s="200">
        <f>(SUMIF(Fonctionnement[Affectation matrice],$AB$3,Fonctionnement[TVA acquittée])+SUMIF(Invest[Affectation matrice],$AB$3,Invest[TVA acquittée]))*BD7</f>
        <v>0</v>
      </c>
      <c r="CF7" s="200">
        <f>(SUMIF(Fonctionnement[Affectation matrice],$AB$3,Fonctionnement[TVA acquittée])+SUMIF(Invest[Affectation matrice],$AB$3,Invest[TVA acquittée]))*BE7</f>
        <v>0</v>
      </c>
      <c r="CG7" s="200">
        <f>(SUMIF(Fonctionnement[Affectation matrice],$AB$3,Fonctionnement[TVA acquittée])+SUMIF(Invest[Affectation matrice],$AB$3,Invest[TVA acquittée]))*BF7</f>
        <v>0</v>
      </c>
      <c r="CH7" s="200">
        <f>(SUMIF(Fonctionnement[Affectation matrice],$AB$3,Fonctionnement[TVA acquittée])+SUMIF(Invest[Affectation matrice],$AB$3,Invest[TVA acquittée]))*BG7</f>
        <v>0</v>
      </c>
      <c r="CI7" s="200">
        <f>(SUMIF(Fonctionnement[Affectation matrice],$AB$3,Fonctionnement[TVA acquittée])+SUMIF(Invest[Affectation matrice],$AB$3,Invest[TVA acquittée]))*BH7</f>
        <v>0</v>
      </c>
      <c r="CJ7" s="200">
        <f>(SUMIF(Fonctionnement[Affectation matrice],$AB$3,Fonctionnement[TVA acquittée])+SUMIF(Invest[Affectation matrice],$AB$3,Invest[TVA acquittée]))*BI7</f>
        <v>0</v>
      </c>
      <c r="CK7" s="200">
        <f>(SUMIF(Fonctionnement[Affectation matrice],$AB$3,Fonctionnement[TVA acquittée])+SUMIF(Invest[Affectation matrice],$AB$3,Invest[TVA acquittée]))*BJ7</f>
        <v>0</v>
      </c>
      <c r="CL7" s="200">
        <f>(SUMIF(Fonctionnement[Affectation matrice],$AB$3,Fonctionnement[TVA acquittée])+SUMIF(Invest[Affectation matrice],$AB$3,Invest[TVA acquittée]))*BK7</f>
        <v>0</v>
      </c>
      <c r="CM7" s="200">
        <f>(SUMIF(Fonctionnement[Affectation matrice],$AB$3,Fonctionnement[TVA acquittée])+SUMIF(Invest[Affectation matrice],$AB$3,Invest[TVA acquittée]))*BL7</f>
        <v>0</v>
      </c>
      <c r="CN7" s="200">
        <f>(SUMIF(Fonctionnement[Affectation matrice],$AB$3,Fonctionnement[TVA acquittée])+SUMIF(Invest[Affectation matrice],$AB$3,Invest[TVA acquittée]))*BM7</f>
        <v>0</v>
      </c>
      <c r="CO7" s="200">
        <f>(SUMIF(Fonctionnement[Affectation matrice],$AB$3,Fonctionnement[TVA acquittée])+SUMIF(Invest[Affectation matrice],$AB$3,Invest[TVA acquittée]))*BN7</f>
        <v>0</v>
      </c>
      <c r="CP7" s="200">
        <f>(SUMIF(Fonctionnement[Affectation matrice],$AB$3,Fonctionnement[TVA acquittée])+SUMIF(Invest[Affectation matrice],$AB$3,Invest[TVA acquittée]))*BO7</f>
        <v>0</v>
      </c>
      <c r="CQ7" s="200">
        <f>(SUMIF(Fonctionnement[Affectation matrice],$AB$3,Fonctionnement[TVA acquittée])+SUMIF(Invest[Affectation matrice],$AB$3,Invest[TVA acquittée]))*BP7</f>
        <v>0</v>
      </c>
      <c r="CR7" s="200">
        <f>(SUMIF(Fonctionnement[Affectation matrice],$AB$3,Fonctionnement[TVA acquittée])+SUMIF(Invest[Affectation matrice],$AB$3,Invest[TVA acquittée]))*BQ7</f>
        <v>0</v>
      </c>
      <c r="CS7" s="200">
        <f>(SUMIF(Fonctionnement[Affectation matrice],$AB$3,Fonctionnement[TVA acquittée])+SUMIF(Invest[Affectation matrice],$AB$3,Invest[TVA acquittée]))*BR7</f>
        <v>0</v>
      </c>
      <c r="CT7" s="200">
        <f>(SUMIF(Fonctionnement[Affectation matrice],$AB$3,Fonctionnement[TVA acquittée])+SUMIF(Invest[Affectation matrice],$AB$3,Invest[TVA acquittée]))*BS7</f>
        <v>0</v>
      </c>
      <c r="CU7" s="200">
        <f>(SUMIF(Fonctionnement[Affectation matrice],$AB$3,Fonctionnement[TVA acquittée])+SUMIF(Invest[Affectation matrice],$AB$3,Invest[TVA acquittée]))*BT7</f>
        <v>0</v>
      </c>
      <c r="CV7" s="200">
        <f>(SUMIF(Fonctionnement[Affectation matrice],$AB$3,Fonctionnement[TVA acquittée])+SUMIF(Invest[Affectation matrice],$AB$3,Invest[TVA acquittée]))*BU7</f>
        <v>0</v>
      </c>
      <c r="CW7" s="200">
        <f>(SUMIF(Fonctionnement[Affectation matrice],$AB$3,Fonctionnement[TVA acquittée])+SUMIF(Invest[Affectation matrice],$AB$3,Invest[TVA acquittée]))*BV7</f>
        <v>0</v>
      </c>
      <c r="CX7" s="200">
        <f>(SUMIF(Fonctionnement[Affectation matrice],$AB$3,Fonctionnement[TVA acquittée])+SUMIF(Invest[Affectation matrice],$AB$3,Invest[TVA acquittée]))*BW7</f>
        <v>0</v>
      </c>
      <c r="CY7" s="200">
        <f>(SUMIF(Fonctionnement[Affectation matrice],$AB$3,Fonctionnement[TVA acquittée])+SUMIF(Invest[Affectation matrice],$AB$3,Invest[TVA acquittée]))*BX7</f>
        <v>0</v>
      </c>
      <c r="CZ7" s="200">
        <f>(SUMIF(Fonctionnement[Affectation matrice],$AB$3,Fonctionnement[TVA acquittée])+SUMIF(Invest[Affectation matrice],$AB$3,Invest[TVA acquittée]))*BY7</f>
        <v>0</v>
      </c>
      <c r="DA7" s="200">
        <f>(SUMIF(Fonctionnement[Affectation matrice],$AB$3,Fonctionnement[TVA acquittée])+SUMIF(Invest[Affectation matrice],$AB$3,Invest[TVA acquittée]))*BZ7</f>
        <v>0</v>
      </c>
      <c r="DB7" s="200">
        <f>(SUMIF(Fonctionnement[Affectation matrice],$AB$3,Fonctionnement[TVA acquittée])+SUMIF(Invest[Affectation matrice],$AB$3,Invest[TVA acquittée]))*CA7</f>
        <v>0</v>
      </c>
    </row>
    <row r="8" spans="1:106" ht="12.75" customHeight="1" x14ac:dyDescent="0.25">
      <c r="A8" s="42" t="str">
        <f>Matrice[[#This Row],[Ligne de la matrice]]</f>
        <v>Pré-collecte</v>
      </c>
      <c r="B8" s="276">
        <f>(SUMIF(Fonctionnement[Affectation matrice],$AB$3,Fonctionnement[Montant (€HT)])+SUMIF(Invest[Affectation matrice],$AB$3,Invest[Amortissement HT + intérêts]))*BC8</f>
        <v>0</v>
      </c>
      <c r="C8" s="276">
        <f>(SUMIF(Fonctionnement[Affectation matrice],$AB$3,Fonctionnement[Montant (€HT)])+SUMIF(Invest[Affectation matrice],$AB$3,Invest[Amortissement HT + intérêts]))*BD8</f>
        <v>0</v>
      </c>
      <c r="D8" s="276">
        <f>(SUMIF(Fonctionnement[Affectation matrice],$AB$3,Fonctionnement[Montant (€HT)])+SUMIF(Invest[Affectation matrice],$AB$3,Invest[Amortissement HT + intérêts]))*BE8</f>
        <v>0</v>
      </c>
      <c r="E8" s="276">
        <f>(SUMIF(Fonctionnement[Affectation matrice],$AB$3,Fonctionnement[Montant (€HT)])+SUMIF(Invest[Affectation matrice],$AB$3,Invest[Amortissement HT + intérêts]))*BF8</f>
        <v>0</v>
      </c>
      <c r="F8" s="276">
        <f>(SUMIF(Fonctionnement[Affectation matrice],$AB$3,Fonctionnement[Montant (€HT)])+SUMIF(Invest[Affectation matrice],$AB$3,Invest[Amortissement HT + intérêts]))*BG8</f>
        <v>0</v>
      </c>
      <c r="G8" s="276">
        <f>(SUMIF(Fonctionnement[Affectation matrice],$AB$3,Fonctionnement[Montant (€HT)])+SUMIF(Invest[Affectation matrice],$AB$3,Invest[Amortissement HT + intérêts]))*BH8</f>
        <v>0</v>
      </c>
      <c r="H8" s="276">
        <f>(SUMIF(Fonctionnement[Affectation matrice],$AB$3,Fonctionnement[Montant (€HT)])+SUMIF(Invest[Affectation matrice],$AB$3,Invest[Amortissement HT + intérêts]))*BI8</f>
        <v>0</v>
      </c>
      <c r="I8" s="276">
        <f>(SUMIF(Fonctionnement[Affectation matrice],$AB$3,Fonctionnement[Montant (€HT)])+SUMIF(Invest[Affectation matrice],$AB$3,Invest[Amortissement HT + intérêts]))*BJ8</f>
        <v>0</v>
      </c>
      <c r="J8" s="276">
        <f>(SUMIF(Fonctionnement[Affectation matrice],$AB$3,Fonctionnement[Montant (€HT)])+SUMIF(Invest[Affectation matrice],$AB$3,Invest[Amortissement HT + intérêts]))*BK8</f>
        <v>0</v>
      </c>
      <c r="K8" s="276">
        <f>(SUMIF(Fonctionnement[Affectation matrice],$AB$3,Fonctionnement[Montant (€HT)])+SUMIF(Invest[Affectation matrice],$AB$3,Invest[Amortissement HT + intérêts]))*BL8</f>
        <v>0</v>
      </c>
      <c r="L8" s="276">
        <f>(SUMIF(Fonctionnement[Affectation matrice],$AB$3,Fonctionnement[Montant (€HT)])+SUMIF(Invest[Affectation matrice],$AB$3,Invest[Amortissement HT + intérêts]))*BM8</f>
        <v>0</v>
      </c>
      <c r="M8" s="276">
        <f>(SUMIF(Fonctionnement[Affectation matrice],$AB$3,Fonctionnement[Montant (€HT)])+SUMIF(Invest[Affectation matrice],$AB$3,Invest[Amortissement HT + intérêts]))*BN8</f>
        <v>0</v>
      </c>
      <c r="N8" s="276">
        <f>(SUMIF(Fonctionnement[Affectation matrice],$AB$3,Fonctionnement[Montant (€HT)])+SUMIF(Invest[Affectation matrice],$AB$3,Invest[Amortissement HT + intérêts]))*BO8</f>
        <v>0</v>
      </c>
      <c r="O8" s="276">
        <f>(SUMIF(Fonctionnement[Affectation matrice],$AB$3,Fonctionnement[Montant (€HT)])+SUMIF(Invest[Affectation matrice],$AB$3,Invest[Amortissement HT + intérêts]))*BP8</f>
        <v>0</v>
      </c>
      <c r="P8" s="276">
        <f>(SUMIF(Fonctionnement[Affectation matrice],$AB$3,Fonctionnement[Montant (€HT)])+SUMIF(Invest[Affectation matrice],$AB$3,Invest[Amortissement HT + intérêts]))*BQ8</f>
        <v>0</v>
      </c>
      <c r="Q8" s="276">
        <f>(SUMIF(Fonctionnement[Affectation matrice],$AB$3,Fonctionnement[Montant (€HT)])+SUMIF(Invest[Affectation matrice],$AB$3,Invest[Amortissement HT + intérêts]))*BR8</f>
        <v>0</v>
      </c>
      <c r="R8" s="276">
        <f>(SUMIF(Fonctionnement[Affectation matrice],$AB$3,Fonctionnement[Montant (€HT)])+SUMIF(Invest[Affectation matrice],$AB$3,Invest[Amortissement HT + intérêts]))*BS8</f>
        <v>0</v>
      </c>
      <c r="S8" s="276">
        <f>(SUMIF(Fonctionnement[Affectation matrice],$AB$3,Fonctionnement[Montant (€HT)])+SUMIF(Invest[Affectation matrice],$AB$3,Invest[Amortissement HT + intérêts]))*BT8</f>
        <v>0</v>
      </c>
      <c r="T8" s="276">
        <f>(SUMIF(Fonctionnement[Affectation matrice],$AB$3,Fonctionnement[Montant (€HT)])+SUMIF(Invest[Affectation matrice],$AB$3,Invest[Amortissement HT + intérêts]))*BU8</f>
        <v>0</v>
      </c>
      <c r="U8" s="276">
        <f>(SUMIF(Fonctionnement[Affectation matrice],$AB$3,Fonctionnement[Montant (€HT)])+SUMIF(Invest[Affectation matrice],$AB$3,Invest[Amortissement HT + intérêts]))*BV8</f>
        <v>0</v>
      </c>
      <c r="V8" s="276">
        <f>(SUMIF(Fonctionnement[Affectation matrice],$AB$3,Fonctionnement[Montant (€HT)])+SUMIF(Invest[Affectation matrice],$AB$3,Invest[Amortissement HT + intérêts]))*BW8</f>
        <v>0</v>
      </c>
      <c r="W8" s="276">
        <f>(SUMIF(Fonctionnement[Affectation matrice],$AB$3,Fonctionnement[Montant (€HT)])+SUMIF(Invest[Affectation matrice],$AB$3,Invest[Amortissement HT + intérêts]))*BX8</f>
        <v>0</v>
      </c>
      <c r="X8" s="276">
        <f>(SUMIF(Fonctionnement[Affectation matrice],$AB$3,Fonctionnement[Montant (€HT)])+SUMIF(Invest[Affectation matrice],$AB$3,Invest[Amortissement HT + intérêts]))*BY8</f>
        <v>0</v>
      </c>
      <c r="Y8" s="276">
        <f>(SUMIF(Fonctionnement[Affectation matrice],$AB$3,Fonctionnement[Montant (€HT)])+SUMIF(Invest[Affectation matrice],$AB$3,Invest[Amortissement HT + intérêts]))*BZ8</f>
        <v>0</v>
      </c>
      <c r="Z8" s="276">
        <f>(SUMIF(Fonctionnement[Affectation matrice],$AB$3,Fonctionnement[Montant (€HT)])+SUMIF(Invest[Affectation matrice],$AB$3,Invest[Amortissement HT + intérêts]))*CA8</f>
        <v>0</v>
      </c>
      <c r="AA8" s="199"/>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283">
        <f t="shared" si="4"/>
        <v>0</v>
      </c>
      <c r="BC8" s="61">
        <f t="shared" si="2"/>
        <v>0</v>
      </c>
      <c r="BD8" s="61">
        <f t="shared" si="2"/>
        <v>0</v>
      </c>
      <c r="BE8" s="61">
        <f t="shared" si="2"/>
        <v>0</v>
      </c>
      <c r="BF8" s="61">
        <f t="shared" si="2"/>
        <v>0</v>
      </c>
      <c r="BG8" s="61">
        <f t="shared" si="2"/>
        <v>0</v>
      </c>
      <c r="BH8" s="61">
        <f t="shared" si="2"/>
        <v>0</v>
      </c>
      <c r="BI8" s="61">
        <f t="shared" si="2"/>
        <v>0</v>
      </c>
      <c r="BJ8" s="61">
        <f t="shared" si="2"/>
        <v>0</v>
      </c>
      <c r="BK8" s="61">
        <f t="shared" si="2"/>
        <v>0</v>
      </c>
      <c r="BL8" s="61">
        <f t="shared" si="2"/>
        <v>0</v>
      </c>
      <c r="BM8" s="61">
        <f t="shared" si="2"/>
        <v>0</v>
      </c>
      <c r="BN8" s="61">
        <f t="shared" si="2"/>
        <v>0</v>
      </c>
      <c r="BO8" s="61">
        <f t="shared" si="2"/>
        <v>0</v>
      </c>
      <c r="BP8" s="61">
        <f t="shared" si="2"/>
        <v>0</v>
      </c>
      <c r="BQ8" s="61">
        <f t="shared" si="2"/>
        <v>0</v>
      </c>
      <c r="BR8" s="61">
        <f t="shared" si="2"/>
        <v>0</v>
      </c>
      <c r="BS8" s="61">
        <f t="shared" si="3"/>
        <v>0</v>
      </c>
      <c r="BT8" s="61">
        <f t="shared" si="3"/>
        <v>0</v>
      </c>
      <c r="BU8" s="61">
        <f t="shared" si="3"/>
        <v>0</v>
      </c>
      <c r="BV8" s="61">
        <f t="shared" si="3"/>
        <v>0</v>
      </c>
      <c r="BW8" s="61">
        <f t="shared" si="3"/>
        <v>0</v>
      </c>
      <c r="BX8" s="61">
        <f t="shared" si="3"/>
        <v>0</v>
      </c>
      <c r="BY8" s="61">
        <f t="shared" si="3"/>
        <v>0</v>
      </c>
      <c r="BZ8" s="61">
        <f t="shared" si="3"/>
        <v>0</v>
      </c>
      <c r="CA8" s="61">
        <f t="shared" si="3"/>
        <v>0</v>
      </c>
      <c r="CB8" s="61">
        <f t="shared" si="5"/>
        <v>0</v>
      </c>
      <c r="CD8" s="200">
        <f>(SUMIF(Fonctionnement[Affectation matrice],$AB$3,Fonctionnement[TVA acquittée])+SUMIF(Invest[Affectation matrice],$AB$3,Invest[TVA acquittée]))*BC8</f>
        <v>0</v>
      </c>
      <c r="CE8" s="200">
        <f>(SUMIF(Fonctionnement[Affectation matrice],$AB$3,Fonctionnement[TVA acquittée])+SUMIF(Invest[Affectation matrice],$AB$3,Invest[TVA acquittée]))*BD8</f>
        <v>0</v>
      </c>
      <c r="CF8" s="200">
        <f>(SUMIF(Fonctionnement[Affectation matrice],$AB$3,Fonctionnement[TVA acquittée])+SUMIF(Invest[Affectation matrice],$AB$3,Invest[TVA acquittée]))*BE8</f>
        <v>0</v>
      </c>
      <c r="CG8" s="200">
        <f>(SUMIF(Fonctionnement[Affectation matrice],$AB$3,Fonctionnement[TVA acquittée])+SUMIF(Invest[Affectation matrice],$AB$3,Invest[TVA acquittée]))*BF8</f>
        <v>0</v>
      </c>
      <c r="CH8" s="200">
        <f>(SUMIF(Fonctionnement[Affectation matrice],$AB$3,Fonctionnement[TVA acquittée])+SUMIF(Invest[Affectation matrice],$AB$3,Invest[TVA acquittée]))*BG8</f>
        <v>0</v>
      </c>
      <c r="CI8" s="200">
        <f>(SUMIF(Fonctionnement[Affectation matrice],$AB$3,Fonctionnement[TVA acquittée])+SUMIF(Invest[Affectation matrice],$AB$3,Invest[TVA acquittée]))*BH8</f>
        <v>0</v>
      </c>
      <c r="CJ8" s="200">
        <f>(SUMIF(Fonctionnement[Affectation matrice],$AB$3,Fonctionnement[TVA acquittée])+SUMIF(Invest[Affectation matrice],$AB$3,Invest[TVA acquittée]))*BI8</f>
        <v>0</v>
      </c>
      <c r="CK8" s="200">
        <f>(SUMIF(Fonctionnement[Affectation matrice],$AB$3,Fonctionnement[TVA acquittée])+SUMIF(Invest[Affectation matrice],$AB$3,Invest[TVA acquittée]))*BJ8</f>
        <v>0</v>
      </c>
      <c r="CL8" s="200">
        <f>(SUMIF(Fonctionnement[Affectation matrice],$AB$3,Fonctionnement[TVA acquittée])+SUMIF(Invest[Affectation matrice],$AB$3,Invest[TVA acquittée]))*BK8</f>
        <v>0</v>
      </c>
      <c r="CM8" s="200">
        <f>(SUMIF(Fonctionnement[Affectation matrice],$AB$3,Fonctionnement[TVA acquittée])+SUMIF(Invest[Affectation matrice],$AB$3,Invest[TVA acquittée]))*BL8</f>
        <v>0</v>
      </c>
      <c r="CN8" s="200">
        <f>(SUMIF(Fonctionnement[Affectation matrice],$AB$3,Fonctionnement[TVA acquittée])+SUMIF(Invest[Affectation matrice],$AB$3,Invest[TVA acquittée]))*BM8</f>
        <v>0</v>
      </c>
      <c r="CO8" s="200">
        <f>(SUMIF(Fonctionnement[Affectation matrice],$AB$3,Fonctionnement[TVA acquittée])+SUMIF(Invest[Affectation matrice],$AB$3,Invest[TVA acquittée]))*BN8</f>
        <v>0</v>
      </c>
      <c r="CP8" s="200">
        <f>(SUMIF(Fonctionnement[Affectation matrice],$AB$3,Fonctionnement[TVA acquittée])+SUMIF(Invest[Affectation matrice],$AB$3,Invest[TVA acquittée]))*BO8</f>
        <v>0</v>
      </c>
      <c r="CQ8" s="200">
        <f>(SUMIF(Fonctionnement[Affectation matrice],$AB$3,Fonctionnement[TVA acquittée])+SUMIF(Invest[Affectation matrice],$AB$3,Invest[TVA acquittée]))*BP8</f>
        <v>0</v>
      </c>
      <c r="CR8" s="200">
        <f>(SUMIF(Fonctionnement[Affectation matrice],$AB$3,Fonctionnement[TVA acquittée])+SUMIF(Invest[Affectation matrice],$AB$3,Invest[TVA acquittée]))*BQ8</f>
        <v>0</v>
      </c>
      <c r="CS8" s="200">
        <f>(SUMIF(Fonctionnement[Affectation matrice],$AB$3,Fonctionnement[TVA acquittée])+SUMIF(Invest[Affectation matrice],$AB$3,Invest[TVA acquittée]))*BR8</f>
        <v>0</v>
      </c>
      <c r="CT8" s="200">
        <f>(SUMIF(Fonctionnement[Affectation matrice],$AB$3,Fonctionnement[TVA acquittée])+SUMIF(Invest[Affectation matrice],$AB$3,Invest[TVA acquittée]))*BS8</f>
        <v>0</v>
      </c>
      <c r="CU8" s="200">
        <f>(SUMIF(Fonctionnement[Affectation matrice],$AB$3,Fonctionnement[TVA acquittée])+SUMIF(Invest[Affectation matrice],$AB$3,Invest[TVA acquittée]))*BT8</f>
        <v>0</v>
      </c>
      <c r="CV8" s="200">
        <f>(SUMIF(Fonctionnement[Affectation matrice],$AB$3,Fonctionnement[TVA acquittée])+SUMIF(Invest[Affectation matrice],$AB$3,Invest[TVA acquittée]))*BU8</f>
        <v>0</v>
      </c>
      <c r="CW8" s="200">
        <f>(SUMIF(Fonctionnement[Affectation matrice],$AB$3,Fonctionnement[TVA acquittée])+SUMIF(Invest[Affectation matrice],$AB$3,Invest[TVA acquittée]))*BV8</f>
        <v>0</v>
      </c>
      <c r="CX8" s="200">
        <f>(SUMIF(Fonctionnement[Affectation matrice],$AB$3,Fonctionnement[TVA acquittée])+SUMIF(Invest[Affectation matrice],$AB$3,Invest[TVA acquittée]))*BW8</f>
        <v>0</v>
      </c>
      <c r="CY8" s="200">
        <f>(SUMIF(Fonctionnement[Affectation matrice],$AB$3,Fonctionnement[TVA acquittée])+SUMIF(Invest[Affectation matrice],$AB$3,Invest[TVA acquittée]))*BX8</f>
        <v>0</v>
      </c>
      <c r="CZ8" s="200">
        <f>(SUMIF(Fonctionnement[Affectation matrice],$AB$3,Fonctionnement[TVA acquittée])+SUMIF(Invest[Affectation matrice],$AB$3,Invest[TVA acquittée]))*BY8</f>
        <v>0</v>
      </c>
      <c r="DA8" s="200">
        <f>(SUMIF(Fonctionnement[Affectation matrice],$AB$3,Fonctionnement[TVA acquittée])+SUMIF(Invest[Affectation matrice],$AB$3,Invest[TVA acquittée]))*BZ8</f>
        <v>0</v>
      </c>
      <c r="DB8" s="200">
        <f>(SUMIF(Fonctionnement[Affectation matrice],$AB$3,Fonctionnement[TVA acquittée])+SUMIF(Invest[Affectation matrice],$AB$3,Invest[TVA acquittée]))*CA8</f>
        <v>0</v>
      </c>
    </row>
    <row r="9" spans="1:106" s="22" customFormat="1" ht="12.75" customHeight="1" x14ac:dyDescent="0.25">
      <c r="A9" s="42" t="str">
        <f>Matrice[[#This Row],[Ligne de la matrice]]</f>
        <v>Collecte</v>
      </c>
      <c r="B9" s="276">
        <f>(SUMIF(Fonctionnement[Affectation matrice],$AB$3,Fonctionnement[Montant (€HT)])+SUMIF(Invest[Affectation matrice],$AB$3,Invest[Amortissement HT + intérêts]))*BC9</f>
        <v>0</v>
      </c>
      <c r="C9" s="276">
        <f>(SUMIF(Fonctionnement[Affectation matrice],$AB$3,Fonctionnement[Montant (€HT)])+SUMIF(Invest[Affectation matrice],$AB$3,Invest[Amortissement HT + intérêts]))*BD9</f>
        <v>0</v>
      </c>
      <c r="D9" s="276">
        <f>(SUMIF(Fonctionnement[Affectation matrice],$AB$3,Fonctionnement[Montant (€HT)])+SUMIF(Invest[Affectation matrice],$AB$3,Invest[Amortissement HT + intérêts]))*BE9</f>
        <v>0</v>
      </c>
      <c r="E9" s="276">
        <f>(SUMIF(Fonctionnement[Affectation matrice],$AB$3,Fonctionnement[Montant (€HT)])+SUMIF(Invest[Affectation matrice],$AB$3,Invest[Amortissement HT + intérêts]))*BF9</f>
        <v>0</v>
      </c>
      <c r="F9" s="276">
        <f>(SUMIF(Fonctionnement[Affectation matrice],$AB$3,Fonctionnement[Montant (€HT)])+SUMIF(Invest[Affectation matrice],$AB$3,Invest[Amortissement HT + intérêts]))*BG9</f>
        <v>0</v>
      </c>
      <c r="G9" s="276">
        <f>(SUMIF(Fonctionnement[Affectation matrice],$AB$3,Fonctionnement[Montant (€HT)])+SUMIF(Invest[Affectation matrice],$AB$3,Invest[Amortissement HT + intérêts]))*BH9</f>
        <v>0</v>
      </c>
      <c r="H9" s="276">
        <f>(SUMIF(Fonctionnement[Affectation matrice],$AB$3,Fonctionnement[Montant (€HT)])+SUMIF(Invest[Affectation matrice],$AB$3,Invest[Amortissement HT + intérêts]))*BI9</f>
        <v>0</v>
      </c>
      <c r="I9" s="276">
        <f>(SUMIF(Fonctionnement[Affectation matrice],$AB$3,Fonctionnement[Montant (€HT)])+SUMIF(Invest[Affectation matrice],$AB$3,Invest[Amortissement HT + intérêts]))*BJ9</f>
        <v>0</v>
      </c>
      <c r="J9" s="276">
        <f>(SUMIF(Fonctionnement[Affectation matrice],$AB$3,Fonctionnement[Montant (€HT)])+SUMIF(Invest[Affectation matrice],$AB$3,Invest[Amortissement HT + intérêts]))*BK9</f>
        <v>0</v>
      </c>
      <c r="K9" s="276">
        <f>(SUMIF(Fonctionnement[Affectation matrice],$AB$3,Fonctionnement[Montant (€HT)])+SUMIF(Invest[Affectation matrice],$AB$3,Invest[Amortissement HT + intérêts]))*BL9</f>
        <v>0</v>
      </c>
      <c r="L9" s="276">
        <f>(SUMIF(Fonctionnement[Affectation matrice],$AB$3,Fonctionnement[Montant (€HT)])+SUMIF(Invest[Affectation matrice],$AB$3,Invest[Amortissement HT + intérêts]))*BM9</f>
        <v>0</v>
      </c>
      <c r="M9" s="276">
        <f>(SUMIF(Fonctionnement[Affectation matrice],$AB$3,Fonctionnement[Montant (€HT)])+SUMIF(Invest[Affectation matrice],$AB$3,Invest[Amortissement HT + intérêts]))*BN9</f>
        <v>0</v>
      </c>
      <c r="N9" s="276">
        <f>(SUMIF(Fonctionnement[Affectation matrice],$AB$3,Fonctionnement[Montant (€HT)])+SUMIF(Invest[Affectation matrice],$AB$3,Invest[Amortissement HT + intérêts]))*BO9</f>
        <v>0</v>
      </c>
      <c r="O9" s="276">
        <f>(SUMIF(Fonctionnement[Affectation matrice],$AB$3,Fonctionnement[Montant (€HT)])+SUMIF(Invest[Affectation matrice],$AB$3,Invest[Amortissement HT + intérêts]))*BP9</f>
        <v>0</v>
      </c>
      <c r="P9" s="276">
        <f>(SUMIF(Fonctionnement[Affectation matrice],$AB$3,Fonctionnement[Montant (€HT)])+SUMIF(Invest[Affectation matrice],$AB$3,Invest[Amortissement HT + intérêts]))*BQ9</f>
        <v>0</v>
      </c>
      <c r="Q9" s="276">
        <f>(SUMIF(Fonctionnement[Affectation matrice],$AB$3,Fonctionnement[Montant (€HT)])+SUMIF(Invest[Affectation matrice],$AB$3,Invest[Amortissement HT + intérêts]))*BR9</f>
        <v>0</v>
      </c>
      <c r="R9" s="276">
        <f>(SUMIF(Fonctionnement[Affectation matrice],$AB$3,Fonctionnement[Montant (€HT)])+SUMIF(Invest[Affectation matrice],$AB$3,Invest[Amortissement HT + intérêts]))*BS9</f>
        <v>0</v>
      </c>
      <c r="S9" s="276">
        <f>(SUMIF(Fonctionnement[Affectation matrice],$AB$3,Fonctionnement[Montant (€HT)])+SUMIF(Invest[Affectation matrice],$AB$3,Invest[Amortissement HT + intérêts]))*BT9</f>
        <v>0</v>
      </c>
      <c r="T9" s="276">
        <f>(SUMIF(Fonctionnement[Affectation matrice],$AB$3,Fonctionnement[Montant (€HT)])+SUMIF(Invest[Affectation matrice],$AB$3,Invest[Amortissement HT + intérêts]))*BU9</f>
        <v>0</v>
      </c>
      <c r="U9" s="276">
        <f>(SUMIF(Fonctionnement[Affectation matrice],$AB$3,Fonctionnement[Montant (€HT)])+SUMIF(Invest[Affectation matrice],$AB$3,Invest[Amortissement HT + intérêts]))*BV9</f>
        <v>0</v>
      </c>
      <c r="V9" s="276">
        <f>(SUMIF(Fonctionnement[Affectation matrice],$AB$3,Fonctionnement[Montant (€HT)])+SUMIF(Invest[Affectation matrice],$AB$3,Invest[Amortissement HT + intérêts]))*BW9</f>
        <v>0</v>
      </c>
      <c r="W9" s="276">
        <f>(SUMIF(Fonctionnement[Affectation matrice],$AB$3,Fonctionnement[Montant (€HT)])+SUMIF(Invest[Affectation matrice],$AB$3,Invest[Amortissement HT + intérêts]))*BX9</f>
        <v>0</v>
      </c>
      <c r="X9" s="276">
        <f>(SUMIF(Fonctionnement[Affectation matrice],$AB$3,Fonctionnement[Montant (€HT)])+SUMIF(Invest[Affectation matrice],$AB$3,Invest[Amortissement HT + intérêts]))*BY9</f>
        <v>0</v>
      </c>
      <c r="Y9" s="276">
        <f>(SUMIF(Fonctionnement[Affectation matrice],$AB$3,Fonctionnement[Montant (€HT)])+SUMIF(Invest[Affectation matrice],$AB$3,Invest[Amortissement HT + intérêts]))*BZ9</f>
        <v>0</v>
      </c>
      <c r="Z9" s="276">
        <f>(SUMIF(Fonctionnement[Affectation matrice],$AB$3,Fonctionnement[Montant (€HT)])+SUMIF(Invest[Affectation matrice],$AB$3,Invest[Amortissement HT + intérêts]))*CA9</f>
        <v>0</v>
      </c>
      <c r="AA9" s="199"/>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283">
        <f t="shared" si="4"/>
        <v>0</v>
      </c>
      <c r="BB9" s="7"/>
      <c r="BC9" s="61">
        <f t="shared" si="2"/>
        <v>0</v>
      </c>
      <c r="BD9" s="61">
        <f t="shared" si="2"/>
        <v>0</v>
      </c>
      <c r="BE9" s="61">
        <f t="shared" si="2"/>
        <v>0</v>
      </c>
      <c r="BF9" s="61">
        <f t="shared" si="2"/>
        <v>0</v>
      </c>
      <c r="BG9" s="61">
        <f t="shared" si="2"/>
        <v>0</v>
      </c>
      <c r="BH9" s="61">
        <f t="shared" si="2"/>
        <v>0</v>
      </c>
      <c r="BI9" s="61">
        <f t="shared" si="2"/>
        <v>0</v>
      </c>
      <c r="BJ9" s="61">
        <f t="shared" si="2"/>
        <v>0</v>
      </c>
      <c r="BK9" s="61">
        <f t="shared" si="2"/>
        <v>0</v>
      </c>
      <c r="BL9" s="61">
        <f t="shared" si="2"/>
        <v>0</v>
      </c>
      <c r="BM9" s="61">
        <f t="shared" si="2"/>
        <v>0</v>
      </c>
      <c r="BN9" s="61">
        <f t="shared" si="2"/>
        <v>0</v>
      </c>
      <c r="BO9" s="61">
        <f t="shared" si="2"/>
        <v>0</v>
      </c>
      <c r="BP9" s="61">
        <f t="shared" si="2"/>
        <v>0</v>
      </c>
      <c r="BQ9" s="61">
        <f t="shared" si="2"/>
        <v>0</v>
      </c>
      <c r="BR9" s="61">
        <f t="shared" si="2"/>
        <v>0</v>
      </c>
      <c r="BS9" s="61">
        <f t="shared" si="3"/>
        <v>0</v>
      </c>
      <c r="BT9" s="61">
        <f t="shared" si="3"/>
        <v>0</v>
      </c>
      <c r="BU9" s="61">
        <f t="shared" si="3"/>
        <v>0</v>
      </c>
      <c r="BV9" s="61">
        <f t="shared" si="3"/>
        <v>0</v>
      </c>
      <c r="BW9" s="61">
        <f t="shared" si="3"/>
        <v>0</v>
      </c>
      <c r="BX9" s="61">
        <f t="shared" si="3"/>
        <v>0</v>
      </c>
      <c r="BY9" s="61">
        <f t="shared" si="3"/>
        <v>0</v>
      </c>
      <c r="BZ9" s="61">
        <f t="shared" si="3"/>
        <v>0</v>
      </c>
      <c r="CA9" s="61">
        <f t="shared" si="3"/>
        <v>0</v>
      </c>
      <c r="CB9" s="61">
        <f t="shared" si="5"/>
        <v>0</v>
      </c>
      <c r="CD9" s="200">
        <f>(SUMIF(Fonctionnement[Affectation matrice],$AB$3,Fonctionnement[TVA acquittée])+SUMIF(Invest[Affectation matrice],$AB$3,Invest[TVA acquittée]))*BC9</f>
        <v>0</v>
      </c>
      <c r="CE9" s="200">
        <f>(SUMIF(Fonctionnement[Affectation matrice],$AB$3,Fonctionnement[TVA acquittée])+SUMIF(Invest[Affectation matrice],$AB$3,Invest[TVA acquittée]))*BD9</f>
        <v>0</v>
      </c>
      <c r="CF9" s="200">
        <f>(SUMIF(Fonctionnement[Affectation matrice],$AB$3,Fonctionnement[TVA acquittée])+SUMIF(Invest[Affectation matrice],$AB$3,Invest[TVA acquittée]))*BE9</f>
        <v>0</v>
      </c>
      <c r="CG9" s="200">
        <f>(SUMIF(Fonctionnement[Affectation matrice],$AB$3,Fonctionnement[TVA acquittée])+SUMIF(Invest[Affectation matrice],$AB$3,Invest[TVA acquittée]))*BF9</f>
        <v>0</v>
      </c>
      <c r="CH9" s="200">
        <f>(SUMIF(Fonctionnement[Affectation matrice],$AB$3,Fonctionnement[TVA acquittée])+SUMIF(Invest[Affectation matrice],$AB$3,Invest[TVA acquittée]))*BG9</f>
        <v>0</v>
      </c>
      <c r="CI9" s="200">
        <f>(SUMIF(Fonctionnement[Affectation matrice],$AB$3,Fonctionnement[TVA acquittée])+SUMIF(Invest[Affectation matrice],$AB$3,Invest[TVA acquittée]))*BH9</f>
        <v>0</v>
      </c>
      <c r="CJ9" s="200">
        <f>(SUMIF(Fonctionnement[Affectation matrice],$AB$3,Fonctionnement[TVA acquittée])+SUMIF(Invest[Affectation matrice],$AB$3,Invest[TVA acquittée]))*BI9</f>
        <v>0</v>
      </c>
      <c r="CK9" s="200">
        <f>(SUMIF(Fonctionnement[Affectation matrice],$AB$3,Fonctionnement[TVA acquittée])+SUMIF(Invest[Affectation matrice],$AB$3,Invest[TVA acquittée]))*BJ9</f>
        <v>0</v>
      </c>
      <c r="CL9" s="200">
        <f>(SUMIF(Fonctionnement[Affectation matrice],$AB$3,Fonctionnement[TVA acquittée])+SUMIF(Invest[Affectation matrice],$AB$3,Invest[TVA acquittée]))*BK9</f>
        <v>0</v>
      </c>
      <c r="CM9" s="200">
        <f>(SUMIF(Fonctionnement[Affectation matrice],$AB$3,Fonctionnement[TVA acquittée])+SUMIF(Invest[Affectation matrice],$AB$3,Invest[TVA acquittée]))*BL9</f>
        <v>0</v>
      </c>
      <c r="CN9" s="200">
        <f>(SUMIF(Fonctionnement[Affectation matrice],$AB$3,Fonctionnement[TVA acquittée])+SUMIF(Invest[Affectation matrice],$AB$3,Invest[TVA acquittée]))*BM9</f>
        <v>0</v>
      </c>
      <c r="CO9" s="200">
        <f>(SUMIF(Fonctionnement[Affectation matrice],$AB$3,Fonctionnement[TVA acquittée])+SUMIF(Invest[Affectation matrice],$AB$3,Invest[TVA acquittée]))*BN9</f>
        <v>0</v>
      </c>
      <c r="CP9" s="200">
        <f>(SUMIF(Fonctionnement[Affectation matrice],$AB$3,Fonctionnement[TVA acquittée])+SUMIF(Invest[Affectation matrice],$AB$3,Invest[TVA acquittée]))*BO9</f>
        <v>0</v>
      </c>
      <c r="CQ9" s="200">
        <f>(SUMIF(Fonctionnement[Affectation matrice],$AB$3,Fonctionnement[TVA acquittée])+SUMIF(Invest[Affectation matrice],$AB$3,Invest[TVA acquittée]))*BP9</f>
        <v>0</v>
      </c>
      <c r="CR9" s="200">
        <f>(SUMIF(Fonctionnement[Affectation matrice],$AB$3,Fonctionnement[TVA acquittée])+SUMIF(Invest[Affectation matrice],$AB$3,Invest[TVA acquittée]))*BQ9</f>
        <v>0</v>
      </c>
      <c r="CS9" s="200">
        <f>(SUMIF(Fonctionnement[Affectation matrice],$AB$3,Fonctionnement[TVA acquittée])+SUMIF(Invest[Affectation matrice],$AB$3,Invest[TVA acquittée]))*BR9</f>
        <v>0</v>
      </c>
      <c r="CT9" s="200">
        <f>(SUMIF(Fonctionnement[Affectation matrice],$AB$3,Fonctionnement[TVA acquittée])+SUMIF(Invest[Affectation matrice],$AB$3,Invest[TVA acquittée]))*BS9</f>
        <v>0</v>
      </c>
      <c r="CU9" s="200">
        <f>(SUMIF(Fonctionnement[Affectation matrice],$AB$3,Fonctionnement[TVA acquittée])+SUMIF(Invest[Affectation matrice],$AB$3,Invest[TVA acquittée]))*BT9</f>
        <v>0</v>
      </c>
      <c r="CV9" s="200">
        <f>(SUMIF(Fonctionnement[Affectation matrice],$AB$3,Fonctionnement[TVA acquittée])+SUMIF(Invest[Affectation matrice],$AB$3,Invest[TVA acquittée]))*BU9</f>
        <v>0</v>
      </c>
      <c r="CW9" s="200">
        <f>(SUMIF(Fonctionnement[Affectation matrice],$AB$3,Fonctionnement[TVA acquittée])+SUMIF(Invest[Affectation matrice],$AB$3,Invest[TVA acquittée]))*BV9</f>
        <v>0</v>
      </c>
      <c r="CX9" s="200">
        <f>(SUMIF(Fonctionnement[Affectation matrice],$AB$3,Fonctionnement[TVA acquittée])+SUMIF(Invest[Affectation matrice],$AB$3,Invest[TVA acquittée]))*BW9</f>
        <v>0</v>
      </c>
      <c r="CY9" s="200">
        <f>(SUMIF(Fonctionnement[Affectation matrice],$AB$3,Fonctionnement[TVA acquittée])+SUMIF(Invest[Affectation matrice],$AB$3,Invest[TVA acquittée]))*BX9</f>
        <v>0</v>
      </c>
      <c r="CZ9" s="200">
        <f>(SUMIF(Fonctionnement[Affectation matrice],$AB$3,Fonctionnement[TVA acquittée])+SUMIF(Invest[Affectation matrice],$AB$3,Invest[TVA acquittée]))*BY9</f>
        <v>0</v>
      </c>
      <c r="DA9" s="200">
        <f>(SUMIF(Fonctionnement[Affectation matrice],$AB$3,Fonctionnement[TVA acquittée])+SUMIF(Invest[Affectation matrice],$AB$3,Invest[TVA acquittée]))*BZ9</f>
        <v>0</v>
      </c>
      <c r="DB9" s="200">
        <f>(SUMIF(Fonctionnement[Affectation matrice],$AB$3,Fonctionnement[TVA acquittée])+SUMIF(Invest[Affectation matrice],$AB$3,Invest[TVA acquittée]))*CA9</f>
        <v>0</v>
      </c>
    </row>
    <row r="10" spans="1:106" s="22" customFormat="1" ht="12.75" customHeight="1" x14ac:dyDescent="0.25">
      <c r="A10" s="42" t="str">
        <f>Matrice[[#This Row],[Ligne de la matrice]]</f>
        <v>Transfert/Transport</v>
      </c>
      <c r="B10" s="276">
        <f>(SUMIF(Fonctionnement[Affectation matrice],$AB$3,Fonctionnement[Montant (€HT)])+SUMIF(Invest[Affectation matrice],$AB$3,Invest[Amortissement HT + intérêts]))*BC10</f>
        <v>0</v>
      </c>
      <c r="C10" s="276">
        <f>(SUMIF(Fonctionnement[Affectation matrice],$AB$3,Fonctionnement[Montant (€HT)])+SUMIF(Invest[Affectation matrice],$AB$3,Invest[Amortissement HT + intérêts]))*BD10</f>
        <v>0</v>
      </c>
      <c r="D10" s="276">
        <f>(SUMIF(Fonctionnement[Affectation matrice],$AB$3,Fonctionnement[Montant (€HT)])+SUMIF(Invest[Affectation matrice],$AB$3,Invest[Amortissement HT + intérêts]))*BE10</f>
        <v>0</v>
      </c>
      <c r="E10" s="276">
        <f>(SUMIF(Fonctionnement[Affectation matrice],$AB$3,Fonctionnement[Montant (€HT)])+SUMIF(Invest[Affectation matrice],$AB$3,Invest[Amortissement HT + intérêts]))*BF10</f>
        <v>0</v>
      </c>
      <c r="F10" s="276">
        <f>(SUMIF(Fonctionnement[Affectation matrice],$AB$3,Fonctionnement[Montant (€HT)])+SUMIF(Invest[Affectation matrice],$AB$3,Invest[Amortissement HT + intérêts]))*BG10</f>
        <v>0</v>
      </c>
      <c r="G10" s="276">
        <f>(SUMIF(Fonctionnement[Affectation matrice],$AB$3,Fonctionnement[Montant (€HT)])+SUMIF(Invest[Affectation matrice],$AB$3,Invest[Amortissement HT + intérêts]))*BH10</f>
        <v>0</v>
      </c>
      <c r="H10" s="276">
        <f>(SUMIF(Fonctionnement[Affectation matrice],$AB$3,Fonctionnement[Montant (€HT)])+SUMIF(Invest[Affectation matrice],$AB$3,Invest[Amortissement HT + intérêts]))*BI10</f>
        <v>0</v>
      </c>
      <c r="I10" s="276">
        <f>(SUMIF(Fonctionnement[Affectation matrice],$AB$3,Fonctionnement[Montant (€HT)])+SUMIF(Invest[Affectation matrice],$AB$3,Invest[Amortissement HT + intérêts]))*BJ10</f>
        <v>0</v>
      </c>
      <c r="J10" s="276">
        <f>(SUMIF(Fonctionnement[Affectation matrice],$AB$3,Fonctionnement[Montant (€HT)])+SUMIF(Invest[Affectation matrice],$AB$3,Invest[Amortissement HT + intérêts]))*BK10</f>
        <v>0</v>
      </c>
      <c r="K10" s="276">
        <f>(SUMIF(Fonctionnement[Affectation matrice],$AB$3,Fonctionnement[Montant (€HT)])+SUMIF(Invest[Affectation matrice],$AB$3,Invest[Amortissement HT + intérêts]))*BL10</f>
        <v>0</v>
      </c>
      <c r="L10" s="276">
        <f>(SUMIF(Fonctionnement[Affectation matrice],$AB$3,Fonctionnement[Montant (€HT)])+SUMIF(Invest[Affectation matrice],$AB$3,Invest[Amortissement HT + intérêts]))*BM10</f>
        <v>0</v>
      </c>
      <c r="M10" s="276">
        <f>(SUMIF(Fonctionnement[Affectation matrice],$AB$3,Fonctionnement[Montant (€HT)])+SUMIF(Invest[Affectation matrice],$AB$3,Invest[Amortissement HT + intérêts]))*BN10</f>
        <v>0</v>
      </c>
      <c r="N10" s="276">
        <f>(SUMIF(Fonctionnement[Affectation matrice],$AB$3,Fonctionnement[Montant (€HT)])+SUMIF(Invest[Affectation matrice],$AB$3,Invest[Amortissement HT + intérêts]))*BO10</f>
        <v>0</v>
      </c>
      <c r="O10" s="276">
        <f>(SUMIF(Fonctionnement[Affectation matrice],$AB$3,Fonctionnement[Montant (€HT)])+SUMIF(Invest[Affectation matrice],$AB$3,Invest[Amortissement HT + intérêts]))*BP10</f>
        <v>0</v>
      </c>
      <c r="P10" s="276">
        <f>(SUMIF(Fonctionnement[Affectation matrice],$AB$3,Fonctionnement[Montant (€HT)])+SUMIF(Invest[Affectation matrice],$AB$3,Invest[Amortissement HT + intérêts]))*BQ10</f>
        <v>0</v>
      </c>
      <c r="Q10" s="276">
        <f>(SUMIF(Fonctionnement[Affectation matrice],$AB$3,Fonctionnement[Montant (€HT)])+SUMIF(Invest[Affectation matrice],$AB$3,Invest[Amortissement HT + intérêts]))*BR10</f>
        <v>0</v>
      </c>
      <c r="R10" s="276">
        <f>(SUMIF(Fonctionnement[Affectation matrice],$AB$3,Fonctionnement[Montant (€HT)])+SUMIF(Invest[Affectation matrice],$AB$3,Invest[Amortissement HT + intérêts]))*BS10</f>
        <v>0</v>
      </c>
      <c r="S10" s="276">
        <f>(SUMIF(Fonctionnement[Affectation matrice],$AB$3,Fonctionnement[Montant (€HT)])+SUMIF(Invest[Affectation matrice],$AB$3,Invest[Amortissement HT + intérêts]))*BT10</f>
        <v>0</v>
      </c>
      <c r="T10" s="276">
        <f>(SUMIF(Fonctionnement[Affectation matrice],$AB$3,Fonctionnement[Montant (€HT)])+SUMIF(Invest[Affectation matrice],$AB$3,Invest[Amortissement HT + intérêts]))*BU10</f>
        <v>0</v>
      </c>
      <c r="U10" s="276">
        <f>(SUMIF(Fonctionnement[Affectation matrice],$AB$3,Fonctionnement[Montant (€HT)])+SUMIF(Invest[Affectation matrice],$AB$3,Invest[Amortissement HT + intérêts]))*BV10</f>
        <v>0</v>
      </c>
      <c r="V10" s="276">
        <f>(SUMIF(Fonctionnement[Affectation matrice],$AB$3,Fonctionnement[Montant (€HT)])+SUMIF(Invest[Affectation matrice],$AB$3,Invest[Amortissement HT + intérêts]))*BW10</f>
        <v>0</v>
      </c>
      <c r="W10" s="276">
        <f>(SUMIF(Fonctionnement[Affectation matrice],$AB$3,Fonctionnement[Montant (€HT)])+SUMIF(Invest[Affectation matrice],$AB$3,Invest[Amortissement HT + intérêts]))*BX10</f>
        <v>0</v>
      </c>
      <c r="X10" s="276">
        <f>(SUMIF(Fonctionnement[Affectation matrice],$AB$3,Fonctionnement[Montant (€HT)])+SUMIF(Invest[Affectation matrice],$AB$3,Invest[Amortissement HT + intérêts]))*BY10</f>
        <v>0</v>
      </c>
      <c r="Y10" s="276">
        <f>(SUMIF(Fonctionnement[Affectation matrice],$AB$3,Fonctionnement[Montant (€HT)])+SUMIF(Invest[Affectation matrice],$AB$3,Invest[Amortissement HT + intérêts]))*BZ10</f>
        <v>0</v>
      </c>
      <c r="Z10" s="276">
        <f>(SUMIF(Fonctionnement[Affectation matrice],$AB$3,Fonctionnement[Montant (€HT)])+SUMIF(Invest[Affectation matrice],$AB$3,Invest[Amortissement HT + intérêts]))*CA10</f>
        <v>0</v>
      </c>
      <c r="AA10" s="199"/>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283">
        <f t="shared" si="4"/>
        <v>0</v>
      </c>
      <c r="BB10" s="7"/>
      <c r="BC10" s="61">
        <f t="shared" si="2"/>
        <v>0</v>
      </c>
      <c r="BD10" s="61">
        <f t="shared" si="2"/>
        <v>0</v>
      </c>
      <c r="BE10" s="61">
        <f t="shared" si="2"/>
        <v>0</v>
      </c>
      <c r="BF10" s="61">
        <f t="shared" si="2"/>
        <v>0</v>
      </c>
      <c r="BG10" s="61">
        <f t="shared" si="2"/>
        <v>0</v>
      </c>
      <c r="BH10" s="61">
        <f t="shared" si="2"/>
        <v>0</v>
      </c>
      <c r="BI10" s="61">
        <f t="shared" si="2"/>
        <v>0</v>
      </c>
      <c r="BJ10" s="61">
        <f t="shared" si="2"/>
        <v>0</v>
      </c>
      <c r="BK10" s="61">
        <f t="shared" si="2"/>
        <v>0</v>
      </c>
      <c r="BL10" s="61">
        <f t="shared" si="2"/>
        <v>0</v>
      </c>
      <c r="BM10" s="61">
        <f t="shared" si="2"/>
        <v>0</v>
      </c>
      <c r="BN10" s="61">
        <f t="shared" si="2"/>
        <v>0</v>
      </c>
      <c r="BO10" s="61">
        <f t="shared" si="2"/>
        <v>0</v>
      </c>
      <c r="BP10" s="61">
        <f t="shared" si="2"/>
        <v>0</v>
      </c>
      <c r="BQ10" s="61">
        <f t="shared" si="2"/>
        <v>0</v>
      </c>
      <c r="BR10" s="61">
        <f t="shared" si="2"/>
        <v>0</v>
      </c>
      <c r="BS10" s="61">
        <f t="shared" si="3"/>
        <v>0</v>
      </c>
      <c r="BT10" s="61">
        <f t="shared" si="3"/>
        <v>0</v>
      </c>
      <c r="BU10" s="61">
        <f t="shared" si="3"/>
        <v>0</v>
      </c>
      <c r="BV10" s="61">
        <f t="shared" si="3"/>
        <v>0</v>
      </c>
      <c r="BW10" s="61">
        <f t="shared" si="3"/>
        <v>0</v>
      </c>
      <c r="BX10" s="61">
        <f t="shared" si="3"/>
        <v>0</v>
      </c>
      <c r="BY10" s="61">
        <f t="shared" si="3"/>
        <v>0</v>
      </c>
      <c r="BZ10" s="61">
        <f t="shared" si="3"/>
        <v>0</v>
      </c>
      <c r="CA10" s="61">
        <f t="shared" si="3"/>
        <v>0</v>
      </c>
      <c r="CB10" s="61">
        <f t="shared" si="5"/>
        <v>0</v>
      </c>
      <c r="CD10" s="200">
        <f>(SUMIF(Fonctionnement[Affectation matrice],$AB$3,Fonctionnement[TVA acquittée])+SUMIF(Invest[Affectation matrice],$AB$3,Invest[TVA acquittée]))*BC10</f>
        <v>0</v>
      </c>
      <c r="CE10" s="200">
        <f>(SUMIF(Fonctionnement[Affectation matrice],$AB$3,Fonctionnement[TVA acquittée])+SUMIF(Invest[Affectation matrice],$AB$3,Invest[TVA acquittée]))*BD10</f>
        <v>0</v>
      </c>
      <c r="CF10" s="200">
        <f>(SUMIF(Fonctionnement[Affectation matrice],$AB$3,Fonctionnement[TVA acquittée])+SUMIF(Invest[Affectation matrice],$AB$3,Invest[TVA acquittée]))*BE10</f>
        <v>0</v>
      </c>
      <c r="CG10" s="200">
        <f>(SUMIF(Fonctionnement[Affectation matrice],$AB$3,Fonctionnement[TVA acquittée])+SUMIF(Invest[Affectation matrice],$AB$3,Invest[TVA acquittée]))*BF10</f>
        <v>0</v>
      </c>
      <c r="CH10" s="200">
        <f>(SUMIF(Fonctionnement[Affectation matrice],$AB$3,Fonctionnement[TVA acquittée])+SUMIF(Invest[Affectation matrice],$AB$3,Invest[TVA acquittée]))*BG10</f>
        <v>0</v>
      </c>
      <c r="CI10" s="200">
        <f>(SUMIF(Fonctionnement[Affectation matrice],$AB$3,Fonctionnement[TVA acquittée])+SUMIF(Invest[Affectation matrice],$AB$3,Invest[TVA acquittée]))*BH10</f>
        <v>0</v>
      </c>
      <c r="CJ10" s="200">
        <f>(SUMIF(Fonctionnement[Affectation matrice],$AB$3,Fonctionnement[TVA acquittée])+SUMIF(Invest[Affectation matrice],$AB$3,Invest[TVA acquittée]))*BI10</f>
        <v>0</v>
      </c>
      <c r="CK10" s="200">
        <f>(SUMIF(Fonctionnement[Affectation matrice],$AB$3,Fonctionnement[TVA acquittée])+SUMIF(Invest[Affectation matrice],$AB$3,Invest[TVA acquittée]))*BJ10</f>
        <v>0</v>
      </c>
      <c r="CL10" s="200">
        <f>(SUMIF(Fonctionnement[Affectation matrice],$AB$3,Fonctionnement[TVA acquittée])+SUMIF(Invest[Affectation matrice],$AB$3,Invest[TVA acquittée]))*BK10</f>
        <v>0</v>
      </c>
      <c r="CM10" s="200">
        <f>(SUMIF(Fonctionnement[Affectation matrice],$AB$3,Fonctionnement[TVA acquittée])+SUMIF(Invest[Affectation matrice],$AB$3,Invest[TVA acquittée]))*BL10</f>
        <v>0</v>
      </c>
      <c r="CN10" s="200">
        <f>(SUMIF(Fonctionnement[Affectation matrice],$AB$3,Fonctionnement[TVA acquittée])+SUMIF(Invest[Affectation matrice],$AB$3,Invest[TVA acquittée]))*BM10</f>
        <v>0</v>
      </c>
      <c r="CO10" s="200">
        <f>(SUMIF(Fonctionnement[Affectation matrice],$AB$3,Fonctionnement[TVA acquittée])+SUMIF(Invest[Affectation matrice],$AB$3,Invest[TVA acquittée]))*BN10</f>
        <v>0</v>
      </c>
      <c r="CP10" s="200">
        <f>(SUMIF(Fonctionnement[Affectation matrice],$AB$3,Fonctionnement[TVA acquittée])+SUMIF(Invest[Affectation matrice],$AB$3,Invest[TVA acquittée]))*BO10</f>
        <v>0</v>
      </c>
      <c r="CQ10" s="200">
        <f>(SUMIF(Fonctionnement[Affectation matrice],$AB$3,Fonctionnement[TVA acquittée])+SUMIF(Invest[Affectation matrice],$AB$3,Invest[TVA acquittée]))*BP10</f>
        <v>0</v>
      </c>
      <c r="CR10" s="200">
        <f>(SUMIF(Fonctionnement[Affectation matrice],$AB$3,Fonctionnement[TVA acquittée])+SUMIF(Invest[Affectation matrice],$AB$3,Invest[TVA acquittée]))*BQ10</f>
        <v>0</v>
      </c>
      <c r="CS10" s="200">
        <f>(SUMIF(Fonctionnement[Affectation matrice],$AB$3,Fonctionnement[TVA acquittée])+SUMIF(Invest[Affectation matrice],$AB$3,Invest[TVA acquittée]))*BR10</f>
        <v>0</v>
      </c>
      <c r="CT10" s="200">
        <f>(SUMIF(Fonctionnement[Affectation matrice],$AB$3,Fonctionnement[TVA acquittée])+SUMIF(Invest[Affectation matrice],$AB$3,Invest[TVA acquittée]))*BS10</f>
        <v>0</v>
      </c>
      <c r="CU10" s="200">
        <f>(SUMIF(Fonctionnement[Affectation matrice],$AB$3,Fonctionnement[TVA acquittée])+SUMIF(Invest[Affectation matrice],$AB$3,Invest[TVA acquittée]))*BT10</f>
        <v>0</v>
      </c>
      <c r="CV10" s="200">
        <f>(SUMIF(Fonctionnement[Affectation matrice],$AB$3,Fonctionnement[TVA acquittée])+SUMIF(Invest[Affectation matrice],$AB$3,Invest[TVA acquittée]))*BU10</f>
        <v>0</v>
      </c>
      <c r="CW10" s="200">
        <f>(SUMIF(Fonctionnement[Affectation matrice],$AB$3,Fonctionnement[TVA acquittée])+SUMIF(Invest[Affectation matrice],$AB$3,Invest[TVA acquittée]))*BV10</f>
        <v>0</v>
      </c>
      <c r="CX10" s="200">
        <f>(SUMIF(Fonctionnement[Affectation matrice],$AB$3,Fonctionnement[TVA acquittée])+SUMIF(Invest[Affectation matrice],$AB$3,Invest[TVA acquittée]))*BW10</f>
        <v>0</v>
      </c>
      <c r="CY10" s="200">
        <f>(SUMIF(Fonctionnement[Affectation matrice],$AB$3,Fonctionnement[TVA acquittée])+SUMIF(Invest[Affectation matrice],$AB$3,Invest[TVA acquittée]))*BX10</f>
        <v>0</v>
      </c>
      <c r="CZ10" s="200">
        <f>(SUMIF(Fonctionnement[Affectation matrice],$AB$3,Fonctionnement[TVA acquittée])+SUMIF(Invest[Affectation matrice],$AB$3,Invest[TVA acquittée]))*BY10</f>
        <v>0</v>
      </c>
      <c r="DA10" s="200">
        <f>(SUMIF(Fonctionnement[Affectation matrice],$AB$3,Fonctionnement[TVA acquittée])+SUMIF(Invest[Affectation matrice],$AB$3,Invest[TVA acquittée]))*BZ10</f>
        <v>0</v>
      </c>
      <c r="DB10" s="200">
        <f>(SUMIF(Fonctionnement[Affectation matrice],$AB$3,Fonctionnement[TVA acquittée])+SUMIF(Invest[Affectation matrice],$AB$3,Invest[TVA acquittée]))*CA10</f>
        <v>0</v>
      </c>
    </row>
    <row r="11" spans="1:106" s="22" customFormat="1" ht="12.75" customHeight="1" x14ac:dyDescent="0.25">
      <c r="A11" s="42" t="str">
        <f>Matrice[[#This Row],[Ligne de la matrice]]</f>
        <v>Traitement des déchets non dangereux</v>
      </c>
      <c r="B11" s="276">
        <f>(SUMIF(Fonctionnement[Affectation matrice],$AB$3,Fonctionnement[Montant (€HT)])+SUMIF(Invest[Affectation matrice],$AB$3,Invest[Amortissement HT + intérêts]))*BC11</f>
        <v>0</v>
      </c>
      <c r="C11" s="276">
        <f>(SUMIF(Fonctionnement[Affectation matrice],$AB$3,Fonctionnement[Montant (€HT)])+SUMIF(Invest[Affectation matrice],$AB$3,Invest[Amortissement HT + intérêts]))*BD11</f>
        <v>0</v>
      </c>
      <c r="D11" s="276">
        <f>(SUMIF(Fonctionnement[Affectation matrice],$AB$3,Fonctionnement[Montant (€HT)])+SUMIF(Invest[Affectation matrice],$AB$3,Invest[Amortissement HT + intérêts]))*BE11</f>
        <v>0</v>
      </c>
      <c r="E11" s="276">
        <f>(SUMIF(Fonctionnement[Affectation matrice],$AB$3,Fonctionnement[Montant (€HT)])+SUMIF(Invest[Affectation matrice],$AB$3,Invest[Amortissement HT + intérêts]))*BF11</f>
        <v>0</v>
      </c>
      <c r="F11" s="276">
        <f>(SUMIF(Fonctionnement[Affectation matrice],$AB$3,Fonctionnement[Montant (€HT)])+SUMIF(Invest[Affectation matrice],$AB$3,Invest[Amortissement HT + intérêts]))*BG11</f>
        <v>0</v>
      </c>
      <c r="G11" s="276">
        <f>(SUMIF(Fonctionnement[Affectation matrice],$AB$3,Fonctionnement[Montant (€HT)])+SUMIF(Invest[Affectation matrice],$AB$3,Invest[Amortissement HT + intérêts]))*BH11</f>
        <v>0</v>
      </c>
      <c r="H11" s="276">
        <f>(SUMIF(Fonctionnement[Affectation matrice],$AB$3,Fonctionnement[Montant (€HT)])+SUMIF(Invest[Affectation matrice],$AB$3,Invest[Amortissement HT + intérêts]))*BI11</f>
        <v>0</v>
      </c>
      <c r="I11" s="276">
        <f>(SUMIF(Fonctionnement[Affectation matrice],$AB$3,Fonctionnement[Montant (€HT)])+SUMIF(Invest[Affectation matrice],$AB$3,Invest[Amortissement HT + intérêts]))*BJ11</f>
        <v>0</v>
      </c>
      <c r="J11" s="276">
        <f>(SUMIF(Fonctionnement[Affectation matrice],$AB$3,Fonctionnement[Montant (€HT)])+SUMIF(Invest[Affectation matrice],$AB$3,Invest[Amortissement HT + intérêts]))*BK11</f>
        <v>0</v>
      </c>
      <c r="K11" s="276">
        <f>(SUMIF(Fonctionnement[Affectation matrice],$AB$3,Fonctionnement[Montant (€HT)])+SUMIF(Invest[Affectation matrice],$AB$3,Invest[Amortissement HT + intérêts]))*BL11</f>
        <v>0</v>
      </c>
      <c r="L11" s="276">
        <f>(SUMIF(Fonctionnement[Affectation matrice],$AB$3,Fonctionnement[Montant (€HT)])+SUMIF(Invest[Affectation matrice],$AB$3,Invest[Amortissement HT + intérêts]))*BM11</f>
        <v>0</v>
      </c>
      <c r="M11" s="276">
        <f>(SUMIF(Fonctionnement[Affectation matrice],$AB$3,Fonctionnement[Montant (€HT)])+SUMIF(Invest[Affectation matrice],$AB$3,Invest[Amortissement HT + intérêts]))*BN11</f>
        <v>0</v>
      </c>
      <c r="N11" s="276">
        <f>(SUMIF(Fonctionnement[Affectation matrice],$AB$3,Fonctionnement[Montant (€HT)])+SUMIF(Invest[Affectation matrice],$AB$3,Invest[Amortissement HT + intérêts]))*BO11</f>
        <v>0</v>
      </c>
      <c r="O11" s="276">
        <f>(SUMIF(Fonctionnement[Affectation matrice],$AB$3,Fonctionnement[Montant (€HT)])+SUMIF(Invest[Affectation matrice],$AB$3,Invest[Amortissement HT + intérêts]))*BP11</f>
        <v>0</v>
      </c>
      <c r="P11" s="276">
        <f>(SUMIF(Fonctionnement[Affectation matrice],$AB$3,Fonctionnement[Montant (€HT)])+SUMIF(Invest[Affectation matrice],$AB$3,Invest[Amortissement HT + intérêts]))*BQ11</f>
        <v>0</v>
      </c>
      <c r="Q11" s="276">
        <f>(SUMIF(Fonctionnement[Affectation matrice],$AB$3,Fonctionnement[Montant (€HT)])+SUMIF(Invest[Affectation matrice],$AB$3,Invest[Amortissement HT + intérêts]))*BR11</f>
        <v>0</v>
      </c>
      <c r="R11" s="276">
        <f>(SUMIF(Fonctionnement[Affectation matrice],$AB$3,Fonctionnement[Montant (€HT)])+SUMIF(Invest[Affectation matrice],$AB$3,Invest[Amortissement HT + intérêts]))*BS11</f>
        <v>0</v>
      </c>
      <c r="S11" s="276">
        <f>(SUMIF(Fonctionnement[Affectation matrice],$AB$3,Fonctionnement[Montant (€HT)])+SUMIF(Invest[Affectation matrice],$AB$3,Invest[Amortissement HT + intérêts]))*BT11</f>
        <v>0</v>
      </c>
      <c r="T11" s="276">
        <f>(SUMIF(Fonctionnement[Affectation matrice],$AB$3,Fonctionnement[Montant (€HT)])+SUMIF(Invest[Affectation matrice],$AB$3,Invest[Amortissement HT + intérêts]))*BU11</f>
        <v>0</v>
      </c>
      <c r="U11" s="276">
        <f>(SUMIF(Fonctionnement[Affectation matrice],$AB$3,Fonctionnement[Montant (€HT)])+SUMIF(Invest[Affectation matrice],$AB$3,Invest[Amortissement HT + intérêts]))*BV11</f>
        <v>0</v>
      </c>
      <c r="V11" s="276">
        <f>(SUMIF(Fonctionnement[Affectation matrice],$AB$3,Fonctionnement[Montant (€HT)])+SUMIF(Invest[Affectation matrice],$AB$3,Invest[Amortissement HT + intérêts]))*BW11</f>
        <v>0</v>
      </c>
      <c r="W11" s="276">
        <f>(SUMIF(Fonctionnement[Affectation matrice],$AB$3,Fonctionnement[Montant (€HT)])+SUMIF(Invest[Affectation matrice],$AB$3,Invest[Amortissement HT + intérêts]))*BX11</f>
        <v>0</v>
      </c>
      <c r="X11" s="276">
        <f>(SUMIF(Fonctionnement[Affectation matrice],$AB$3,Fonctionnement[Montant (€HT)])+SUMIF(Invest[Affectation matrice],$AB$3,Invest[Amortissement HT + intérêts]))*BY11</f>
        <v>0</v>
      </c>
      <c r="Y11" s="276">
        <f>(SUMIF(Fonctionnement[Affectation matrice],$AB$3,Fonctionnement[Montant (€HT)])+SUMIF(Invest[Affectation matrice],$AB$3,Invest[Amortissement HT + intérêts]))*BZ11</f>
        <v>0</v>
      </c>
      <c r="Z11" s="276">
        <f>(SUMIF(Fonctionnement[Affectation matrice],$AB$3,Fonctionnement[Montant (€HT)])+SUMIF(Invest[Affectation matrice],$AB$3,Invest[Amortissement HT + intérêts]))*CA11</f>
        <v>0</v>
      </c>
      <c r="AA11" s="199"/>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283">
        <f t="shared" si="4"/>
        <v>0</v>
      </c>
      <c r="BB11" s="7"/>
      <c r="BC11" s="61">
        <f t="shared" si="2"/>
        <v>0</v>
      </c>
      <c r="BD11" s="61">
        <f t="shared" si="2"/>
        <v>0</v>
      </c>
      <c r="BE11" s="61">
        <f t="shared" si="2"/>
        <v>0</v>
      </c>
      <c r="BF11" s="61">
        <f t="shared" si="2"/>
        <v>0</v>
      </c>
      <c r="BG11" s="61">
        <f t="shared" si="2"/>
        <v>0</v>
      </c>
      <c r="BH11" s="61">
        <f t="shared" si="2"/>
        <v>0</v>
      </c>
      <c r="BI11" s="61">
        <f t="shared" si="2"/>
        <v>0</v>
      </c>
      <c r="BJ11" s="61">
        <f t="shared" si="2"/>
        <v>0</v>
      </c>
      <c r="BK11" s="61">
        <f t="shared" si="2"/>
        <v>0</v>
      </c>
      <c r="BL11" s="61">
        <f t="shared" si="2"/>
        <v>0</v>
      </c>
      <c r="BM11" s="61">
        <f t="shared" si="2"/>
        <v>0</v>
      </c>
      <c r="BN11" s="61">
        <f t="shared" si="2"/>
        <v>0</v>
      </c>
      <c r="BO11" s="61">
        <f t="shared" si="2"/>
        <v>0</v>
      </c>
      <c r="BP11" s="61">
        <f t="shared" si="2"/>
        <v>0</v>
      </c>
      <c r="BQ11" s="61">
        <f t="shared" si="2"/>
        <v>0</v>
      </c>
      <c r="BR11" s="61">
        <f t="shared" si="2"/>
        <v>0</v>
      </c>
      <c r="BS11" s="61">
        <f t="shared" si="3"/>
        <v>0</v>
      </c>
      <c r="BT11" s="61">
        <f t="shared" si="3"/>
        <v>0</v>
      </c>
      <c r="BU11" s="61">
        <f t="shared" si="3"/>
        <v>0</v>
      </c>
      <c r="BV11" s="61">
        <f t="shared" si="3"/>
        <v>0</v>
      </c>
      <c r="BW11" s="61">
        <f t="shared" si="3"/>
        <v>0</v>
      </c>
      <c r="BX11" s="61">
        <f t="shared" si="3"/>
        <v>0</v>
      </c>
      <c r="BY11" s="61">
        <f t="shared" si="3"/>
        <v>0</v>
      </c>
      <c r="BZ11" s="61">
        <f t="shared" si="3"/>
        <v>0</v>
      </c>
      <c r="CA11" s="61">
        <f t="shared" si="3"/>
        <v>0</v>
      </c>
      <c r="CB11" s="61">
        <f t="shared" si="5"/>
        <v>0</v>
      </c>
      <c r="CD11" s="200">
        <f>(SUMIF(Fonctionnement[Affectation matrice],$AB$3,Fonctionnement[TVA acquittée])+SUMIF(Invest[Affectation matrice],$AB$3,Invest[TVA acquittée]))*BC11</f>
        <v>0</v>
      </c>
      <c r="CE11" s="200">
        <f>(SUMIF(Fonctionnement[Affectation matrice],$AB$3,Fonctionnement[TVA acquittée])+SUMIF(Invest[Affectation matrice],$AB$3,Invest[TVA acquittée]))*BD11</f>
        <v>0</v>
      </c>
      <c r="CF11" s="200">
        <f>(SUMIF(Fonctionnement[Affectation matrice],$AB$3,Fonctionnement[TVA acquittée])+SUMIF(Invest[Affectation matrice],$AB$3,Invest[TVA acquittée]))*BE11</f>
        <v>0</v>
      </c>
      <c r="CG11" s="200">
        <f>(SUMIF(Fonctionnement[Affectation matrice],$AB$3,Fonctionnement[TVA acquittée])+SUMIF(Invest[Affectation matrice],$AB$3,Invest[TVA acquittée]))*BF11</f>
        <v>0</v>
      </c>
      <c r="CH11" s="200">
        <f>(SUMIF(Fonctionnement[Affectation matrice],$AB$3,Fonctionnement[TVA acquittée])+SUMIF(Invest[Affectation matrice],$AB$3,Invest[TVA acquittée]))*BG11</f>
        <v>0</v>
      </c>
      <c r="CI11" s="200">
        <f>(SUMIF(Fonctionnement[Affectation matrice],$AB$3,Fonctionnement[TVA acquittée])+SUMIF(Invest[Affectation matrice],$AB$3,Invest[TVA acquittée]))*BH11</f>
        <v>0</v>
      </c>
      <c r="CJ11" s="200">
        <f>(SUMIF(Fonctionnement[Affectation matrice],$AB$3,Fonctionnement[TVA acquittée])+SUMIF(Invest[Affectation matrice],$AB$3,Invest[TVA acquittée]))*BI11</f>
        <v>0</v>
      </c>
      <c r="CK11" s="200">
        <f>(SUMIF(Fonctionnement[Affectation matrice],$AB$3,Fonctionnement[TVA acquittée])+SUMIF(Invest[Affectation matrice],$AB$3,Invest[TVA acquittée]))*BJ11</f>
        <v>0</v>
      </c>
      <c r="CL11" s="200">
        <f>(SUMIF(Fonctionnement[Affectation matrice],$AB$3,Fonctionnement[TVA acquittée])+SUMIF(Invest[Affectation matrice],$AB$3,Invest[TVA acquittée]))*BK11</f>
        <v>0</v>
      </c>
      <c r="CM11" s="200">
        <f>(SUMIF(Fonctionnement[Affectation matrice],$AB$3,Fonctionnement[TVA acquittée])+SUMIF(Invest[Affectation matrice],$AB$3,Invest[TVA acquittée]))*BL11</f>
        <v>0</v>
      </c>
      <c r="CN11" s="200">
        <f>(SUMIF(Fonctionnement[Affectation matrice],$AB$3,Fonctionnement[TVA acquittée])+SUMIF(Invest[Affectation matrice],$AB$3,Invest[TVA acquittée]))*BM11</f>
        <v>0</v>
      </c>
      <c r="CO11" s="200">
        <f>(SUMIF(Fonctionnement[Affectation matrice],$AB$3,Fonctionnement[TVA acquittée])+SUMIF(Invest[Affectation matrice],$AB$3,Invest[TVA acquittée]))*BN11</f>
        <v>0</v>
      </c>
      <c r="CP11" s="200">
        <f>(SUMIF(Fonctionnement[Affectation matrice],$AB$3,Fonctionnement[TVA acquittée])+SUMIF(Invest[Affectation matrice],$AB$3,Invest[TVA acquittée]))*BO11</f>
        <v>0</v>
      </c>
      <c r="CQ11" s="200">
        <f>(SUMIF(Fonctionnement[Affectation matrice],$AB$3,Fonctionnement[TVA acquittée])+SUMIF(Invest[Affectation matrice],$AB$3,Invest[TVA acquittée]))*BP11</f>
        <v>0</v>
      </c>
      <c r="CR11" s="200">
        <f>(SUMIF(Fonctionnement[Affectation matrice],$AB$3,Fonctionnement[TVA acquittée])+SUMIF(Invest[Affectation matrice],$AB$3,Invest[TVA acquittée]))*BQ11</f>
        <v>0</v>
      </c>
      <c r="CS11" s="200">
        <f>(SUMIF(Fonctionnement[Affectation matrice],$AB$3,Fonctionnement[TVA acquittée])+SUMIF(Invest[Affectation matrice],$AB$3,Invest[TVA acquittée]))*BR11</f>
        <v>0</v>
      </c>
      <c r="CT11" s="200">
        <f>(SUMIF(Fonctionnement[Affectation matrice],$AB$3,Fonctionnement[TVA acquittée])+SUMIF(Invest[Affectation matrice],$AB$3,Invest[TVA acquittée]))*BS11</f>
        <v>0</v>
      </c>
      <c r="CU11" s="200">
        <f>(SUMIF(Fonctionnement[Affectation matrice],$AB$3,Fonctionnement[TVA acquittée])+SUMIF(Invest[Affectation matrice],$AB$3,Invest[TVA acquittée]))*BT11</f>
        <v>0</v>
      </c>
      <c r="CV11" s="200">
        <f>(SUMIF(Fonctionnement[Affectation matrice],$AB$3,Fonctionnement[TVA acquittée])+SUMIF(Invest[Affectation matrice],$AB$3,Invest[TVA acquittée]))*BU11</f>
        <v>0</v>
      </c>
      <c r="CW11" s="200">
        <f>(SUMIF(Fonctionnement[Affectation matrice],$AB$3,Fonctionnement[TVA acquittée])+SUMIF(Invest[Affectation matrice],$AB$3,Invest[TVA acquittée]))*BV11</f>
        <v>0</v>
      </c>
      <c r="CX11" s="200">
        <f>(SUMIF(Fonctionnement[Affectation matrice],$AB$3,Fonctionnement[TVA acquittée])+SUMIF(Invest[Affectation matrice],$AB$3,Invest[TVA acquittée]))*BW11</f>
        <v>0</v>
      </c>
      <c r="CY11" s="200">
        <f>(SUMIF(Fonctionnement[Affectation matrice],$AB$3,Fonctionnement[TVA acquittée])+SUMIF(Invest[Affectation matrice],$AB$3,Invest[TVA acquittée]))*BX11</f>
        <v>0</v>
      </c>
      <c r="CZ11" s="200">
        <f>(SUMIF(Fonctionnement[Affectation matrice],$AB$3,Fonctionnement[TVA acquittée])+SUMIF(Invest[Affectation matrice],$AB$3,Invest[TVA acquittée]))*BY11</f>
        <v>0</v>
      </c>
      <c r="DA11" s="200">
        <f>(SUMIF(Fonctionnement[Affectation matrice],$AB$3,Fonctionnement[TVA acquittée])+SUMIF(Invest[Affectation matrice],$AB$3,Invest[TVA acquittée]))*BZ11</f>
        <v>0</v>
      </c>
      <c r="DB11" s="200">
        <f>(SUMIF(Fonctionnement[Affectation matrice],$AB$3,Fonctionnement[TVA acquittée])+SUMIF(Invest[Affectation matrice],$AB$3,Invest[TVA acquittée]))*CA11</f>
        <v>0</v>
      </c>
    </row>
    <row r="12" spans="1:106" s="22" customFormat="1" ht="12.75" customHeight="1" x14ac:dyDescent="0.25">
      <c r="A12" s="42" t="str">
        <f>Matrice[[#This Row],[Ligne de la matrice]]</f>
        <v>Enlèvement et traitement des déchets dangereux</v>
      </c>
      <c r="B12" s="276">
        <f>(SUMIF(Fonctionnement[Affectation matrice],$AB$3,Fonctionnement[Montant (€HT)])+SUMIF(Invest[Affectation matrice],$AB$3,Invest[Amortissement HT + intérêts]))*BC12</f>
        <v>0</v>
      </c>
      <c r="C12" s="276">
        <f>(SUMIF(Fonctionnement[Affectation matrice],$AB$3,Fonctionnement[Montant (€HT)])+SUMIF(Invest[Affectation matrice],$AB$3,Invest[Amortissement HT + intérêts]))*BD12</f>
        <v>0</v>
      </c>
      <c r="D12" s="276">
        <f>(SUMIF(Fonctionnement[Affectation matrice],$AB$3,Fonctionnement[Montant (€HT)])+SUMIF(Invest[Affectation matrice],$AB$3,Invest[Amortissement HT + intérêts]))*BE12</f>
        <v>0</v>
      </c>
      <c r="E12" s="276">
        <f>(SUMIF(Fonctionnement[Affectation matrice],$AB$3,Fonctionnement[Montant (€HT)])+SUMIF(Invest[Affectation matrice],$AB$3,Invest[Amortissement HT + intérêts]))*BF12</f>
        <v>0</v>
      </c>
      <c r="F12" s="276">
        <f>(SUMIF(Fonctionnement[Affectation matrice],$AB$3,Fonctionnement[Montant (€HT)])+SUMIF(Invest[Affectation matrice],$AB$3,Invest[Amortissement HT + intérêts]))*BG12</f>
        <v>0</v>
      </c>
      <c r="G12" s="276">
        <f>(SUMIF(Fonctionnement[Affectation matrice],$AB$3,Fonctionnement[Montant (€HT)])+SUMIF(Invest[Affectation matrice],$AB$3,Invest[Amortissement HT + intérêts]))*BH12</f>
        <v>0</v>
      </c>
      <c r="H12" s="276">
        <f>(SUMIF(Fonctionnement[Affectation matrice],$AB$3,Fonctionnement[Montant (€HT)])+SUMIF(Invest[Affectation matrice],$AB$3,Invest[Amortissement HT + intérêts]))*BI12</f>
        <v>0</v>
      </c>
      <c r="I12" s="276">
        <f>(SUMIF(Fonctionnement[Affectation matrice],$AB$3,Fonctionnement[Montant (€HT)])+SUMIF(Invest[Affectation matrice],$AB$3,Invest[Amortissement HT + intérêts]))*BJ12</f>
        <v>0</v>
      </c>
      <c r="J12" s="276">
        <f>(SUMIF(Fonctionnement[Affectation matrice],$AB$3,Fonctionnement[Montant (€HT)])+SUMIF(Invest[Affectation matrice],$AB$3,Invest[Amortissement HT + intérêts]))*BK12</f>
        <v>0</v>
      </c>
      <c r="K12" s="276">
        <f>(SUMIF(Fonctionnement[Affectation matrice],$AB$3,Fonctionnement[Montant (€HT)])+SUMIF(Invest[Affectation matrice],$AB$3,Invest[Amortissement HT + intérêts]))*BL12</f>
        <v>0</v>
      </c>
      <c r="L12" s="276">
        <f>(SUMIF(Fonctionnement[Affectation matrice],$AB$3,Fonctionnement[Montant (€HT)])+SUMIF(Invest[Affectation matrice],$AB$3,Invest[Amortissement HT + intérêts]))*BM12</f>
        <v>0</v>
      </c>
      <c r="M12" s="276">
        <f>(SUMIF(Fonctionnement[Affectation matrice],$AB$3,Fonctionnement[Montant (€HT)])+SUMIF(Invest[Affectation matrice],$AB$3,Invest[Amortissement HT + intérêts]))*BN12</f>
        <v>0</v>
      </c>
      <c r="N12" s="276">
        <f>(SUMIF(Fonctionnement[Affectation matrice],$AB$3,Fonctionnement[Montant (€HT)])+SUMIF(Invest[Affectation matrice],$AB$3,Invest[Amortissement HT + intérêts]))*BO12</f>
        <v>0</v>
      </c>
      <c r="O12" s="276">
        <f>(SUMIF(Fonctionnement[Affectation matrice],$AB$3,Fonctionnement[Montant (€HT)])+SUMIF(Invest[Affectation matrice],$AB$3,Invest[Amortissement HT + intérêts]))*BP12</f>
        <v>0</v>
      </c>
      <c r="P12" s="276">
        <f>(SUMIF(Fonctionnement[Affectation matrice],$AB$3,Fonctionnement[Montant (€HT)])+SUMIF(Invest[Affectation matrice],$AB$3,Invest[Amortissement HT + intérêts]))*BQ12</f>
        <v>0</v>
      </c>
      <c r="Q12" s="276">
        <f>(SUMIF(Fonctionnement[Affectation matrice],$AB$3,Fonctionnement[Montant (€HT)])+SUMIF(Invest[Affectation matrice],$AB$3,Invest[Amortissement HT + intérêts]))*BR12</f>
        <v>0</v>
      </c>
      <c r="R12" s="276">
        <f>(SUMIF(Fonctionnement[Affectation matrice],$AB$3,Fonctionnement[Montant (€HT)])+SUMIF(Invest[Affectation matrice],$AB$3,Invest[Amortissement HT + intérêts]))*BS12</f>
        <v>0</v>
      </c>
      <c r="S12" s="276">
        <f>(SUMIF(Fonctionnement[Affectation matrice],$AB$3,Fonctionnement[Montant (€HT)])+SUMIF(Invest[Affectation matrice],$AB$3,Invest[Amortissement HT + intérêts]))*BT12</f>
        <v>0</v>
      </c>
      <c r="T12" s="276">
        <f>(SUMIF(Fonctionnement[Affectation matrice],$AB$3,Fonctionnement[Montant (€HT)])+SUMIF(Invest[Affectation matrice],$AB$3,Invest[Amortissement HT + intérêts]))*BU12</f>
        <v>0</v>
      </c>
      <c r="U12" s="276">
        <f>(SUMIF(Fonctionnement[Affectation matrice],$AB$3,Fonctionnement[Montant (€HT)])+SUMIF(Invest[Affectation matrice],$AB$3,Invest[Amortissement HT + intérêts]))*BV12</f>
        <v>0</v>
      </c>
      <c r="V12" s="276">
        <f>(SUMIF(Fonctionnement[Affectation matrice],$AB$3,Fonctionnement[Montant (€HT)])+SUMIF(Invest[Affectation matrice],$AB$3,Invest[Amortissement HT + intérêts]))*BW12</f>
        <v>0</v>
      </c>
      <c r="W12" s="276">
        <f>(SUMIF(Fonctionnement[Affectation matrice],$AB$3,Fonctionnement[Montant (€HT)])+SUMIF(Invest[Affectation matrice],$AB$3,Invest[Amortissement HT + intérêts]))*BX12</f>
        <v>0</v>
      </c>
      <c r="X12" s="276">
        <f>(SUMIF(Fonctionnement[Affectation matrice],$AB$3,Fonctionnement[Montant (€HT)])+SUMIF(Invest[Affectation matrice],$AB$3,Invest[Amortissement HT + intérêts]))*BY12</f>
        <v>0</v>
      </c>
      <c r="Y12" s="276">
        <f>(SUMIF(Fonctionnement[Affectation matrice],$AB$3,Fonctionnement[Montant (€HT)])+SUMIF(Invest[Affectation matrice],$AB$3,Invest[Amortissement HT + intérêts]))*BZ12</f>
        <v>0</v>
      </c>
      <c r="Z12" s="276">
        <f>(SUMIF(Fonctionnement[Affectation matrice],$AB$3,Fonctionnement[Montant (€HT)])+SUMIF(Invest[Affectation matrice],$AB$3,Invest[Amortissement HT + intérêts]))*CA12</f>
        <v>0</v>
      </c>
      <c r="AA12" s="199"/>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283">
        <f t="shared" si="4"/>
        <v>0</v>
      </c>
      <c r="BB12" s="7"/>
      <c r="BC12" s="61">
        <f t="shared" si="2"/>
        <v>0</v>
      </c>
      <c r="BD12" s="61">
        <f t="shared" si="2"/>
        <v>0</v>
      </c>
      <c r="BE12" s="61">
        <f t="shared" si="2"/>
        <v>0</v>
      </c>
      <c r="BF12" s="61">
        <f t="shared" si="2"/>
        <v>0</v>
      </c>
      <c r="BG12" s="61">
        <f t="shared" si="2"/>
        <v>0</v>
      </c>
      <c r="BH12" s="61">
        <f t="shared" si="2"/>
        <v>0</v>
      </c>
      <c r="BI12" s="61">
        <f t="shared" si="2"/>
        <v>0</v>
      </c>
      <c r="BJ12" s="61">
        <f t="shared" si="2"/>
        <v>0</v>
      </c>
      <c r="BK12" s="61">
        <f t="shared" si="2"/>
        <v>0</v>
      </c>
      <c r="BL12" s="61">
        <f t="shared" si="2"/>
        <v>0</v>
      </c>
      <c r="BM12" s="61">
        <f t="shared" si="2"/>
        <v>0</v>
      </c>
      <c r="BN12" s="61">
        <f t="shared" si="2"/>
        <v>0</v>
      </c>
      <c r="BO12" s="61">
        <f t="shared" si="2"/>
        <v>0</v>
      </c>
      <c r="BP12" s="61">
        <f t="shared" si="2"/>
        <v>0</v>
      </c>
      <c r="BQ12" s="61">
        <f t="shared" si="2"/>
        <v>0</v>
      </c>
      <c r="BR12" s="61">
        <f t="shared" si="2"/>
        <v>0</v>
      </c>
      <c r="BS12" s="61">
        <f t="shared" si="3"/>
        <v>0</v>
      </c>
      <c r="BT12" s="61">
        <f t="shared" si="3"/>
        <v>0</v>
      </c>
      <c r="BU12" s="61">
        <f t="shared" si="3"/>
        <v>0</v>
      </c>
      <c r="BV12" s="61">
        <f t="shared" si="3"/>
        <v>0</v>
      </c>
      <c r="BW12" s="61">
        <f t="shared" si="3"/>
        <v>0</v>
      </c>
      <c r="BX12" s="61">
        <f t="shared" si="3"/>
        <v>0</v>
      </c>
      <c r="BY12" s="61">
        <f t="shared" si="3"/>
        <v>0</v>
      </c>
      <c r="BZ12" s="61">
        <f t="shared" si="3"/>
        <v>0</v>
      </c>
      <c r="CA12" s="61">
        <f t="shared" si="3"/>
        <v>0</v>
      </c>
      <c r="CB12" s="61">
        <f t="shared" si="5"/>
        <v>0</v>
      </c>
      <c r="CD12" s="200">
        <f>(SUMIF(Fonctionnement[Affectation matrice],$AB$3,Fonctionnement[TVA acquittée])+SUMIF(Invest[Affectation matrice],$AB$3,Invest[TVA acquittée]))*BC12</f>
        <v>0</v>
      </c>
      <c r="CE12" s="200">
        <f>(SUMIF(Fonctionnement[Affectation matrice],$AB$3,Fonctionnement[TVA acquittée])+SUMIF(Invest[Affectation matrice],$AB$3,Invest[TVA acquittée]))*BD12</f>
        <v>0</v>
      </c>
      <c r="CF12" s="200">
        <f>(SUMIF(Fonctionnement[Affectation matrice],$AB$3,Fonctionnement[TVA acquittée])+SUMIF(Invest[Affectation matrice],$AB$3,Invest[TVA acquittée]))*BE12</f>
        <v>0</v>
      </c>
      <c r="CG12" s="200">
        <f>(SUMIF(Fonctionnement[Affectation matrice],$AB$3,Fonctionnement[TVA acquittée])+SUMIF(Invest[Affectation matrice],$AB$3,Invest[TVA acquittée]))*BF12</f>
        <v>0</v>
      </c>
      <c r="CH12" s="200">
        <f>(SUMIF(Fonctionnement[Affectation matrice],$AB$3,Fonctionnement[TVA acquittée])+SUMIF(Invest[Affectation matrice],$AB$3,Invest[TVA acquittée]))*BG12</f>
        <v>0</v>
      </c>
      <c r="CI12" s="200">
        <f>(SUMIF(Fonctionnement[Affectation matrice],$AB$3,Fonctionnement[TVA acquittée])+SUMIF(Invest[Affectation matrice],$AB$3,Invest[TVA acquittée]))*BH12</f>
        <v>0</v>
      </c>
      <c r="CJ12" s="200">
        <f>(SUMIF(Fonctionnement[Affectation matrice],$AB$3,Fonctionnement[TVA acquittée])+SUMIF(Invest[Affectation matrice],$AB$3,Invest[TVA acquittée]))*BI12</f>
        <v>0</v>
      </c>
      <c r="CK12" s="200">
        <f>(SUMIF(Fonctionnement[Affectation matrice],$AB$3,Fonctionnement[TVA acquittée])+SUMIF(Invest[Affectation matrice],$AB$3,Invest[TVA acquittée]))*BJ12</f>
        <v>0</v>
      </c>
      <c r="CL12" s="200">
        <f>(SUMIF(Fonctionnement[Affectation matrice],$AB$3,Fonctionnement[TVA acquittée])+SUMIF(Invest[Affectation matrice],$AB$3,Invest[TVA acquittée]))*BK12</f>
        <v>0</v>
      </c>
      <c r="CM12" s="200">
        <f>(SUMIF(Fonctionnement[Affectation matrice],$AB$3,Fonctionnement[TVA acquittée])+SUMIF(Invest[Affectation matrice],$AB$3,Invest[TVA acquittée]))*BL12</f>
        <v>0</v>
      </c>
      <c r="CN12" s="200">
        <f>(SUMIF(Fonctionnement[Affectation matrice],$AB$3,Fonctionnement[TVA acquittée])+SUMIF(Invest[Affectation matrice],$AB$3,Invest[TVA acquittée]))*BM12</f>
        <v>0</v>
      </c>
      <c r="CO12" s="200">
        <f>(SUMIF(Fonctionnement[Affectation matrice],$AB$3,Fonctionnement[TVA acquittée])+SUMIF(Invest[Affectation matrice],$AB$3,Invest[TVA acquittée]))*BN12</f>
        <v>0</v>
      </c>
      <c r="CP12" s="200">
        <f>(SUMIF(Fonctionnement[Affectation matrice],$AB$3,Fonctionnement[TVA acquittée])+SUMIF(Invest[Affectation matrice],$AB$3,Invest[TVA acquittée]))*BO12</f>
        <v>0</v>
      </c>
      <c r="CQ12" s="200">
        <f>(SUMIF(Fonctionnement[Affectation matrice],$AB$3,Fonctionnement[TVA acquittée])+SUMIF(Invest[Affectation matrice],$AB$3,Invest[TVA acquittée]))*BP12</f>
        <v>0</v>
      </c>
      <c r="CR12" s="200">
        <f>(SUMIF(Fonctionnement[Affectation matrice],$AB$3,Fonctionnement[TVA acquittée])+SUMIF(Invest[Affectation matrice],$AB$3,Invest[TVA acquittée]))*BQ12</f>
        <v>0</v>
      </c>
      <c r="CS12" s="200">
        <f>(SUMIF(Fonctionnement[Affectation matrice],$AB$3,Fonctionnement[TVA acquittée])+SUMIF(Invest[Affectation matrice],$AB$3,Invest[TVA acquittée]))*BR12</f>
        <v>0</v>
      </c>
      <c r="CT12" s="200">
        <f>(SUMIF(Fonctionnement[Affectation matrice],$AB$3,Fonctionnement[TVA acquittée])+SUMIF(Invest[Affectation matrice],$AB$3,Invest[TVA acquittée]))*BS12</f>
        <v>0</v>
      </c>
      <c r="CU12" s="200">
        <f>(SUMIF(Fonctionnement[Affectation matrice],$AB$3,Fonctionnement[TVA acquittée])+SUMIF(Invest[Affectation matrice],$AB$3,Invest[TVA acquittée]))*BT12</f>
        <v>0</v>
      </c>
      <c r="CV12" s="200">
        <f>(SUMIF(Fonctionnement[Affectation matrice],$AB$3,Fonctionnement[TVA acquittée])+SUMIF(Invest[Affectation matrice],$AB$3,Invest[TVA acquittée]))*BU12</f>
        <v>0</v>
      </c>
      <c r="CW12" s="200">
        <f>(SUMIF(Fonctionnement[Affectation matrice],$AB$3,Fonctionnement[TVA acquittée])+SUMIF(Invest[Affectation matrice],$AB$3,Invest[TVA acquittée]))*BV12</f>
        <v>0</v>
      </c>
      <c r="CX12" s="200">
        <f>(SUMIF(Fonctionnement[Affectation matrice],$AB$3,Fonctionnement[TVA acquittée])+SUMIF(Invest[Affectation matrice],$AB$3,Invest[TVA acquittée]))*BW12</f>
        <v>0</v>
      </c>
      <c r="CY12" s="200">
        <f>(SUMIF(Fonctionnement[Affectation matrice],$AB$3,Fonctionnement[TVA acquittée])+SUMIF(Invest[Affectation matrice],$AB$3,Invest[TVA acquittée]))*BX12</f>
        <v>0</v>
      </c>
      <c r="CZ12" s="200">
        <f>(SUMIF(Fonctionnement[Affectation matrice],$AB$3,Fonctionnement[TVA acquittée])+SUMIF(Invest[Affectation matrice],$AB$3,Invest[TVA acquittée]))*BY12</f>
        <v>0</v>
      </c>
      <c r="DA12" s="200">
        <f>(SUMIF(Fonctionnement[Affectation matrice],$AB$3,Fonctionnement[TVA acquittée])+SUMIF(Invest[Affectation matrice],$AB$3,Invest[TVA acquittée]))*BZ12</f>
        <v>0</v>
      </c>
      <c r="DB12" s="200">
        <f>(SUMIF(Fonctionnement[Affectation matrice],$AB$3,Fonctionnement[TVA acquittée])+SUMIF(Invest[Affectation matrice],$AB$3,Invest[TVA acquittée]))*CA12</f>
        <v>0</v>
      </c>
    </row>
    <row r="13" spans="1:106" s="22" customFormat="1" ht="12.75" hidden="1" customHeight="1" x14ac:dyDescent="0.25">
      <c r="A13" s="42">
        <f>Matrice[[#This Row],[Ligne de la matrice]]</f>
        <v>0</v>
      </c>
      <c r="B13" s="276">
        <f>(SUMIF(Fonctionnement[Affectation matrice],$AB$3,Fonctionnement[Montant (€HT)])+SUMIF(Invest[Affectation matrice],$AB$3,Invest[Amortissement HT + intérêts]))*BC13</f>
        <v>0</v>
      </c>
      <c r="C13" s="276">
        <f>(SUMIF(Fonctionnement[Affectation matrice],$AB$3,Fonctionnement[Montant (€HT)])+SUMIF(Invest[Affectation matrice],$AB$3,Invest[Amortissement HT + intérêts]))*BD13</f>
        <v>0</v>
      </c>
      <c r="D13" s="276">
        <f>(SUMIF(Fonctionnement[Affectation matrice],$AB$3,Fonctionnement[Montant (€HT)])+SUMIF(Invest[Affectation matrice],$AB$3,Invest[Amortissement HT + intérêts]))*BE13</f>
        <v>0</v>
      </c>
      <c r="E13" s="276">
        <f>(SUMIF(Fonctionnement[Affectation matrice],$AB$3,Fonctionnement[Montant (€HT)])+SUMIF(Invest[Affectation matrice],$AB$3,Invest[Amortissement HT + intérêts]))*BF13</f>
        <v>0</v>
      </c>
      <c r="F13" s="276">
        <f>(SUMIF(Fonctionnement[Affectation matrice],$AB$3,Fonctionnement[Montant (€HT)])+SUMIF(Invest[Affectation matrice],$AB$3,Invest[Amortissement HT + intérêts]))*BG13</f>
        <v>0</v>
      </c>
      <c r="G13" s="276">
        <f>(SUMIF(Fonctionnement[Affectation matrice],$AB$3,Fonctionnement[Montant (€HT)])+SUMIF(Invest[Affectation matrice],$AB$3,Invest[Amortissement HT + intérêts]))*BH13</f>
        <v>0</v>
      </c>
      <c r="H13" s="276">
        <f>(SUMIF(Fonctionnement[Affectation matrice],$AB$3,Fonctionnement[Montant (€HT)])+SUMIF(Invest[Affectation matrice],$AB$3,Invest[Amortissement HT + intérêts]))*BI13</f>
        <v>0</v>
      </c>
      <c r="I13" s="276">
        <f>(SUMIF(Fonctionnement[Affectation matrice],$AB$3,Fonctionnement[Montant (€HT)])+SUMIF(Invest[Affectation matrice],$AB$3,Invest[Amortissement HT + intérêts]))*BJ13</f>
        <v>0</v>
      </c>
      <c r="J13" s="276">
        <f>(SUMIF(Fonctionnement[Affectation matrice],$AB$3,Fonctionnement[Montant (€HT)])+SUMIF(Invest[Affectation matrice],$AB$3,Invest[Amortissement HT + intérêts]))*BK13</f>
        <v>0</v>
      </c>
      <c r="K13" s="276">
        <f>(SUMIF(Fonctionnement[Affectation matrice],$AB$3,Fonctionnement[Montant (€HT)])+SUMIF(Invest[Affectation matrice],$AB$3,Invest[Amortissement HT + intérêts]))*BL13</f>
        <v>0</v>
      </c>
      <c r="L13" s="276">
        <f>(SUMIF(Fonctionnement[Affectation matrice],$AB$3,Fonctionnement[Montant (€HT)])+SUMIF(Invest[Affectation matrice],$AB$3,Invest[Amortissement HT + intérêts]))*BM13</f>
        <v>0</v>
      </c>
      <c r="M13" s="276">
        <f>(SUMIF(Fonctionnement[Affectation matrice],$AB$3,Fonctionnement[Montant (€HT)])+SUMIF(Invest[Affectation matrice],$AB$3,Invest[Amortissement HT + intérêts]))*BN13</f>
        <v>0</v>
      </c>
      <c r="N13" s="276">
        <f>(SUMIF(Fonctionnement[Affectation matrice],$AB$3,Fonctionnement[Montant (€HT)])+SUMIF(Invest[Affectation matrice],$AB$3,Invest[Amortissement HT + intérêts]))*BO13</f>
        <v>0</v>
      </c>
      <c r="O13" s="276">
        <f>(SUMIF(Fonctionnement[Affectation matrice],$AB$3,Fonctionnement[Montant (€HT)])+SUMIF(Invest[Affectation matrice],$AB$3,Invest[Amortissement HT + intérêts]))*BP13</f>
        <v>0</v>
      </c>
      <c r="P13" s="276">
        <f>(SUMIF(Fonctionnement[Affectation matrice],$AB$3,Fonctionnement[Montant (€HT)])+SUMIF(Invest[Affectation matrice],$AB$3,Invest[Amortissement HT + intérêts]))*BQ13</f>
        <v>0</v>
      </c>
      <c r="Q13" s="276">
        <f>(SUMIF(Fonctionnement[Affectation matrice],$AB$3,Fonctionnement[Montant (€HT)])+SUMIF(Invest[Affectation matrice],$AB$3,Invest[Amortissement HT + intérêts]))*BR13</f>
        <v>0</v>
      </c>
      <c r="R13" s="276">
        <f>(SUMIF(Fonctionnement[Affectation matrice],$AB$3,Fonctionnement[Montant (€HT)])+SUMIF(Invest[Affectation matrice],$AB$3,Invest[Amortissement HT + intérêts]))*BS13</f>
        <v>0</v>
      </c>
      <c r="S13" s="276">
        <f>(SUMIF(Fonctionnement[Affectation matrice],$AB$3,Fonctionnement[Montant (€HT)])+SUMIF(Invest[Affectation matrice],$AB$3,Invest[Amortissement HT + intérêts]))*BT13</f>
        <v>0</v>
      </c>
      <c r="T13" s="276">
        <f>(SUMIF(Fonctionnement[Affectation matrice],$AB$3,Fonctionnement[Montant (€HT)])+SUMIF(Invest[Affectation matrice],$AB$3,Invest[Amortissement HT + intérêts]))*BU13</f>
        <v>0</v>
      </c>
      <c r="U13" s="276">
        <f>(SUMIF(Fonctionnement[Affectation matrice],$AB$3,Fonctionnement[Montant (€HT)])+SUMIF(Invest[Affectation matrice],$AB$3,Invest[Amortissement HT + intérêts]))*BV13</f>
        <v>0</v>
      </c>
      <c r="V13" s="276">
        <f>(SUMIF(Fonctionnement[Affectation matrice],$AB$3,Fonctionnement[Montant (€HT)])+SUMIF(Invest[Affectation matrice],$AB$3,Invest[Amortissement HT + intérêts]))*BW13</f>
        <v>0</v>
      </c>
      <c r="W13" s="276">
        <f>(SUMIF(Fonctionnement[Affectation matrice],$AB$3,Fonctionnement[Montant (€HT)])+SUMIF(Invest[Affectation matrice],$AB$3,Invest[Amortissement HT + intérêts]))*BX13</f>
        <v>0</v>
      </c>
      <c r="X13" s="276">
        <f>(SUMIF(Fonctionnement[Affectation matrice],$AB$3,Fonctionnement[Montant (€HT)])+SUMIF(Invest[Affectation matrice],$AB$3,Invest[Amortissement HT + intérêts]))*BY13</f>
        <v>0</v>
      </c>
      <c r="Y13" s="276">
        <f>(SUMIF(Fonctionnement[Affectation matrice],$AB$3,Fonctionnement[Montant (€HT)])+SUMIF(Invest[Affectation matrice],$AB$3,Invest[Amortissement HT + intérêts]))*BZ13</f>
        <v>0</v>
      </c>
      <c r="Z13" s="276">
        <f>(SUMIF(Fonctionnement[Affectation matrice],$AB$3,Fonctionnement[Montant (€HT)])+SUMIF(Invest[Affectation matrice],$AB$3,Invest[Amortissement HT + intérêts]))*CA13</f>
        <v>0</v>
      </c>
      <c r="AA13" s="199"/>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283">
        <f t="shared" si="4"/>
        <v>0</v>
      </c>
      <c r="BB13" s="7"/>
      <c r="BC13" s="61">
        <f t="shared" si="2"/>
        <v>0</v>
      </c>
      <c r="BD13" s="61">
        <f t="shared" si="2"/>
        <v>0</v>
      </c>
      <c r="BE13" s="61">
        <f t="shared" si="2"/>
        <v>0</v>
      </c>
      <c r="BF13" s="61">
        <f t="shared" si="2"/>
        <v>0</v>
      </c>
      <c r="BG13" s="61">
        <f t="shared" si="2"/>
        <v>0</v>
      </c>
      <c r="BH13" s="61">
        <f t="shared" si="2"/>
        <v>0</v>
      </c>
      <c r="BI13" s="61">
        <f t="shared" si="2"/>
        <v>0</v>
      </c>
      <c r="BJ13" s="61">
        <f t="shared" si="2"/>
        <v>0</v>
      </c>
      <c r="BK13" s="61">
        <f t="shared" si="2"/>
        <v>0</v>
      </c>
      <c r="BL13" s="61">
        <f t="shared" si="2"/>
        <v>0</v>
      </c>
      <c r="BM13" s="61">
        <f t="shared" si="2"/>
        <v>0</v>
      </c>
      <c r="BN13" s="61">
        <f t="shared" si="2"/>
        <v>0</v>
      </c>
      <c r="BO13" s="61">
        <f t="shared" si="2"/>
        <v>0</v>
      </c>
      <c r="BP13" s="61">
        <f t="shared" si="2"/>
        <v>0</v>
      </c>
      <c r="BQ13" s="61">
        <f t="shared" si="2"/>
        <v>0</v>
      </c>
      <c r="BR13" s="61">
        <f t="shared" si="2"/>
        <v>0</v>
      </c>
      <c r="BS13" s="61">
        <f t="shared" si="3"/>
        <v>0</v>
      </c>
      <c r="BT13" s="61">
        <f t="shared" si="3"/>
        <v>0</v>
      </c>
      <c r="BU13" s="61">
        <f t="shared" si="3"/>
        <v>0</v>
      </c>
      <c r="BV13" s="61">
        <f t="shared" si="3"/>
        <v>0</v>
      </c>
      <c r="BW13" s="61">
        <f t="shared" si="3"/>
        <v>0</v>
      </c>
      <c r="BX13" s="61">
        <f t="shared" si="3"/>
        <v>0</v>
      </c>
      <c r="BY13" s="61">
        <f t="shared" si="3"/>
        <v>0</v>
      </c>
      <c r="BZ13" s="61">
        <f t="shared" si="3"/>
        <v>0</v>
      </c>
      <c r="CA13" s="61">
        <f t="shared" si="3"/>
        <v>0</v>
      </c>
      <c r="CB13" s="61">
        <f t="shared" si="5"/>
        <v>0</v>
      </c>
      <c r="CD13" s="200">
        <f>(SUMIF(Fonctionnement[Affectation matrice],$AB$3,Fonctionnement[TVA acquittée])+SUMIF(Invest[Affectation matrice],$AB$3,Invest[TVA acquittée]))*BC13</f>
        <v>0</v>
      </c>
      <c r="CE13" s="200">
        <f>(SUMIF(Fonctionnement[Affectation matrice],$AB$3,Fonctionnement[TVA acquittée])+SUMIF(Invest[Affectation matrice],$AB$3,Invest[TVA acquittée]))*BD13</f>
        <v>0</v>
      </c>
      <c r="CF13" s="200">
        <f>(SUMIF(Fonctionnement[Affectation matrice],$AB$3,Fonctionnement[TVA acquittée])+SUMIF(Invest[Affectation matrice],$AB$3,Invest[TVA acquittée]))*BE13</f>
        <v>0</v>
      </c>
      <c r="CG13" s="200">
        <f>(SUMIF(Fonctionnement[Affectation matrice],$AB$3,Fonctionnement[TVA acquittée])+SUMIF(Invest[Affectation matrice],$AB$3,Invest[TVA acquittée]))*BF13</f>
        <v>0</v>
      </c>
      <c r="CH13" s="200">
        <f>(SUMIF(Fonctionnement[Affectation matrice],$AB$3,Fonctionnement[TVA acquittée])+SUMIF(Invest[Affectation matrice],$AB$3,Invest[TVA acquittée]))*BG13</f>
        <v>0</v>
      </c>
      <c r="CI13" s="200">
        <f>(SUMIF(Fonctionnement[Affectation matrice],$AB$3,Fonctionnement[TVA acquittée])+SUMIF(Invest[Affectation matrice],$AB$3,Invest[TVA acquittée]))*BH13</f>
        <v>0</v>
      </c>
      <c r="CJ13" s="200">
        <f>(SUMIF(Fonctionnement[Affectation matrice],$AB$3,Fonctionnement[TVA acquittée])+SUMIF(Invest[Affectation matrice],$AB$3,Invest[TVA acquittée]))*BI13</f>
        <v>0</v>
      </c>
      <c r="CK13" s="200">
        <f>(SUMIF(Fonctionnement[Affectation matrice],$AB$3,Fonctionnement[TVA acquittée])+SUMIF(Invest[Affectation matrice],$AB$3,Invest[TVA acquittée]))*BJ13</f>
        <v>0</v>
      </c>
      <c r="CL13" s="200">
        <f>(SUMIF(Fonctionnement[Affectation matrice],$AB$3,Fonctionnement[TVA acquittée])+SUMIF(Invest[Affectation matrice],$AB$3,Invest[TVA acquittée]))*BK13</f>
        <v>0</v>
      </c>
      <c r="CM13" s="200">
        <f>(SUMIF(Fonctionnement[Affectation matrice],$AB$3,Fonctionnement[TVA acquittée])+SUMIF(Invest[Affectation matrice],$AB$3,Invest[TVA acquittée]))*BL13</f>
        <v>0</v>
      </c>
      <c r="CN13" s="200">
        <f>(SUMIF(Fonctionnement[Affectation matrice],$AB$3,Fonctionnement[TVA acquittée])+SUMIF(Invest[Affectation matrice],$AB$3,Invest[TVA acquittée]))*BM13</f>
        <v>0</v>
      </c>
      <c r="CO13" s="200">
        <f>(SUMIF(Fonctionnement[Affectation matrice],$AB$3,Fonctionnement[TVA acquittée])+SUMIF(Invest[Affectation matrice],$AB$3,Invest[TVA acquittée]))*BN13</f>
        <v>0</v>
      </c>
      <c r="CP13" s="200">
        <f>(SUMIF(Fonctionnement[Affectation matrice],$AB$3,Fonctionnement[TVA acquittée])+SUMIF(Invest[Affectation matrice],$AB$3,Invest[TVA acquittée]))*BO13</f>
        <v>0</v>
      </c>
      <c r="CQ13" s="200">
        <f>(SUMIF(Fonctionnement[Affectation matrice],$AB$3,Fonctionnement[TVA acquittée])+SUMIF(Invest[Affectation matrice],$AB$3,Invest[TVA acquittée]))*BP13</f>
        <v>0</v>
      </c>
      <c r="CR13" s="200">
        <f>(SUMIF(Fonctionnement[Affectation matrice],$AB$3,Fonctionnement[TVA acquittée])+SUMIF(Invest[Affectation matrice],$AB$3,Invest[TVA acquittée]))*BQ13</f>
        <v>0</v>
      </c>
      <c r="CS13" s="200">
        <f>(SUMIF(Fonctionnement[Affectation matrice],$AB$3,Fonctionnement[TVA acquittée])+SUMIF(Invest[Affectation matrice],$AB$3,Invest[TVA acquittée]))*BR13</f>
        <v>0</v>
      </c>
      <c r="CT13" s="200">
        <f>(SUMIF(Fonctionnement[Affectation matrice],$AB$3,Fonctionnement[TVA acquittée])+SUMIF(Invest[Affectation matrice],$AB$3,Invest[TVA acquittée]))*BS13</f>
        <v>0</v>
      </c>
      <c r="CU13" s="200">
        <f>(SUMIF(Fonctionnement[Affectation matrice],$AB$3,Fonctionnement[TVA acquittée])+SUMIF(Invest[Affectation matrice],$AB$3,Invest[TVA acquittée]))*BT13</f>
        <v>0</v>
      </c>
      <c r="CV13" s="200">
        <f>(SUMIF(Fonctionnement[Affectation matrice],$AB$3,Fonctionnement[TVA acquittée])+SUMIF(Invest[Affectation matrice],$AB$3,Invest[TVA acquittée]))*BU13</f>
        <v>0</v>
      </c>
      <c r="CW13" s="200">
        <f>(SUMIF(Fonctionnement[Affectation matrice],$AB$3,Fonctionnement[TVA acquittée])+SUMIF(Invest[Affectation matrice],$AB$3,Invest[TVA acquittée]))*BV13</f>
        <v>0</v>
      </c>
      <c r="CX13" s="200">
        <f>(SUMIF(Fonctionnement[Affectation matrice],$AB$3,Fonctionnement[TVA acquittée])+SUMIF(Invest[Affectation matrice],$AB$3,Invest[TVA acquittée]))*BW13</f>
        <v>0</v>
      </c>
      <c r="CY13" s="200">
        <f>(SUMIF(Fonctionnement[Affectation matrice],$AB$3,Fonctionnement[TVA acquittée])+SUMIF(Invest[Affectation matrice],$AB$3,Invest[TVA acquittée]))*BX13</f>
        <v>0</v>
      </c>
      <c r="CZ13" s="200">
        <f>(SUMIF(Fonctionnement[Affectation matrice],$AB$3,Fonctionnement[TVA acquittée])+SUMIF(Invest[Affectation matrice],$AB$3,Invest[TVA acquittée]))*BY13</f>
        <v>0</v>
      </c>
      <c r="DA13" s="200">
        <f>(SUMIF(Fonctionnement[Affectation matrice],$AB$3,Fonctionnement[TVA acquittée])+SUMIF(Invest[Affectation matrice],$AB$3,Invest[TVA acquittée]))*BZ13</f>
        <v>0</v>
      </c>
      <c r="DB13" s="200">
        <f>(SUMIF(Fonctionnement[Affectation matrice],$AB$3,Fonctionnement[TVA acquittée])+SUMIF(Invest[Affectation matrice],$AB$3,Invest[TVA acquittée]))*CA13</f>
        <v>0</v>
      </c>
    </row>
    <row r="14" spans="1:106" s="22" customFormat="1" ht="12.75" hidden="1" customHeight="1" x14ac:dyDescent="0.25">
      <c r="A14" s="42">
        <f>Matrice[[#This Row],[Ligne de la matrice]]</f>
        <v>0</v>
      </c>
      <c r="B14" s="276">
        <f>(SUMIF(Fonctionnement[Affectation matrice],$AB$3,Fonctionnement[Montant (€HT)])+SUMIF(Invest[Affectation matrice],$AB$3,Invest[Amortissement HT + intérêts]))*BC14</f>
        <v>0</v>
      </c>
      <c r="C14" s="276">
        <f>(SUMIF(Fonctionnement[Affectation matrice],$AB$3,Fonctionnement[Montant (€HT)])+SUMIF(Invest[Affectation matrice],$AB$3,Invest[Amortissement HT + intérêts]))*BD14</f>
        <v>0</v>
      </c>
      <c r="D14" s="276">
        <f>(SUMIF(Fonctionnement[Affectation matrice],$AB$3,Fonctionnement[Montant (€HT)])+SUMIF(Invest[Affectation matrice],$AB$3,Invest[Amortissement HT + intérêts]))*BE14</f>
        <v>0</v>
      </c>
      <c r="E14" s="276">
        <f>(SUMIF(Fonctionnement[Affectation matrice],$AB$3,Fonctionnement[Montant (€HT)])+SUMIF(Invest[Affectation matrice],$AB$3,Invest[Amortissement HT + intérêts]))*BF14</f>
        <v>0</v>
      </c>
      <c r="F14" s="276">
        <f>(SUMIF(Fonctionnement[Affectation matrice],$AB$3,Fonctionnement[Montant (€HT)])+SUMIF(Invest[Affectation matrice],$AB$3,Invest[Amortissement HT + intérêts]))*BG14</f>
        <v>0</v>
      </c>
      <c r="G14" s="276">
        <f>(SUMIF(Fonctionnement[Affectation matrice],$AB$3,Fonctionnement[Montant (€HT)])+SUMIF(Invest[Affectation matrice],$AB$3,Invest[Amortissement HT + intérêts]))*BH14</f>
        <v>0</v>
      </c>
      <c r="H14" s="276">
        <f>(SUMIF(Fonctionnement[Affectation matrice],$AB$3,Fonctionnement[Montant (€HT)])+SUMIF(Invest[Affectation matrice],$AB$3,Invest[Amortissement HT + intérêts]))*BI14</f>
        <v>0</v>
      </c>
      <c r="I14" s="276">
        <f>(SUMIF(Fonctionnement[Affectation matrice],$AB$3,Fonctionnement[Montant (€HT)])+SUMIF(Invest[Affectation matrice],$AB$3,Invest[Amortissement HT + intérêts]))*BJ14</f>
        <v>0</v>
      </c>
      <c r="J14" s="276">
        <f>(SUMIF(Fonctionnement[Affectation matrice],$AB$3,Fonctionnement[Montant (€HT)])+SUMIF(Invest[Affectation matrice],$AB$3,Invest[Amortissement HT + intérêts]))*BK14</f>
        <v>0</v>
      </c>
      <c r="K14" s="276">
        <f>(SUMIF(Fonctionnement[Affectation matrice],$AB$3,Fonctionnement[Montant (€HT)])+SUMIF(Invest[Affectation matrice],$AB$3,Invest[Amortissement HT + intérêts]))*BL14</f>
        <v>0</v>
      </c>
      <c r="L14" s="276">
        <f>(SUMIF(Fonctionnement[Affectation matrice],$AB$3,Fonctionnement[Montant (€HT)])+SUMIF(Invest[Affectation matrice],$AB$3,Invest[Amortissement HT + intérêts]))*BM14</f>
        <v>0</v>
      </c>
      <c r="M14" s="276">
        <f>(SUMIF(Fonctionnement[Affectation matrice],$AB$3,Fonctionnement[Montant (€HT)])+SUMIF(Invest[Affectation matrice],$AB$3,Invest[Amortissement HT + intérêts]))*BN14</f>
        <v>0</v>
      </c>
      <c r="N14" s="276">
        <f>(SUMIF(Fonctionnement[Affectation matrice],$AB$3,Fonctionnement[Montant (€HT)])+SUMIF(Invest[Affectation matrice],$AB$3,Invest[Amortissement HT + intérêts]))*BO14</f>
        <v>0</v>
      </c>
      <c r="O14" s="276">
        <f>(SUMIF(Fonctionnement[Affectation matrice],$AB$3,Fonctionnement[Montant (€HT)])+SUMIF(Invest[Affectation matrice],$AB$3,Invest[Amortissement HT + intérêts]))*BP14</f>
        <v>0</v>
      </c>
      <c r="P14" s="276">
        <f>(SUMIF(Fonctionnement[Affectation matrice],$AB$3,Fonctionnement[Montant (€HT)])+SUMIF(Invest[Affectation matrice],$AB$3,Invest[Amortissement HT + intérêts]))*BQ14</f>
        <v>0</v>
      </c>
      <c r="Q14" s="276">
        <f>(SUMIF(Fonctionnement[Affectation matrice],$AB$3,Fonctionnement[Montant (€HT)])+SUMIF(Invest[Affectation matrice],$AB$3,Invest[Amortissement HT + intérêts]))*BR14</f>
        <v>0</v>
      </c>
      <c r="R14" s="276">
        <f>(SUMIF(Fonctionnement[Affectation matrice],$AB$3,Fonctionnement[Montant (€HT)])+SUMIF(Invest[Affectation matrice],$AB$3,Invest[Amortissement HT + intérêts]))*BS14</f>
        <v>0</v>
      </c>
      <c r="S14" s="276">
        <f>(SUMIF(Fonctionnement[Affectation matrice],$AB$3,Fonctionnement[Montant (€HT)])+SUMIF(Invest[Affectation matrice],$AB$3,Invest[Amortissement HT + intérêts]))*BT14</f>
        <v>0</v>
      </c>
      <c r="T14" s="276">
        <f>(SUMIF(Fonctionnement[Affectation matrice],$AB$3,Fonctionnement[Montant (€HT)])+SUMIF(Invest[Affectation matrice],$AB$3,Invest[Amortissement HT + intérêts]))*BU14</f>
        <v>0</v>
      </c>
      <c r="U14" s="276">
        <f>(SUMIF(Fonctionnement[Affectation matrice],$AB$3,Fonctionnement[Montant (€HT)])+SUMIF(Invest[Affectation matrice],$AB$3,Invest[Amortissement HT + intérêts]))*BV14</f>
        <v>0</v>
      </c>
      <c r="V14" s="276">
        <f>(SUMIF(Fonctionnement[Affectation matrice],$AB$3,Fonctionnement[Montant (€HT)])+SUMIF(Invest[Affectation matrice],$AB$3,Invest[Amortissement HT + intérêts]))*BW14</f>
        <v>0</v>
      </c>
      <c r="W14" s="276">
        <f>(SUMIF(Fonctionnement[Affectation matrice],$AB$3,Fonctionnement[Montant (€HT)])+SUMIF(Invest[Affectation matrice],$AB$3,Invest[Amortissement HT + intérêts]))*BX14</f>
        <v>0</v>
      </c>
      <c r="X14" s="276">
        <f>(SUMIF(Fonctionnement[Affectation matrice],$AB$3,Fonctionnement[Montant (€HT)])+SUMIF(Invest[Affectation matrice],$AB$3,Invest[Amortissement HT + intérêts]))*BY14</f>
        <v>0</v>
      </c>
      <c r="Y14" s="276">
        <f>(SUMIF(Fonctionnement[Affectation matrice],$AB$3,Fonctionnement[Montant (€HT)])+SUMIF(Invest[Affectation matrice],$AB$3,Invest[Amortissement HT + intérêts]))*BZ14</f>
        <v>0</v>
      </c>
      <c r="Z14" s="276">
        <f>(SUMIF(Fonctionnement[Affectation matrice],$AB$3,Fonctionnement[Montant (€HT)])+SUMIF(Invest[Affectation matrice],$AB$3,Invest[Amortissement HT + intérêts]))*CA14</f>
        <v>0</v>
      </c>
      <c r="AA14" s="199"/>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283">
        <f t="shared" si="4"/>
        <v>0</v>
      </c>
      <c r="BB14" s="7"/>
      <c r="BC14" s="61">
        <f t="shared" si="2"/>
        <v>0</v>
      </c>
      <c r="BD14" s="61">
        <f t="shared" si="2"/>
        <v>0</v>
      </c>
      <c r="BE14" s="61">
        <f t="shared" si="2"/>
        <v>0</v>
      </c>
      <c r="BF14" s="61">
        <f t="shared" si="2"/>
        <v>0</v>
      </c>
      <c r="BG14" s="61">
        <f t="shared" si="2"/>
        <v>0</v>
      </c>
      <c r="BH14" s="61">
        <f t="shared" si="2"/>
        <v>0</v>
      </c>
      <c r="BI14" s="61">
        <f t="shared" si="2"/>
        <v>0</v>
      </c>
      <c r="BJ14" s="61">
        <f t="shared" si="2"/>
        <v>0</v>
      </c>
      <c r="BK14" s="61">
        <f t="shared" si="2"/>
        <v>0</v>
      </c>
      <c r="BL14" s="61">
        <f t="shared" si="2"/>
        <v>0</v>
      </c>
      <c r="BM14" s="61">
        <f t="shared" si="2"/>
        <v>0</v>
      </c>
      <c r="BN14" s="61">
        <f t="shared" si="2"/>
        <v>0</v>
      </c>
      <c r="BO14" s="61">
        <f t="shared" si="2"/>
        <v>0</v>
      </c>
      <c r="BP14" s="61">
        <f t="shared" si="2"/>
        <v>0</v>
      </c>
      <c r="BQ14" s="61">
        <f t="shared" si="2"/>
        <v>0</v>
      </c>
      <c r="BR14" s="61">
        <f t="shared" si="2"/>
        <v>0</v>
      </c>
      <c r="BS14" s="61">
        <f t="shared" si="3"/>
        <v>0</v>
      </c>
      <c r="BT14" s="61">
        <f t="shared" si="3"/>
        <v>0</v>
      </c>
      <c r="BU14" s="61">
        <f t="shared" si="3"/>
        <v>0</v>
      </c>
      <c r="BV14" s="61">
        <f t="shared" si="3"/>
        <v>0</v>
      </c>
      <c r="BW14" s="61">
        <f t="shared" si="3"/>
        <v>0</v>
      </c>
      <c r="BX14" s="61">
        <f t="shared" si="3"/>
        <v>0</v>
      </c>
      <c r="BY14" s="61">
        <f t="shared" si="3"/>
        <v>0</v>
      </c>
      <c r="BZ14" s="61">
        <f t="shared" si="3"/>
        <v>0</v>
      </c>
      <c r="CA14" s="61">
        <f t="shared" si="3"/>
        <v>0</v>
      </c>
      <c r="CB14" s="61">
        <f t="shared" si="5"/>
        <v>0</v>
      </c>
      <c r="CD14" s="200">
        <f>(SUMIF(Fonctionnement[Affectation matrice],$AB$3,Fonctionnement[TVA acquittée])+SUMIF(Invest[Affectation matrice],$AB$3,Invest[TVA acquittée]))*BC14</f>
        <v>0</v>
      </c>
      <c r="CE14" s="200">
        <f>(SUMIF(Fonctionnement[Affectation matrice],$AB$3,Fonctionnement[TVA acquittée])+SUMIF(Invest[Affectation matrice],$AB$3,Invest[TVA acquittée]))*BD14</f>
        <v>0</v>
      </c>
      <c r="CF14" s="200">
        <f>(SUMIF(Fonctionnement[Affectation matrice],$AB$3,Fonctionnement[TVA acquittée])+SUMIF(Invest[Affectation matrice],$AB$3,Invest[TVA acquittée]))*BE14</f>
        <v>0</v>
      </c>
      <c r="CG14" s="200">
        <f>(SUMIF(Fonctionnement[Affectation matrice],$AB$3,Fonctionnement[TVA acquittée])+SUMIF(Invest[Affectation matrice],$AB$3,Invest[TVA acquittée]))*BF14</f>
        <v>0</v>
      </c>
      <c r="CH14" s="200">
        <f>(SUMIF(Fonctionnement[Affectation matrice],$AB$3,Fonctionnement[TVA acquittée])+SUMIF(Invest[Affectation matrice],$AB$3,Invest[TVA acquittée]))*BG14</f>
        <v>0</v>
      </c>
      <c r="CI14" s="200">
        <f>(SUMIF(Fonctionnement[Affectation matrice],$AB$3,Fonctionnement[TVA acquittée])+SUMIF(Invest[Affectation matrice],$AB$3,Invest[TVA acquittée]))*BH14</f>
        <v>0</v>
      </c>
      <c r="CJ14" s="200">
        <f>(SUMIF(Fonctionnement[Affectation matrice],$AB$3,Fonctionnement[TVA acquittée])+SUMIF(Invest[Affectation matrice],$AB$3,Invest[TVA acquittée]))*BI14</f>
        <v>0</v>
      </c>
      <c r="CK14" s="200">
        <f>(SUMIF(Fonctionnement[Affectation matrice],$AB$3,Fonctionnement[TVA acquittée])+SUMIF(Invest[Affectation matrice],$AB$3,Invest[TVA acquittée]))*BJ14</f>
        <v>0</v>
      </c>
      <c r="CL14" s="200">
        <f>(SUMIF(Fonctionnement[Affectation matrice],$AB$3,Fonctionnement[TVA acquittée])+SUMIF(Invest[Affectation matrice],$AB$3,Invest[TVA acquittée]))*BK14</f>
        <v>0</v>
      </c>
      <c r="CM14" s="200">
        <f>(SUMIF(Fonctionnement[Affectation matrice],$AB$3,Fonctionnement[TVA acquittée])+SUMIF(Invest[Affectation matrice],$AB$3,Invest[TVA acquittée]))*BL14</f>
        <v>0</v>
      </c>
      <c r="CN14" s="200">
        <f>(SUMIF(Fonctionnement[Affectation matrice],$AB$3,Fonctionnement[TVA acquittée])+SUMIF(Invest[Affectation matrice],$AB$3,Invest[TVA acquittée]))*BM14</f>
        <v>0</v>
      </c>
      <c r="CO14" s="200">
        <f>(SUMIF(Fonctionnement[Affectation matrice],$AB$3,Fonctionnement[TVA acquittée])+SUMIF(Invest[Affectation matrice],$AB$3,Invest[TVA acquittée]))*BN14</f>
        <v>0</v>
      </c>
      <c r="CP14" s="200">
        <f>(SUMIF(Fonctionnement[Affectation matrice],$AB$3,Fonctionnement[TVA acquittée])+SUMIF(Invest[Affectation matrice],$AB$3,Invest[TVA acquittée]))*BO14</f>
        <v>0</v>
      </c>
      <c r="CQ14" s="200">
        <f>(SUMIF(Fonctionnement[Affectation matrice],$AB$3,Fonctionnement[TVA acquittée])+SUMIF(Invest[Affectation matrice],$AB$3,Invest[TVA acquittée]))*BP14</f>
        <v>0</v>
      </c>
      <c r="CR14" s="200">
        <f>(SUMIF(Fonctionnement[Affectation matrice],$AB$3,Fonctionnement[TVA acquittée])+SUMIF(Invest[Affectation matrice],$AB$3,Invest[TVA acquittée]))*BQ14</f>
        <v>0</v>
      </c>
      <c r="CS14" s="200">
        <f>(SUMIF(Fonctionnement[Affectation matrice],$AB$3,Fonctionnement[TVA acquittée])+SUMIF(Invest[Affectation matrice],$AB$3,Invest[TVA acquittée]))*BR14</f>
        <v>0</v>
      </c>
      <c r="CT14" s="200">
        <f>(SUMIF(Fonctionnement[Affectation matrice],$AB$3,Fonctionnement[TVA acquittée])+SUMIF(Invest[Affectation matrice],$AB$3,Invest[TVA acquittée]))*BS14</f>
        <v>0</v>
      </c>
      <c r="CU14" s="200">
        <f>(SUMIF(Fonctionnement[Affectation matrice],$AB$3,Fonctionnement[TVA acquittée])+SUMIF(Invest[Affectation matrice],$AB$3,Invest[TVA acquittée]))*BT14</f>
        <v>0</v>
      </c>
      <c r="CV14" s="200">
        <f>(SUMIF(Fonctionnement[Affectation matrice],$AB$3,Fonctionnement[TVA acquittée])+SUMIF(Invest[Affectation matrice],$AB$3,Invest[TVA acquittée]))*BU14</f>
        <v>0</v>
      </c>
      <c r="CW14" s="200">
        <f>(SUMIF(Fonctionnement[Affectation matrice],$AB$3,Fonctionnement[TVA acquittée])+SUMIF(Invest[Affectation matrice],$AB$3,Invest[TVA acquittée]))*BV14</f>
        <v>0</v>
      </c>
      <c r="CX14" s="200">
        <f>(SUMIF(Fonctionnement[Affectation matrice],$AB$3,Fonctionnement[TVA acquittée])+SUMIF(Invest[Affectation matrice],$AB$3,Invest[TVA acquittée]))*BW14</f>
        <v>0</v>
      </c>
      <c r="CY14" s="200">
        <f>(SUMIF(Fonctionnement[Affectation matrice],$AB$3,Fonctionnement[TVA acquittée])+SUMIF(Invest[Affectation matrice],$AB$3,Invest[TVA acquittée]))*BX14</f>
        <v>0</v>
      </c>
      <c r="CZ14" s="200">
        <f>(SUMIF(Fonctionnement[Affectation matrice],$AB$3,Fonctionnement[TVA acquittée])+SUMIF(Invest[Affectation matrice],$AB$3,Invest[TVA acquittée]))*BY14</f>
        <v>0</v>
      </c>
      <c r="DA14" s="200">
        <f>(SUMIF(Fonctionnement[Affectation matrice],$AB$3,Fonctionnement[TVA acquittée])+SUMIF(Invest[Affectation matrice],$AB$3,Invest[TVA acquittée]))*BZ14</f>
        <v>0</v>
      </c>
      <c r="DB14" s="200">
        <f>(SUMIF(Fonctionnement[Affectation matrice],$AB$3,Fonctionnement[TVA acquittée])+SUMIF(Invest[Affectation matrice],$AB$3,Invest[TVA acquittée]))*CA14</f>
        <v>0</v>
      </c>
    </row>
    <row r="15" spans="1:106" s="22" customFormat="1" ht="12.75" hidden="1" customHeight="1" x14ac:dyDescent="0.25">
      <c r="A15" s="42">
        <f>Matrice[[#This Row],[Ligne de la matrice]]</f>
        <v>0</v>
      </c>
      <c r="B15" s="276">
        <f>(SUMIF(Fonctionnement[Affectation matrice],$AB$3,Fonctionnement[Montant (€HT)])+SUMIF(Invest[Affectation matrice],$AB$3,Invest[Amortissement HT + intérêts]))*BC15</f>
        <v>0</v>
      </c>
      <c r="C15" s="276">
        <f>(SUMIF(Fonctionnement[Affectation matrice],$AB$3,Fonctionnement[Montant (€HT)])+SUMIF(Invest[Affectation matrice],$AB$3,Invest[Amortissement HT + intérêts]))*BD15</f>
        <v>0</v>
      </c>
      <c r="D15" s="276">
        <f>(SUMIF(Fonctionnement[Affectation matrice],$AB$3,Fonctionnement[Montant (€HT)])+SUMIF(Invest[Affectation matrice],$AB$3,Invest[Amortissement HT + intérêts]))*BE15</f>
        <v>0</v>
      </c>
      <c r="E15" s="276">
        <f>(SUMIF(Fonctionnement[Affectation matrice],$AB$3,Fonctionnement[Montant (€HT)])+SUMIF(Invest[Affectation matrice],$AB$3,Invest[Amortissement HT + intérêts]))*BF15</f>
        <v>0</v>
      </c>
      <c r="F15" s="276">
        <f>(SUMIF(Fonctionnement[Affectation matrice],$AB$3,Fonctionnement[Montant (€HT)])+SUMIF(Invest[Affectation matrice],$AB$3,Invest[Amortissement HT + intérêts]))*BG15</f>
        <v>0</v>
      </c>
      <c r="G15" s="276">
        <f>(SUMIF(Fonctionnement[Affectation matrice],$AB$3,Fonctionnement[Montant (€HT)])+SUMIF(Invest[Affectation matrice],$AB$3,Invest[Amortissement HT + intérêts]))*BH15</f>
        <v>0</v>
      </c>
      <c r="H15" s="276">
        <f>(SUMIF(Fonctionnement[Affectation matrice],$AB$3,Fonctionnement[Montant (€HT)])+SUMIF(Invest[Affectation matrice],$AB$3,Invest[Amortissement HT + intérêts]))*BI15</f>
        <v>0</v>
      </c>
      <c r="I15" s="276">
        <f>(SUMIF(Fonctionnement[Affectation matrice],$AB$3,Fonctionnement[Montant (€HT)])+SUMIF(Invest[Affectation matrice],$AB$3,Invest[Amortissement HT + intérêts]))*BJ15</f>
        <v>0</v>
      </c>
      <c r="J15" s="276">
        <f>(SUMIF(Fonctionnement[Affectation matrice],$AB$3,Fonctionnement[Montant (€HT)])+SUMIF(Invest[Affectation matrice],$AB$3,Invest[Amortissement HT + intérêts]))*BK15</f>
        <v>0</v>
      </c>
      <c r="K15" s="276">
        <f>(SUMIF(Fonctionnement[Affectation matrice],$AB$3,Fonctionnement[Montant (€HT)])+SUMIF(Invest[Affectation matrice],$AB$3,Invest[Amortissement HT + intérêts]))*BL15</f>
        <v>0</v>
      </c>
      <c r="L15" s="276">
        <f>(SUMIF(Fonctionnement[Affectation matrice],$AB$3,Fonctionnement[Montant (€HT)])+SUMIF(Invest[Affectation matrice],$AB$3,Invest[Amortissement HT + intérêts]))*BM15</f>
        <v>0</v>
      </c>
      <c r="M15" s="276">
        <f>(SUMIF(Fonctionnement[Affectation matrice],$AB$3,Fonctionnement[Montant (€HT)])+SUMIF(Invest[Affectation matrice],$AB$3,Invest[Amortissement HT + intérêts]))*BN15</f>
        <v>0</v>
      </c>
      <c r="N15" s="276">
        <f>(SUMIF(Fonctionnement[Affectation matrice],$AB$3,Fonctionnement[Montant (€HT)])+SUMIF(Invest[Affectation matrice],$AB$3,Invest[Amortissement HT + intérêts]))*BO15</f>
        <v>0</v>
      </c>
      <c r="O15" s="276">
        <f>(SUMIF(Fonctionnement[Affectation matrice],$AB$3,Fonctionnement[Montant (€HT)])+SUMIF(Invest[Affectation matrice],$AB$3,Invest[Amortissement HT + intérêts]))*BP15</f>
        <v>0</v>
      </c>
      <c r="P15" s="276">
        <f>(SUMIF(Fonctionnement[Affectation matrice],$AB$3,Fonctionnement[Montant (€HT)])+SUMIF(Invest[Affectation matrice],$AB$3,Invest[Amortissement HT + intérêts]))*BQ15</f>
        <v>0</v>
      </c>
      <c r="Q15" s="276">
        <f>(SUMIF(Fonctionnement[Affectation matrice],$AB$3,Fonctionnement[Montant (€HT)])+SUMIF(Invest[Affectation matrice],$AB$3,Invest[Amortissement HT + intérêts]))*BR15</f>
        <v>0</v>
      </c>
      <c r="R15" s="276">
        <f>(SUMIF(Fonctionnement[Affectation matrice],$AB$3,Fonctionnement[Montant (€HT)])+SUMIF(Invest[Affectation matrice],$AB$3,Invest[Amortissement HT + intérêts]))*BS15</f>
        <v>0</v>
      </c>
      <c r="S15" s="276">
        <f>(SUMIF(Fonctionnement[Affectation matrice],$AB$3,Fonctionnement[Montant (€HT)])+SUMIF(Invest[Affectation matrice],$AB$3,Invest[Amortissement HT + intérêts]))*BT15</f>
        <v>0</v>
      </c>
      <c r="T15" s="276">
        <f>(SUMIF(Fonctionnement[Affectation matrice],$AB$3,Fonctionnement[Montant (€HT)])+SUMIF(Invest[Affectation matrice],$AB$3,Invest[Amortissement HT + intérêts]))*BU15</f>
        <v>0</v>
      </c>
      <c r="U15" s="276">
        <f>(SUMIF(Fonctionnement[Affectation matrice],$AB$3,Fonctionnement[Montant (€HT)])+SUMIF(Invest[Affectation matrice],$AB$3,Invest[Amortissement HT + intérêts]))*BV15</f>
        <v>0</v>
      </c>
      <c r="V15" s="276">
        <f>(SUMIF(Fonctionnement[Affectation matrice],$AB$3,Fonctionnement[Montant (€HT)])+SUMIF(Invest[Affectation matrice],$AB$3,Invest[Amortissement HT + intérêts]))*BW15</f>
        <v>0</v>
      </c>
      <c r="W15" s="276">
        <f>(SUMIF(Fonctionnement[Affectation matrice],$AB$3,Fonctionnement[Montant (€HT)])+SUMIF(Invest[Affectation matrice],$AB$3,Invest[Amortissement HT + intérêts]))*BX15</f>
        <v>0</v>
      </c>
      <c r="X15" s="276">
        <f>(SUMIF(Fonctionnement[Affectation matrice],$AB$3,Fonctionnement[Montant (€HT)])+SUMIF(Invest[Affectation matrice],$AB$3,Invest[Amortissement HT + intérêts]))*BY15</f>
        <v>0</v>
      </c>
      <c r="Y15" s="276">
        <f>(SUMIF(Fonctionnement[Affectation matrice],$AB$3,Fonctionnement[Montant (€HT)])+SUMIF(Invest[Affectation matrice],$AB$3,Invest[Amortissement HT + intérêts]))*BZ15</f>
        <v>0</v>
      </c>
      <c r="Z15" s="276">
        <f>(SUMIF(Fonctionnement[Affectation matrice],$AB$3,Fonctionnement[Montant (€HT)])+SUMIF(Invest[Affectation matrice],$AB$3,Invest[Amortissement HT + intérêts]))*CA15</f>
        <v>0</v>
      </c>
      <c r="AA15" s="199"/>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283">
        <f t="shared" si="4"/>
        <v>0</v>
      </c>
      <c r="BB15" s="7"/>
      <c r="BC15" s="61">
        <f t="shared" si="2"/>
        <v>0</v>
      </c>
      <c r="BD15" s="61">
        <f t="shared" si="2"/>
        <v>0</v>
      </c>
      <c r="BE15" s="61">
        <f t="shared" si="2"/>
        <v>0</v>
      </c>
      <c r="BF15" s="61">
        <f t="shared" si="2"/>
        <v>0</v>
      </c>
      <c r="BG15" s="61">
        <f t="shared" si="2"/>
        <v>0</v>
      </c>
      <c r="BH15" s="61">
        <f t="shared" si="2"/>
        <v>0</v>
      </c>
      <c r="BI15" s="61">
        <f t="shared" si="2"/>
        <v>0</v>
      </c>
      <c r="BJ15" s="61">
        <f t="shared" si="2"/>
        <v>0</v>
      </c>
      <c r="BK15" s="61">
        <f t="shared" si="2"/>
        <v>0</v>
      </c>
      <c r="BL15" s="61">
        <f t="shared" si="2"/>
        <v>0</v>
      </c>
      <c r="BM15" s="61">
        <f t="shared" si="2"/>
        <v>0</v>
      </c>
      <c r="BN15" s="61">
        <f t="shared" si="2"/>
        <v>0</v>
      </c>
      <c r="BO15" s="61">
        <f t="shared" si="2"/>
        <v>0</v>
      </c>
      <c r="BP15" s="61">
        <f t="shared" si="2"/>
        <v>0</v>
      </c>
      <c r="BQ15" s="61">
        <f t="shared" si="2"/>
        <v>0</v>
      </c>
      <c r="BR15" s="61">
        <f t="shared" si="2"/>
        <v>0</v>
      </c>
      <c r="BS15" s="61">
        <f t="shared" si="3"/>
        <v>0</v>
      </c>
      <c r="BT15" s="61">
        <f t="shared" si="3"/>
        <v>0</v>
      </c>
      <c r="BU15" s="61">
        <f t="shared" si="3"/>
        <v>0</v>
      </c>
      <c r="BV15" s="61">
        <f t="shared" si="3"/>
        <v>0</v>
      </c>
      <c r="BW15" s="61">
        <f t="shared" si="3"/>
        <v>0</v>
      </c>
      <c r="BX15" s="61">
        <f t="shared" si="3"/>
        <v>0</v>
      </c>
      <c r="BY15" s="61">
        <f t="shared" si="3"/>
        <v>0</v>
      </c>
      <c r="BZ15" s="61">
        <f t="shared" si="3"/>
        <v>0</v>
      </c>
      <c r="CA15" s="61">
        <f t="shared" si="3"/>
        <v>0</v>
      </c>
      <c r="CB15" s="61">
        <f t="shared" si="5"/>
        <v>0</v>
      </c>
      <c r="CD15" s="200">
        <f>(SUMIF(Fonctionnement[Affectation matrice],$AB$3,Fonctionnement[TVA acquittée])+SUMIF(Invest[Affectation matrice],$AB$3,Invest[TVA acquittée]))*BC15</f>
        <v>0</v>
      </c>
      <c r="CE15" s="200">
        <f>(SUMIF(Fonctionnement[Affectation matrice],$AB$3,Fonctionnement[TVA acquittée])+SUMIF(Invest[Affectation matrice],$AB$3,Invest[TVA acquittée]))*BD15</f>
        <v>0</v>
      </c>
      <c r="CF15" s="200">
        <f>(SUMIF(Fonctionnement[Affectation matrice],$AB$3,Fonctionnement[TVA acquittée])+SUMIF(Invest[Affectation matrice],$AB$3,Invest[TVA acquittée]))*BE15</f>
        <v>0</v>
      </c>
      <c r="CG15" s="200">
        <f>(SUMIF(Fonctionnement[Affectation matrice],$AB$3,Fonctionnement[TVA acquittée])+SUMIF(Invest[Affectation matrice],$AB$3,Invest[TVA acquittée]))*BF15</f>
        <v>0</v>
      </c>
      <c r="CH15" s="200">
        <f>(SUMIF(Fonctionnement[Affectation matrice],$AB$3,Fonctionnement[TVA acquittée])+SUMIF(Invest[Affectation matrice],$AB$3,Invest[TVA acquittée]))*BG15</f>
        <v>0</v>
      </c>
      <c r="CI15" s="200">
        <f>(SUMIF(Fonctionnement[Affectation matrice],$AB$3,Fonctionnement[TVA acquittée])+SUMIF(Invest[Affectation matrice],$AB$3,Invest[TVA acquittée]))*BH15</f>
        <v>0</v>
      </c>
      <c r="CJ15" s="200">
        <f>(SUMIF(Fonctionnement[Affectation matrice],$AB$3,Fonctionnement[TVA acquittée])+SUMIF(Invest[Affectation matrice],$AB$3,Invest[TVA acquittée]))*BI15</f>
        <v>0</v>
      </c>
      <c r="CK15" s="200">
        <f>(SUMIF(Fonctionnement[Affectation matrice],$AB$3,Fonctionnement[TVA acquittée])+SUMIF(Invest[Affectation matrice],$AB$3,Invest[TVA acquittée]))*BJ15</f>
        <v>0</v>
      </c>
      <c r="CL15" s="200">
        <f>(SUMIF(Fonctionnement[Affectation matrice],$AB$3,Fonctionnement[TVA acquittée])+SUMIF(Invest[Affectation matrice],$AB$3,Invest[TVA acquittée]))*BK15</f>
        <v>0</v>
      </c>
      <c r="CM15" s="200">
        <f>(SUMIF(Fonctionnement[Affectation matrice],$AB$3,Fonctionnement[TVA acquittée])+SUMIF(Invest[Affectation matrice],$AB$3,Invest[TVA acquittée]))*BL15</f>
        <v>0</v>
      </c>
      <c r="CN15" s="200">
        <f>(SUMIF(Fonctionnement[Affectation matrice],$AB$3,Fonctionnement[TVA acquittée])+SUMIF(Invest[Affectation matrice],$AB$3,Invest[TVA acquittée]))*BM15</f>
        <v>0</v>
      </c>
      <c r="CO15" s="200">
        <f>(SUMIF(Fonctionnement[Affectation matrice],$AB$3,Fonctionnement[TVA acquittée])+SUMIF(Invest[Affectation matrice],$AB$3,Invest[TVA acquittée]))*BN15</f>
        <v>0</v>
      </c>
      <c r="CP15" s="200">
        <f>(SUMIF(Fonctionnement[Affectation matrice],$AB$3,Fonctionnement[TVA acquittée])+SUMIF(Invest[Affectation matrice],$AB$3,Invest[TVA acquittée]))*BO15</f>
        <v>0</v>
      </c>
      <c r="CQ15" s="200">
        <f>(SUMIF(Fonctionnement[Affectation matrice],$AB$3,Fonctionnement[TVA acquittée])+SUMIF(Invest[Affectation matrice],$AB$3,Invest[TVA acquittée]))*BP15</f>
        <v>0</v>
      </c>
      <c r="CR15" s="200">
        <f>(SUMIF(Fonctionnement[Affectation matrice],$AB$3,Fonctionnement[TVA acquittée])+SUMIF(Invest[Affectation matrice],$AB$3,Invest[TVA acquittée]))*BQ15</f>
        <v>0</v>
      </c>
      <c r="CS15" s="200">
        <f>(SUMIF(Fonctionnement[Affectation matrice],$AB$3,Fonctionnement[TVA acquittée])+SUMIF(Invest[Affectation matrice],$AB$3,Invest[TVA acquittée]))*BR15</f>
        <v>0</v>
      </c>
      <c r="CT15" s="200">
        <f>(SUMIF(Fonctionnement[Affectation matrice],$AB$3,Fonctionnement[TVA acquittée])+SUMIF(Invest[Affectation matrice],$AB$3,Invest[TVA acquittée]))*BS15</f>
        <v>0</v>
      </c>
      <c r="CU15" s="200">
        <f>(SUMIF(Fonctionnement[Affectation matrice],$AB$3,Fonctionnement[TVA acquittée])+SUMIF(Invest[Affectation matrice],$AB$3,Invest[TVA acquittée]))*BT15</f>
        <v>0</v>
      </c>
      <c r="CV15" s="200">
        <f>(SUMIF(Fonctionnement[Affectation matrice],$AB$3,Fonctionnement[TVA acquittée])+SUMIF(Invest[Affectation matrice],$AB$3,Invest[TVA acquittée]))*BU15</f>
        <v>0</v>
      </c>
      <c r="CW15" s="200">
        <f>(SUMIF(Fonctionnement[Affectation matrice],$AB$3,Fonctionnement[TVA acquittée])+SUMIF(Invest[Affectation matrice],$AB$3,Invest[TVA acquittée]))*BV15</f>
        <v>0</v>
      </c>
      <c r="CX15" s="200">
        <f>(SUMIF(Fonctionnement[Affectation matrice],$AB$3,Fonctionnement[TVA acquittée])+SUMIF(Invest[Affectation matrice],$AB$3,Invest[TVA acquittée]))*BW15</f>
        <v>0</v>
      </c>
      <c r="CY15" s="200">
        <f>(SUMIF(Fonctionnement[Affectation matrice],$AB$3,Fonctionnement[TVA acquittée])+SUMIF(Invest[Affectation matrice],$AB$3,Invest[TVA acquittée]))*BX15</f>
        <v>0</v>
      </c>
      <c r="CZ15" s="200">
        <f>(SUMIF(Fonctionnement[Affectation matrice],$AB$3,Fonctionnement[TVA acquittée])+SUMIF(Invest[Affectation matrice],$AB$3,Invest[TVA acquittée]))*BY15</f>
        <v>0</v>
      </c>
      <c r="DA15" s="200">
        <f>(SUMIF(Fonctionnement[Affectation matrice],$AB$3,Fonctionnement[TVA acquittée])+SUMIF(Invest[Affectation matrice],$AB$3,Invest[TVA acquittée]))*BZ15</f>
        <v>0</v>
      </c>
      <c r="DB15" s="200">
        <f>(SUMIF(Fonctionnement[Affectation matrice],$AB$3,Fonctionnement[TVA acquittée])+SUMIF(Invest[Affectation matrice],$AB$3,Invest[TVA acquittée]))*CA15</f>
        <v>0</v>
      </c>
    </row>
    <row r="16" spans="1:106" s="22" customFormat="1" ht="12.75" hidden="1" customHeight="1" x14ac:dyDescent="0.25">
      <c r="A16" s="42">
        <f>Matrice[[#This Row],[Ligne de la matrice]]</f>
        <v>0</v>
      </c>
      <c r="B16" s="276">
        <f>(SUMIF(Fonctionnement[Affectation matrice],$AB$3,Fonctionnement[Montant (€HT)])+SUMIF(Invest[Affectation matrice],$AB$3,Invest[Amortissement HT + intérêts]))*BC16</f>
        <v>0</v>
      </c>
      <c r="C16" s="276">
        <f>(SUMIF(Fonctionnement[Affectation matrice],$AB$3,Fonctionnement[Montant (€HT)])+SUMIF(Invest[Affectation matrice],$AB$3,Invest[Amortissement HT + intérêts]))*BD16</f>
        <v>0</v>
      </c>
      <c r="D16" s="276">
        <f>(SUMIF(Fonctionnement[Affectation matrice],$AB$3,Fonctionnement[Montant (€HT)])+SUMIF(Invest[Affectation matrice],$AB$3,Invest[Amortissement HT + intérêts]))*BE16</f>
        <v>0</v>
      </c>
      <c r="E16" s="276">
        <f>(SUMIF(Fonctionnement[Affectation matrice],$AB$3,Fonctionnement[Montant (€HT)])+SUMIF(Invest[Affectation matrice],$AB$3,Invest[Amortissement HT + intérêts]))*BF16</f>
        <v>0</v>
      </c>
      <c r="F16" s="276">
        <f>(SUMIF(Fonctionnement[Affectation matrice],$AB$3,Fonctionnement[Montant (€HT)])+SUMIF(Invest[Affectation matrice],$AB$3,Invest[Amortissement HT + intérêts]))*BG16</f>
        <v>0</v>
      </c>
      <c r="G16" s="276">
        <f>(SUMIF(Fonctionnement[Affectation matrice],$AB$3,Fonctionnement[Montant (€HT)])+SUMIF(Invest[Affectation matrice],$AB$3,Invest[Amortissement HT + intérêts]))*BH16</f>
        <v>0</v>
      </c>
      <c r="H16" s="276">
        <f>(SUMIF(Fonctionnement[Affectation matrice],$AB$3,Fonctionnement[Montant (€HT)])+SUMIF(Invest[Affectation matrice],$AB$3,Invest[Amortissement HT + intérêts]))*BI16</f>
        <v>0</v>
      </c>
      <c r="I16" s="276">
        <f>(SUMIF(Fonctionnement[Affectation matrice],$AB$3,Fonctionnement[Montant (€HT)])+SUMIF(Invest[Affectation matrice],$AB$3,Invest[Amortissement HT + intérêts]))*BJ16</f>
        <v>0</v>
      </c>
      <c r="J16" s="276">
        <f>(SUMIF(Fonctionnement[Affectation matrice],$AB$3,Fonctionnement[Montant (€HT)])+SUMIF(Invest[Affectation matrice],$AB$3,Invest[Amortissement HT + intérêts]))*BK16</f>
        <v>0</v>
      </c>
      <c r="K16" s="276">
        <f>(SUMIF(Fonctionnement[Affectation matrice],$AB$3,Fonctionnement[Montant (€HT)])+SUMIF(Invest[Affectation matrice],$AB$3,Invest[Amortissement HT + intérêts]))*BL16</f>
        <v>0</v>
      </c>
      <c r="L16" s="276">
        <f>(SUMIF(Fonctionnement[Affectation matrice],$AB$3,Fonctionnement[Montant (€HT)])+SUMIF(Invest[Affectation matrice],$AB$3,Invest[Amortissement HT + intérêts]))*BM16</f>
        <v>0</v>
      </c>
      <c r="M16" s="276">
        <f>(SUMIF(Fonctionnement[Affectation matrice],$AB$3,Fonctionnement[Montant (€HT)])+SUMIF(Invest[Affectation matrice],$AB$3,Invest[Amortissement HT + intérêts]))*BN16</f>
        <v>0</v>
      </c>
      <c r="N16" s="276">
        <f>(SUMIF(Fonctionnement[Affectation matrice],$AB$3,Fonctionnement[Montant (€HT)])+SUMIF(Invest[Affectation matrice],$AB$3,Invest[Amortissement HT + intérêts]))*BO16</f>
        <v>0</v>
      </c>
      <c r="O16" s="276">
        <f>(SUMIF(Fonctionnement[Affectation matrice],$AB$3,Fonctionnement[Montant (€HT)])+SUMIF(Invest[Affectation matrice],$AB$3,Invest[Amortissement HT + intérêts]))*BP16</f>
        <v>0</v>
      </c>
      <c r="P16" s="276">
        <f>(SUMIF(Fonctionnement[Affectation matrice],$AB$3,Fonctionnement[Montant (€HT)])+SUMIF(Invest[Affectation matrice],$AB$3,Invest[Amortissement HT + intérêts]))*BQ16</f>
        <v>0</v>
      </c>
      <c r="Q16" s="276">
        <f>(SUMIF(Fonctionnement[Affectation matrice],$AB$3,Fonctionnement[Montant (€HT)])+SUMIF(Invest[Affectation matrice],$AB$3,Invest[Amortissement HT + intérêts]))*BR16</f>
        <v>0</v>
      </c>
      <c r="R16" s="276">
        <f>(SUMIF(Fonctionnement[Affectation matrice],$AB$3,Fonctionnement[Montant (€HT)])+SUMIF(Invest[Affectation matrice],$AB$3,Invest[Amortissement HT + intérêts]))*BS16</f>
        <v>0</v>
      </c>
      <c r="S16" s="276">
        <f>(SUMIF(Fonctionnement[Affectation matrice],$AB$3,Fonctionnement[Montant (€HT)])+SUMIF(Invest[Affectation matrice],$AB$3,Invest[Amortissement HT + intérêts]))*BT16</f>
        <v>0</v>
      </c>
      <c r="T16" s="276">
        <f>(SUMIF(Fonctionnement[Affectation matrice],$AB$3,Fonctionnement[Montant (€HT)])+SUMIF(Invest[Affectation matrice],$AB$3,Invest[Amortissement HT + intérêts]))*BU16</f>
        <v>0</v>
      </c>
      <c r="U16" s="276">
        <f>(SUMIF(Fonctionnement[Affectation matrice],$AB$3,Fonctionnement[Montant (€HT)])+SUMIF(Invest[Affectation matrice],$AB$3,Invest[Amortissement HT + intérêts]))*BV16</f>
        <v>0</v>
      </c>
      <c r="V16" s="276">
        <f>(SUMIF(Fonctionnement[Affectation matrice],$AB$3,Fonctionnement[Montant (€HT)])+SUMIF(Invest[Affectation matrice],$AB$3,Invest[Amortissement HT + intérêts]))*BW16</f>
        <v>0</v>
      </c>
      <c r="W16" s="276">
        <f>(SUMIF(Fonctionnement[Affectation matrice],$AB$3,Fonctionnement[Montant (€HT)])+SUMIF(Invest[Affectation matrice],$AB$3,Invest[Amortissement HT + intérêts]))*BX16</f>
        <v>0</v>
      </c>
      <c r="X16" s="276">
        <f>(SUMIF(Fonctionnement[Affectation matrice],$AB$3,Fonctionnement[Montant (€HT)])+SUMIF(Invest[Affectation matrice],$AB$3,Invest[Amortissement HT + intérêts]))*BY16</f>
        <v>0</v>
      </c>
      <c r="Y16" s="276">
        <f>(SUMIF(Fonctionnement[Affectation matrice],$AB$3,Fonctionnement[Montant (€HT)])+SUMIF(Invest[Affectation matrice],$AB$3,Invest[Amortissement HT + intérêts]))*BZ16</f>
        <v>0</v>
      </c>
      <c r="Z16" s="276">
        <f>(SUMIF(Fonctionnement[Affectation matrice],$AB$3,Fonctionnement[Montant (€HT)])+SUMIF(Invest[Affectation matrice],$AB$3,Invest[Amortissement HT + intérêts]))*CA16</f>
        <v>0</v>
      </c>
      <c r="AA16" s="199"/>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283">
        <f t="shared" si="4"/>
        <v>0</v>
      </c>
      <c r="BB16" s="7"/>
      <c r="BC16" s="61">
        <f t="shared" si="2"/>
        <v>0</v>
      </c>
      <c r="BD16" s="61">
        <f t="shared" si="2"/>
        <v>0</v>
      </c>
      <c r="BE16" s="61">
        <f t="shared" si="2"/>
        <v>0</v>
      </c>
      <c r="BF16" s="61">
        <f t="shared" si="2"/>
        <v>0</v>
      </c>
      <c r="BG16" s="61">
        <f t="shared" si="2"/>
        <v>0</v>
      </c>
      <c r="BH16" s="61">
        <f t="shared" si="2"/>
        <v>0</v>
      </c>
      <c r="BI16" s="61">
        <f t="shared" si="2"/>
        <v>0</v>
      </c>
      <c r="BJ16" s="61">
        <f t="shared" si="2"/>
        <v>0</v>
      </c>
      <c r="BK16" s="61">
        <f t="shared" si="2"/>
        <v>0</v>
      </c>
      <c r="BL16" s="61">
        <f t="shared" si="2"/>
        <v>0</v>
      </c>
      <c r="BM16" s="61">
        <f t="shared" si="2"/>
        <v>0</v>
      </c>
      <c r="BN16" s="61">
        <f t="shared" si="2"/>
        <v>0</v>
      </c>
      <c r="BO16" s="61">
        <f t="shared" si="2"/>
        <v>0</v>
      </c>
      <c r="BP16" s="61">
        <f t="shared" si="2"/>
        <v>0</v>
      </c>
      <c r="BQ16" s="61">
        <f t="shared" si="2"/>
        <v>0</v>
      </c>
      <c r="BR16" s="61">
        <f t="shared" si="2"/>
        <v>0</v>
      </c>
      <c r="BS16" s="61">
        <f t="shared" si="3"/>
        <v>0</v>
      </c>
      <c r="BT16" s="61">
        <f t="shared" si="3"/>
        <v>0</v>
      </c>
      <c r="BU16" s="61">
        <f t="shared" si="3"/>
        <v>0</v>
      </c>
      <c r="BV16" s="61">
        <f t="shared" si="3"/>
        <v>0</v>
      </c>
      <c r="BW16" s="61">
        <f t="shared" si="3"/>
        <v>0</v>
      </c>
      <c r="BX16" s="61">
        <f t="shared" si="3"/>
        <v>0</v>
      </c>
      <c r="BY16" s="61">
        <f t="shared" si="3"/>
        <v>0</v>
      </c>
      <c r="BZ16" s="61">
        <f t="shared" si="3"/>
        <v>0</v>
      </c>
      <c r="CA16" s="61">
        <f t="shared" si="3"/>
        <v>0</v>
      </c>
      <c r="CB16" s="61">
        <f t="shared" si="5"/>
        <v>0</v>
      </c>
      <c r="CD16" s="200">
        <f>(SUMIF(Fonctionnement[Affectation matrice],$AB$3,Fonctionnement[TVA acquittée])+SUMIF(Invest[Affectation matrice],$AB$3,Invest[TVA acquittée]))*BC16</f>
        <v>0</v>
      </c>
      <c r="CE16" s="200">
        <f>(SUMIF(Fonctionnement[Affectation matrice],$AB$3,Fonctionnement[TVA acquittée])+SUMIF(Invest[Affectation matrice],$AB$3,Invest[TVA acquittée]))*BD16</f>
        <v>0</v>
      </c>
      <c r="CF16" s="200">
        <f>(SUMIF(Fonctionnement[Affectation matrice],$AB$3,Fonctionnement[TVA acquittée])+SUMIF(Invest[Affectation matrice],$AB$3,Invest[TVA acquittée]))*BE16</f>
        <v>0</v>
      </c>
      <c r="CG16" s="200">
        <f>(SUMIF(Fonctionnement[Affectation matrice],$AB$3,Fonctionnement[TVA acquittée])+SUMIF(Invest[Affectation matrice],$AB$3,Invest[TVA acquittée]))*BF16</f>
        <v>0</v>
      </c>
      <c r="CH16" s="200">
        <f>(SUMIF(Fonctionnement[Affectation matrice],$AB$3,Fonctionnement[TVA acquittée])+SUMIF(Invest[Affectation matrice],$AB$3,Invest[TVA acquittée]))*BG16</f>
        <v>0</v>
      </c>
      <c r="CI16" s="200">
        <f>(SUMIF(Fonctionnement[Affectation matrice],$AB$3,Fonctionnement[TVA acquittée])+SUMIF(Invest[Affectation matrice],$AB$3,Invest[TVA acquittée]))*BH16</f>
        <v>0</v>
      </c>
      <c r="CJ16" s="200">
        <f>(SUMIF(Fonctionnement[Affectation matrice],$AB$3,Fonctionnement[TVA acquittée])+SUMIF(Invest[Affectation matrice],$AB$3,Invest[TVA acquittée]))*BI16</f>
        <v>0</v>
      </c>
      <c r="CK16" s="200">
        <f>(SUMIF(Fonctionnement[Affectation matrice],$AB$3,Fonctionnement[TVA acquittée])+SUMIF(Invest[Affectation matrice],$AB$3,Invest[TVA acquittée]))*BJ16</f>
        <v>0</v>
      </c>
      <c r="CL16" s="200">
        <f>(SUMIF(Fonctionnement[Affectation matrice],$AB$3,Fonctionnement[TVA acquittée])+SUMIF(Invest[Affectation matrice],$AB$3,Invest[TVA acquittée]))*BK16</f>
        <v>0</v>
      </c>
      <c r="CM16" s="200">
        <f>(SUMIF(Fonctionnement[Affectation matrice],$AB$3,Fonctionnement[TVA acquittée])+SUMIF(Invest[Affectation matrice],$AB$3,Invest[TVA acquittée]))*BL16</f>
        <v>0</v>
      </c>
      <c r="CN16" s="200">
        <f>(SUMIF(Fonctionnement[Affectation matrice],$AB$3,Fonctionnement[TVA acquittée])+SUMIF(Invest[Affectation matrice],$AB$3,Invest[TVA acquittée]))*BM16</f>
        <v>0</v>
      </c>
      <c r="CO16" s="200">
        <f>(SUMIF(Fonctionnement[Affectation matrice],$AB$3,Fonctionnement[TVA acquittée])+SUMIF(Invest[Affectation matrice],$AB$3,Invest[TVA acquittée]))*BN16</f>
        <v>0</v>
      </c>
      <c r="CP16" s="200">
        <f>(SUMIF(Fonctionnement[Affectation matrice],$AB$3,Fonctionnement[TVA acquittée])+SUMIF(Invest[Affectation matrice],$AB$3,Invest[TVA acquittée]))*BO16</f>
        <v>0</v>
      </c>
      <c r="CQ16" s="200">
        <f>(SUMIF(Fonctionnement[Affectation matrice],$AB$3,Fonctionnement[TVA acquittée])+SUMIF(Invest[Affectation matrice],$AB$3,Invest[TVA acquittée]))*BP16</f>
        <v>0</v>
      </c>
      <c r="CR16" s="200">
        <f>(SUMIF(Fonctionnement[Affectation matrice],$AB$3,Fonctionnement[TVA acquittée])+SUMIF(Invest[Affectation matrice],$AB$3,Invest[TVA acquittée]))*BQ16</f>
        <v>0</v>
      </c>
      <c r="CS16" s="200">
        <f>(SUMIF(Fonctionnement[Affectation matrice],$AB$3,Fonctionnement[TVA acquittée])+SUMIF(Invest[Affectation matrice],$AB$3,Invest[TVA acquittée]))*BR16</f>
        <v>0</v>
      </c>
      <c r="CT16" s="200">
        <f>(SUMIF(Fonctionnement[Affectation matrice],$AB$3,Fonctionnement[TVA acquittée])+SUMIF(Invest[Affectation matrice],$AB$3,Invest[TVA acquittée]))*BS16</f>
        <v>0</v>
      </c>
      <c r="CU16" s="200">
        <f>(SUMIF(Fonctionnement[Affectation matrice],$AB$3,Fonctionnement[TVA acquittée])+SUMIF(Invest[Affectation matrice],$AB$3,Invest[TVA acquittée]))*BT16</f>
        <v>0</v>
      </c>
      <c r="CV16" s="200">
        <f>(SUMIF(Fonctionnement[Affectation matrice],$AB$3,Fonctionnement[TVA acquittée])+SUMIF(Invest[Affectation matrice],$AB$3,Invest[TVA acquittée]))*BU16</f>
        <v>0</v>
      </c>
      <c r="CW16" s="200">
        <f>(SUMIF(Fonctionnement[Affectation matrice],$AB$3,Fonctionnement[TVA acquittée])+SUMIF(Invest[Affectation matrice],$AB$3,Invest[TVA acquittée]))*BV16</f>
        <v>0</v>
      </c>
      <c r="CX16" s="200">
        <f>(SUMIF(Fonctionnement[Affectation matrice],$AB$3,Fonctionnement[TVA acquittée])+SUMIF(Invest[Affectation matrice],$AB$3,Invest[TVA acquittée]))*BW16</f>
        <v>0</v>
      </c>
      <c r="CY16" s="200">
        <f>(SUMIF(Fonctionnement[Affectation matrice],$AB$3,Fonctionnement[TVA acquittée])+SUMIF(Invest[Affectation matrice],$AB$3,Invest[TVA acquittée]))*BX16</f>
        <v>0</v>
      </c>
      <c r="CZ16" s="200">
        <f>(SUMIF(Fonctionnement[Affectation matrice],$AB$3,Fonctionnement[TVA acquittée])+SUMIF(Invest[Affectation matrice],$AB$3,Invest[TVA acquittée]))*BY16</f>
        <v>0</v>
      </c>
      <c r="DA16" s="200">
        <f>(SUMIF(Fonctionnement[Affectation matrice],$AB$3,Fonctionnement[TVA acquittée])+SUMIF(Invest[Affectation matrice],$AB$3,Invest[TVA acquittée]))*BZ16</f>
        <v>0</v>
      </c>
      <c r="DB16" s="200">
        <f>(SUMIF(Fonctionnement[Affectation matrice],$AB$3,Fonctionnement[TVA acquittée])+SUMIF(Invest[Affectation matrice],$AB$3,Invest[TVA acquittée]))*CA16</f>
        <v>0</v>
      </c>
    </row>
    <row r="17" spans="1:106" ht="12.75" hidden="1" customHeight="1" x14ac:dyDescent="0.25">
      <c r="A17" s="42">
        <f>Matrice[[#This Row],[Ligne de la matrice]]</f>
        <v>0</v>
      </c>
      <c r="B17" s="276">
        <f>(SUMIF(Fonctionnement[Affectation matrice],$AB$3,Fonctionnement[Montant (€HT)])+SUMIF(Invest[Affectation matrice],$AB$3,Invest[Amortissement HT + intérêts]))*BC17</f>
        <v>0</v>
      </c>
      <c r="C17" s="276">
        <f>(SUMIF(Fonctionnement[Affectation matrice],$AB$3,Fonctionnement[Montant (€HT)])+SUMIF(Invest[Affectation matrice],$AB$3,Invest[Amortissement HT + intérêts]))*BD17</f>
        <v>0</v>
      </c>
      <c r="D17" s="276">
        <f>(SUMIF(Fonctionnement[Affectation matrice],$AB$3,Fonctionnement[Montant (€HT)])+SUMIF(Invest[Affectation matrice],$AB$3,Invest[Amortissement HT + intérêts]))*BE17</f>
        <v>0</v>
      </c>
      <c r="E17" s="276">
        <f>(SUMIF(Fonctionnement[Affectation matrice],$AB$3,Fonctionnement[Montant (€HT)])+SUMIF(Invest[Affectation matrice],$AB$3,Invest[Amortissement HT + intérêts]))*BF17</f>
        <v>0</v>
      </c>
      <c r="F17" s="276">
        <f>(SUMIF(Fonctionnement[Affectation matrice],$AB$3,Fonctionnement[Montant (€HT)])+SUMIF(Invest[Affectation matrice],$AB$3,Invest[Amortissement HT + intérêts]))*BG17</f>
        <v>0</v>
      </c>
      <c r="G17" s="276">
        <f>(SUMIF(Fonctionnement[Affectation matrice],$AB$3,Fonctionnement[Montant (€HT)])+SUMIF(Invest[Affectation matrice],$AB$3,Invest[Amortissement HT + intérêts]))*BH17</f>
        <v>0</v>
      </c>
      <c r="H17" s="276">
        <f>(SUMIF(Fonctionnement[Affectation matrice],$AB$3,Fonctionnement[Montant (€HT)])+SUMIF(Invest[Affectation matrice],$AB$3,Invest[Amortissement HT + intérêts]))*BI17</f>
        <v>0</v>
      </c>
      <c r="I17" s="276">
        <f>(SUMIF(Fonctionnement[Affectation matrice],$AB$3,Fonctionnement[Montant (€HT)])+SUMIF(Invest[Affectation matrice],$AB$3,Invest[Amortissement HT + intérêts]))*BJ17</f>
        <v>0</v>
      </c>
      <c r="J17" s="276">
        <f>(SUMIF(Fonctionnement[Affectation matrice],$AB$3,Fonctionnement[Montant (€HT)])+SUMIF(Invest[Affectation matrice],$AB$3,Invest[Amortissement HT + intérêts]))*BK17</f>
        <v>0</v>
      </c>
      <c r="K17" s="276">
        <f>(SUMIF(Fonctionnement[Affectation matrice],$AB$3,Fonctionnement[Montant (€HT)])+SUMIF(Invest[Affectation matrice],$AB$3,Invest[Amortissement HT + intérêts]))*BL17</f>
        <v>0</v>
      </c>
      <c r="L17" s="276">
        <f>(SUMIF(Fonctionnement[Affectation matrice],$AB$3,Fonctionnement[Montant (€HT)])+SUMIF(Invest[Affectation matrice],$AB$3,Invest[Amortissement HT + intérêts]))*BM17</f>
        <v>0</v>
      </c>
      <c r="M17" s="276">
        <f>(SUMIF(Fonctionnement[Affectation matrice],$AB$3,Fonctionnement[Montant (€HT)])+SUMIF(Invest[Affectation matrice],$AB$3,Invest[Amortissement HT + intérêts]))*BN17</f>
        <v>0</v>
      </c>
      <c r="N17" s="276">
        <f>(SUMIF(Fonctionnement[Affectation matrice],$AB$3,Fonctionnement[Montant (€HT)])+SUMIF(Invest[Affectation matrice],$AB$3,Invest[Amortissement HT + intérêts]))*BO17</f>
        <v>0</v>
      </c>
      <c r="O17" s="276">
        <f>(SUMIF(Fonctionnement[Affectation matrice],$AB$3,Fonctionnement[Montant (€HT)])+SUMIF(Invest[Affectation matrice],$AB$3,Invest[Amortissement HT + intérêts]))*BP17</f>
        <v>0</v>
      </c>
      <c r="P17" s="276">
        <f>(SUMIF(Fonctionnement[Affectation matrice],$AB$3,Fonctionnement[Montant (€HT)])+SUMIF(Invest[Affectation matrice],$AB$3,Invest[Amortissement HT + intérêts]))*BQ17</f>
        <v>0</v>
      </c>
      <c r="Q17" s="276">
        <f>(SUMIF(Fonctionnement[Affectation matrice],$AB$3,Fonctionnement[Montant (€HT)])+SUMIF(Invest[Affectation matrice],$AB$3,Invest[Amortissement HT + intérêts]))*BR17</f>
        <v>0</v>
      </c>
      <c r="R17" s="276">
        <f>(SUMIF(Fonctionnement[Affectation matrice],$AB$3,Fonctionnement[Montant (€HT)])+SUMIF(Invest[Affectation matrice],$AB$3,Invest[Amortissement HT + intérêts]))*BS17</f>
        <v>0</v>
      </c>
      <c r="S17" s="276">
        <f>(SUMIF(Fonctionnement[Affectation matrice],$AB$3,Fonctionnement[Montant (€HT)])+SUMIF(Invest[Affectation matrice],$AB$3,Invest[Amortissement HT + intérêts]))*BT17</f>
        <v>0</v>
      </c>
      <c r="T17" s="276">
        <f>(SUMIF(Fonctionnement[Affectation matrice],$AB$3,Fonctionnement[Montant (€HT)])+SUMIF(Invest[Affectation matrice],$AB$3,Invest[Amortissement HT + intérêts]))*BU17</f>
        <v>0</v>
      </c>
      <c r="U17" s="276">
        <f>(SUMIF(Fonctionnement[Affectation matrice],$AB$3,Fonctionnement[Montant (€HT)])+SUMIF(Invest[Affectation matrice],$AB$3,Invest[Amortissement HT + intérêts]))*BV17</f>
        <v>0</v>
      </c>
      <c r="V17" s="276">
        <f>(SUMIF(Fonctionnement[Affectation matrice],$AB$3,Fonctionnement[Montant (€HT)])+SUMIF(Invest[Affectation matrice],$AB$3,Invest[Amortissement HT + intérêts]))*BW17</f>
        <v>0</v>
      </c>
      <c r="W17" s="276">
        <f>(SUMIF(Fonctionnement[Affectation matrice],$AB$3,Fonctionnement[Montant (€HT)])+SUMIF(Invest[Affectation matrice],$AB$3,Invest[Amortissement HT + intérêts]))*BX17</f>
        <v>0</v>
      </c>
      <c r="X17" s="276">
        <f>(SUMIF(Fonctionnement[Affectation matrice],$AB$3,Fonctionnement[Montant (€HT)])+SUMIF(Invest[Affectation matrice],$AB$3,Invest[Amortissement HT + intérêts]))*BY17</f>
        <v>0</v>
      </c>
      <c r="Y17" s="276">
        <f>(SUMIF(Fonctionnement[Affectation matrice],$AB$3,Fonctionnement[Montant (€HT)])+SUMIF(Invest[Affectation matrice],$AB$3,Invest[Amortissement HT + intérêts]))*BZ17</f>
        <v>0</v>
      </c>
      <c r="Z17" s="276">
        <f>(SUMIF(Fonctionnement[Affectation matrice],$AB$3,Fonctionnement[Montant (€HT)])+SUMIF(Invest[Affectation matrice],$AB$3,Invest[Amortissement HT + intérêts]))*CA17</f>
        <v>0</v>
      </c>
      <c r="AA17" s="199"/>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283">
        <f t="shared" si="4"/>
        <v>0</v>
      </c>
      <c r="BC17" s="61">
        <f t="shared" si="2"/>
        <v>0</v>
      </c>
      <c r="BD17" s="61">
        <f t="shared" si="2"/>
        <v>0</v>
      </c>
      <c r="BE17" s="61">
        <f t="shared" si="2"/>
        <v>0</v>
      </c>
      <c r="BF17" s="61">
        <f t="shared" si="2"/>
        <v>0</v>
      </c>
      <c r="BG17" s="61">
        <f t="shared" si="2"/>
        <v>0</v>
      </c>
      <c r="BH17" s="61">
        <f t="shared" si="2"/>
        <v>0</v>
      </c>
      <c r="BI17" s="61">
        <f t="shared" si="2"/>
        <v>0</v>
      </c>
      <c r="BJ17" s="61">
        <f t="shared" si="2"/>
        <v>0</v>
      </c>
      <c r="BK17" s="61">
        <f t="shared" si="2"/>
        <v>0</v>
      </c>
      <c r="BL17" s="61">
        <f t="shared" si="2"/>
        <v>0</v>
      </c>
      <c r="BM17" s="61">
        <f t="shared" si="2"/>
        <v>0</v>
      </c>
      <c r="BN17" s="61">
        <f t="shared" si="2"/>
        <v>0</v>
      </c>
      <c r="BO17" s="61">
        <f t="shared" si="2"/>
        <v>0</v>
      </c>
      <c r="BP17" s="61">
        <f t="shared" si="2"/>
        <v>0</v>
      </c>
      <c r="BQ17" s="61">
        <f t="shared" si="2"/>
        <v>0</v>
      </c>
      <c r="BR17" s="61">
        <f t="shared" si="2"/>
        <v>0</v>
      </c>
      <c r="BS17" s="61">
        <f t="shared" si="3"/>
        <v>0</v>
      </c>
      <c r="BT17" s="61">
        <f t="shared" si="3"/>
        <v>0</v>
      </c>
      <c r="BU17" s="61">
        <f t="shared" si="3"/>
        <v>0</v>
      </c>
      <c r="BV17" s="61">
        <f t="shared" si="3"/>
        <v>0</v>
      </c>
      <c r="BW17" s="61">
        <f t="shared" si="3"/>
        <v>0</v>
      </c>
      <c r="BX17" s="61">
        <f t="shared" si="3"/>
        <v>0</v>
      </c>
      <c r="BY17" s="61">
        <f t="shared" si="3"/>
        <v>0</v>
      </c>
      <c r="BZ17" s="61">
        <f t="shared" si="3"/>
        <v>0</v>
      </c>
      <c r="CA17" s="61">
        <f t="shared" si="3"/>
        <v>0</v>
      </c>
      <c r="CB17" s="61">
        <f t="shared" si="5"/>
        <v>0</v>
      </c>
      <c r="CD17" s="200">
        <f>(SUMIF(Fonctionnement[Affectation matrice],$AB$3,Fonctionnement[TVA acquittée])+SUMIF(Invest[Affectation matrice],$AB$3,Invest[TVA acquittée]))*BC17</f>
        <v>0</v>
      </c>
      <c r="CE17" s="200">
        <f>(SUMIF(Fonctionnement[Affectation matrice],$AB$3,Fonctionnement[TVA acquittée])+SUMIF(Invest[Affectation matrice],$AB$3,Invest[TVA acquittée]))*BD17</f>
        <v>0</v>
      </c>
      <c r="CF17" s="200">
        <f>(SUMIF(Fonctionnement[Affectation matrice],$AB$3,Fonctionnement[TVA acquittée])+SUMIF(Invest[Affectation matrice],$AB$3,Invest[TVA acquittée]))*BE17</f>
        <v>0</v>
      </c>
      <c r="CG17" s="200">
        <f>(SUMIF(Fonctionnement[Affectation matrice],$AB$3,Fonctionnement[TVA acquittée])+SUMIF(Invest[Affectation matrice],$AB$3,Invest[TVA acquittée]))*BF17</f>
        <v>0</v>
      </c>
      <c r="CH17" s="200">
        <f>(SUMIF(Fonctionnement[Affectation matrice],$AB$3,Fonctionnement[TVA acquittée])+SUMIF(Invest[Affectation matrice],$AB$3,Invest[TVA acquittée]))*BG17</f>
        <v>0</v>
      </c>
      <c r="CI17" s="200">
        <f>(SUMIF(Fonctionnement[Affectation matrice],$AB$3,Fonctionnement[TVA acquittée])+SUMIF(Invest[Affectation matrice],$AB$3,Invest[TVA acquittée]))*BH17</f>
        <v>0</v>
      </c>
      <c r="CJ17" s="200">
        <f>(SUMIF(Fonctionnement[Affectation matrice],$AB$3,Fonctionnement[TVA acquittée])+SUMIF(Invest[Affectation matrice],$AB$3,Invest[TVA acquittée]))*BI17</f>
        <v>0</v>
      </c>
      <c r="CK17" s="200">
        <f>(SUMIF(Fonctionnement[Affectation matrice],$AB$3,Fonctionnement[TVA acquittée])+SUMIF(Invest[Affectation matrice],$AB$3,Invest[TVA acquittée]))*BJ17</f>
        <v>0</v>
      </c>
      <c r="CL17" s="200">
        <f>(SUMIF(Fonctionnement[Affectation matrice],$AB$3,Fonctionnement[TVA acquittée])+SUMIF(Invest[Affectation matrice],$AB$3,Invest[TVA acquittée]))*BK17</f>
        <v>0</v>
      </c>
      <c r="CM17" s="200">
        <f>(SUMIF(Fonctionnement[Affectation matrice],$AB$3,Fonctionnement[TVA acquittée])+SUMIF(Invest[Affectation matrice],$AB$3,Invest[TVA acquittée]))*BL17</f>
        <v>0</v>
      </c>
      <c r="CN17" s="200">
        <f>(SUMIF(Fonctionnement[Affectation matrice],$AB$3,Fonctionnement[TVA acquittée])+SUMIF(Invest[Affectation matrice],$AB$3,Invest[TVA acquittée]))*BM17</f>
        <v>0</v>
      </c>
      <c r="CO17" s="200">
        <f>(SUMIF(Fonctionnement[Affectation matrice],$AB$3,Fonctionnement[TVA acquittée])+SUMIF(Invest[Affectation matrice],$AB$3,Invest[TVA acquittée]))*BN17</f>
        <v>0</v>
      </c>
      <c r="CP17" s="200">
        <f>(SUMIF(Fonctionnement[Affectation matrice],$AB$3,Fonctionnement[TVA acquittée])+SUMIF(Invest[Affectation matrice],$AB$3,Invest[TVA acquittée]))*BO17</f>
        <v>0</v>
      </c>
      <c r="CQ17" s="200">
        <f>(SUMIF(Fonctionnement[Affectation matrice],$AB$3,Fonctionnement[TVA acquittée])+SUMIF(Invest[Affectation matrice],$AB$3,Invest[TVA acquittée]))*BP17</f>
        <v>0</v>
      </c>
      <c r="CR17" s="200">
        <f>(SUMIF(Fonctionnement[Affectation matrice],$AB$3,Fonctionnement[TVA acquittée])+SUMIF(Invest[Affectation matrice],$AB$3,Invest[TVA acquittée]))*BQ17</f>
        <v>0</v>
      </c>
      <c r="CS17" s="200">
        <f>(SUMIF(Fonctionnement[Affectation matrice],$AB$3,Fonctionnement[TVA acquittée])+SUMIF(Invest[Affectation matrice],$AB$3,Invest[TVA acquittée]))*BR17</f>
        <v>0</v>
      </c>
      <c r="CT17" s="200">
        <f>(SUMIF(Fonctionnement[Affectation matrice],$AB$3,Fonctionnement[TVA acquittée])+SUMIF(Invest[Affectation matrice],$AB$3,Invest[TVA acquittée]))*BS17</f>
        <v>0</v>
      </c>
      <c r="CU17" s="200">
        <f>(SUMIF(Fonctionnement[Affectation matrice],$AB$3,Fonctionnement[TVA acquittée])+SUMIF(Invest[Affectation matrice],$AB$3,Invest[TVA acquittée]))*BT17</f>
        <v>0</v>
      </c>
      <c r="CV17" s="200">
        <f>(SUMIF(Fonctionnement[Affectation matrice],$AB$3,Fonctionnement[TVA acquittée])+SUMIF(Invest[Affectation matrice],$AB$3,Invest[TVA acquittée]))*BU17</f>
        <v>0</v>
      </c>
      <c r="CW17" s="200">
        <f>(SUMIF(Fonctionnement[Affectation matrice],$AB$3,Fonctionnement[TVA acquittée])+SUMIF(Invest[Affectation matrice],$AB$3,Invest[TVA acquittée]))*BV17</f>
        <v>0</v>
      </c>
      <c r="CX17" s="200">
        <f>(SUMIF(Fonctionnement[Affectation matrice],$AB$3,Fonctionnement[TVA acquittée])+SUMIF(Invest[Affectation matrice],$AB$3,Invest[TVA acquittée]))*BW17</f>
        <v>0</v>
      </c>
      <c r="CY17" s="200">
        <f>(SUMIF(Fonctionnement[Affectation matrice],$AB$3,Fonctionnement[TVA acquittée])+SUMIF(Invest[Affectation matrice],$AB$3,Invest[TVA acquittée]))*BX17</f>
        <v>0</v>
      </c>
      <c r="CZ17" s="200">
        <f>(SUMIF(Fonctionnement[Affectation matrice],$AB$3,Fonctionnement[TVA acquittée])+SUMIF(Invest[Affectation matrice],$AB$3,Invest[TVA acquittée]))*BY17</f>
        <v>0</v>
      </c>
      <c r="DA17" s="200">
        <f>(SUMIF(Fonctionnement[Affectation matrice],$AB$3,Fonctionnement[TVA acquittée])+SUMIF(Invest[Affectation matrice],$AB$3,Invest[TVA acquittée]))*BZ17</f>
        <v>0</v>
      </c>
      <c r="DB17" s="200">
        <f>(SUMIF(Fonctionnement[Affectation matrice],$AB$3,Fonctionnement[TVA acquittée])+SUMIF(Invest[Affectation matrice],$AB$3,Invest[TVA acquittée]))*CA17</f>
        <v>0</v>
      </c>
    </row>
    <row r="18" spans="1:106" ht="12.75" hidden="1" customHeight="1" x14ac:dyDescent="0.25">
      <c r="A18" s="42">
        <f>Matrice[[#This Row],[Ligne de la matrice]]</f>
        <v>0</v>
      </c>
      <c r="B18" s="276">
        <f>(SUMIF(Fonctionnement[Affectation matrice],$AB$3,Fonctionnement[Montant (€HT)])+SUMIF(Invest[Affectation matrice],$AB$3,Invest[Amortissement HT + intérêts]))*BC18</f>
        <v>0</v>
      </c>
      <c r="C18" s="276">
        <f>(SUMIF(Fonctionnement[Affectation matrice],$AB$3,Fonctionnement[Montant (€HT)])+SUMIF(Invest[Affectation matrice],$AB$3,Invest[Amortissement HT + intérêts]))*BD18</f>
        <v>0</v>
      </c>
      <c r="D18" s="276">
        <f>(SUMIF(Fonctionnement[Affectation matrice],$AB$3,Fonctionnement[Montant (€HT)])+SUMIF(Invest[Affectation matrice],$AB$3,Invest[Amortissement HT + intérêts]))*BE18</f>
        <v>0</v>
      </c>
      <c r="E18" s="276">
        <f>(SUMIF(Fonctionnement[Affectation matrice],$AB$3,Fonctionnement[Montant (€HT)])+SUMIF(Invest[Affectation matrice],$AB$3,Invest[Amortissement HT + intérêts]))*BF18</f>
        <v>0</v>
      </c>
      <c r="F18" s="276">
        <f>(SUMIF(Fonctionnement[Affectation matrice],$AB$3,Fonctionnement[Montant (€HT)])+SUMIF(Invest[Affectation matrice],$AB$3,Invest[Amortissement HT + intérêts]))*BG18</f>
        <v>0</v>
      </c>
      <c r="G18" s="276">
        <f>(SUMIF(Fonctionnement[Affectation matrice],$AB$3,Fonctionnement[Montant (€HT)])+SUMIF(Invest[Affectation matrice],$AB$3,Invest[Amortissement HT + intérêts]))*BH18</f>
        <v>0</v>
      </c>
      <c r="H18" s="276">
        <f>(SUMIF(Fonctionnement[Affectation matrice],$AB$3,Fonctionnement[Montant (€HT)])+SUMIF(Invest[Affectation matrice],$AB$3,Invest[Amortissement HT + intérêts]))*BI18</f>
        <v>0</v>
      </c>
      <c r="I18" s="276">
        <f>(SUMIF(Fonctionnement[Affectation matrice],$AB$3,Fonctionnement[Montant (€HT)])+SUMIF(Invest[Affectation matrice],$AB$3,Invest[Amortissement HT + intérêts]))*BJ18</f>
        <v>0</v>
      </c>
      <c r="J18" s="276">
        <f>(SUMIF(Fonctionnement[Affectation matrice],$AB$3,Fonctionnement[Montant (€HT)])+SUMIF(Invest[Affectation matrice],$AB$3,Invest[Amortissement HT + intérêts]))*BK18</f>
        <v>0</v>
      </c>
      <c r="K18" s="276">
        <f>(SUMIF(Fonctionnement[Affectation matrice],$AB$3,Fonctionnement[Montant (€HT)])+SUMIF(Invest[Affectation matrice],$AB$3,Invest[Amortissement HT + intérêts]))*BL18</f>
        <v>0</v>
      </c>
      <c r="L18" s="276">
        <f>(SUMIF(Fonctionnement[Affectation matrice],$AB$3,Fonctionnement[Montant (€HT)])+SUMIF(Invest[Affectation matrice],$AB$3,Invest[Amortissement HT + intérêts]))*BM18</f>
        <v>0</v>
      </c>
      <c r="M18" s="276">
        <f>(SUMIF(Fonctionnement[Affectation matrice],$AB$3,Fonctionnement[Montant (€HT)])+SUMIF(Invest[Affectation matrice],$AB$3,Invest[Amortissement HT + intérêts]))*BN18</f>
        <v>0</v>
      </c>
      <c r="N18" s="276">
        <f>(SUMIF(Fonctionnement[Affectation matrice],$AB$3,Fonctionnement[Montant (€HT)])+SUMIF(Invest[Affectation matrice],$AB$3,Invest[Amortissement HT + intérêts]))*BO18</f>
        <v>0</v>
      </c>
      <c r="O18" s="276">
        <f>(SUMIF(Fonctionnement[Affectation matrice],$AB$3,Fonctionnement[Montant (€HT)])+SUMIF(Invest[Affectation matrice],$AB$3,Invest[Amortissement HT + intérêts]))*BP18</f>
        <v>0</v>
      </c>
      <c r="P18" s="276">
        <f>(SUMIF(Fonctionnement[Affectation matrice],$AB$3,Fonctionnement[Montant (€HT)])+SUMIF(Invest[Affectation matrice],$AB$3,Invest[Amortissement HT + intérêts]))*BQ18</f>
        <v>0</v>
      </c>
      <c r="Q18" s="276">
        <f>(SUMIF(Fonctionnement[Affectation matrice],$AB$3,Fonctionnement[Montant (€HT)])+SUMIF(Invest[Affectation matrice],$AB$3,Invest[Amortissement HT + intérêts]))*BR18</f>
        <v>0</v>
      </c>
      <c r="R18" s="276">
        <f>(SUMIF(Fonctionnement[Affectation matrice],$AB$3,Fonctionnement[Montant (€HT)])+SUMIF(Invest[Affectation matrice],$AB$3,Invest[Amortissement HT + intérêts]))*BS18</f>
        <v>0</v>
      </c>
      <c r="S18" s="276">
        <f>(SUMIF(Fonctionnement[Affectation matrice],$AB$3,Fonctionnement[Montant (€HT)])+SUMIF(Invest[Affectation matrice],$AB$3,Invest[Amortissement HT + intérêts]))*BT18</f>
        <v>0</v>
      </c>
      <c r="T18" s="276">
        <f>(SUMIF(Fonctionnement[Affectation matrice],$AB$3,Fonctionnement[Montant (€HT)])+SUMIF(Invest[Affectation matrice],$AB$3,Invest[Amortissement HT + intérêts]))*BU18</f>
        <v>0</v>
      </c>
      <c r="U18" s="276">
        <f>(SUMIF(Fonctionnement[Affectation matrice],$AB$3,Fonctionnement[Montant (€HT)])+SUMIF(Invest[Affectation matrice],$AB$3,Invest[Amortissement HT + intérêts]))*BV18</f>
        <v>0</v>
      </c>
      <c r="V18" s="276">
        <f>(SUMIF(Fonctionnement[Affectation matrice],$AB$3,Fonctionnement[Montant (€HT)])+SUMIF(Invest[Affectation matrice],$AB$3,Invest[Amortissement HT + intérêts]))*BW18</f>
        <v>0</v>
      </c>
      <c r="W18" s="276">
        <f>(SUMIF(Fonctionnement[Affectation matrice],$AB$3,Fonctionnement[Montant (€HT)])+SUMIF(Invest[Affectation matrice],$AB$3,Invest[Amortissement HT + intérêts]))*BX18</f>
        <v>0</v>
      </c>
      <c r="X18" s="276">
        <f>(SUMIF(Fonctionnement[Affectation matrice],$AB$3,Fonctionnement[Montant (€HT)])+SUMIF(Invest[Affectation matrice],$AB$3,Invest[Amortissement HT + intérêts]))*BY18</f>
        <v>0</v>
      </c>
      <c r="Y18" s="276">
        <f>(SUMIF(Fonctionnement[Affectation matrice],$AB$3,Fonctionnement[Montant (€HT)])+SUMIF(Invest[Affectation matrice],$AB$3,Invest[Amortissement HT + intérêts]))*BZ18</f>
        <v>0</v>
      </c>
      <c r="Z18" s="276">
        <f>(SUMIF(Fonctionnement[Affectation matrice],$AB$3,Fonctionnement[Montant (€HT)])+SUMIF(Invest[Affectation matrice],$AB$3,Invest[Amortissement HT + intérêts]))*CA18</f>
        <v>0</v>
      </c>
      <c r="AA18" s="199"/>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283">
        <f t="shared" si="4"/>
        <v>0</v>
      </c>
      <c r="BC18" s="61">
        <f t="shared" si="2"/>
        <v>0</v>
      </c>
      <c r="BD18" s="61">
        <f t="shared" si="2"/>
        <v>0</v>
      </c>
      <c r="BE18" s="61">
        <f t="shared" si="2"/>
        <v>0</v>
      </c>
      <c r="BF18" s="61">
        <f t="shared" si="2"/>
        <v>0</v>
      </c>
      <c r="BG18" s="61">
        <f t="shared" si="2"/>
        <v>0</v>
      </c>
      <c r="BH18" s="61">
        <f t="shared" si="2"/>
        <v>0</v>
      </c>
      <c r="BI18" s="61">
        <f t="shared" si="2"/>
        <v>0</v>
      </c>
      <c r="BJ18" s="61">
        <f t="shared" si="2"/>
        <v>0</v>
      </c>
      <c r="BK18" s="61">
        <f t="shared" si="2"/>
        <v>0</v>
      </c>
      <c r="BL18" s="61">
        <f t="shared" si="2"/>
        <v>0</v>
      </c>
      <c r="BM18" s="61">
        <f t="shared" si="2"/>
        <v>0</v>
      </c>
      <c r="BN18" s="61">
        <f t="shared" si="2"/>
        <v>0</v>
      </c>
      <c r="BO18" s="61">
        <f t="shared" si="2"/>
        <v>0</v>
      </c>
      <c r="BP18" s="61">
        <f t="shared" si="2"/>
        <v>0</v>
      </c>
      <c r="BQ18" s="61">
        <f t="shared" si="2"/>
        <v>0</v>
      </c>
      <c r="BR18" s="61">
        <f t="shared" si="2"/>
        <v>0</v>
      </c>
      <c r="BS18" s="61">
        <f t="shared" si="3"/>
        <v>0</v>
      </c>
      <c r="BT18" s="61">
        <f t="shared" si="3"/>
        <v>0</v>
      </c>
      <c r="BU18" s="61">
        <f t="shared" si="3"/>
        <v>0</v>
      </c>
      <c r="BV18" s="61">
        <f t="shared" si="3"/>
        <v>0</v>
      </c>
      <c r="BW18" s="61">
        <f t="shared" si="3"/>
        <v>0</v>
      </c>
      <c r="BX18" s="61">
        <f t="shared" si="3"/>
        <v>0</v>
      </c>
      <c r="BY18" s="61">
        <f t="shared" si="3"/>
        <v>0</v>
      </c>
      <c r="BZ18" s="61">
        <f t="shared" si="3"/>
        <v>0</v>
      </c>
      <c r="CA18" s="61">
        <f t="shared" si="3"/>
        <v>0</v>
      </c>
      <c r="CB18" s="61">
        <f t="shared" si="5"/>
        <v>0</v>
      </c>
      <c r="CD18" s="200">
        <f>(SUMIF(Fonctionnement[Affectation matrice],$AB$3,Fonctionnement[TVA acquittée])+SUMIF(Invest[Affectation matrice],$AB$3,Invest[TVA acquittée]))*BC18</f>
        <v>0</v>
      </c>
      <c r="CE18" s="200">
        <f>(SUMIF(Fonctionnement[Affectation matrice],$AB$3,Fonctionnement[TVA acquittée])+SUMIF(Invest[Affectation matrice],$AB$3,Invest[TVA acquittée]))*BD18</f>
        <v>0</v>
      </c>
      <c r="CF18" s="200">
        <f>(SUMIF(Fonctionnement[Affectation matrice],$AB$3,Fonctionnement[TVA acquittée])+SUMIF(Invest[Affectation matrice],$AB$3,Invest[TVA acquittée]))*BE18</f>
        <v>0</v>
      </c>
      <c r="CG18" s="200">
        <f>(SUMIF(Fonctionnement[Affectation matrice],$AB$3,Fonctionnement[TVA acquittée])+SUMIF(Invest[Affectation matrice],$AB$3,Invest[TVA acquittée]))*BF18</f>
        <v>0</v>
      </c>
      <c r="CH18" s="200">
        <f>(SUMIF(Fonctionnement[Affectation matrice],$AB$3,Fonctionnement[TVA acquittée])+SUMIF(Invest[Affectation matrice],$AB$3,Invest[TVA acquittée]))*BG18</f>
        <v>0</v>
      </c>
      <c r="CI18" s="200">
        <f>(SUMIF(Fonctionnement[Affectation matrice],$AB$3,Fonctionnement[TVA acquittée])+SUMIF(Invest[Affectation matrice],$AB$3,Invest[TVA acquittée]))*BH18</f>
        <v>0</v>
      </c>
      <c r="CJ18" s="200">
        <f>(SUMIF(Fonctionnement[Affectation matrice],$AB$3,Fonctionnement[TVA acquittée])+SUMIF(Invest[Affectation matrice],$AB$3,Invest[TVA acquittée]))*BI18</f>
        <v>0</v>
      </c>
      <c r="CK18" s="200">
        <f>(SUMIF(Fonctionnement[Affectation matrice],$AB$3,Fonctionnement[TVA acquittée])+SUMIF(Invest[Affectation matrice],$AB$3,Invest[TVA acquittée]))*BJ18</f>
        <v>0</v>
      </c>
      <c r="CL18" s="200">
        <f>(SUMIF(Fonctionnement[Affectation matrice],$AB$3,Fonctionnement[TVA acquittée])+SUMIF(Invest[Affectation matrice],$AB$3,Invest[TVA acquittée]))*BK18</f>
        <v>0</v>
      </c>
      <c r="CM18" s="200">
        <f>(SUMIF(Fonctionnement[Affectation matrice],$AB$3,Fonctionnement[TVA acquittée])+SUMIF(Invest[Affectation matrice],$AB$3,Invest[TVA acquittée]))*BL18</f>
        <v>0</v>
      </c>
      <c r="CN18" s="200">
        <f>(SUMIF(Fonctionnement[Affectation matrice],$AB$3,Fonctionnement[TVA acquittée])+SUMIF(Invest[Affectation matrice],$AB$3,Invest[TVA acquittée]))*BM18</f>
        <v>0</v>
      </c>
      <c r="CO18" s="200">
        <f>(SUMIF(Fonctionnement[Affectation matrice],$AB$3,Fonctionnement[TVA acquittée])+SUMIF(Invest[Affectation matrice],$AB$3,Invest[TVA acquittée]))*BN18</f>
        <v>0</v>
      </c>
      <c r="CP18" s="200">
        <f>(SUMIF(Fonctionnement[Affectation matrice],$AB$3,Fonctionnement[TVA acquittée])+SUMIF(Invest[Affectation matrice],$AB$3,Invest[TVA acquittée]))*BO18</f>
        <v>0</v>
      </c>
      <c r="CQ18" s="200">
        <f>(SUMIF(Fonctionnement[Affectation matrice],$AB$3,Fonctionnement[TVA acquittée])+SUMIF(Invest[Affectation matrice],$AB$3,Invest[TVA acquittée]))*BP18</f>
        <v>0</v>
      </c>
      <c r="CR18" s="200">
        <f>(SUMIF(Fonctionnement[Affectation matrice],$AB$3,Fonctionnement[TVA acquittée])+SUMIF(Invest[Affectation matrice],$AB$3,Invest[TVA acquittée]))*BQ18</f>
        <v>0</v>
      </c>
      <c r="CS18" s="200">
        <f>(SUMIF(Fonctionnement[Affectation matrice],$AB$3,Fonctionnement[TVA acquittée])+SUMIF(Invest[Affectation matrice],$AB$3,Invest[TVA acquittée]))*BR18</f>
        <v>0</v>
      </c>
      <c r="CT18" s="200">
        <f>(SUMIF(Fonctionnement[Affectation matrice],$AB$3,Fonctionnement[TVA acquittée])+SUMIF(Invest[Affectation matrice],$AB$3,Invest[TVA acquittée]))*BS18</f>
        <v>0</v>
      </c>
      <c r="CU18" s="200">
        <f>(SUMIF(Fonctionnement[Affectation matrice],$AB$3,Fonctionnement[TVA acquittée])+SUMIF(Invest[Affectation matrice],$AB$3,Invest[TVA acquittée]))*BT18</f>
        <v>0</v>
      </c>
      <c r="CV18" s="200">
        <f>(SUMIF(Fonctionnement[Affectation matrice],$AB$3,Fonctionnement[TVA acquittée])+SUMIF(Invest[Affectation matrice],$AB$3,Invest[TVA acquittée]))*BU18</f>
        <v>0</v>
      </c>
      <c r="CW18" s="200">
        <f>(SUMIF(Fonctionnement[Affectation matrice],$AB$3,Fonctionnement[TVA acquittée])+SUMIF(Invest[Affectation matrice],$AB$3,Invest[TVA acquittée]))*BV18</f>
        <v>0</v>
      </c>
      <c r="CX18" s="200">
        <f>(SUMIF(Fonctionnement[Affectation matrice],$AB$3,Fonctionnement[TVA acquittée])+SUMIF(Invest[Affectation matrice],$AB$3,Invest[TVA acquittée]))*BW18</f>
        <v>0</v>
      </c>
      <c r="CY18" s="200">
        <f>(SUMIF(Fonctionnement[Affectation matrice],$AB$3,Fonctionnement[TVA acquittée])+SUMIF(Invest[Affectation matrice],$AB$3,Invest[TVA acquittée]))*BX18</f>
        <v>0</v>
      </c>
      <c r="CZ18" s="200">
        <f>(SUMIF(Fonctionnement[Affectation matrice],$AB$3,Fonctionnement[TVA acquittée])+SUMIF(Invest[Affectation matrice],$AB$3,Invest[TVA acquittée]))*BY18</f>
        <v>0</v>
      </c>
      <c r="DA18" s="200">
        <f>(SUMIF(Fonctionnement[Affectation matrice],$AB$3,Fonctionnement[TVA acquittée])+SUMIF(Invest[Affectation matrice],$AB$3,Invest[TVA acquittée]))*BZ18</f>
        <v>0</v>
      </c>
      <c r="DB18" s="200">
        <f>(SUMIF(Fonctionnement[Affectation matrice],$AB$3,Fonctionnement[TVA acquittée])+SUMIF(Invest[Affectation matrice],$AB$3,Invest[TVA acquittée]))*CA18</f>
        <v>0</v>
      </c>
    </row>
    <row r="19" spans="1:106" ht="12.75" hidden="1" customHeight="1" x14ac:dyDescent="0.25">
      <c r="A19" s="42">
        <f>Matrice[[#This Row],[Ligne de la matrice]]</f>
        <v>0</v>
      </c>
      <c r="B19" s="276">
        <f>(SUMIF(Fonctionnement[Affectation matrice],$AB$3,Fonctionnement[Montant (€HT)])+SUMIF(Invest[Affectation matrice],$AB$3,Invest[Amortissement HT + intérêts]))*BC19</f>
        <v>0</v>
      </c>
      <c r="C19" s="276">
        <f>(SUMIF(Fonctionnement[Affectation matrice],$AB$3,Fonctionnement[Montant (€HT)])+SUMIF(Invest[Affectation matrice],$AB$3,Invest[Amortissement HT + intérêts]))*BD19</f>
        <v>0</v>
      </c>
      <c r="D19" s="276">
        <f>(SUMIF(Fonctionnement[Affectation matrice],$AB$3,Fonctionnement[Montant (€HT)])+SUMIF(Invest[Affectation matrice],$AB$3,Invest[Amortissement HT + intérêts]))*BE19</f>
        <v>0</v>
      </c>
      <c r="E19" s="276">
        <f>(SUMIF(Fonctionnement[Affectation matrice],$AB$3,Fonctionnement[Montant (€HT)])+SUMIF(Invest[Affectation matrice],$AB$3,Invest[Amortissement HT + intérêts]))*BF19</f>
        <v>0</v>
      </c>
      <c r="F19" s="276">
        <f>(SUMIF(Fonctionnement[Affectation matrice],$AB$3,Fonctionnement[Montant (€HT)])+SUMIF(Invest[Affectation matrice],$AB$3,Invest[Amortissement HT + intérêts]))*BG19</f>
        <v>0</v>
      </c>
      <c r="G19" s="276">
        <f>(SUMIF(Fonctionnement[Affectation matrice],$AB$3,Fonctionnement[Montant (€HT)])+SUMIF(Invest[Affectation matrice],$AB$3,Invest[Amortissement HT + intérêts]))*BH19</f>
        <v>0</v>
      </c>
      <c r="H19" s="276">
        <f>(SUMIF(Fonctionnement[Affectation matrice],$AB$3,Fonctionnement[Montant (€HT)])+SUMIF(Invest[Affectation matrice],$AB$3,Invest[Amortissement HT + intérêts]))*BI19</f>
        <v>0</v>
      </c>
      <c r="I19" s="276">
        <f>(SUMIF(Fonctionnement[Affectation matrice],$AB$3,Fonctionnement[Montant (€HT)])+SUMIF(Invest[Affectation matrice],$AB$3,Invest[Amortissement HT + intérêts]))*BJ19</f>
        <v>0</v>
      </c>
      <c r="J19" s="276">
        <f>(SUMIF(Fonctionnement[Affectation matrice],$AB$3,Fonctionnement[Montant (€HT)])+SUMIF(Invest[Affectation matrice],$AB$3,Invest[Amortissement HT + intérêts]))*BK19</f>
        <v>0</v>
      </c>
      <c r="K19" s="276">
        <f>(SUMIF(Fonctionnement[Affectation matrice],$AB$3,Fonctionnement[Montant (€HT)])+SUMIF(Invest[Affectation matrice],$AB$3,Invest[Amortissement HT + intérêts]))*BL19</f>
        <v>0</v>
      </c>
      <c r="L19" s="276">
        <f>(SUMIF(Fonctionnement[Affectation matrice],$AB$3,Fonctionnement[Montant (€HT)])+SUMIF(Invest[Affectation matrice],$AB$3,Invest[Amortissement HT + intérêts]))*BM19</f>
        <v>0</v>
      </c>
      <c r="M19" s="276">
        <f>(SUMIF(Fonctionnement[Affectation matrice],$AB$3,Fonctionnement[Montant (€HT)])+SUMIF(Invest[Affectation matrice],$AB$3,Invest[Amortissement HT + intérêts]))*BN19</f>
        <v>0</v>
      </c>
      <c r="N19" s="276">
        <f>(SUMIF(Fonctionnement[Affectation matrice],$AB$3,Fonctionnement[Montant (€HT)])+SUMIF(Invest[Affectation matrice],$AB$3,Invest[Amortissement HT + intérêts]))*BO19</f>
        <v>0</v>
      </c>
      <c r="O19" s="276">
        <f>(SUMIF(Fonctionnement[Affectation matrice],$AB$3,Fonctionnement[Montant (€HT)])+SUMIF(Invest[Affectation matrice],$AB$3,Invest[Amortissement HT + intérêts]))*BP19</f>
        <v>0</v>
      </c>
      <c r="P19" s="276">
        <f>(SUMIF(Fonctionnement[Affectation matrice],$AB$3,Fonctionnement[Montant (€HT)])+SUMIF(Invest[Affectation matrice],$AB$3,Invest[Amortissement HT + intérêts]))*BQ19</f>
        <v>0</v>
      </c>
      <c r="Q19" s="276">
        <f>(SUMIF(Fonctionnement[Affectation matrice],$AB$3,Fonctionnement[Montant (€HT)])+SUMIF(Invest[Affectation matrice],$AB$3,Invest[Amortissement HT + intérêts]))*BR19</f>
        <v>0</v>
      </c>
      <c r="R19" s="276">
        <f>(SUMIF(Fonctionnement[Affectation matrice],$AB$3,Fonctionnement[Montant (€HT)])+SUMIF(Invest[Affectation matrice],$AB$3,Invest[Amortissement HT + intérêts]))*BS19</f>
        <v>0</v>
      </c>
      <c r="S19" s="276">
        <f>(SUMIF(Fonctionnement[Affectation matrice],$AB$3,Fonctionnement[Montant (€HT)])+SUMIF(Invest[Affectation matrice],$AB$3,Invest[Amortissement HT + intérêts]))*BT19</f>
        <v>0</v>
      </c>
      <c r="T19" s="276">
        <f>(SUMIF(Fonctionnement[Affectation matrice],$AB$3,Fonctionnement[Montant (€HT)])+SUMIF(Invest[Affectation matrice],$AB$3,Invest[Amortissement HT + intérêts]))*BU19</f>
        <v>0</v>
      </c>
      <c r="U19" s="276">
        <f>(SUMIF(Fonctionnement[Affectation matrice],$AB$3,Fonctionnement[Montant (€HT)])+SUMIF(Invest[Affectation matrice],$AB$3,Invest[Amortissement HT + intérêts]))*BV19</f>
        <v>0</v>
      </c>
      <c r="V19" s="276">
        <f>(SUMIF(Fonctionnement[Affectation matrice],$AB$3,Fonctionnement[Montant (€HT)])+SUMIF(Invest[Affectation matrice],$AB$3,Invest[Amortissement HT + intérêts]))*BW19</f>
        <v>0</v>
      </c>
      <c r="W19" s="276">
        <f>(SUMIF(Fonctionnement[Affectation matrice],$AB$3,Fonctionnement[Montant (€HT)])+SUMIF(Invest[Affectation matrice],$AB$3,Invest[Amortissement HT + intérêts]))*BX19</f>
        <v>0</v>
      </c>
      <c r="X19" s="276">
        <f>(SUMIF(Fonctionnement[Affectation matrice],$AB$3,Fonctionnement[Montant (€HT)])+SUMIF(Invest[Affectation matrice],$AB$3,Invest[Amortissement HT + intérêts]))*BY19</f>
        <v>0</v>
      </c>
      <c r="Y19" s="276">
        <f>(SUMIF(Fonctionnement[Affectation matrice],$AB$3,Fonctionnement[Montant (€HT)])+SUMIF(Invest[Affectation matrice],$AB$3,Invest[Amortissement HT + intérêts]))*BZ19</f>
        <v>0</v>
      </c>
      <c r="Z19" s="276">
        <f>(SUMIF(Fonctionnement[Affectation matrice],$AB$3,Fonctionnement[Montant (€HT)])+SUMIF(Invest[Affectation matrice],$AB$3,Invest[Amortissement HT + intérêts]))*CA19</f>
        <v>0</v>
      </c>
      <c r="AA19" s="199"/>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283">
        <f t="shared" si="4"/>
        <v>0</v>
      </c>
      <c r="BC19" s="61">
        <f t="shared" si="2"/>
        <v>0</v>
      </c>
      <c r="BD19" s="61">
        <f t="shared" si="2"/>
        <v>0</v>
      </c>
      <c r="BE19" s="61">
        <f t="shared" si="2"/>
        <v>0</v>
      </c>
      <c r="BF19" s="61">
        <f t="shared" si="2"/>
        <v>0</v>
      </c>
      <c r="BG19" s="61">
        <f t="shared" si="2"/>
        <v>0</v>
      </c>
      <c r="BH19" s="61">
        <f t="shared" si="2"/>
        <v>0</v>
      </c>
      <c r="BI19" s="61">
        <f t="shared" si="2"/>
        <v>0</v>
      </c>
      <c r="BJ19" s="61">
        <f t="shared" si="2"/>
        <v>0</v>
      </c>
      <c r="BK19" s="61">
        <f t="shared" si="2"/>
        <v>0</v>
      </c>
      <c r="BL19" s="61">
        <f t="shared" si="2"/>
        <v>0</v>
      </c>
      <c r="BM19" s="61">
        <f t="shared" si="2"/>
        <v>0</v>
      </c>
      <c r="BN19" s="61">
        <f t="shared" si="2"/>
        <v>0</v>
      </c>
      <c r="BO19" s="61">
        <f t="shared" si="2"/>
        <v>0</v>
      </c>
      <c r="BP19" s="61">
        <f t="shared" si="2"/>
        <v>0</v>
      </c>
      <c r="BQ19" s="61">
        <f t="shared" si="2"/>
        <v>0</v>
      </c>
      <c r="BR19" s="61">
        <f t="shared" si="2"/>
        <v>0</v>
      </c>
      <c r="BS19" s="61">
        <f t="shared" si="3"/>
        <v>0</v>
      </c>
      <c r="BT19" s="61">
        <f t="shared" si="3"/>
        <v>0</v>
      </c>
      <c r="BU19" s="61">
        <f t="shared" si="3"/>
        <v>0</v>
      </c>
      <c r="BV19" s="61">
        <f t="shared" si="3"/>
        <v>0</v>
      </c>
      <c r="BW19" s="61">
        <f t="shared" si="3"/>
        <v>0</v>
      </c>
      <c r="BX19" s="61">
        <f t="shared" si="3"/>
        <v>0</v>
      </c>
      <c r="BY19" s="61">
        <f t="shared" si="3"/>
        <v>0</v>
      </c>
      <c r="BZ19" s="61">
        <f t="shared" si="3"/>
        <v>0</v>
      </c>
      <c r="CA19" s="61">
        <f t="shared" si="3"/>
        <v>0</v>
      </c>
      <c r="CB19" s="61">
        <f t="shared" si="5"/>
        <v>0</v>
      </c>
      <c r="CD19" s="200">
        <f>(SUMIF(Fonctionnement[Affectation matrice],$AB$3,Fonctionnement[TVA acquittée])+SUMIF(Invest[Affectation matrice],$AB$3,Invest[TVA acquittée]))*BC19</f>
        <v>0</v>
      </c>
      <c r="CE19" s="200">
        <f>(SUMIF(Fonctionnement[Affectation matrice],$AB$3,Fonctionnement[TVA acquittée])+SUMIF(Invest[Affectation matrice],$AB$3,Invest[TVA acquittée]))*BD19</f>
        <v>0</v>
      </c>
      <c r="CF19" s="200">
        <f>(SUMIF(Fonctionnement[Affectation matrice],$AB$3,Fonctionnement[TVA acquittée])+SUMIF(Invest[Affectation matrice],$AB$3,Invest[TVA acquittée]))*BE19</f>
        <v>0</v>
      </c>
      <c r="CG19" s="200">
        <f>(SUMIF(Fonctionnement[Affectation matrice],$AB$3,Fonctionnement[TVA acquittée])+SUMIF(Invest[Affectation matrice],$AB$3,Invest[TVA acquittée]))*BF19</f>
        <v>0</v>
      </c>
      <c r="CH19" s="200">
        <f>(SUMIF(Fonctionnement[Affectation matrice],$AB$3,Fonctionnement[TVA acquittée])+SUMIF(Invest[Affectation matrice],$AB$3,Invest[TVA acquittée]))*BG19</f>
        <v>0</v>
      </c>
      <c r="CI19" s="200">
        <f>(SUMIF(Fonctionnement[Affectation matrice],$AB$3,Fonctionnement[TVA acquittée])+SUMIF(Invest[Affectation matrice],$AB$3,Invest[TVA acquittée]))*BH19</f>
        <v>0</v>
      </c>
      <c r="CJ19" s="200">
        <f>(SUMIF(Fonctionnement[Affectation matrice],$AB$3,Fonctionnement[TVA acquittée])+SUMIF(Invest[Affectation matrice],$AB$3,Invest[TVA acquittée]))*BI19</f>
        <v>0</v>
      </c>
      <c r="CK19" s="200">
        <f>(SUMIF(Fonctionnement[Affectation matrice],$AB$3,Fonctionnement[TVA acquittée])+SUMIF(Invest[Affectation matrice],$AB$3,Invest[TVA acquittée]))*BJ19</f>
        <v>0</v>
      </c>
      <c r="CL19" s="200">
        <f>(SUMIF(Fonctionnement[Affectation matrice],$AB$3,Fonctionnement[TVA acquittée])+SUMIF(Invest[Affectation matrice],$AB$3,Invest[TVA acquittée]))*BK19</f>
        <v>0</v>
      </c>
      <c r="CM19" s="200">
        <f>(SUMIF(Fonctionnement[Affectation matrice],$AB$3,Fonctionnement[TVA acquittée])+SUMIF(Invest[Affectation matrice],$AB$3,Invest[TVA acquittée]))*BL19</f>
        <v>0</v>
      </c>
      <c r="CN19" s="200">
        <f>(SUMIF(Fonctionnement[Affectation matrice],$AB$3,Fonctionnement[TVA acquittée])+SUMIF(Invest[Affectation matrice],$AB$3,Invest[TVA acquittée]))*BM19</f>
        <v>0</v>
      </c>
      <c r="CO19" s="200">
        <f>(SUMIF(Fonctionnement[Affectation matrice],$AB$3,Fonctionnement[TVA acquittée])+SUMIF(Invest[Affectation matrice],$AB$3,Invest[TVA acquittée]))*BN19</f>
        <v>0</v>
      </c>
      <c r="CP19" s="200">
        <f>(SUMIF(Fonctionnement[Affectation matrice],$AB$3,Fonctionnement[TVA acquittée])+SUMIF(Invest[Affectation matrice],$AB$3,Invest[TVA acquittée]))*BO19</f>
        <v>0</v>
      </c>
      <c r="CQ19" s="200">
        <f>(SUMIF(Fonctionnement[Affectation matrice],$AB$3,Fonctionnement[TVA acquittée])+SUMIF(Invest[Affectation matrice],$AB$3,Invest[TVA acquittée]))*BP19</f>
        <v>0</v>
      </c>
      <c r="CR19" s="200">
        <f>(SUMIF(Fonctionnement[Affectation matrice],$AB$3,Fonctionnement[TVA acquittée])+SUMIF(Invest[Affectation matrice],$AB$3,Invest[TVA acquittée]))*BQ19</f>
        <v>0</v>
      </c>
      <c r="CS19" s="200">
        <f>(SUMIF(Fonctionnement[Affectation matrice],$AB$3,Fonctionnement[TVA acquittée])+SUMIF(Invest[Affectation matrice],$AB$3,Invest[TVA acquittée]))*BR19</f>
        <v>0</v>
      </c>
      <c r="CT19" s="200">
        <f>(SUMIF(Fonctionnement[Affectation matrice],$AB$3,Fonctionnement[TVA acquittée])+SUMIF(Invest[Affectation matrice],$AB$3,Invest[TVA acquittée]))*BS19</f>
        <v>0</v>
      </c>
      <c r="CU19" s="200">
        <f>(SUMIF(Fonctionnement[Affectation matrice],$AB$3,Fonctionnement[TVA acquittée])+SUMIF(Invest[Affectation matrice],$AB$3,Invest[TVA acquittée]))*BT19</f>
        <v>0</v>
      </c>
      <c r="CV19" s="200">
        <f>(SUMIF(Fonctionnement[Affectation matrice],$AB$3,Fonctionnement[TVA acquittée])+SUMIF(Invest[Affectation matrice],$AB$3,Invest[TVA acquittée]))*BU19</f>
        <v>0</v>
      </c>
      <c r="CW19" s="200">
        <f>(SUMIF(Fonctionnement[Affectation matrice],$AB$3,Fonctionnement[TVA acquittée])+SUMIF(Invest[Affectation matrice],$AB$3,Invest[TVA acquittée]))*BV19</f>
        <v>0</v>
      </c>
      <c r="CX19" s="200">
        <f>(SUMIF(Fonctionnement[Affectation matrice],$AB$3,Fonctionnement[TVA acquittée])+SUMIF(Invest[Affectation matrice],$AB$3,Invest[TVA acquittée]))*BW19</f>
        <v>0</v>
      </c>
      <c r="CY19" s="200">
        <f>(SUMIF(Fonctionnement[Affectation matrice],$AB$3,Fonctionnement[TVA acquittée])+SUMIF(Invest[Affectation matrice],$AB$3,Invest[TVA acquittée]))*BX19</f>
        <v>0</v>
      </c>
      <c r="CZ19" s="200">
        <f>(SUMIF(Fonctionnement[Affectation matrice],$AB$3,Fonctionnement[TVA acquittée])+SUMIF(Invest[Affectation matrice],$AB$3,Invest[TVA acquittée]))*BY19</f>
        <v>0</v>
      </c>
      <c r="DA19" s="200">
        <f>(SUMIF(Fonctionnement[Affectation matrice],$AB$3,Fonctionnement[TVA acquittée])+SUMIF(Invest[Affectation matrice],$AB$3,Invest[TVA acquittée]))*BZ19</f>
        <v>0</v>
      </c>
      <c r="DB19" s="200">
        <f>(SUMIF(Fonctionnement[Affectation matrice],$AB$3,Fonctionnement[TVA acquittée])+SUMIF(Invest[Affectation matrice],$AB$3,Invest[TVA acquittée]))*CA19</f>
        <v>0</v>
      </c>
    </row>
    <row r="20" spans="1:106" ht="12.75" hidden="1" customHeight="1" x14ac:dyDescent="0.25">
      <c r="A20" s="42">
        <f>Matrice[[#This Row],[Ligne de la matrice]]</f>
        <v>0</v>
      </c>
      <c r="B20" s="276">
        <f>(SUMIF(Fonctionnement[Affectation matrice],$AB$3,Fonctionnement[Montant (€HT)])+SUMIF(Invest[Affectation matrice],$AB$3,Invest[Amortissement HT + intérêts]))*BC20</f>
        <v>0</v>
      </c>
      <c r="C20" s="276">
        <f>(SUMIF(Fonctionnement[Affectation matrice],$AB$3,Fonctionnement[Montant (€HT)])+SUMIF(Invest[Affectation matrice],$AB$3,Invest[Amortissement HT + intérêts]))*BD20</f>
        <v>0</v>
      </c>
      <c r="D20" s="276">
        <f>(SUMIF(Fonctionnement[Affectation matrice],$AB$3,Fonctionnement[Montant (€HT)])+SUMIF(Invest[Affectation matrice],$AB$3,Invest[Amortissement HT + intérêts]))*BE20</f>
        <v>0</v>
      </c>
      <c r="E20" s="276">
        <f>(SUMIF(Fonctionnement[Affectation matrice],$AB$3,Fonctionnement[Montant (€HT)])+SUMIF(Invest[Affectation matrice],$AB$3,Invest[Amortissement HT + intérêts]))*BF20</f>
        <v>0</v>
      </c>
      <c r="F20" s="276">
        <f>(SUMIF(Fonctionnement[Affectation matrice],$AB$3,Fonctionnement[Montant (€HT)])+SUMIF(Invest[Affectation matrice],$AB$3,Invest[Amortissement HT + intérêts]))*BG20</f>
        <v>0</v>
      </c>
      <c r="G20" s="276">
        <f>(SUMIF(Fonctionnement[Affectation matrice],$AB$3,Fonctionnement[Montant (€HT)])+SUMIF(Invest[Affectation matrice],$AB$3,Invest[Amortissement HT + intérêts]))*BH20</f>
        <v>0</v>
      </c>
      <c r="H20" s="276">
        <f>(SUMIF(Fonctionnement[Affectation matrice],$AB$3,Fonctionnement[Montant (€HT)])+SUMIF(Invest[Affectation matrice],$AB$3,Invest[Amortissement HT + intérêts]))*BI20</f>
        <v>0</v>
      </c>
      <c r="I20" s="276">
        <f>(SUMIF(Fonctionnement[Affectation matrice],$AB$3,Fonctionnement[Montant (€HT)])+SUMIF(Invest[Affectation matrice],$AB$3,Invest[Amortissement HT + intérêts]))*BJ20</f>
        <v>0</v>
      </c>
      <c r="J20" s="276">
        <f>(SUMIF(Fonctionnement[Affectation matrice],$AB$3,Fonctionnement[Montant (€HT)])+SUMIF(Invest[Affectation matrice],$AB$3,Invest[Amortissement HT + intérêts]))*BK20</f>
        <v>0</v>
      </c>
      <c r="K20" s="276">
        <f>(SUMIF(Fonctionnement[Affectation matrice],$AB$3,Fonctionnement[Montant (€HT)])+SUMIF(Invest[Affectation matrice],$AB$3,Invest[Amortissement HT + intérêts]))*BL20</f>
        <v>0</v>
      </c>
      <c r="L20" s="276">
        <f>(SUMIF(Fonctionnement[Affectation matrice],$AB$3,Fonctionnement[Montant (€HT)])+SUMIF(Invest[Affectation matrice],$AB$3,Invest[Amortissement HT + intérêts]))*BM20</f>
        <v>0</v>
      </c>
      <c r="M20" s="276">
        <f>(SUMIF(Fonctionnement[Affectation matrice],$AB$3,Fonctionnement[Montant (€HT)])+SUMIF(Invest[Affectation matrice],$AB$3,Invest[Amortissement HT + intérêts]))*BN20</f>
        <v>0</v>
      </c>
      <c r="N20" s="276">
        <f>(SUMIF(Fonctionnement[Affectation matrice],$AB$3,Fonctionnement[Montant (€HT)])+SUMIF(Invest[Affectation matrice],$AB$3,Invest[Amortissement HT + intérêts]))*BO20</f>
        <v>0</v>
      </c>
      <c r="O20" s="276">
        <f>(SUMIF(Fonctionnement[Affectation matrice],$AB$3,Fonctionnement[Montant (€HT)])+SUMIF(Invest[Affectation matrice],$AB$3,Invest[Amortissement HT + intérêts]))*BP20</f>
        <v>0</v>
      </c>
      <c r="P20" s="276">
        <f>(SUMIF(Fonctionnement[Affectation matrice],$AB$3,Fonctionnement[Montant (€HT)])+SUMIF(Invest[Affectation matrice],$AB$3,Invest[Amortissement HT + intérêts]))*BQ20</f>
        <v>0</v>
      </c>
      <c r="Q20" s="276">
        <f>(SUMIF(Fonctionnement[Affectation matrice],$AB$3,Fonctionnement[Montant (€HT)])+SUMIF(Invest[Affectation matrice],$AB$3,Invest[Amortissement HT + intérêts]))*BR20</f>
        <v>0</v>
      </c>
      <c r="R20" s="276">
        <f>(SUMIF(Fonctionnement[Affectation matrice],$AB$3,Fonctionnement[Montant (€HT)])+SUMIF(Invest[Affectation matrice],$AB$3,Invest[Amortissement HT + intérêts]))*BS20</f>
        <v>0</v>
      </c>
      <c r="S20" s="276">
        <f>(SUMIF(Fonctionnement[Affectation matrice],$AB$3,Fonctionnement[Montant (€HT)])+SUMIF(Invest[Affectation matrice],$AB$3,Invest[Amortissement HT + intérêts]))*BT20</f>
        <v>0</v>
      </c>
      <c r="T20" s="276">
        <f>(SUMIF(Fonctionnement[Affectation matrice],$AB$3,Fonctionnement[Montant (€HT)])+SUMIF(Invest[Affectation matrice],$AB$3,Invest[Amortissement HT + intérêts]))*BU20</f>
        <v>0</v>
      </c>
      <c r="U20" s="276">
        <f>(SUMIF(Fonctionnement[Affectation matrice],$AB$3,Fonctionnement[Montant (€HT)])+SUMIF(Invest[Affectation matrice],$AB$3,Invest[Amortissement HT + intérêts]))*BV20</f>
        <v>0</v>
      </c>
      <c r="V20" s="276">
        <f>(SUMIF(Fonctionnement[Affectation matrice],$AB$3,Fonctionnement[Montant (€HT)])+SUMIF(Invest[Affectation matrice],$AB$3,Invest[Amortissement HT + intérêts]))*BW20</f>
        <v>0</v>
      </c>
      <c r="W20" s="276">
        <f>(SUMIF(Fonctionnement[Affectation matrice],$AB$3,Fonctionnement[Montant (€HT)])+SUMIF(Invest[Affectation matrice],$AB$3,Invest[Amortissement HT + intérêts]))*BX20</f>
        <v>0</v>
      </c>
      <c r="X20" s="276">
        <f>(SUMIF(Fonctionnement[Affectation matrice],$AB$3,Fonctionnement[Montant (€HT)])+SUMIF(Invest[Affectation matrice],$AB$3,Invest[Amortissement HT + intérêts]))*BY20</f>
        <v>0</v>
      </c>
      <c r="Y20" s="276">
        <f>(SUMIF(Fonctionnement[Affectation matrice],$AB$3,Fonctionnement[Montant (€HT)])+SUMIF(Invest[Affectation matrice],$AB$3,Invest[Amortissement HT + intérêts]))*BZ20</f>
        <v>0</v>
      </c>
      <c r="Z20" s="276">
        <f>(SUMIF(Fonctionnement[Affectation matrice],$AB$3,Fonctionnement[Montant (€HT)])+SUMIF(Invest[Affectation matrice],$AB$3,Invest[Amortissement HT + intérêts]))*CA20</f>
        <v>0</v>
      </c>
      <c r="AA20" s="199"/>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283">
        <f t="shared" si="4"/>
        <v>0</v>
      </c>
      <c r="BC20" s="61">
        <f t="shared" si="2"/>
        <v>0</v>
      </c>
      <c r="BD20" s="61">
        <f t="shared" si="2"/>
        <v>0</v>
      </c>
      <c r="BE20" s="61">
        <f t="shared" si="2"/>
        <v>0</v>
      </c>
      <c r="BF20" s="61">
        <f t="shared" si="2"/>
        <v>0</v>
      </c>
      <c r="BG20" s="61">
        <f t="shared" si="2"/>
        <v>0</v>
      </c>
      <c r="BH20" s="61">
        <f t="shared" si="2"/>
        <v>0</v>
      </c>
      <c r="BI20" s="61">
        <f t="shared" si="2"/>
        <v>0</v>
      </c>
      <c r="BJ20" s="61">
        <f t="shared" si="2"/>
        <v>0</v>
      </c>
      <c r="BK20" s="61">
        <f t="shared" si="2"/>
        <v>0</v>
      </c>
      <c r="BL20" s="61">
        <f t="shared" si="2"/>
        <v>0</v>
      </c>
      <c r="BM20" s="61">
        <f t="shared" si="2"/>
        <v>0</v>
      </c>
      <c r="BN20" s="61">
        <f t="shared" si="2"/>
        <v>0</v>
      </c>
      <c r="BO20" s="61">
        <f t="shared" si="2"/>
        <v>0</v>
      </c>
      <c r="BP20" s="61">
        <f t="shared" si="2"/>
        <v>0</v>
      </c>
      <c r="BQ20" s="61">
        <f t="shared" si="2"/>
        <v>0</v>
      </c>
      <c r="BR20" s="61">
        <f t="shared" ref="BR20:BR22" si="6">IF($BA$53=0,0,AQ20/$BA$53)</f>
        <v>0</v>
      </c>
      <c r="BS20" s="61">
        <f t="shared" si="3"/>
        <v>0</v>
      </c>
      <c r="BT20" s="61">
        <f t="shared" si="3"/>
        <v>0</v>
      </c>
      <c r="BU20" s="61">
        <f t="shared" si="3"/>
        <v>0</v>
      </c>
      <c r="BV20" s="61">
        <f t="shared" si="3"/>
        <v>0</v>
      </c>
      <c r="BW20" s="61">
        <f t="shared" si="3"/>
        <v>0</v>
      </c>
      <c r="BX20" s="61">
        <f t="shared" si="3"/>
        <v>0</v>
      </c>
      <c r="BY20" s="61">
        <f t="shared" si="3"/>
        <v>0</v>
      </c>
      <c r="BZ20" s="61">
        <f t="shared" si="3"/>
        <v>0</v>
      </c>
      <c r="CA20" s="61">
        <f t="shared" si="3"/>
        <v>0</v>
      </c>
      <c r="CB20" s="61">
        <f t="shared" si="5"/>
        <v>0</v>
      </c>
      <c r="CD20" s="200">
        <f>(SUMIF(Fonctionnement[Affectation matrice],$AB$3,Fonctionnement[TVA acquittée])+SUMIF(Invest[Affectation matrice],$AB$3,Invest[TVA acquittée]))*BC20</f>
        <v>0</v>
      </c>
      <c r="CE20" s="200">
        <f>(SUMIF(Fonctionnement[Affectation matrice],$AB$3,Fonctionnement[TVA acquittée])+SUMIF(Invest[Affectation matrice],$AB$3,Invest[TVA acquittée]))*BD20</f>
        <v>0</v>
      </c>
      <c r="CF20" s="200">
        <f>(SUMIF(Fonctionnement[Affectation matrice],$AB$3,Fonctionnement[TVA acquittée])+SUMIF(Invest[Affectation matrice],$AB$3,Invest[TVA acquittée]))*BE20</f>
        <v>0</v>
      </c>
      <c r="CG20" s="200">
        <f>(SUMIF(Fonctionnement[Affectation matrice],$AB$3,Fonctionnement[TVA acquittée])+SUMIF(Invest[Affectation matrice],$AB$3,Invest[TVA acquittée]))*BF20</f>
        <v>0</v>
      </c>
      <c r="CH20" s="200">
        <f>(SUMIF(Fonctionnement[Affectation matrice],$AB$3,Fonctionnement[TVA acquittée])+SUMIF(Invest[Affectation matrice],$AB$3,Invest[TVA acquittée]))*BG20</f>
        <v>0</v>
      </c>
      <c r="CI20" s="200">
        <f>(SUMIF(Fonctionnement[Affectation matrice],$AB$3,Fonctionnement[TVA acquittée])+SUMIF(Invest[Affectation matrice],$AB$3,Invest[TVA acquittée]))*BH20</f>
        <v>0</v>
      </c>
      <c r="CJ20" s="200">
        <f>(SUMIF(Fonctionnement[Affectation matrice],$AB$3,Fonctionnement[TVA acquittée])+SUMIF(Invest[Affectation matrice],$AB$3,Invest[TVA acquittée]))*BI20</f>
        <v>0</v>
      </c>
      <c r="CK20" s="200">
        <f>(SUMIF(Fonctionnement[Affectation matrice],$AB$3,Fonctionnement[TVA acquittée])+SUMIF(Invest[Affectation matrice],$AB$3,Invest[TVA acquittée]))*BJ20</f>
        <v>0</v>
      </c>
      <c r="CL20" s="200">
        <f>(SUMIF(Fonctionnement[Affectation matrice],$AB$3,Fonctionnement[TVA acquittée])+SUMIF(Invest[Affectation matrice],$AB$3,Invest[TVA acquittée]))*BK20</f>
        <v>0</v>
      </c>
      <c r="CM20" s="200">
        <f>(SUMIF(Fonctionnement[Affectation matrice],$AB$3,Fonctionnement[TVA acquittée])+SUMIF(Invest[Affectation matrice],$AB$3,Invest[TVA acquittée]))*BL20</f>
        <v>0</v>
      </c>
      <c r="CN20" s="200">
        <f>(SUMIF(Fonctionnement[Affectation matrice],$AB$3,Fonctionnement[TVA acquittée])+SUMIF(Invest[Affectation matrice],$AB$3,Invest[TVA acquittée]))*BM20</f>
        <v>0</v>
      </c>
      <c r="CO20" s="200">
        <f>(SUMIF(Fonctionnement[Affectation matrice],$AB$3,Fonctionnement[TVA acquittée])+SUMIF(Invest[Affectation matrice],$AB$3,Invest[TVA acquittée]))*BN20</f>
        <v>0</v>
      </c>
      <c r="CP20" s="200">
        <f>(SUMIF(Fonctionnement[Affectation matrice],$AB$3,Fonctionnement[TVA acquittée])+SUMIF(Invest[Affectation matrice],$AB$3,Invest[TVA acquittée]))*BO20</f>
        <v>0</v>
      </c>
      <c r="CQ20" s="200">
        <f>(SUMIF(Fonctionnement[Affectation matrice],$AB$3,Fonctionnement[TVA acquittée])+SUMIF(Invest[Affectation matrice],$AB$3,Invest[TVA acquittée]))*BP20</f>
        <v>0</v>
      </c>
      <c r="CR20" s="200">
        <f>(SUMIF(Fonctionnement[Affectation matrice],$AB$3,Fonctionnement[TVA acquittée])+SUMIF(Invest[Affectation matrice],$AB$3,Invest[TVA acquittée]))*BQ20</f>
        <v>0</v>
      </c>
      <c r="CS20" s="200">
        <f>(SUMIF(Fonctionnement[Affectation matrice],$AB$3,Fonctionnement[TVA acquittée])+SUMIF(Invest[Affectation matrice],$AB$3,Invest[TVA acquittée]))*BR20</f>
        <v>0</v>
      </c>
      <c r="CT20" s="200">
        <f>(SUMIF(Fonctionnement[Affectation matrice],$AB$3,Fonctionnement[TVA acquittée])+SUMIF(Invest[Affectation matrice],$AB$3,Invest[TVA acquittée]))*BS20</f>
        <v>0</v>
      </c>
      <c r="CU20" s="200">
        <f>(SUMIF(Fonctionnement[Affectation matrice],$AB$3,Fonctionnement[TVA acquittée])+SUMIF(Invest[Affectation matrice],$AB$3,Invest[TVA acquittée]))*BT20</f>
        <v>0</v>
      </c>
      <c r="CV20" s="200">
        <f>(SUMIF(Fonctionnement[Affectation matrice],$AB$3,Fonctionnement[TVA acquittée])+SUMIF(Invest[Affectation matrice],$AB$3,Invest[TVA acquittée]))*BU20</f>
        <v>0</v>
      </c>
      <c r="CW20" s="200">
        <f>(SUMIF(Fonctionnement[Affectation matrice],$AB$3,Fonctionnement[TVA acquittée])+SUMIF(Invest[Affectation matrice],$AB$3,Invest[TVA acquittée]))*BV20</f>
        <v>0</v>
      </c>
      <c r="CX20" s="200">
        <f>(SUMIF(Fonctionnement[Affectation matrice],$AB$3,Fonctionnement[TVA acquittée])+SUMIF(Invest[Affectation matrice],$AB$3,Invest[TVA acquittée]))*BW20</f>
        <v>0</v>
      </c>
      <c r="CY20" s="200">
        <f>(SUMIF(Fonctionnement[Affectation matrice],$AB$3,Fonctionnement[TVA acquittée])+SUMIF(Invest[Affectation matrice],$AB$3,Invest[TVA acquittée]))*BX20</f>
        <v>0</v>
      </c>
      <c r="CZ20" s="200">
        <f>(SUMIF(Fonctionnement[Affectation matrice],$AB$3,Fonctionnement[TVA acquittée])+SUMIF(Invest[Affectation matrice],$AB$3,Invest[TVA acquittée]))*BY20</f>
        <v>0</v>
      </c>
      <c r="DA20" s="200">
        <f>(SUMIF(Fonctionnement[Affectation matrice],$AB$3,Fonctionnement[TVA acquittée])+SUMIF(Invest[Affectation matrice],$AB$3,Invest[TVA acquittée]))*BZ20</f>
        <v>0</v>
      </c>
      <c r="DB20" s="200">
        <f>(SUMIF(Fonctionnement[Affectation matrice],$AB$3,Fonctionnement[TVA acquittée])+SUMIF(Invest[Affectation matrice],$AB$3,Invest[TVA acquittée]))*CA20</f>
        <v>0</v>
      </c>
    </row>
    <row r="21" spans="1:106" s="22" customFormat="1" ht="12.75" hidden="1" customHeight="1" x14ac:dyDescent="0.25">
      <c r="A21" s="42">
        <f>Matrice[[#This Row],[Ligne de la matrice]]</f>
        <v>0</v>
      </c>
      <c r="B21" s="276">
        <f>(SUMIF(Fonctionnement[Affectation matrice],$AB$3,Fonctionnement[Montant (€HT)])+SUMIF(Invest[Affectation matrice],$AB$3,Invest[Amortissement HT + intérêts]))*BC21</f>
        <v>0</v>
      </c>
      <c r="C21" s="276">
        <f>(SUMIF(Fonctionnement[Affectation matrice],$AB$3,Fonctionnement[Montant (€HT)])+SUMIF(Invest[Affectation matrice],$AB$3,Invest[Amortissement HT + intérêts]))*BD21</f>
        <v>0</v>
      </c>
      <c r="D21" s="276">
        <f>(SUMIF(Fonctionnement[Affectation matrice],$AB$3,Fonctionnement[Montant (€HT)])+SUMIF(Invest[Affectation matrice],$AB$3,Invest[Amortissement HT + intérêts]))*BE21</f>
        <v>0</v>
      </c>
      <c r="E21" s="276">
        <f>(SUMIF(Fonctionnement[Affectation matrice],$AB$3,Fonctionnement[Montant (€HT)])+SUMIF(Invest[Affectation matrice],$AB$3,Invest[Amortissement HT + intérêts]))*BF21</f>
        <v>0</v>
      </c>
      <c r="F21" s="276">
        <f>(SUMIF(Fonctionnement[Affectation matrice],$AB$3,Fonctionnement[Montant (€HT)])+SUMIF(Invest[Affectation matrice],$AB$3,Invest[Amortissement HT + intérêts]))*BG21</f>
        <v>0</v>
      </c>
      <c r="G21" s="276">
        <f>(SUMIF(Fonctionnement[Affectation matrice],$AB$3,Fonctionnement[Montant (€HT)])+SUMIF(Invest[Affectation matrice],$AB$3,Invest[Amortissement HT + intérêts]))*BH21</f>
        <v>0</v>
      </c>
      <c r="H21" s="276">
        <f>(SUMIF(Fonctionnement[Affectation matrice],$AB$3,Fonctionnement[Montant (€HT)])+SUMIF(Invest[Affectation matrice],$AB$3,Invest[Amortissement HT + intérêts]))*BI21</f>
        <v>0</v>
      </c>
      <c r="I21" s="276">
        <f>(SUMIF(Fonctionnement[Affectation matrice],$AB$3,Fonctionnement[Montant (€HT)])+SUMIF(Invest[Affectation matrice],$AB$3,Invest[Amortissement HT + intérêts]))*BJ21</f>
        <v>0</v>
      </c>
      <c r="J21" s="276">
        <f>(SUMIF(Fonctionnement[Affectation matrice],$AB$3,Fonctionnement[Montant (€HT)])+SUMIF(Invest[Affectation matrice],$AB$3,Invest[Amortissement HT + intérêts]))*BK21</f>
        <v>0</v>
      </c>
      <c r="K21" s="276">
        <f>(SUMIF(Fonctionnement[Affectation matrice],$AB$3,Fonctionnement[Montant (€HT)])+SUMIF(Invest[Affectation matrice],$AB$3,Invest[Amortissement HT + intérêts]))*BL21</f>
        <v>0</v>
      </c>
      <c r="L21" s="276">
        <f>(SUMIF(Fonctionnement[Affectation matrice],$AB$3,Fonctionnement[Montant (€HT)])+SUMIF(Invest[Affectation matrice],$AB$3,Invest[Amortissement HT + intérêts]))*BM21</f>
        <v>0</v>
      </c>
      <c r="M21" s="276">
        <f>(SUMIF(Fonctionnement[Affectation matrice],$AB$3,Fonctionnement[Montant (€HT)])+SUMIF(Invest[Affectation matrice],$AB$3,Invest[Amortissement HT + intérêts]))*BN21</f>
        <v>0</v>
      </c>
      <c r="N21" s="276">
        <f>(SUMIF(Fonctionnement[Affectation matrice],$AB$3,Fonctionnement[Montant (€HT)])+SUMIF(Invest[Affectation matrice],$AB$3,Invest[Amortissement HT + intérêts]))*BO21</f>
        <v>0</v>
      </c>
      <c r="O21" s="276">
        <f>(SUMIF(Fonctionnement[Affectation matrice],$AB$3,Fonctionnement[Montant (€HT)])+SUMIF(Invest[Affectation matrice],$AB$3,Invest[Amortissement HT + intérêts]))*BP21</f>
        <v>0</v>
      </c>
      <c r="P21" s="276">
        <f>(SUMIF(Fonctionnement[Affectation matrice],$AB$3,Fonctionnement[Montant (€HT)])+SUMIF(Invest[Affectation matrice],$AB$3,Invest[Amortissement HT + intérêts]))*BQ21</f>
        <v>0</v>
      </c>
      <c r="Q21" s="276">
        <f>(SUMIF(Fonctionnement[Affectation matrice],$AB$3,Fonctionnement[Montant (€HT)])+SUMIF(Invest[Affectation matrice],$AB$3,Invest[Amortissement HT + intérêts]))*BR21</f>
        <v>0</v>
      </c>
      <c r="R21" s="276">
        <f>(SUMIF(Fonctionnement[Affectation matrice],$AB$3,Fonctionnement[Montant (€HT)])+SUMIF(Invest[Affectation matrice],$AB$3,Invest[Amortissement HT + intérêts]))*BS21</f>
        <v>0</v>
      </c>
      <c r="S21" s="276">
        <f>(SUMIF(Fonctionnement[Affectation matrice],$AB$3,Fonctionnement[Montant (€HT)])+SUMIF(Invest[Affectation matrice],$AB$3,Invest[Amortissement HT + intérêts]))*BT21</f>
        <v>0</v>
      </c>
      <c r="T21" s="276">
        <f>(SUMIF(Fonctionnement[Affectation matrice],$AB$3,Fonctionnement[Montant (€HT)])+SUMIF(Invest[Affectation matrice],$AB$3,Invest[Amortissement HT + intérêts]))*BU21</f>
        <v>0</v>
      </c>
      <c r="U21" s="276">
        <f>(SUMIF(Fonctionnement[Affectation matrice],$AB$3,Fonctionnement[Montant (€HT)])+SUMIF(Invest[Affectation matrice],$AB$3,Invest[Amortissement HT + intérêts]))*BV21</f>
        <v>0</v>
      </c>
      <c r="V21" s="276">
        <f>(SUMIF(Fonctionnement[Affectation matrice],$AB$3,Fonctionnement[Montant (€HT)])+SUMIF(Invest[Affectation matrice],$AB$3,Invest[Amortissement HT + intérêts]))*BW21</f>
        <v>0</v>
      </c>
      <c r="W21" s="276">
        <f>(SUMIF(Fonctionnement[Affectation matrice],$AB$3,Fonctionnement[Montant (€HT)])+SUMIF(Invest[Affectation matrice],$AB$3,Invest[Amortissement HT + intérêts]))*BX21</f>
        <v>0</v>
      </c>
      <c r="X21" s="276">
        <f>(SUMIF(Fonctionnement[Affectation matrice],$AB$3,Fonctionnement[Montant (€HT)])+SUMIF(Invest[Affectation matrice],$AB$3,Invest[Amortissement HT + intérêts]))*BY21</f>
        <v>0</v>
      </c>
      <c r="Y21" s="276">
        <f>(SUMIF(Fonctionnement[Affectation matrice],$AB$3,Fonctionnement[Montant (€HT)])+SUMIF(Invest[Affectation matrice],$AB$3,Invest[Amortissement HT + intérêts]))*BZ21</f>
        <v>0</v>
      </c>
      <c r="Z21" s="276">
        <f>(SUMIF(Fonctionnement[Affectation matrice],$AB$3,Fonctionnement[Montant (€HT)])+SUMIF(Invest[Affectation matrice],$AB$3,Invest[Amortissement HT + intérêts]))*CA21</f>
        <v>0</v>
      </c>
      <c r="AA21" s="199"/>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283">
        <f t="shared" si="4"/>
        <v>0</v>
      </c>
      <c r="BB21" s="7"/>
      <c r="BC21" s="61">
        <f t="shared" ref="BC21:BQ22" si="7">IF($BA$53=0,0,AB21/$BA$53)</f>
        <v>0</v>
      </c>
      <c r="BD21" s="61">
        <f t="shared" si="7"/>
        <v>0</v>
      </c>
      <c r="BE21" s="61">
        <f t="shared" si="7"/>
        <v>0</v>
      </c>
      <c r="BF21" s="61">
        <f t="shared" si="7"/>
        <v>0</v>
      </c>
      <c r="BG21" s="61">
        <f t="shared" si="7"/>
        <v>0</v>
      </c>
      <c r="BH21" s="61">
        <f t="shared" si="7"/>
        <v>0</v>
      </c>
      <c r="BI21" s="61">
        <f t="shared" si="7"/>
        <v>0</v>
      </c>
      <c r="BJ21" s="61">
        <f t="shared" si="7"/>
        <v>0</v>
      </c>
      <c r="BK21" s="61">
        <f t="shared" si="7"/>
        <v>0</v>
      </c>
      <c r="BL21" s="61">
        <f t="shared" si="7"/>
        <v>0</v>
      </c>
      <c r="BM21" s="61">
        <f t="shared" si="7"/>
        <v>0</v>
      </c>
      <c r="BN21" s="61">
        <f t="shared" si="7"/>
        <v>0</v>
      </c>
      <c r="BO21" s="61">
        <f t="shared" si="7"/>
        <v>0</v>
      </c>
      <c r="BP21" s="61">
        <f t="shared" si="7"/>
        <v>0</v>
      </c>
      <c r="BQ21" s="61">
        <f t="shared" si="7"/>
        <v>0</v>
      </c>
      <c r="BR21" s="61">
        <f t="shared" si="6"/>
        <v>0</v>
      </c>
      <c r="BS21" s="61">
        <f t="shared" si="3"/>
        <v>0</v>
      </c>
      <c r="BT21" s="61">
        <f t="shared" si="3"/>
        <v>0</v>
      </c>
      <c r="BU21" s="61">
        <f t="shared" si="3"/>
        <v>0</v>
      </c>
      <c r="BV21" s="61">
        <f t="shared" si="3"/>
        <v>0</v>
      </c>
      <c r="BW21" s="61">
        <f t="shared" si="3"/>
        <v>0</v>
      </c>
      <c r="BX21" s="61">
        <f t="shared" si="3"/>
        <v>0</v>
      </c>
      <c r="BY21" s="61">
        <f t="shared" si="3"/>
        <v>0</v>
      </c>
      <c r="BZ21" s="61">
        <f t="shared" si="3"/>
        <v>0</v>
      </c>
      <c r="CA21" s="61">
        <f t="shared" si="3"/>
        <v>0</v>
      </c>
      <c r="CB21" s="61">
        <f t="shared" si="5"/>
        <v>0</v>
      </c>
      <c r="CD21" s="200">
        <f>(SUMIF(Fonctionnement[Affectation matrice],$AB$3,Fonctionnement[TVA acquittée])+SUMIF(Invest[Affectation matrice],$AB$3,Invest[TVA acquittée]))*BC21</f>
        <v>0</v>
      </c>
      <c r="CE21" s="200">
        <f>(SUMIF(Fonctionnement[Affectation matrice],$AB$3,Fonctionnement[TVA acquittée])+SUMIF(Invest[Affectation matrice],$AB$3,Invest[TVA acquittée]))*BD21</f>
        <v>0</v>
      </c>
      <c r="CF21" s="200">
        <f>(SUMIF(Fonctionnement[Affectation matrice],$AB$3,Fonctionnement[TVA acquittée])+SUMIF(Invest[Affectation matrice],$AB$3,Invest[TVA acquittée]))*BE21</f>
        <v>0</v>
      </c>
      <c r="CG21" s="200">
        <f>(SUMIF(Fonctionnement[Affectation matrice],$AB$3,Fonctionnement[TVA acquittée])+SUMIF(Invest[Affectation matrice],$AB$3,Invest[TVA acquittée]))*BF21</f>
        <v>0</v>
      </c>
      <c r="CH21" s="200">
        <f>(SUMIF(Fonctionnement[Affectation matrice],$AB$3,Fonctionnement[TVA acquittée])+SUMIF(Invest[Affectation matrice],$AB$3,Invest[TVA acquittée]))*BG21</f>
        <v>0</v>
      </c>
      <c r="CI21" s="200">
        <f>(SUMIF(Fonctionnement[Affectation matrice],$AB$3,Fonctionnement[TVA acquittée])+SUMIF(Invest[Affectation matrice],$AB$3,Invest[TVA acquittée]))*BH21</f>
        <v>0</v>
      </c>
      <c r="CJ21" s="200">
        <f>(SUMIF(Fonctionnement[Affectation matrice],$AB$3,Fonctionnement[TVA acquittée])+SUMIF(Invest[Affectation matrice],$AB$3,Invest[TVA acquittée]))*BI21</f>
        <v>0</v>
      </c>
      <c r="CK21" s="200">
        <f>(SUMIF(Fonctionnement[Affectation matrice],$AB$3,Fonctionnement[TVA acquittée])+SUMIF(Invest[Affectation matrice],$AB$3,Invest[TVA acquittée]))*BJ21</f>
        <v>0</v>
      </c>
      <c r="CL21" s="200">
        <f>(SUMIF(Fonctionnement[Affectation matrice],$AB$3,Fonctionnement[TVA acquittée])+SUMIF(Invest[Affectation matrice],$AB$3,Invest[TVA acquittée]))*BK21</f>
        <v>0</v>
      </c>
      <c r="CM21" s="200">
        <f>(SUMIF(Fonctionnement[Affectation matrice],$AB$3,Fonctionnement[TVA acquittée])+SUMIF(Invest[Affectation matrice],$AB$3,Invest[TVA acquittée]))*BL21</f>
        <v>0</v>
      </c>
      <c r="CN21" s="200">
        <f>(SUMIF(Fonctionnement[Affectation matrice],$AB$3,Fonctionnement[TVA acquittée])+SUMIF(Invest[Affectation matrice],$AB$3,Invest[TVA acquittée]))*BM21</f>
        <v>0</v>
      </c>
      <c r="CO21" s="200">
        <f>(SUMIF(Fonctionnement[Affectation matrice],$AB$3,Fonctionnement[TVA acquittée])+SUMIF(Invest[Affectation matrice],$AB$3,Invest[TVA acquittée]))*BN21</f>
        <v>0</v>
      </c>
      <c r="CP21" s="200">
        <f>(SUMIF(Fonctionnement[Affectation matrice],$AB$3,Fonctionnement[TVA acquittée])+SUMIF(Invest[Affectation matrice],$AB$3,Invest[TVA acquittée]))*BO21</f>
        <v>0</v>
      </c>
      <c r="CQ21" s="200">
        <f>(SUMIF(Fonctionnement[Affectation matrice],$AB$3,Fonctionnement[TVA acquittée])+SUMIF(Invest[Affectation matrice],$AB$3,Invest[TVA acquittée]))*BP21</f>
        <v>0</v>
      </c>
      <c r="CR21" s="200">
        <f>(SUMIF(Fonctionnement[Affectation matrice],$AB$3,Fonctionnement[TVA acquittée])+SUMIF(Invest[Affectation matrice],$AB$3,Invest[TVA acquittée]))*BQ21</f>
        <v>0</v>
      </c>
      <c r="CS21" s="200">
        <f>(SUMIF(Fonctionnement[Affectation matrice],$AB$3,Fonctionnement[TVA acquittée])+SUMIF(Invest[Affectation matrice],$AB$3,Invest[TVA acquittée]))*BR21</f>
        <v>0</v>
      </c>
      <c r="CT21" s="200">
        <f>(SUMIF(Fonctionnement[Affectation matrice],$AB$3,Fonctionnement[TVA acquittée])+SUMIF(Invest[Affectation matrice],$AB$3,Invest[TVA acquittée]))*BS21</f>
        <v>0</v>
      </c>
      <c r="CU21" s="200">
        <f>(SUMIF(Fonctionnement[Affectation matrice],$AB$3,Fonctionnement[TVA acquittée])+SUMIF(Invest[Affectation matrice],$AB$3,Invest[TVA acquittée]))*BT21</f>
        <v>0</v>
      </c>
      <c r="CV21" s="200">
        <f>(SUMIF(Fonctionnement[Affectation matrice],$AB$3,Fonctionnement[TVA acquittée])+SUMIF(Invest[Affectation matrice],$AB$3,Invest[TVA acquittée]))*BU21</f>
        <v>0</v>
      </c>
      <c r="CW21" s="200">
        <f>(SUMIF(Fonctionnement[Affectation matrice],$AB$3,Fonctionnement[TVA acquittée])+SUMIF(Invest[Affectation matrice],$AB$3,Invest[TVA acquittée]))*BV21</f>
        <v>0</v>
      </c>
      <c r="CX21" s="200">
        <f>(SUMIF(Fonctionnement[Affectation matrice],$AB$3,Fonctionnement[TVA acquittée])+SUMIF(Invest[Affectation matrice],$AB$3,Invest[TVA acquittée]))*BW21</f>
        <v>0</v>
      </c>
      <c r="CY21" s="200">
        <f>(SUMIF(Fonctionnement[Affectation matrice],$AB$3,Fonctionnement[TVA acquittée])+SUMIF(Invest[Affectation matrice],$AB$3,Invest[TVA acquittée]))*BX21</f>
        <v>0</v>
      </c>
      <c r="CZ21" s="200">
        <f>(SUMIF(Fonctionnement[Affectation matrice],$AB$3,Fonctionnement[TVA acquittée])+SUMIF(Invest[Affectation matrice],$AB$3,Invest[TVA acquittée]))*BY21</f>
        <v>0</v>
      </c>
      <c r="DA21" s="200">
        <f>(SUMIF(Fonctionnement[Affectation matrice],$AB$3,Fonctionnement[TVA acquittée])+SUMIF(Invest[Affectation matrice],$AB$3,Invest[TVA acquittée]))*BZ21</f>
        <v>0</v>
      </c>
      <c r="DB21" s="200">
        <f>(SUMIF(Fonctionnement[Affectation matrice],$AB$3,Fonctionnement[TVA acquittée])+SUMIF(Invest[Affectation matrice],$AB$3,Invest[TVA acquittée]))*CA21</f>
        <v>0</v>
      </c>
    </row>
    <row r="22" spans="1:106" s="22" customFormat="1" ht="12.75" hidden="1" customHeight="1" x14ac:dyDescent="0.25">
      <c r="A22" s="42">
        <f>Matrice[[#This Row],[Ligne de la matrice]]</f>
        <v>0</v>
      </c>
      <c r="B22" s="276">
        <f>(SUMIF(Fonctionnement[Affectation matrice],$AB$3,Fonctionnement[Montant (€HT)])+SUMIF(Invest[Affectation matrice],$AB$3,Invest[Amortissement HT + intérêts]))*BC22</f>
        <v>0</v>
      </c>
      <c r="C22" s="276">
        <f>(SUMIF(Fonctionnement[Affectation matrice],$AB$3,Fonctionnement[Montant (€HT)])+SUMIF(Invest[Affectation matrice],$AB$3,Invest[Amortissement HT + intérêts]))*BD22</f>
        <v>0</v>
      </c>
      <c r="D22" s="276">
        <f>(SUMIF(Fonctionnement[Affectation matrice],$AB$3,Fonctionnement[Montant (€HT)])+SUMIF(Invest[Affectation matrice],$AB$3,Invest[Amortissement HT + intérêts]))*BE22</f>
        <v>0</v>
      </c>
      <c r="E22" s="276">
        <f>(SUMIF(Fonctionnement[Affectation matrice],$AB$3,Fonctionnement[Montant (€HT)])+SUMIF(Invest[Affectation matrice],$AB$3,Invest[Amortissement HT + intérêts]))*BF22</f>
        <v>0</v>
      </c>
      <c r="F22" s="276">
        <f>(SUMIF(Fonctionnement[Affectation matrice],$AB$3,Fonctionnement[Montant (€HT)])+SUMIF(Invest[Affectation matrice],$AB$3,Invest[Amortissement HT + intérêts]))*BG22</f>
        <v>0</v>
      </c>
      <c r="G22" s="276">
        <f>(SUMIF(Fonctionnement[Affectation matrice],$AB$3,Fonctionnement[Montant (€HT)])+SUMIF(Invest[Affectation matrice],$AB$3,Invest[Amortissement HT + intérêts]))*BH22</f>
        <v>0</v>
      </c>
      <c r="H22" s="276">
        <f>(SUMIF(Fonctionnement[Affectation matrice],$AB$3,Fonctionnement[Montant (€HT)])+SUMIF(Invest[Affectation matrice],$AB$3,Invest[Amortissement HT + intérêts]))*BI22</f>
        <v>0</v>
      </c>
      <c r="I22" s="276">
        <f>(SUMIF(Fonctionnement[Affectation matrice],$AB$3,Fonctionnement[Montant (€HT)])+SUMIF(Invest[Affectation matrice],$AB$3,Invest[Amortissement HT + intérêts]))*BJ22</f>
        <v>0</v>
      </c>
      <c r="J22" s="276">
        <f>(SUMIF(Fonctionnement[Affectation matrice],$AB$3,Fonctionnement[Montant (€HT)])+SUMIF(Invest[Affectation matrice],$AB$3,Invest[Amortissement HT + intérêts]))*BK22</f>
        <v>0</v>
      </c>
      <c r="K22" s="276">
        <f>(SUMIF(Fonctionnement[Affectation matrice],$AB$3,Fonctionnement[Montant (€HT)])+SUMIF(Invest[Affectation matrice],$AB$3,Invest[Amortissement HT + intérêts]))*BL22</f>
        <v>0</v>
      </c>
      <c r="L22" s="276">
        <f>(SUMIF(Fonctionnement[Affectation matrice],$AB$3,Fonctionnement[Montant (€HT)])+SUMIF(Invest[Affectation matrice],$AB$3,Invest[Amortissement HT + intérêts]))*BM22</f>
        <v>0</v>
      </c>
      <c r="M22" s="276">
        <f>(SUMIF(Fonctionnement[Affectation matrice],$AB$3,Fonctionnement[Montant (€HT)])+SUMIF(Invest[Affectation matrice],$AB$3,Invest[Amortissement HT + intérêts]))*BN22</f>
        <v>0</v>
      </c>
      <c r="N22" s="276">
        <f>(SUMIF(Fonctionnement[Affectation matrice],$AB$3,Fonctionnement[Montant (€HT)])+SUMIF(Invest[Affectation matrice],$AB$3,Invest[Amortissement HT + intérêts]))*BO22</f>
        <v>0</v>
      </c>
      <c r="O22" s="276">
        <f>(SUMIF(Fonctionnement[Affectation matrice],$AB$3,Fonctionnement[Montant (€HT)])+SUMIF(Invest[Affectation matrice],$AB$3,Invest[Amortissement HT + intérêts]))*BP22</f>
        <v>0</v>
      </c>
      <c r="P22" s="276">
        <f>(SUMIF(Fonctionnement[Affectation matrice],$AB$3,Fonctionnement[Montant (€HT)])+SUMIF(Invest[Affectation matrice],$AB$3,Invest[Amortissement HT + intérêts]))*BQ22</f>
        <v>0</v>
      </c>
      <c r="Q22" s="276">
        <f>(SUMIF(Fonctionnement[Affectation matrice],$AB$3,Fonctionnement[Montant (€HT)])+SUMIF(Invest[Affectation matrice],$AB$3,Invest[Amortissement HT + intérêts]))*BR22</f>
        <v>0</v>
      </c>
      <c r="R22" s="276">
        <f>(SUMIF(Fonctionnement[Affectation matrice],$AB$3,Fonctionnement[Montant (€HT)])+SUMIF(Invest[Affectation matrice],$AB$3,Invest[Amortissement HT + intérêts]))*BS22</f>
        <v>0</v>
      </c>
      <c r="S22" s="276">
        <f>(SUMIF(Fonctionnement[Affectation matrice],$AB$3,Fonctionnement[Montant (€HT)])+SUMIF(Invest[Affectation matrice],$AB$3,Invest[Amortissement HT + intérêts]))*BT22</f>
        <v>0</v>
      </c>
      <c r="T22" s="276">
        <f>(SUMIF(Fonctionnement[Affectation matrice],$AB$3,Fonctionnement[Montant (€HT)])+SUMIF(Invest[Affectation matrice],$AB$3,Invest[Amortissement HT + intérêts]))*BU22</f>
        <v>0</v>
      </c>
      <c r="U22" s="276">
        <f>(SUMIF(Fonctionnement[Affectation matrice],$AB$3,Fonctionnement[Montant (€HT)])+SUMIF(Invest[Affectation matrice],$AB$3,Invest[Amortissement HT + intérêts]))*BV22</f>
        <v>0</v>
      </c>
      <c r="V22" s="276">
        <f>(SUMIF(Fonctionnement[Affectation matrice],$AB$3,Fonctionnement[Montant (€HT)])+SUMIF(Invest[Affectation matrice],$AB$3,Invest[Amortissement HT + intérêts]))*BW22</f>
        <v>0</v>
      </c>
      <c r="W22" s="276">
        <f>(SUMIF(Fonctionnement[Affectation matrice],$AB$3,Fonctionnement[Montant (€HT)])+SUMIF(Invest[Affectation matrice],$AB$3,Invest[Amortissement HT + intérêts]))*BX22</f>
        <v>0</v>
      </c>
      <c r="X22" s="276">
        <f>(SUMIF(Fonctionnement[Affectation matrice],$AB$3,Fonctionnement[Montant (€HT)])+SUMIF(Invest[Affectation matrice],$AB$3,Invest[Amortissement HT + intérêts]))*BY22</f>
        <v>0</v>
      </c>
      <c r="Y22" s="276">
        <f>(SUMIF(Fonctionnement[Affectation matrice],$AB$3,Fonctionnement[Montant (€HT)])+SUMIF(Invest[Affectation matrice],$AB$3,Invest[Amortissement HT + intérêts]))*BZ22</f>
        <v>0</v>
      </c>
      <c r="Z22" s="276">
        <f>(SUMIF(Fonctionnement[Affectation matrice],$AB$3,Fonctionnement[Montant (€HT)])+SUMIF(Invest[Affectation matrice],$AB$3,Invest[Amortissement HT + intérêts]))*CA22</f>
        <v>0</v>
      </c>
      <c r="AA22" s="199"/>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283">
        <f t="shared" si="4"/>
        <v>0</v>
      </c>
      <c r="BB22" s="7"/>
      <c r="BC22" s="61">
        <f t="shared" si="7"/>
        <v>0</v>
      </c>
      <c r="BD22" s="61">
        <f t="shared" si="7"/>
        <v>0</v>
      </c>
      <c r="BE22" s="61">
        <f t="shared" si="7"/>
        <v>0</v>
      </c>
      <c r="BF22" s="61">
        <f t="shared" si="7"/>
        <v>0</v>
      </c>
      <c r="BG22" s="61">
        <f t="shared" si="7"/>
        <v>0</v>
      </c>
      <c r="BH22" s="61">
        <f t="shared" si="7"/>
        <v>0</v>
      </c>
      <c r="BI22" s="61">
        <f t="shared" si="7"/>
        <v>0</v>
      </c>
      <c r="BJ22" s="61">
        <f t="shared" si="7"/>
        <v>0</v>
      </c>
      <c r="BK22" s="61">
        <f t="shared" si="7"/>
        <v>0</v>
      </c>
      <c r="BL22" s="61">
        <f t="shared" si="7"/>
        <v>0</v>
      </c>
      <c r="BM22" s="61">
        <f t="shared" si="7"/>
        <v>0</v>
      </c>
      <c r="BN22" s="61">
        <f t="shared" si="7"/>
        <v>0</v>
      </c>
      <c r="BO22" s="61">
        <f t="shared" si="7"/>
        <v>0</v>
      </c>
      <c r="BP22" s="61">
        <f t="shared" si="7"/>
        <v>0</v>
      </c>
      <c r="BQ22" s="61">
        <f t="shared" si="7"/>
        <v>0</v>
      </c>
      <c r="BR22" s="61">
        <f t="shared" si="6"/>
        <v>0</v>
      </c>
      <c r="BS22" s="61">
        <f t="shared" si="3"/>
        <v>0</v>
      </c>
      <c r="BT22" s="61">
        <f t="shared" si="3"/>
        <v>0</v>
      </c>
      <c r="BU22" s="61">
        <f t="shared" si="3"/>
        <v>0</v>
      </c>
      <c r="BV22" s="61">
        <f t="shared" si="3"/>
        <v>0</v>
      </c>
      <c r="BW22" s="61">
        <f t="shared" si="3"/>
        <v>0</v>
      </c>
      <c r="BX22" s="61">
        <f t="shared" si="3"/>
        <v>0</v>
      </c>
      <c r="BY22" s="61">
        <f t="shared" si="3"/>
        <v>0</v>
      </c>
      <c r="BZ22" s="61">
        <f t="shared" si="3"/>
        <v>0</v>
      </c>
      <c r="CA22" s="61">
        <f t="shared" si="3"/>
        <v>0</v>
      </c>
      <c r="CB22" s="61">
        <f t="shared" si="5"/>
        <v>0</v>
      </c>
      <c r="CD22" s="200">
        <f>(SUMIF(Fonctionnement[Affectation matrice],$AB$3,Fonctionnement[TVA acquittée])+SUMIF(Invest[Affectation matrice],$AB$3,Invest[TVA acquittée]))*BC22</f>
        <v>0</v>
      </c>
      <c r="CE22" s="200">
        <f>(SUMIF(Fonctionnement[Affectation matrice],$AB$3,Fonctionnement[TVA acquittée])+SUMIF(Invest[Affectation matrice],$AB$3,Invest[TVA acquittée]))*BD22</f>
        <v>0</v>
      </c>
      <c r="CF22" s="200">
        <f>(SUMIF(Fonctionnement[Affectation matrice],$AB$3,Fonctionnement[TVA acquittée])+SUMIF(Invest[Affectation matrice],$AB$3,Invest[TVA acquittée]))*BE22</f>
        <v>0</v>
      </c>
      <c r="CG22" s="200">
        <f>(SUMIF(Fonctionnement[Affectation matrice],$AB$3,Fonctionnement[TVA acquittée])+SUMIF(Invest[Affectation matrice],$AB$3,Invest[TVA acquittée]))*BF22</f>
        <v>0</v>
      </c>
      <c r="CH22" s="200">
        <f>(SUMIF(Fonctionnement[Affectation matrice],$AB$3,Fonctionnement[TVA acquittée])+SUMIF(Invest[Affectation matrice],$AB$3,Invest[TVA acquittée]))*BG22</f>
        <v>0</v>
      </c>
      <c r="CI22" s="200">
        <f>(SUMIF(Fonctionnement[Affectation matrice],$AB$3,Fonctionnement[TVA acquittée])+SUMIF(Invest[Affectation matrice],$AB$3,Invest[TVA acquittée]))*BH22</f>
        <v>0</v>
      </c>
      <c r="CJ22" s="200">
        <f>(SUMIF(Fonctionnement[Affectation matrice],$AB$3,Fonctionnement[TVA acquittée])+SUMIF(Invest[Affectation matrice],$AB$3,Invest[TVA acquittée]))*BI22</f>
        <v>0</v>
      </c>
      <c r="CK22" s="200">
        <f>(SUMIF(Fonctionnement[Affectation matrice],$AB$3,Fonctionnement[TVA acquittée])+SUMIF(Invest[Affectation matrice],$AB$3,Invest[TVA acquittée]))*BJ22</f>
        <v>0</v>
      </c>
      <c r="CL22" s="200">
        <f>(SUMIF(Fonctionnement[Affectation matrice],$AB$3,Fonctionnement[TVA acquittée])+SUMIF(Invest[Affectation matrice],$AB$3,Invest[TVA acquittée]))*BK22</f>
        <v>0</v>
      </c>
      <c r="CM22" s="200">
        <f>(SUMIF(Fonctionnement[Affectation matrice],$AB$3,Fonctionnement[TVA acquittée])+SUMIF(Invest[Affectation matrice],$AB$3,Invest[TVA acquittée]))*BL22</f>
        <v>0</v>
      </c>
      <c r="CN22" s="200">
        <f>(SUMIF(Fonctionnement[Affectation matrice],$AB$3,Fonctionnement[TVA acquittée])+SUMIF(Invest[Affectation matrice],$AB$3,Invest[TVA acquittée]))*BM22</f>
        <v>0</v>
      </c>
      <c r="CO22" s="200">
        <f>(SUMIF(Fonctionnement[Affectation matrice],$AB$3,Fonctionnement[TVA acquittée])+SUMIF(Invest[Affectation matrice],$AB$3,Invest[TVA acquittée]))*BN22</f>
        <v>0</v>
      </c>
      <c r="CP22" s="200">
        <f>(SUMIF(Fonctionnement[Affectation matrice],$AB$3,Fonctionnement[TVA acquittée])+SUMIF(Invest[Affectation matrice],$AB$3,Invest[TVA acquittée]))*BO22</f>
        <v>0</v>
      </c>
      <c r="CQ22" s="200">
        <f>(SUMIF(Fonctionnement[Affectation matrice],$AB$3,Fonctionnement[TVA acquittée])+SUMIF(Invest[Affectation matrice],$AB$3,Invest[TVA acquittée]))*BP22</f>
        <v>0</v>
      </c>
      <c r="CR22" s="200">
        <f>(SUMIF(Fonctionnement[Affectation matrice],$AB$3,Fonctionnement[TVA acquittée])+SUMIF(Invest[Affectation matrice],$AB$3,Invest[TVA acquittée]))*BQ22</f>
        <v>0</v>
      </c>
      <c r="CS22" s="200">
        <f>(SUMIF(Fonctionnement[Affectation matrice],$AB$3,Fonctionnement[TVA acquittée])+SUMIF(Invest[Affectation matrice],$AB$3,Invest[TVA acquittée]))*BR22</f>
        <v>0</v>
      </c>
      <c r="CT22" s="200">
        <f>(SUMIF(Fonctionnement[Affectation matrice],$AB$3,Fonctionnement[TVA acquittée])+SUMIF(Invest[Affectation matrice],$AB$3,Invest[TVA acquittée]))*BS22</f>
        <v>0</v>
      </c>
      <c r="CU22" s="200">
        <f>(SUMIF(Fonctionnement[Affectation matrice],$AB$3,Fonctionnement[TVA acquittée])+SUMIF(Invest[Affectation matrice],$AB$3,Invest[TVA acquittée]))*BT22</f>
        <v>0</v>
      </c>
      <c r="CV22" s="200">
        <f>(SUMIF(Fonctionnement[Affectation matrice],$AB$3,Fonctionnement[TVA acquittée])+SUMIF(Invest[Affectation matrice],$AB$3,Invest[TVA acquittée]))*BU22</f>
        <v>0</v>
      </c>
      <c r="CW22" s="200">
        <f>(SUMIF(Fonctionnement[Affectation matrice],$AB$3,Fonctionnement[TVA acquittée])+SUMIF(Invest[Affectation matrice],$AB$3,Invest[TVA acquittée]))*BV22</f>
        <v>0</v>
      </c>
      <c r="CX22" s="200">
        <f>(SUMIF(Fonctionnement[Affectation matrice],$AB$3,Fonctionnement[TVA acquittée])+SUMIF(Invest[Affectation matrice],$AB$3,Invest[TVA acquittée]))*BW22</f>
        <v>0</v>
      </c>
      <c r="CY22" s="200">
        <f>(SUMIF(Fonctionnement[Affectation matrice],$AB$3,Fonctionnement[TVA acquittée])+SUMIF(Invest[Affectation matrice],$AB$3,Invest[TVA acquittée]))*BX22</f>
        <v>0</v>
      </c>
      <c r="CZ22" s="200">
        <f>(SUMIF(Fonctionnement[Affectation matrice],$AB$3,Fonctionnement[TVA acquittée])+SUMIF(Invest[Affectation matrice],$AB$3,Invest[TVA acquittée]))*BY22</f>
        <v>0</v>
      </c>
      <c r="DA22" s="200">
        <f>(SUMIF(Fonctionnement[Affectation matrice],$AB$3,Fonctionnement[TVA acquittée])+SUMIF(Invest[Affectation matrice],$AB$3,Invest[TVA acquittée]))*BZ22</f>
        <v>0</v>
      </c>
      <c r="DB22" s="200">
        <f>(SUMIF(Fonctionnement[Affectation matrice],$AB$3,Fonctionnement[TVA acquittée])+SUMIF(Invest[Affectation matrice],$AB$3,Invest[TVA acquittée]))*CA22</f>
        <v>0</v>
      </c>
    </row>
    <row r="23" spans="1:106" s="205" customFormat="1" ht="12.75" hidden="1" customHeight="1" x14ac:dyDescent="0.25">
      <c r="A23" s="186"/>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02"/>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03"/>
      <c r="BB23" s="204"/>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row>
    <row r="24" spans="1:106" s="22" customFormat="1" ht="12.75" hidden="1" customHeight="1" x14ac:dyDescent="0.25">
      <c r="A24" s="42" t="str">
        <f>Matrice[[#This Row],[Ligne de la matrice]]</f>
        <v>Ventes de produits et d'énergie</v>
      </c>
      <c r="B24" s="276">
        <f>(SUMIF(Fonctionnement[Affectation matrice],$AB$3,Fonctionnement[Montant (€HT)])+SUMIF(Invest[Affectation matrice],$AB$3,Invest[Amortissement HT + intérêts]))*BC24</f>
        <v>0</v>
      </c>
      <c r="C24" s="276">
        <f>(SUMIF(Fonctionnement[Affectation matrice],$AB$3,Fonctionnement[Montant (€HT)])+SUMIF(Invest[Affectation matrice],$AB$3,Invest[Amortissement HT + intérêts]))*BD24</f>
        <v>0</v>
      </c>
      <c r="D24" s="276">
        <f>(SUMIF(Fonctionnement[Affectation matrice],$AB$3,Fonctionnement[Montant (€HT)])+SUMIF(Invest[Affectation matrice],$AB$3,Invest[Amortissement HT + intérêts]))*BE24</f>
        <v>0</v>
      </c>
      <c r="E24" s="276">
        <f>(SUMIF(Fonctionnement[Affectation matrice],$AB$3,Fonctionnement[Montant (€HT)])+SUMIF(Invest[Affectation matrice],$AB$3,Invest[Amortissement HT + intérêts]))*BF24</f>
        <v>0</v>
      </c>
      <c r="F24" s="276">
        <f>(SUMIF(Fonctionnement[Affectation matrice],$AB$3,Fonctionnement[Montant (€HT)])+SUMIF(Invest[Affectation matrice],$AB$3,Invest[Amortissement HT + intérêts]))*BG24</f>
        <v>0</v>
      </c>
      <c r="G24" s="276">
        <f>(SUMIF(Fonctionnement[Affectation matrice],$AB$3,Fonctionnement[Montant (€HT)])+SUMIF(Invest[Affectation matrice],$AB$3,Invest[Amortissement HT + intérêts]))*BH24</f>
        <v>0</v>
      </c>
      <c r="H24" s="276">
        <f>(SUMIF(Fonctionnement[Affectation matrice],$AB$3,Fonctionnement[Montant (€HT)])+SUMIF(Invest[Affectation matrice],$AB$3,Invest[Amortissement HT + intérêts]))*BI24</f>
        <v>0</v>
      </c>
      <c r="I24" s="276">
        <f>(SUMIF(Fonctionnement[Affectation matrice],$AB$3,Fonctionnement[Montant (€HT)])+SUMIF(Invest[Affectation matrice],$AB$3,Invest[Amortissement HT + intérêts]))*BJ24</f>
        <v>0</v>
      </c>
      <c r="J24" s="276">
        <f>(SUMIF(Fonctionnement[Affectation matrice],$AB$3,Fonctionnement[Montant (€HT)])+SUMIF(Invest[Affectation matrice],$AB$3,Invest[Amortissement HT + intérêts]))*BK24</f>
        <v>0</v>
      </c>
      <c r="K24" s="276">
        <f>(SUMIF(Fonctionnement[Affectation matrice],$AB$3,Fonctionnement[Montant (€HT)])+SUMIF(Invest[Affectation matrice],$AB$3,Invest[Amortissement HT + intérêts]))*BL24</f>
        <v>0</v>
      </c>
      <c r="L24" s="276">
        <f>(SUMIF(Fonctionnement[Affectation matrice],$AB$3,Fonctionnement[Montant (€HT)])+SUMIF(Invest[Affectation matrice],$AB$3,Invest[Amortissement HT + intérêts]))*BM24</f>
        <v>0</v>
      </c>
      <c r="M24" s="276">
        <f>(SUMIF(Fonctionnement[Affectation matrice],$AB$3,Fonctionnement[Montant (€HT)])+SUMIF(Invest[Affectation matrice],$AB$3,Invest[Amortissement HT + intérêts]))*BN24</f>
        <v>0</v>
      </c>
      <c r="N24" s="276">
        <f>(SUMIF(Fonctionnement[Affectation matrice],$AB$3,Fonctionnement[Montant (€HT)])+SUMIF(Invest[Affectation matrice],$AB$3,Invest[Amortissement HT + intérêts]))*BO24</f>
        <v>0</v>
      </c>
      <c r="O24" s="276">
        <f>(SUMIF(Fonctionnement[Affectation matrice],$AB$3,Fonctionnement[Montant (€HT)])+SUMIF(Invest[Affectation matrice],$AB$3,Invest[Amortissement HT + intérêts]))*BP24</f>
        <v>0</v>
      </c>
      <c r="P24" s="276">
        <f>(SUMIF(Fonctionnement[Affectation matrice],$AB$3,Fonctionnement[Montant (€HT)])+SUMIF(Invest[Affectation matrice],$AB$3,Invest[Amortissement HT + intérêts]))*BQ24</f>
        <v>0</v>
      </c>
      <c r="Q24" s="276">
        <f>(SUMIF(Fonctionnement[Affectation matrice],$AB$3,Fonctionnement[Montant (€HT)])+SUMIF(Invest[Affectation matrice],$AB$3,Invest[Amortissement HT + intérêts]))*BR24</f>
        <v>0</v>
      </c>
      <c r="R24" s="276">
        <f>(SUMIF(Fonctionnement[Affectation matrice],$AB$3,Fonctionnement[Montant (€HT)])+SUMIF(Invest[Affectation matrice],$AB$3,Invest[Amortissement HT + intérêts]))*BS24</f>
        <v>0</v>
      </c>
      <c r="S24" s="276">
        <f>(SUMIF(Fonctionnement[Affectation matrice],$AB$3,Fonctionnement[Montant (€HT)])+SUMIF(Invest[Affectation matrice],$AB$3,Invest[Amortissement HT + intérêts]))*BT24</f>
        <v>0</v>
      </c>
      <c r="T24" s="276">
        <f>(SUMIF(Fonctionnement[Affectation matrice],$AB$3,Fonctionnement[Montant (€HT)])+SUMIF(Invest[Affectation matrice],$AB$3,Invest[Amortissement HT + intérêts]))*BU24</f>
        <v>0</v>
      </c>
      <c r="U24" s="276">
        <f>(SUMIF(Fonctionnement[Affectation matrice],$AB$3,Fonctionnement[Montant (€HT)])+SUMIF(Invest[Affectation matrice],$AB$3,Invest[Amortissement HT + intérêts]))*BV24</f>
        <v>0</v>
      </c>
      <c r="V24" s="276">
        <f>(SUMIF(Fonctionnement[Affectation matrice],$AB$3,Fonctionnement[Montant (€HT)])+SUMIF(Invest[Affectation matrice],$AB$3,Invest[Amortissement HT + intérêts]))*BW24</f>
        <v>0</v>
      </c>
      <c r="W24" s="276">
        <f>(SUMIF(Fonctionnement[Affectation matrice],$AB$3,Fonctionnement[Montant (€HT)])+SUMIF(Invest[Affectation matrice],$AB$3,Invest[Amortissement HT + intérêts]))*BX24</f>
        <v>0</v>
      </c>
      <c r="X24" s="276">
        <f>(SUMIF(Fonctionnement[Affectation matrice],$AB$3,Fonctionnement[Montant (€HT)])+SUMIF(Invest[Affectation matrice],$AB$3,Invest[Amortissement HT + intérêts]))*BY24</f>
        <v>0</v>
      </c>
      <c r="Y24" s="276">
        <f>(SUMIF(Fonctionnement[Affectation matrice],$AB$3,Fonctionnement[Montant (€HT)])+SUMIF(Invest[Affectation matrice],$AB$3,Invest[Amortissement HT + intérêts]))*BZ24</f>
        <v>0</v>
      </c>
      <c r="Z24" s="276">
        <f>(SUMIF(Fonctionnement[Affectation matrice],$AB$3,Fonctionnement[Montant (€HT)])+SUMIF(Invest[Affectation matrice],$AB$3,Invest[Amortissement HT + intérêts]))*CA24</f>
        <v>0</v>
      </c>
      <c r="AA24" s="199"/>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283">
        <f t="shared" si="4"/>
        <v>0</v>
      </c>
      <c r="BB24" s="7"/>
      <c r="BC24" s="61">
        <f t="shared" ref="BC24:BR33" si="8">IF($BA$53=0,0,AB24/$BA$53)</f>
        <v>0</v>
      </c>
      <c r="BD24" s="61">
        <f t="shared" si="8"/>
        <v>0</v>
      </c>
      <c r="BE24" s="61">
        <f t="shared" si="8"/>
        <v>0</v>
      </c>
      <c r="BF24" s="61">
        <f t="shared" si="8"/>
        <v>0</v>
      </c>
      <c r="BG24" s="61">
        <f t="shared" si="8"/>
        <v>0</v>
      </c>
      <c r="BH24" s="61">
        <f t="shared" si="8"/>
        <v>0</v>
      </c>
      <c r="BI24" s="61">
        <f t="shared" si="8"/>
        <v>0</v>
      </c>
      <c r="BJ24" s="61">
        <f t="shared" si="8"/>
        <v>0</v>
      </c>
      <c r="BK24" s="61">
        <f t="shared" si="8"/>
        <v>0</v>
      </c>
      <c r="BL24" s="61">
        <f t="shared" si="8"/>
        <v>0</v>
      </c>
      <c r="BM24" s="61">
        <f t="shared" si="8"/>
        <v>0</v>
      </c>
      <c r="BN24" s="61">
        <f t="shared" si="8"/>
        <v>0</v>
      </c>
      <c r="BO24" s="61">
        <f t="shared" si="8"/>
        <v>0</v>
      </c>
      <c r="BP24" s="61">
        <f t="shared" si="8"/>
        <v>0</v>
      </c>
      <c r="BQ24" s="61">
        <f t="shared" si="8"/>
        <v>0</v>
      </c>
      <c r="BR24" s="61">
        <f t="shared" si="8"/>
        <v>0</v>
      </c>
      <c r="BS24" s="61">
        <f t="shared" ref="BS24:CA33" si="9">IF($BA$53=0,0,AR24/$BA$53)</f>
        <v>0</v>
      </c>
      <c r="BT24" s="61">
        <f t="shared" si="9"/>
        <v>0</v>
      </c>
      <c r="BU24" s="61">
        <f t="shared" si="9"/>
        <v>0</v>
      </c>
      <c r="BV24" s="61">
        <f t="shared" si="9"/>
        <v>0</v>
      </c>
      <c r="BW24" s="61">
        <f t="shared" si="9"/>
        <v>0</v>
      </c>
      <c r="BX24" s="61">
        <f t="shared" si="9"/>
        <v>0</v>
      </c>
      <c r="BY24" s="61">
        <f t="shared" si="9"/>
        <v>0</v>
      </c>
      <c r="BZ24" s="61">
        <f t="shared" si="9"/>
        <v>0</v>
      </c>
      <c r="CA24" s="61">
        <f t="shared" si="9"/>
        <v>0</v>
      </c>
      <c r="CB24" s="61">
        <f t="shared" si="5"/>
        <v>0</v>
      </c>
      <c r="CD24" s="200">
        <f>(SUMIF(Fonctionnement[Affectation matrice],$AB$3,Fonctionnement[TVA acquittée])+SUMIF(Invest[Affectation matrice],$AB$3,Invest[TVA acquittée]))*BC24</f>
        <v>0</v>
      </c>
      <c r="CE24" s="200">
        <f>(SUMIF(Fonctionnement[Affectation matrice],$AB$3,Fonctionnement[TVA acquittée])+SUMIF(Invest[Affectation matrice],$AB$3,Invest[TVA acquittée]))*BD24</f>
        <v>0</v>
      </c>
      <c r="CF24" s="200">
        <f>(SUMIF(Fonctionnement[Affectation matrice],$AB$3,Fonctionnement[TVA acquittée])+SUMIF(Invest[Affectation matrice],$AB$3,Invest[TVA acquittée]))*BE24</f>
        <v>0</v>
      </c>
      <c r="CG24" s="200">
        <f>(SUMIF(Fonctionnement[Affectation matrice],$AB$3,Fonctionnement[TVA acquittée])+SUMIF(Invest[Affectation matrice],$AB$3,Invest[TVA acquittée]))*BF24</f>
        <v>0</v>
      </c>
      <c r="CH24" s="200">
        <f>(SUMIF(Fonctionnement[Affectation matrice],$AB$3,Fonctionnement[TVA acquittée])+SUMIF(Invest[Affectation matrice],$AB$3,Invest[TVA acquittée]))*BG24</f>
        <v>0</v>
      </c>
      <c r="CI24" s="200">
        <f>(SUMIF(Fonctionnement[Affectation matrice],$AB$3,Fonctionnement[TVA acquittée])+SUMIF(Invest[Affectation matrice],$AB$3,Invest[TVA acquittée]))*BH24</f>
        <v>0</v>
      </c>
      <c r="CJ24" s="200">
        <f>(SUMIF(Fonctionnement[Affectation matrice],$AB$3,Fonctionnement[TVA acquittée])+SUMIF(Invest[Affectation matrice],$AB$3,Invest[TVA acquittée]))*BI24</f>
        <v>0</v>
      </c>
      <c r="CK24" s="200">
        <f>(SUMIF(Fonctionnement[Affectation matrice],$AB$3,Fonctionnement[TVA acquittée])+SUMIF(Invest[Affectation matrice],$AB$3,Invest[TVA acquittée]))*BJ24</f>
        <v>0</v>
      </c>
      <c r="CL24" s="200">
        <f>(SUMIF(Fonctionnement[Affectation matrice],$AB$3,Fonctionnement[TVA acquittée])+SUMIF(Invest[Affectation matrice],$AB$3,Invest[TVA acquittée]))*BK24</f>
        <v>0</v>
      </c>
      <c r="CM24" s="200">
        <f>(SUMIF(Fonctionnement[Affectation matrice],$AB$3,Fonctionnement[TVA acquittée])+SUMIF(Invest[Affectation matrice],$AB$3,Invest[TVA acquittée]))*BL24</f>
        <v>0</v>
      </c>
      <c r="CN24" s="200">
        <f>(SUMIF(Fonctionnement[Affectation matrice],$AB$3,Fonctionnement[TVA acquittée])+SUMIF(Invest[Affectation matrice],$AB$3,Invest[TVA acquittée]))*BM24</f>
        <v>0</v>
      </c>
      <c r="CO24" s="200">
        <f>(SUMIF(Fonctionnement[Affectation matrice],$AB$3,Fonctionnement[TVA acquittée])+SUMIF(Invest[Affectation matrice],$AB$3,Invest[TVA acquittée]))*BN24</f>
        <v>0</v>
      </c>
      <c r="CP24" s="200">
        <f>(SUMIF(Fonctionnement[Affectation matrice],$AB$3,Fonctionnement[TVA acquittée])+SUMIF(Invest[Affectation matrice],$AB$3,Invest[TVA acquittée]))*BO24</f>
        <v>0</v>
      </c>
      <c r="CQ24" s="200">
        <f>(SUMIF(Fonctionnement[Affectation matrice],$AB$3,Fonctionnement[TVA acquittée])+SUMIF(Invest[Affectation matrice],$AB$3,Invest[TVA acquittée]))*BP24</f>
        <v>0</v>
      </c>
      <c r="CR24" s="200">
        <f>(SUMIF(Fonctionnement[Affectation matrice],$AB$3,Fonctionnement[TVA acquittée])+SUMIF(Invest[Affectation matrice],$AB$3,Invest[TVA acquittée]))*BQ24</f>
        <v>0</v>
      </c>
      <c r="CS24" s="200">
        <f>(SUMIF(Fonctionnement[Affectation matrice],$AB$3,Fonctionnement[TVA acquittée])+SUMIF(Invest[Affectation matrice],$AB$3,Invest[TVA acquittée]))*BR24</f>
        <v>0</v>
      </c>
      <c r="CT24" s="200">
        <f>(SUMIF(Fonctionnement[Affectation matrice],$AB$3,Fonctionnement[TVA acquittée])+SUMIF(Invest[Affectation matrice],$AB$3,Invest[TVA acquittée]))*BS24</f>
        <v>0</v>
      </c>
      <c r="CU24" s="200">
        <f>(SUMIF(Fonctionnement[Affectation matrice],$AB$3,Fonctionnement[TVA acquittée])+SUMIF(Invest[Affectation matrice],$AB$3,Invest[TVA acquittée]))*BT24</f>
        <v>0</v>
      </c>
      <c r="CV24" s="200">
        <f>(SUMIF(Fonctionnement[Affectation matrice],$AB$3,Fonctionnement[TVA acquittée])+SUMIF(Invest[Affectation matrice],$AB$3,Invest[TVA acquittée]))*BU24</f>
        <v>0</v>
      </c>
      <c r="CW24" s="200">
        <f>(SUMIF(Fonctionnement[Affectation matrice],$AB$3,Fonctionnement[TVA acquittée])+SUMIF(Invest[Affectation matrice],$AB$3,Invest[TVA acquittée]))*BV24</f>
        <v>0</v>
      </c>
      <c r="CX24" s="200">
        <f>(SUMIF(Fonctionnement[Affectation matrice],$AB$3,Fonctionnement[TVA acquittée])+SUMIF(Invest[Affectation matrice],$AB$3,Invest[TVA acquittée]))*BW24</f>
        <v>0</v>
      </c>
      <c r="CY24" s="200">
        <f>(SUMIF(Fonctionnement[Affectation matrice],$AB$3,Fonctionnement[TVA acquittée])+SUMIF(Invest[Affectation matrice],$AB$3,Invest[TVA acquittée]))*BX24</f>
        <v>0</v>
      </c>
      <c r="CZ24" s="200">
        <f>(SUMIF(Fonctionnement[Affectation matrice],$AB$3,Fonctionnement[TVA acquittée])+SUMIF(Invest[Affectation matrice],$AB$3,Invest[TVA acquittée]))*BY24</f>
        <v>0</v>
      </c>
      <c r="DA24" s="200">
        <f>(SUMIF(Fonctionnement[Affectation matrice],$AB$3,Fonctionnement[TVA acquittée])+SUMIF(Invest[Affectation matrice],$AB$3,Invest[TVA acquittée]))*BZ24</f>
        <v>0</v>
      </c>
      <c r="DB24" s="200">
        <f>(SUMIF(Fonctionnement[Affectation matrice],$AB$3,Fonctionnement[TVA acquittée])+SUMIF(Invest[Affectation matrice],$AB$3,Invest[TVA acquittée]))*CA24</f>
        <v>0</v>
      </c>
    </row>
    <row r="25" spans="1:106" s="22" customFormat="1" ht="12.75" hidden="1" customHeight="1" x14ac:dyDescent="0.25">
      <c r="A25" s="42" t="str">
        <f>Matrice[[#This Row],[Ligne de la matrice]]</f>
        <v>Matériaux</v>
      </c>
      <c r="B25" s="276">
        <f>(SUMIF(Fonctionnement[Affectation matrice],$AB$3,Fonctionnement[Montant (€HT)])+SUMIF(Invest[Affectation matrice],$AB$3,Invest[Amortissement HT + intérêts]))*BC25</f>
        <v>0</v>
      </c>
      <c r="C25" s="276">
        <f>(SUMIF(Fonctionnement[Affectation matrice],$AB$3,Fonctionnement[Montant (€HT)])+SUMIF(Invest[Affectation matrice],$AB$3,Invest[Amortissement HT + intérêts]))*BD25</f>
        <v>0</v>
      </c>
      <c r="D25" s="276">
        <f>(SUMIF(Fonctionnement[Affectation matrice],$AB$3,Fonctionnement[Montant (€HT)])+SUMIF(Invest[Affectation matrice],$AB$3,Invest[Amortissement HT + intérêts]))*BE25</f>
        <v>0</v>
      </c>
      <c r="E25" s="276">
        <f>(SUMIF(Fonctionnement[Affectation matrice],$AB$3,Fonctionnement[Montant (€HT)])+SUMIF(Invest[Affectation matrice],$AB$3,Invest[Amortissement HT + intérêts]))*BF25</f>
        <v>0</v>
      </c>
      <c r="F25" s="276">
        <f>(SUMIF(Fonctionnement[Affectation matrice],$AB$3,Fonctionnement[Montant (€HT)])+SUMIF(Invest[Affectation matrice],$AB$3,Invest[Amortissement HT + intérêts]))*BG25</f>
        <v>0</v>
      </c>
      <c r="G25" s="276">
        <f>(SUMIF(Fonctionnement[Affectation matrice],$AB$3,Fonctionnement[Montant (€HT)])+SUMIF(Invest[Affectation matrice],$AB$3,Invest[Amortissement HT + intérêts]))*BH25</f>
        <v>0</v>
      </c>
      <c r="H25" s="276">
        <f>(SUMIF(Fonctionnement[Affectation matrice],$AB$3,Fonctionnement[Montant (€HT)])+SUMIF(Invest[Affectation matrice],$AB$3,Invest[Amortissement HT + intérêts]))*BI25</f>
        <v>0</v>
      </c>
      <c r="I25" s="276">
        <f>(SUMIF(Fonctionnement[Affectation matrice],$AB$3,Fonctionnement[Montant (€HT)])+SUMIF(Invest[Affectation matrice],$AB$3,Invest[Amortissement HT + intérêts]))*BJ25</f>
        <v>0</v>
      </c>
      <c r="J25" s="276">
        <f>(SUMIF(Fonctionnement[Affectation matrice],$AB$3,Fonctionnement[Montant (€HT)])+SUMIF(Invest[Affectation matrice],$AB$3,Invest[Amortissement HT + intérêts]))*BK25</f>
        <v>0</v>
      </c>
      <c r="K25" s="276">
        <f>(SUMIF(Fonctionnement[Affectation matrice],$AB$3,Fonctionnement[Montant (€HT)])+SUMIF(Invest[Affectation matrice],$AB$3,Invest[Amortissement HT + intérêts]))*BL25</f>
        <v>0</v>
      </c>
      <c r="L25" s="276">
        <f>(SUMIF(Fonctionnement[Affectation matrice],$AB$3,Fonctionnement[Montant (€HT)])+SUMIF(Invest[Affectation matrice],$AB$3,Invest[Amortissement HT + intérêts]))*BM25</f>
        <v>0</v>
      </c>
      <c r="M25" s="276">
        <f>(SUMIF(Fonctionnement[Affectation matrice],$AB$3,Fonctionnement[Montant (€HT)])+SUMIF(Invest[Affectation matrice],$AB$3,Invest[Amortissement HT + intérêts]))*BN25</f>
        <v>0</v>
      </c>
      <c r="N25" s="276">
        <f>(SUMIF(Fonctionnement[Affectation matrice],$AB$3,Fonctionnement[Montant (€HT)])+SUMIF(Invest[Affectation matrice],$AB$3,Invest[Amortissement HT + intérêts]))*BO25</f>
        <v>0</v>
      </c>
      <c r="O25" s="276">
        <f>(SUMIF(Fonctionnement[Affectation matrice],$AB$3,Fonctionnement[Montant (€HT)])+SUMIF(Invest[Affectation matrice],$AB$3,Invest[Amortissement HT + intérêts]))*BP25</f>
        <v>0</v>
      </c>
      <c r="P25" s="276">
        <f>(SUMIF(Fonctionnement[Affectation matrice],$AB$3,Fonctionnement[Montant (€HT)])+SUMIF(Invest[Affectation matrice],$AB$3,Invest[Amortissement HT + intérêts]))*BQ25</f>
        <v>0</v>
      </c>
      <c r="Q25" s="276">
        <f>(SUMIF(Fonctionnement[Affectation matrice],$AB$3,Fonctionnement[Montant (€HT)])+SUMIF(Invest[Affectation matrice],$AB$3,Invest[Amortissement HT + intérêts]))*BR25</f>
        <v>0</v>
      </c>
      <c r="R25" s="276">
        <f>(SUMIF(Fonctionnement[Affectation matrice],$AB$3,Fonctionnement[Montant (€HT)])+SUMIF(Invest[Affectation matrice],$AB$3,Invest[Amortissement HT + intérêts]))*BS25</f>
        <v>0</v>
      </c>
      <c r="S25" s="276">
        <f>(SUMIF(Fonctionnement[Affectation matrice],$AB$3,Fonctionnement[Montant (€HT)])+SUMIF(Invest[Affectation matrice],$AB$3,Invest[Amortissement HT + intérêts]))*BT25</f>
        <v>0</v>
      </c>
      <c r="T25" s="276">
        <f>(SUMIF(Fonctionnement[Affectation matrice],$AB$3,Fonctionnement[Montant (€HT)])+SUMIF(Invest[Affectation matrice],$AB$3,Invest[Amortissement HT + intérêts]))*BU25</f>
        <v>0</v>
      </c>
      <c r="U25" s="276">
        <f>(SUMIF(Fonctionnement[Affectation matrice],$AB$3,Fonctionnement[Montant (€HT)])+SUMIF(Invest[Affectation matrice],$AB$3,Invest[Amortissement HT + intérêts]))*BV25</f>
        <v>0</v>
      </c>
      <c r="V25" s="276">
        <f>(SUMIF(Fonctionnement[Affectation matrice],$AB$3,Fonctionnement[Montant (€HT)])+SUMIF(Invest[Affectation matrice],$AB$3,Invest[Amortissement HT + intérêts]))*BW25</f>
        <v>0</v>
      </c>
      <c r="W25" s="276">
        <f>(SUMIF(Fonctionnement[Affectation matrice],$AB$3,Fonctionnement[Montant (€HT)])+SUMIF(Invest[Affectation matrice],$AB$3,Invest[Amortissement HT + intérêts]))*BX25</f>
        <v>0</v>
      </c>
      <c r="X25" s="276">
        <f>(SUMIF(Fonctionnement[Affectation matrice],$AB$3,Fonctionnement[Montant (€HT)])+SUMIF(Invest[Affectation matrice],$AB$3,Invest[Amortissement HT + intérêts]))*BY25</f>
        <v>0</v>
      </c>
      <c r="Y25" s="276">
        <f>(SUMIF(Fonctionnement[Affectation matrice],$AB$3,Fonctionnement[Montant (€HT)])+SUMIF(Invest[Affectation matrice],$AB$3,Invest[Amortissement HT + intérêts]))*BZ25</f>
        <v>0</v>
      </c>
      <c r="Z25" s="276">
        <f>(SUMIF(Fonctionnement[Affectation matrice],$AB$3,Fonctionnement[Montant (€HT)])+SUMIF(Invest[Affectation matrice],$AB$3,Invest[Amortissement HT + intérêts]))*CA25</f>
        <v>0</v>
      </c>
      <c r="AA25" s="199"/>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283">
        <f t="shared" si="4"/>
        <v>0</v>
      </c>
      <c r="BB25" s="7"/>
      <c r="BC25" s="61">
        <f t="shared" si="8"/>
        <v>0</v>
      </c>
      <c r="BD25" s="61">
        <f t="shared" si="8"/>
        <v>0</v>
      </c>
      <c r="BE25" s="61">
        <f t="shared" si="8"/>
        <v>0</v>
      </c>
      <c r="BF25" s="61">
        <f t="shared" si="8"/>
        <v>0</v>
      </c>
      <c r="BG25" s="61">
        <f t="shared" si="8"/>
        <v>0</v>
      </c>
      <c r="BH25" s="61">
        <f t="shared" si="8"/>
        <v>0</v>
      </c>
      <c r="BI25" s="61">
        <f t="shared" si="8"/>
        <v>0</v>
      </c>
      <c r="BJ25" s="61">
        <f t="shared" si="8"/>
        <v>0</v>
      </c>
      <c r="BK25" s="61">
        <f t="shared" si="8"/>
        <v>0</v>
      </c>
      <c r="BL25" s="61">
        <f t="shared" si="8"/>
        <v>0</v>
      </c>
      <c r="BM25" s="61">
        <f t="shared" si="8"/>
        <v>0</v>
      </c>
      <c r="BN25" s="61">
        <f t="shared" si="8"/>
        <v>0</v>
      </c>
      <c r="BO25" s="61">
        <f t="shared" si="8"/>
        <v>0</v>
      </c>
      <c r="BP25" s="61">
        <f t="shared" si="8"/>
        <v>0</v>
      </c>
      <c r="BQ25" s="61">
        <f t="shared" si="8"/>
        <v>0</v>
      </c>
      <c r="BR25" s="61">
        <f t="shared" si="8"/>
        <v>0</v>
      </c>
      <c r="BS25" s="61">
        <f t="shared" si="9"/>
        <v>0</v>
      </c>
      <c r="BT25" s="61">
        <f t="shared" si="9"/>
        <v>0</v>
      </c>
      <c r="BU25" s="61">
        <f t="shared" si="9"/>
        <v>0</v>
      </c>
      <c r="BV25" s="61">
        <f t="shared" si="9"/>
        <v>0</v>
      </c>
      <c r="BW25" s="61">
        <f t="shared" si="9"/>
        <v>0</v>
      </c>
      <c r="BX25" s="61">
        <f t="shared" si="9"/>
        <v>0</v>
      </c>
      <c r="BY25" s="61">
        <f t="shared" si="9"/>
        <v>0</v>
      </c>
      <c r="BZ25" s="61">
        <f t="shared" si="9"/>
        <v>0</v>
      </c>
      <c r="CA25" s="61">
        <f t="shared" si="9"/>
        <v>0</v>
      </c>
      <c r="CB25" s="61">
        <f t="shared" si="5"/>
        <v>0</v>
      </c>
      <c r="CD25" s="200">
        <f>(SUMIF(Fonctionnement[Affectation matrice],$AB$3,Fonctionnement[TVA acquittée])+SUMIF(Invest[Affectation matrice],$AB$3,Invest[TVA acquittée]))*BC25</f>
        <v>0</v>
      </c>
      <c r="CE25" s="200">
        <f>(SUMIF(Fonctionnement[Affectation matrice],$AB$3,Fonctionnement[TVA acquittée])+SUMIF(Invest[Affectation matrice],$AB$3,Invest[TVA acquittée]))*BD25</f>
        <v>0</v>
      </c>
      <c r="CF25" s="200">
        <f>(SUMIF(Fonctionnement[Affectation matrice],$AB$3,Fonctionnement[TVA acquittée])+SUMIF(Invest[Affectation matrice],$AB$3,Invest[TVA acquittée]))*BE25</f>
        <v>0</v>
      </c>
      <c r="CG25" s="200">
        <f>(SUMIF(Fonctionnement[Affectation matrice],$AB$3,Fonctionnement[TVA acquittée])+SUMIF(Invest[Affectation matrice],$AB$3,Invest[TVA acquittée]))*BF25</f>
        <v>0</v>
      </c>
      <c r="CH25" s="200">
        <f>(SUMIF(Fonctionnement[Affectation matrice],$AB$3,Fonctionnement[TVA acquittée])+SUMIF(Invest[Affectation matrice],$AB$3,Invest[TVA acquittée]))*BG25</f>
        <v>0</v>
      </c>
      <c r="CI25" s="200">
        <f>(SUMIF(Fonctionnement[Affectation matrice],$AB$3,Fonctionnement[TVA acquittée])+SUMIF(Invest[Affectation matrice],$AB$3,Invest[TVA acquittée]))*BH25</f>
        <v>0</v>
      </c>
      <c r="CJ25" s="200">
        <f>(SUMIF(Fonctionnement[Affectation matrice],$AB$3,Fonctionnement[TVA acquittée])+SUMIF(Invest[Affectation matrice],$AB$3,Invest[TVA acquittée]))*BI25</f>
        <v>0</v>
      </c>
      <c r="CK25" s="200">
        <f>(SUMIF(Fonctionnement[Affectation matrice],$AB$3,Fonctionnement[TVA acquittée])+SUMIF(Invest[Affectation matrice],$AB$3,Invest[TVA acquittée]))*BJ25</f>
        <v>0</v>
      </c>
      <c r="CL25" s="200">
        <f>(SUMIF(Fonctionnement[Affectation matrice],$AB$3,Fonctionnement[TVA acquittée])+SUMIF(Invest[Affectation matrice],$AB$3,Invest[TVA acquittée]))*BK25</f>
        <v>0</v>
      </c>
      <c r="CM25" s="200">
        <f>(SUMIF(Fonctionnement[Affectation matrice],$AB$3,Fonctionnement[TVA acquittée])+SUMIF(Invest[Affectation matrice],$AB$3,Invest[TVA acquittée]))*BL25</f>
        <v>0</v>
      </c>
      <c r="CN25" s="200">
        <f>(SUMIF(Fonctionnement[Affectation matrice],$AB$3,Fonctionnement[TVA acquittée])+SUMIF(Invest[Affectation matrice],$AB$3,Invest[TVA acquittée]))*BM25</f>
        <v>0</v>
      </c>
      <c r="CO25" s="200">
        <f>(SUMIF(Fonctionnement[Affectation matrice],$AB$3,Fonctionnement[TVA acquittée])+SUMIF(Invest[Affectation matrice],$AB$3,Invest[TVA acquittée]))*BN25</f>
        <v>0</v>
      </c>
      <c r="CP25" s="200">
        <f>(SUMIF(Fonctionnement[Affectation matrice],$AB$3,Fonctionnement[TVA acquittée])+SUMIF(Invest[Affectation matrice],$AB$3,Invest[TVA acquittée]))*BO25</f>
        <v>0</v>
      </c>
      <c r="CQ25" s="200">
        <f>(SUMIF(Fonctionnement[Affectation matrice],$AB$3,Fonctionnement[TVA acquittée])+SUMIF(Invest[Affectation matrice],$AB$3,Invest[TVA acquittée]))*BP25</f>
        <v>0</v>
      </c>
      <c r="CR25" s="200">
        <f>(SUMIF(Fonctionnement[Affectation matrice],$AB$3,Fonctionnement[TVA acquittée])+SUMIF(Invest[Affectation matrice],$AB$3,Invest[TVA acquittée]))*BQ25</f>
        <v>0</v>
      </c>
      <c r="CS25" s="200">
        <f>(SUMIF(Fonctionnement[Affectation matrice],$AB$3,Fonctionnement[TVA acquittée])+SUMIF(Invest[Affectation matrice],$AB$3,Invest[TVA acquittée]))*BR25</f>
        <v>0</v>
      </c>
      <c r="CT25" s="200">
        <f>(SUMIF(Fonctionnement[Affectation matrice],$AB$3,Fonctionnement[TVA acquittée])+SUMIF(Invest[Affectation matrice],$AB$3,Invest[TVA acquittée]))*BS25</f>
        <v>0</v>
      </c>
      <c r="CU25" s="200">
        <f>(SUMIF(Fonctionnement[Affectation matrice],$AB$3,Fonctionnement[TVA acquittée])+SUMIF(Invest[Affectation matrice],$AB$3,Invest[TVA acquittée]))*BT25</f>
        <v>0</v>
      </c>
      <c r="CV25" s="200">
        <f>(SUMIF(Fonctionnement[Affectation matrice],$AB$3,Fonctionnement[TVA acquittée])+SUMIF(Invest[Affectation matrice],$AB$3,Invest[TVA acquittée]))*BU25</f>
        <v>0</v>
      </c>
      <c r="CW25" s="200">
        <f>(SUMIF(Fonctionnement[Affectation matrice],$AB$3,Fonctionnement[TVA acquittée])+SUMIF(Invest[Affectation matrice],$AB$3,Invest[TVA acquittée]))*BV25</f>
        <v>0</v>
      </c>
      <c r="CX25" s="200">
        <f>(SUMIF(Fonctionnement[Affectation matrice],$AB$3,Fonctionnement[TVA acquittée])+SUMIF(Invest[Affectation matrice],$AB$3,Invest[TVA acquittée]))*BW25</f>
        <v>0</v>
      </c>
      <c r="CY25" s="200">
        <f>(SUMIF(Fonctionnement[Affectation matrice],$AB$3,Fonctionnement[TVA acquittée])+SUMIF(Invest[Affectation matrice],$AB$3,Invest[TVA acquittée]))*BX25</f>
        <v>0</v>
      </c>
      <c r="CZ25" s="200">
        <f>(SUMIF(Fonctionnement[Affectation matrice],$AB$3,Fonctionnement[TVA acquittée])+SUMIF(Invest[Affectation matrice],$AB$3,Invest[TVA acquittée]))*BY25</f>
        <v>0</v>
      </c>
      <c r="DA25" s="200">
        <f>(SUMIF(Fonctionnement[Affectation matrice],$AB$3,Fonctionnement[TVA acquittée])+SUMIF(Invest[Affectation matrice],$AB$3,Invest[TVA acquittée]))*BZ25</f>
        <v>0</v>
      </c>
      <c r="DB25" s="200">
        <f>(SUMIF(Fonctionnement[Affectation matrice],$AB$3,Fonctionnement[TVA acquittée])+SUMIF(Invest[Affectation matrice],$AB$3,Invest[TVA acquittée]))*CA25</f>
        <v>0</v>
      </c>
    </row>
    <row r="26" spans="1:106" s="22" customFormat="1" ht="12.75" hidden="1" customHeight="1" x14ac:dyDescent="0.25">
      <c r="A26" s="42" t="str">
        <f>Matrice[[#This Row],[Ligne de la matrice]]</f>
        <v>Compost</v>
      </c>
      <c r="B26" s="276">
        <f>(SUMIF(Fonctionnement[Affectation matrice],$AB$3,Fonctionnement[Montant (€HT)])+SUMIF(Invest[Affectation matrice],$AB$3,Invest[Amortissement HT + intérêts]))*BC26</f>
        <v>0</v>
      </c>
      <c r="C26" s="276">
        <f>(SUMIF(Fonctionnement[Affectation matrice],$AB$3,Fonctionnement[Montant (€HT)])+SUMIF(Invest[Affectation matrice],$AB$3,Invest[Amortissement HT + intérêts]))*BD26</f>
        <v>0</v>
      </c>
      <c r="D26" s="276">
        <f>(SUMIF(Fonctionnement[Affectation matrice],$AB$3,Fonctionnement[Montant (€HT)])+SUMIF(Invest[Affectation matrice],$AB$3,Invest[Amortissement HT + intérêts]))*BE26</f>
        <v>0</v>
      </c>
      <c r="E26" s="276">
        <f>(SUMIF(Fonctionnement[Affectation matrice],$AB$3,Fonctionnement[Montant (€HT)])+SUMIF(Invest[Affectation matrice],$AB$3,Invest[Amortissement HT + intérêts]))*BF26</f>
        <v>0</v>
      </c>
      <c r="F26" s="276">
        <f>(SUMIF(Fonctionnement[Affectation matrice],$AB$3,Fonctionnement[Montant (€HT)])+SUMIF(Invest[Affectation matrice],$AB$3,Invest[Amortissement HT + intérêts]))*BG26</f>
        <v>0</v>
      </c>
      <c r="G26" s="276">
        <f>(SUMIF(Fonctionnement[Affectation matrice],$AB$3,Fonctionnement[Montant (€HT)])+SUMIF(Invest[Affectation matrice],$AB$3,Invest[Amortissement HT + intérêts]))*BH26</f>
        <v>0</v>
      </c>
      <c r="H26" s="276">
        <f>(SUMIF(Fonctionnement[Affectation matrice],$AB$3,Fonctionnement[Montant (€HT)])+SUMIF(Invest[Affectation matrice],$AB$3,Invest[Amortissement HT + intérêts]))*BI26</f>
        <v>0</v>
      </c>
      <c r="I26" s="276">
        <f>(SUMIF(Fonctionnement[Affectation matrice],$AB$3,Fonctionnement[Montant (€HT)])+SUMIF(Invest[Affectation matrice],$AB$3,Invest[Amortissement HT + intérêts]))*BJ26</f>
        <v>0</v>
      </c>
      <c r="J26" s="276">
        <f>(SUMIF(Fonctionnement[Affectation matrice],$AB$3,Fonctionnement[Montant (€HT)])+SUMIF(Invest[Affectation matrice],$AB$3,Invest[Amortissement HT + intérêts]))*BK26</f>
        <v>0</v>
      </c>
      <c r="K26" s="276">
        <f>(SUMIF(Fonctionnement[Affectation matrice],$AB$3,Fonctionnement[Montant (€HT)])+SUMIF(Invest[Affectation matrice],$AB$3,Invest[Amortissement HT + intérêts]))*BL26</f>
        <v>0</v>
      </c>
      <c r="L26" s="276">
        <f>(SUMIF(Fonctionnement[Affectation matrice],$AB$3,Fonctionnement[Montant (€HT)])+SUMIF(Invest[Affectation matrice],$AB$3,Invest[Amortissement HT + intérêts]))*BM26</f>
        <v>0</v>
      </c>
      <c r="M26" s="276">
        <f>(SUMIF(Fonctionnement[Affectation matrice],$AB$3,Fonctionnement[Montant (€HT)])+SUMIF(Invest[Affectation matrice],$AB$3,Invest[Amortissement HT + intérêts]))*BN26</f>
        <v>0</v>
      </c>
      <c r="N26" s="276">
        <f>(SUMIF(Fonctionnement[Affectation matrice],$AB$3,Fonctionnement[Montant (€HT)])+SUMIF(Invest[Affectation matrice],$AB$3,Invest[Amortissement HT + intérêts]))*BO26</f>
        <v>0</v>
      </c>
      <c r="O26" s="276">
        <f>(SUMIF(Fonctionnement[Affectation matrice],$AB$3,Fonctionnement[Montant (€HT)])+SUMIF(Invest[Affectation matrice],$AB$3,Invest[Amortissement HT + intérêts]))*BP26</f>
        <v>0</v>
      </c>
      <c r="P26" s="276">
        <f>(SUMIF(Fonctionnement[Affectation matrice],$AB$3,Fonctionnement[Montant (€HT)])+SUMIF(Invest[Affectation matrice],$AB$3,Invest[Amortissement HT + intérêts]))*BQ26</f>
        <v>0</v>
      </c>
      <c r="Q26" s="276">
        <f>(SUMIF(Fonctionnement[Affectation matrice],$AB$3,Fonctionnement[Montant (€HT)])+SUMIF(Invest[Affectation matrice],$AB$3,Invest[Amortissement HT + intérêts]))*BR26</f>
        <v>0</v>
      </c>
      <c r="R26" s="276">
        <f>(SUMIF(Fonctionnement[Affectation matrice],$AB$3,Fonctionnement[Montant (€HT)])+SUMIF(Invest[Affectation matrice],$AB$3,Invest[Amortissement HT + intérêts]))*BS26</f>
        <v>0</v>
      </c>
      <c r="S26" s="276">
        <f>(SUMIF(Fonctionnement[Affectation matrice],$AB$3,Fonctionnement[Montant (€HT)])+SUMIF(Invest[Affectation matrice],$AB$3,Invest[Amortissement HT + intérêts]))*BT26</f>
        <v>0</v>
      </c>
      <c r="T26" s="276">
        <f>(SUMIF(Fonctionnement[Affectation matrice],$AB$3,Fonctionnement[Montant (€HT)])+SUMIF(Invest[Affectation matrice],$AB$3,Invest[Amortissement HT + intérêts]))*BU26</f>
        <v>0</v>
      </c>
      <c r="U26" s="276">
        <f>(SUMIF(Fonctionnement[Affectation matrice],$AB$3,Fonctionnement[Montant (€HT)])+SUMIF(Invest[Affectation matrice],$AB$3,Invest[Amortissement HT + intérêts]))*BV26</f>
        <v>0</v>
      </c>
      <c r="V26" s="276">
        <f>(SUMIF(Fonctionnement[Affectation matrice],$AB$3,Fonctionnement[Montant (€HT)])+SUMIF(Invest[Affectation matrice],$AB$3,Invest[Amortissement HT + intérêts]))*BW26</f>
        <v>0</v>
      </c>
      <c r="W26" s="276">
        <f>(SUMIF(Fonctionnement[Affectation matrice],$AB$3,Fonctionnement[Montant (€HT)])+SUMIF(Invest[Affectation matrice],$AB$3,Invest[Amortissement HT + intérêts]))*BX26</f>
        <v>0</v>
      </c>
      <c r="X26" s="276">
        <f>(SUMIF(Fonctionnement[Affectation matrice],$AB$3,Fonctionnement[Montant (€HT)])+SUMIF(Invest[Affectation matrice],$AB$3,Invest[Amortissement HT + intérêts]))*BY26</f>
        <v>0</v>
      </c>
      <c r="Y26" s="276">
        <f>(SUMIF(Fonctionnement[Affectation matrice],$AB$3,Fonctionnement[Montant (€HT)])+SUMIF(Invest[Affectation matrice],$AB$3,Invest[Amortissement HT + intérêts]))*BZ26</f>
        <v>0</v>
      </c>
      <c r="Z26" s="276">
        <f>(SUMIF(Fonctionnement[Affectation matrice],$AB$3,Fonctionnement[Montant (€HT)])+SUMIF(Invest[Affectation matrice],$AB$3,Invest[Amortissement HT + intérêts]))*CA26</f>
        <v>0</v>
      </c>
      <c r="AA26" s="199"/>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283">
        <f t="shared" si="4"/>
        <v>0</v>
      </c>
      <c r="BB26" s="7"/>
      <c r="BC26" s="61">
        <f t="shared" si="8"/>
        <v>0</v>
      </c>
      <c r="BD26" s="61">
        <f t="shared" si="8"/>
        <v>0</v>
      </c>
      <c r="BE26" s="61">
        <f t="shared" si="8"/>
        <v>0</v>
      </c>
      <c r="BF26" s="61">
        <f t="shared" si="8"/>
        <v>0</v>
      </c>
      <c r="BG26" s="61">
        <f t="shared" si="8"/>
        <v>0</v>
      </c>
      <c r="BH26" s="61">
        <f t="shared" si="8"/>
        <v>0</v>
      </c>
      <c r="BI26" s="61">
        <f t="shared" si="8"/>
        <v>0</v>
      </c>
      <c r="BJ26" s="61">
        <f t="shared" si="8"/>
        <v>0</v>
      </c>
      <c r="BK26" s="61">
        <f t="shared" si="8"/>
        <v>0</v>
      </c>
      <c r="BL26" s="61">
        <f t="shared" si="8"/>
        <v>0</v>
      </c>
      <c r="BM26" s="61">
        <f t="shared" si="8"/>
        <v>0</v>
      </c>
      <c r="BN26" s="61">
        <f t="shared" si="8"/>
        <v>0</v>
      </c>
      <c r="BO26" s="61">
        <f t="shared" si="8"/>
        <v>0</v>
      </c>
      <c r="BP26" s="61">
        <f t="shared" si="8"/>
        <v>0</v>
      </c>
      <c r="BQ26" s="61">
        <f t="shared" si="8"/>
        <v>0</v>
      </c>
      <c r="BR26" s="61">
        <f t="shared" si="8"/>
        <v>0</v>
      </c>
      <c r="BS26" s="61">
        <f t="shared" si="9"/>
        <v>0</v>
      </c>
      <c r="BT26" s="61">
        <f t="shared" si="9"/>
        <v>0</v>
      </c>
      <c r="BU26" s="61">
        <f t="shared" si="9"/>
        <v>0</v>
      </c>
      <c r="BV26" s="61">
        <f t="shared" si="9"/>
        <v>0</v>
      </c>
      <c r="BW26" s="61">
        <f t="shared" si="9"/>
        <v>0</v>
      </c>
      <c r="BX26" s="61">
        <f t="shared" si="9"/>
        <v>0</v>
      </c>
      <c r="BY26" s="61">
        <f t="shared" si="9"/>
        <v>0</v>
      </c>
      <c r="BZ26" s="61">
        <f t="shared" si="9"/>
        <v>0</v>
      </c>
      <c r="CA26" s="61">
        <f t="shared" si="9"/>
        <v>0</v>
      </c>
      <c r="CB26" s="61">
        <f t="shared" si="5"/>
        <v>0</v>
      </c>
      <c r="CD26" s="200">
        <f>(SUMIF(Fonctionnement[Affectation matrice],$AB$3,Fonctionnement[TVA acquittée])+SUMIF(Invest[Affectation matrice],$AB$3,Invest[TVA acquittée]))*BC26</f>
        <v>0</v>
      </c>
      <c r="CE26" s="200">
        <f>(SUMIF(Fonctionnement[Affectation matrice],$AB$3,Fonctionnement[TVA acquittée])+SUMIF(Invest[Affectation matrice],$AB$3,Invest[TVA acquittée]))*BD26</f>
        <v>0</v>
      </c>
      <c r="CF26" s="200">
        <f>(SUMIF(Fonctionnement[Affectation matrice],$AB$3,Fonctionnement[TVA acquittée])+SUMIF(Invest[Affectation matrice],$AB$3,Invest[TVA acquittée]))*BE26</f>
        <v>0</v>
      </c>
      <c r="CG26" s="200">
        <f>(SUMIF(Fonctionnement[Affectation matrice],$AB$3,Fonctionnement[TVA acquittée])+SUMIF(Invest[Affectation matrice],$AB$3,Invest[TVA acquittée]))*BF26</f>
        <v>0</v>
      </c>
      <c r="CH26" s="200">
        <f>(SUMIF(Fonctionnement[Affectation matrice],$AB$3,Fonctionnement[TVA acquittée])+SUMIF(Invest[Affectation matrice],$AB$3,Invest[TVA acquittée]))*BG26</f>
        <v>0</v>
      </c>
      <c r="CI26" s="200">
        <f>(SUMIF(Fonctionnement[Affectation matrice],$AB$3,Fonctionnement[TVA acquittée])+SUMIF(Invest[Affectation matrice],$AB$3,Invest[TVA acquittée]))*BH26</f>
        <v>0</v>
      </c>
      <c r="CJ26" s="200">
        <f>(SUMIF(Fonctionnement[Affectation matrice],$AB$3,Fonctionnement[TVA acquittée])+SUMIF(Invest[Affectation matrice],$AB$3,Invest[TVA acquittée]))*BI26</f>
        <v>0</v>
      </c>
      <c r="CK26" s="200">
        <f>(SUMIF(Fonctionnement[Affectation matrice],$AB$3,Fonctionnement[TVA acquittée])+SUMIF(Invest[Affectation matrice],$AB$3,Invest[TVA acquittée]))*BJ26</f>
        <v>0</v>
      </c>
      <c r="CL26" s="200">
        <f>(SUMIF(Fonctionnement[Affectation matrice],$AB$3,Fonctionnement[TVA acquittée])+SUMIF(Invest[Affectation matrice],$AB$3,Invest[TVA acquittée]))*BK26</f>
        <v>0</v>
      </c>
      <c r="CM26" s="200">
        <f>(SUMIF(Fonctionnement[Affectation matrice],$AB$3,Fonctionnement[TVA acquittée])+SUMIF(Invest[Affectation matrice],$AB$3,Invest[TVA acquittée]))*BL26</f>
        <v>0</v>
      </c>
      <c r="CN26" s="200">
        <f>(SUMIF(Fonctionnement[Affectation matrice],$AB$3,Fonctionnement[TVA acquittée])+SUMIF(Invest[Affectation matrice],$AB$3,Invest[TVA acquittée]))*BM26</f>
        <v>0</v>
      </c>
      <c r="CO26" s="200">
        <f>(SUMIF(Fonctionnement[Affectation matrice],$AB$3,Fonctionnement[TVA acquittée])+SUMIF(Invest[Affectation matrice],$AB$3,Invest[TVA acquittée]))*BN26</f>
        <v>0</v>
      </c>
      <c r="CP26" s="200">
        <f>(SUMIF(Fonctionnement[Affectation matrice],$AB$3,Fonctionnement[TVA acquittée])+SUMIF(Invest[Affectation matrice],$AB$3,Invest[TVA acquittée]))*BO26</f>
        <v>0</v>
      </c>
      <c r="CQ26" s="200">
        <f>(SUMIF(Fonctionnement[Affectation matrice],$AB$3,Fonctionnement[TVA acquittée])+SUMIF(Invest[Affectation matrice],$AB$3,Invest[TVA acquittée]))*BP26</f>
        <v>0</v>
      </c>
      <c r="CR26" s="200">
        <f>(SUMIF(Fonctionnement[Affectation matrice],$AB$3,Fonctionnement[TVA acquittée])+SUMIF(Invest[Affectation matrice],$AB$3,Invest[TVA acquittée]))*BQ26</f>
        <v>0</v>
      </c>
      <c r="CS26" s="200">
        <f>(SUMIF(Fonctionnement[Affectation matrice],$AB$3,Fonctionnement[TVA acquittée])+SUMIF(Invest[Affectation matrice],$AB$3,Invest[TVA acquittée]))*BR26</f>
        <v>0</v>
      </c>
      <c r="CT26" s="200">
        <f>(SUMIF(Fonctionnement[Affectation matrice],$AB$3,Fonctionnement[TVA acquittée])+SUMIF(Invest[Affectation matrice],$AB$3,Invest[TVA acquittée]))*BS26</f>
        <v>0</v>
      </c>
      <c r="CU26" s="200">
        <f>(SUMIF(Fonctionnement[Affectation matrice],$AB$3,Fonctionnement[TVA acquittée])+SUMIF(Invest[Affectation matrice],$AB$3,Invest[TVA acquittée]))*BT26</f>
        <v>0</v>
      </c>
      <c r="CV26" s="200">
        <f>(SUMIF(Fonctionnement[Affectation matrice],$AB$3,Fonctionnement[TVA acquittée])+SUMIF(Invest[Affectation matrice],$AB$3,Invest[TVA acquittée]))*BU26</f>
        <v>0</v>
      </c>
      <c r="CW26" s="200">
        <f>(SUMIF(Fonctionnement[Affectation matrice],$AB$3,Fonctionnement[TVA acquittée])+SUMIF(Invest[Affectation matrice],$AB$3,Invest[TVA acquittée]))*BV26</f>
        <v>0</v>
      </c>
      <c r="CX26" s="200">
        <f>(SUMIF(Fonctionnement[Affectation matrice],$AB$3,Fonctionnement[TVA acquittée])+SUMIF(Invest[Affectation matrice],$AB$3,Invest[TVA acquittée]))*BW26</f>
        <v>0</v>
      </c>
      <c r="CY26" s="200">
        <f>(SUMIF(Fonctionnement[Affectation matrice],$AB$3,Fonctionnement[TVA acquittée])+SUMIF(Invest[Affectation matrice],$AB$3,Invest[TVA acquittée]))*BX26</f>
        <v>0</v>
      </c>
      <c r="CZ26" s="200">
        <f>(SUMIF(Fonctionnement[Affectation matrice],$AB$3,Fonctionnement[TVA acquittée])+SUMIF(Invest[Affectation matrice],$AB$3,Invest[TVA acquittée]))*BY26</f>
        <v>0</v>
      </c>
      <c r="DA26" s="200">
        <f>(SUMIF(Fonctionnement[Affectation matrice],$AB$3,Fonctionnement[TVA acquittée])+SUMIF(Invest[Affectation matrice],$AB$3,Invest[TVA acquittée]))*BZ26</f>
        <v>0</v>
      </c>
      <c r="DB26" s="200">
        <f>(SUMIF(Fonctionnement[Affectation matrice],$AB$3,Fonctionnement[TVA acquittée])+SUMIF(Invest[Affectation matrice],$AB$3,Invest[TVA acquittée]))*CA26</f>
        <v>0</v>
      </c>
    </row>
    <row r="27" spans="1:106" s="22" customFormat="1" ht="12.75" hidden="1" customHeight="1" x14ac:dyDescent="0.25">
      <c r="A27" s="42" t="str">
        <f>Matrice[[#This Row],[Ligne de la matrice]]</f>
        <v>Énergie</v>
      </c>
      <c r="B27" s="276">
        <f>(SUMIF(Fonctionnement[Affectation matrice],$AB$3,Fonctionnement[Montant (€HT)])+SUMIF(Invest[Affectation matrice],$AB$3,Invest[Amortissement HT + intérêts]))*BC27</f>
        <v>0</v>
      </c>
      <c r="C27" s="276">
        <f>(SUMIF(Fonctionnement[Affectation matrice],$AB$3,Fonctionnement[Montant (€HT)])+SUMIF(Invest[Affectation matrice],$AB$3,Invest[Amortissement HT + intérêts]))*BD27</f>
        <v>0</v>
      </c>
      <c r="D27" s="276">
        <f>(SUMIF(Fonctionnement[Affectation matrice],$AB$3,Fonctionnement[Montant (€HT)])+SUMIF(Invest[Affectation matrice],$AB$3,Invest[Amortissement HT + intérêts]))*BE27</f>
        <v>0</v>
      </c>
      <c r="E27" s="276">
        <f>(SUMIF(Fonctionnement[Affectation matrice],$AB$3,Fonctionnement[Montant (€HT)])+SUMIF(Invest[Affectation matrice],$AB$3,Invest[Amortissement HT + intérêts]))*BF27</f>
        <v>0</v>
      </c>
      <c r="F27" s="276">
        <f>(SUMIF(Fonctionnement[Affectation matrice],$AB$3,Fonctionnement[Montant (€HT)])+SUMIF(Invest[Affectation matrice],$AB$3,Invest[Amortissement HT + intérêts]))*BG27</f>
        <v>0</v>
      </c>
      <c r="G27" s="276">
        <f>(SUMIF(Fonctionnement[Affectation matrice],$AB$3,Fonctionnement[Montant (€HT)])+SUMIF(Invest[Affectation matrice],$AB$3,Invest[Amortissement HT + intérêts]))*BH27</f>
        <v>0</v>
      </c>
      <c r="H27" s="276">
        <f>(SUMIF(Fonctionnement[Affectation matrice],$AB$3,Fonctionnement[Montant (€HT)])+SUMIF(Invest[Affectation matrice],$AB$3,Invest[Amortissement HT + intérêts]))*BI27</f>
        <v>0</v>
      </c>
      <c r="I27" s="276">
        <f>(SUMIF(Fonctionnement[Affectation matrice],$AB$3,Fonctionnement[Montant (€HT)])+SUMIF(Invest[Affectation matrice],$AB$3,Invest[Amortissement HT + intérêts]))*BJ27</f>
        <v>0</v>
      </c>
      <c r="J27" s="276">
        <f>(SUMIF(Fonctionnement[Affectation matrice],$AB$3,Fonctionnement[Montant (€HT)])+SUMIF(Invest[Affectation matrice],$AB$3,Invest[Amortissement HT + intérêts]))*BK27</f>
        <v>0</v>
      </c>
      <c r="K27" s="276">
        <f>(SUMIF(Fonctionnement[Affectation matrice],$AB$3,Fonctionnement[Montant (€HT)])+SUMIF(Invest[Affectation matrice],$AB$3,Invest[Amortissement HT + intérêts]))*BL27</f>
        <v>0</v>
      </c>
      <c r="L27" s="276">
        <f>(SUMIF(Fonctionnement[Affectation matrice],$AB$3,Fonctionnement[Montant (€HT)])+SUMIF(Invest[Affectation matrice],$AB$3,Invest[Amortissement HT + intérêts]))*BM27</f>
        <v>0</v>
      </c>
      <c r="M27" s="276">
        <f>(SUMIF(Fonctionnement[Affectation matrice],$AB$3,Fonctionnement[Montant (€HT)])+SUMIF(Invest[Affectation matrice],$AB$3,Invest[Amortissement HT + intérêts]))*BN27</f>
        <v>0</v>
      </c>
      <c r="N27" s="276">
        <f>(SUMIF(Fonctionnement[Affectation matrice],$AB$3,Fonctionnement[Montant (€HT)])+SUMIF(Invest[Affectation matrice],$AB$3,Invest[Amortissement HT + intérêts]))*BO27</f>
        <v>0</v>
      </c>
      <c r="O27" s="276">
        <f>(SUMIF(Fonctionnement[Affectation matrice],$AB$3,Fonctionnement[Montant (€HT)])+SUMIF(Invest[Affectation matrice],$AB$3,Invest[Amortissement HT + intérêts]))*BP27</f>
        <v>0</v>
      </c>
      <c r="P27" s="276">
        <f>(SUMIF(Fonctionnement[Affectation matrice],$AB$3,Fonctionnement[Montant (€HT)])+SUMIF(Invest[Affectation matrice],$AB$3,Invest[Amortissement HT + intérêts]))*BQ27</f>
        <v>0</v>
      </c>
      <c r="Q27" s="276">
        <f>(SUMIF(Fonctionnement[Affectation matrice],$AB$3,Fonctionnement[Montant (€HT)])+SUMIF(Invest[Affectation matrice],$AB$3,Invest[Amortissement HT + intérêts]))*BR27</f>
        <v>0</v>
      </c>
      <c r="R27" s="276">
        <f>(SUMIF(Fonctionnement[Affectation matrice],$AB$3,Fonctionnement[Montant (€HT)])+SUMIF(Invest[Affectation matrice],$AB$3,Invest[Amortissement HT + intérêts]))*BS27</f>
        <v>0</v>
      </c>
      <c r="S27" s="276">
        <f>(SUMIF(Fonctionnement[Affectation matrice],$AB$3,Fonctionnement[Montant (€HT)])+SUMIF(Invest[Affectation matrice],$AB$3,Invest[Amortissement HT + intérêts]))*BT27</f>
        <v>0</v>
      </c>
      <c r="T27" s="276">
        <f>(SUMIF(Fonctionnement[Affectation matrice],$AB$3,Fonctionnement[Montant (€HT)])+SUMIF(Invest[Affectation matrice],$AB$3,Invest[Amortissement HT + intérêts]))*BU27</f>
        <v>0</v>
      </c>
      <c r="U27" s="276">
        <f>(SUMIF(Fonctionnement[Affectation matrice],$AB$3,Fonctionnement[Montant (€HT)])+SUMIF(Invest[Affectation matrice],$AB$3,Invest[Amortissement HT + intérêts]))*BV27</f>
        <v>0</v>
      </c>
      <c r="V27" s="276">
        <f>(SUMIF(Fonctionnement[Affectation matrice],$AB$3,Fonctionnement[Montant (€HT)])+SUMIF(Invest[Affectation matrice],$AB$3,Invest[Amortissement HT + intérêts]))*BW27</f>
        <v>0</v>
      </c>
      <c r="W27" s="276">
        <f>(SUMIF(Fonctionnement[Affectation matrice],$AB$3,Fonctionnement[Montant (€HT)])+SUMIF(Invest[Affectation matrice],$AB$3,Invest[Amortissement HT + intérêts]))*BX27</f>
        <v>0</v>
      </c>
      <c r="X27" s="276">
        <f>(SUMIF(Fonctionnement[Affectation matrice],$AB$3,Fonctionnement[Montant (€HT)])+SUMIF(Invest[Affectation matrice],$AB$3,Invest[Amortissement HT + intérêts]))*BY27</f>
        <v>0</v>
      </c>
      <c r="Y27" s="276">
        <f>(SUMIF(Fonctionnement[Affectation matrice],$AB$3,Fonctionnement[Montant (€HT)])+SUMIF(Invest[Affectation matrice],$AB$3,Invest[Amortissement HT + intérêts]))*BZ27</f>
        <v>0</v>
      </c>
      <c r="Z27" s="276">
        <f>(SUMIF(Fonctionnement[Affectation matrice],$AB$3,Fonctionnement[Montant (€HT)])+SUMIF(Invest[Affectation matrice],$AB$3,Invest[Amortissement HT + intérêts]))*CA27</f>
        <v>0</v>
      </c>
      <c r="AA27" s="199"/>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283">
        <f t="shared" si="4"/>
        <v>0</v>
      </c>
      <c r="BB27" s="7"/>
      <c r="BC27" s="61">
        <f t="shared" si="8"/>
        <v>0</v>
      </c>
      <c r="BD27" s="61">
        <f t="shared" si="8"/>
        <v>0</v>
      </c>
      <c r="BE27" s="61">
        <f t="shared" si="8"/>
        <v>0</v>
      </c>
      <c r="BF27" s="61">
        <f t="shared" si="8"/>
        <v>0</v>
      </c>
      <c r="BG27" s="61">
        <f t="shared" si="8"/>
        <v>0</v>
      </c>
      <c r="BH27" s="61">
        <f t="shared" si="8"/>
        <v>0</v>
      </c>
      <c r="BI27" s="61">
        <f t="shared" si="8"/>
        <v>0</v>
      </c>
      <c r="BJ27" s="61">
        <f t="shared" si="8"/>
        <v>0</v>
      </c>
      <c r="BK27" s="61">
        <f t="shared" si="8"/>
        <v>0</v>
      </c>
      <c r="BL27" s="61">
        <f t="shared" si="8"/>
        <v>0</v>
      </c>
      <c r="BM27" s="61">
        <f t="shared" si="8"/>
        <v>0</v>
      </c>
      <c r="BN27" s="61">
        <f t="shared" si="8"/>
        <v>0</v>
      </c>
      <c r="BO27" s="61">
        <f t="shared" si="8"/>
        <v>0</v>
      </c>
      <c r="BP27" s="61">
        <f t="shared" si="8"/>
        <v>0</v>
      </c>
      <c r="BQ27" s="61">
        <f t="shared" si="8"/>
        <v>0</v>
      </c>
      <c r="BR27" s="61">
        <f t="shared" si="8"/>
        <v>0</v>
      </c>
      <c r="BS27" s="61">
        <f t="shared" si="9"/>
        <v>0</v>
      </c>
      <c r="BT27" s="61">
        <f t="shared" si="9"/>
        <v>0</v>
      </c>
      <c r="BU27" s="61">
        <f t="shared" si="9"/>
        <v>0</v>
      </c>
      <c r="BV27" s="61">
        <f t="shared" si="9"/>
        <v>0</v>
      </c>
      <c r="BW27" s="61">
        <f t="shared" si="9"/>
        <v>0</v>
      </c>
      <c r="BX27" s="61">
        <f t="shared" si="9"/>
        <v>0</v>
      </c>
      <c r="BY27" s="61">
        <f t="shared" si="9"/>
        <v>0</v>
      </c>
      <c r="BZ27" s="61">
        <f t="shared" si="9"/>
        <v>0</v>
      </c>
      <c r="CA27" s="61">
        <f t="shared" si="9"/>
        <v>0</v>
      </c>
      <c r="CB27" s="61">
        <f t="shared" si="5"/>
        <v>0</v>
      </c>
      <c r="CD27" s="200">
        <f>(SUMIF(Fonctionnement[Affectation matrice],$AB$3,Fonctionnement[TVA acquittée])+SUMIF(Invest[Affectation matrice],$AB$3,Invest[TVA acquittée]))*BC27</f>
        <v>0</v>
      </c>
      <c r="CE27" s="200">
        <f>(SUMIF(Fonctionnement[Affectation matrice],$AB$3,Fonctionnement[TVA acquittée])+SUMIF(Invest[Affectation matrice],$AB$3,Invest[TVA acquittée]))*BD27</f>
        <v>0</v>
      </c>
      <c r="CF27" s="200">
        <f>(SUMIF(Fonctionnement[Affectation matrice],$AB$3,Fonctionnement[TVA acquittée])+SUMIF(Invest[Affectation matrice],$AB$3,Invest[TVA acquittée]))*BE27</f>
        <v>0</v>
      </c>
      <c r="CG27" s="200">
        <f>(SUMIF(Fonctionnement[Affectation matrice],$AB$3,Fonctionnement[TVA acquittée])+SUMIF(Invest[Affectation matrice],$AB$3,Invest[TVA acquittée]))*BF27</f>
        <v>0</v>
      </c>
      <c r="CH27" s="200">
        <f>(SUMIF(Fonctionnement[Affectation matrice],$AB$3,Fonctionnement[TVA acquittée])+SUMIF(Invest[Affectation matrice],$AB$3,Invest[TVA acquittée]))*BG27</f>
        <v>0</v>
      </c>
      <c r="CI27" s="200">
        <f>(SUMIF(Fonctionnement[Affectation matrice],$AB$3,Fonctionnement[TVA acquittée])+SUMIF(Invest[Affectation matrice],$AB$3,Invest[TVA acquittée]))*BH27</f>
        <v>0</v>
      </c>
      <c r="CJ27" s="200">
        <f>(SUMIF(Fonctionnement[Affectation matrice],$AB$3,Fonctionnement[TVA acquittée])+SUMIF(Invest[Affectation matrice],$AB$3,Invest[TVA acquittée]))*BI27</f>
        <v>0</v>
      </c>
      <c r="CK27" s="200">
        <f>(SUMIF(Fonctionnement[Affectation matrice],$AB$3,Fonctionnement[TVA acquittée])+SUMIF(Invest[Affectation matrice],$AB$3,Invest[TVA acquittée]))*BJ27</f>
        <v>0</v>
      </c>
      <c r="CL27" s="200">
        <f>(SUMIF(Fonctionnement[Affectation matrice],$AB$3,Fonctionnement[TVA acquittée])+SUMIF(Invest[Affectation matrice],$AB$3,Invest[TVA acquittée]))*BK27</f>
        <v>0</v>
      </c>
      <c r="CM27" s="200">
        <f>(SUMIF(Fonctionnement[Affectation matrice],$AB$3,Fonctionnement[TVA acquittée])+SUMIF(Invest[Affectation matrice],$AB$3,Invest[TVA acquittée]))*BL27</f>
        <v>0</v>
      </c>
      <c r="CN27" s="200">
        <f>(SUMIF(Fonctionnement[Affectation matrice],$AB$3,Fonctionnement[TVA acquittée])+SUMIF(Invest[Affectation matrice],$AB$3,Invest[TVA acquittée]))*BM27</f>
        <v>0</v>
      </c>
      <c r="CO27" s="200">
        <f>(SUMIF(Fonctionnement[Affectation matrice],$AB$3,Fonctionnement[TVA acquittée])+SUMIF(Invest[Affectation matrice],$AB$3,Invest[TVA acquittée]))*BN27</f>
        <v>0</v>
      </c>
      <c r="CP27" s="200">
        <f>(SUMIF(Fonctionnement[Affectation matrice],$AB$3,Fonctionnement[TVA acquittée])+SUMIF(Invest[Affectation matrice],$AB$3,Invest[TVA acquittée]))*BO27</f>
        <v>0</v>
      </c>
      <c r="CQ27" s="200">
        <f>(SUMIF(Fonctionnement[Affectation matrice],$AB$3,Fonctionnement[TVA acquittée])+SUMIF(Invest[Affectation matrice],$AB$3,Invest[TVA acquittée]))*BP27</f>
        <v>0</v>
      </c>
      <c r="CR27" s="200">
        <f>(SUMIF(Fonctionnement[Affectation matrice],$AB$3,Fonctionnement[TVA acquittée])+SUMIF(Invest[Affectation matrice],$AB$3,Invest[TVA acquittée]))*BQ27</f>
        <v>0</v>
      </c>
      <c r="CS27" s="200">
        <f>(SUMIF(Fonctionnement[Affectation matrice],$AB$3,Fonctionnement[TVA acquittée])+SUMIF(Invest[Affectation matrice],$AB$3,Invest[TVA acquittée]))*BR27</f>
        <v>0</v>
      </c>
      <c r="CT27" s="200">
        <f>(SUMIF(Fonctionnement[Affectation matrice],$AB$3,Fonctionnement[TVA acquittée])+SUMIF(Invest[Affectation matrice],$AB$3,Invest[TVA acquittée]))*BS27</f>
        <v>0</v>
      </c>
      <c r="CU27" s="200">
        <f>(SUMIF(Fonctionnement[Affectation matrice],$AB$3,Fonctionnement[TVA acquittée])+SUMIF(Invest[Affectation matrice],$AB$3,Invest[TVA acquittée]))*BT27</f>
        <v>0</v>
      </c>
      <c r="CV27" s="200">
        <f>(SUMIF(Fonctionnement[Affectation matrice],$AB$3,Fonctionnement[TVA acquittée])+SUMIF(Invest[Affectation matrice],$AB$3,Invest[TVA acquittée]))*BU27</f>
        <v>0</v>
      </c>
      <c r="CW27" s="200">
        <f>(SUMIF(Fonctionnement[Affectation matrice],$AB$3,Fonctionnement[TVA acquittée])+SUMIF(Invest[Affectation matrice],$AB$3,Invest[TVA acquittée]))*BV27</f>
        <v>0</v>
      </c>
      <c r="CX27" s="200">
        <f>(SUMIF(Fonctionnement[Affectation matrice],$AB$3,Fonctionnement[TVA acquittée])+SUMIF(Invest[Affectation matrice],$AB$3,Invest[TVA acquittée]))*BW27</f>
        <v>0</v>
      </c>
      <c r="CY27" s="200">
        <f>(SUMIF(Fonctionnement[Affectation matrice],$AB$3,Fonctionnement[TVA acquittée])+SUMIF(Invest[Affectation matrice],$AB$3,Invest[TVA acquittée]))*BX27</f>
        <v>0</v>
      </c>
      <c r="CZ27" s="200">
        <f>(SUMIF(Fonctionnement[Affectation matrice],$AB$3,Fonctionnement[TVA acquittée])+SUMIF(Invest[Affectation matrice],$AB$3,Invest[TVA acquittée]))*BY27</f>
        <v>0</v>
      </c>
      <c r="DA27" s="200">
        <f>(SUMIF(Fonctionnement[Affectation matrice],$AB$3,Fonctionnement[TVA acquittée])+SUMIF(Invest[Affectation matrice],$AB$3,Invest[TVA acquittée]))*BZ27</f>
        <v>0</v>
      </c>
      <c r="DB27" s="200">
        <f>(SUMIF(Fonctionnement[Affectation matrice],$AB$3,Fonctionnement[TVA acquittée])+SUMIF(Invest[Affectation matrice],$AB$3,Invest[TVA acquittée]))*CA27</f>
        <v>0</v>
      </c>
    </row>
    <row r="28" spans="1:106" s="22" customFormat="1" ht="12.75" hidden="1" customHeight="1" x14ac:dyDescent="0.25">
      <c r="A28" s="42" t="str">
        <f>Matrice[[#This Row],[Ligne de la matrice]]</f>
        <v>Prestation à des tiers</v>
      </c>
      <c r="B28" s="276">
        <f>(SUMIF(Fonctionnement[Affectation matrice],$AB$3,Fonctionnement[Montant (€HT)])+SUMIF(Invest[Affectation matrice],$AB$3,Invest[Amortissement HT + intérêts]))*BC28</f>
        <v>0</v>
      </c>
      <c r="C28" s="276">
        <f>(SUMIF(Fonctionnement[Affectation matrice],$AB$3,Fonctionnement[Montant (€HT)])+SUMIF(Invest[Affectation matrice],$AB$3,Invest[Amortissement HT + intérêts]))*BD28</f>
        <v>0</v>
      </c>
      <c r="D28" s="276">
        <f>(SUMIF(Fonctionnement[Affectation matrice],$AB$3,Fonctionnement[Montant (€HT)])+SUMIF(Invest[Affectation matrice],$AB$3,Invest[Amortissement HT + intérêts]))*BE28</f>
        <v>0</v>
      </c>
      <c r="E28" s="276">
        <f>(SUMIF(Fonctionnement[Affectation matrice],$AB$3,Fonctionnement[Montant (€HT)])+SUMIF(Invest[Affectation matrice],$AB$3,Invest[Amortissement HT + intérêts]))*BF28</f>
        <v>0</v>
      </c>
      <c r="F28" s="276">
        <f>(SUMIF(Fonctionnement[Affectation matrice],$AB$3,Fonctionnement[Montant (€HT)])+SUMIF(Invest[Affectation matrice],$AB$3,Invest[Amortissement HT + intérêts]))*BG28</f>
        <v>0</v>
      </c>
      <c r="G28" s="276">
        <f>(SUMIF(Fonctionnement[Affectation matrice],$AB$3,Fonctionnement[Montant (€HT)])+SUMIF(Invest[Affectation matrice],$AB$3,Invest[Amortissement HT + intérêts]))*BH28</f>
        <v>0</v>
      </c>
      <c r="H28" s="276">
        <f>(SUMIF(Fonctionnement[Affectation matrice],$AB$3,Fonctionnement[Montant (€HT)])+SUMIF(Invest[Affectation matrice],$AB$3,Invest[Amortissement HT + intérêts]))*BI28</f>
        <v>0</v>
      </c>
      <c r="I28" s="276">
        <f>(SUMIF(Fonctionnement[Affectation matrice],$AB$3,Fonctionnement[Montant (€HT)])+SUMIF(Invest[Affectation matrice],$AB$3,Invest[Amortissement HT + intérêts]))*BJ28</f>
        <v>0</v>
      </c>
      <c r="J28" s="276">
        <f>(SUMIF(Fonctionnement[Affectation matrice],$AB$3,Fonctionnement[Montant (€HT)])+SUMIF(Invest[Affectation matrice],$AB$3,Invest[Amortissement HT + intérêts]))*BK28</f>
        <v>0</v>
      </c>
      <c r="K28" s="276">
        <f>(SUMIF(Fonctionnement[Affectation matrice],$AB$3,Fonctionnement[Montant (€HT)])+SUMIF(Invest[Affectation matrice],$AB$3,Invest[Amortissement HT + intérêts]))*BL28</f>
        <v>0</v>
      </c>
      <c r="L28" s="276">
        <f>(SUMIF(Fonctionnement[Affectation matrice],$AB$3,Fonctionnement[Montant (€HT)])+SUMIF(Invest[Affectation matrice],$AB$3,Invest[Amortissement HT + intérêts]))*BM28</f>
        <v>0</v>
      </c>
      <c r="M28" s="276">
        <f>(SUMIF(Fonctionnement[Affectation matrice],$AB$3,Fonctionnement[Montant (€HT)])+SUMIF(Invest[Affectation matrice],$AB$3,Invest[Amortissement HT + intérêts]))*BN28</f>
        <v>0</v>
      </c>
      <c r="N28" s="276">
        <f>(SUMIF(Fonctionnement[Affectation matrice],$AB$3,Fonctionnement[Montant (€HT)])+SUMIF(Invest[Affectation matrice],$AB$3,Invest[Amortissement HT + intérêts]))*BO28</f>
        <v>0</v>
      </c>
      <c r="O28" s="276">
        <f>(SUMIF(Fonctionnement[Affectation matrice],$AB$3,Fonctionnement[Montant (€HT)])+SUMIF(Invest[Affectation matrice],$AB$3,Invest[Amortissement HT + intérêts]))*BP28</f>
        <v>0</v>
      </c>
      <c r="P28" s="276">
        <f>(SUMIF(Fonctionnement[Affectation matrice],$AB$3,Fonctionnement[Montant (€HT)])+SUMIF(Invest[Affectation matrice],$AB$3,Invest[Amortissement HT + intérêts]))*BQ28</f>
        <v>0</v>
      </c>
      <c r="Q28" s="276">
        <f>(SUMIF(Fonctionnement[Affectation matrice],$AB$3,Fonctionnement[Montant (€HT)])+SUMIF(Invest[Affectation matrice],$AB$3,Invest[Amortissement HT + intérêts]))*BR28</f>
        <v>0</v>
      </c>
      <c r="R28" s="276">
        <f>(SUMIF(Fonctionnement[Affectation matrice],$AB$3,Fonctionnement[Montant (€HT)])+SUMIF(Invest[Affectation matrice],$AB$3,Invest[Amortissement HT + intérêts]))*BS28</f>
        <v>0</v>
      </c>
      <c r="S28" s="276">
        <f>(SUMIF(Fonctionnement[Affectation matrice],$AB$3,Fonctionnement[Montant (€HT)])+SUMIF(Invest[Affectation matrice],$AB$3,Invest[Amortissement HT + intérêts]))*BT28</f>
        <v>0</v>
      </c>
      <c r="T28" s="276">
        <f>(SUMIF(Fonctionnement[Affectation matrice],$AB$3,Fonctionnement[Montant (€HT)])+SUMIF(Invest[Affectation matrice],$AB$3,Invest[Amortissement HT + intérêts]))*BU28</f>
        <v>0</v>
      </c>
      <c r="U28" s="276">
        <f>(SUMIF(Fonctionnement[Affectation matrice],$AB$3,Fonctionnement[Montant (€HT)])+SUMIF(Invest[Affectation matrice],$AB$3,Invest[Amortissement HT + intérêts]))*BV28</f>
        <v>0</v>
      </c>
      <c r="V28" s="276">
        <f>(SUMIF(Fonctionnement[Affectation matrice],$AB$3,Fonctionnement[Montant (€HT)])+SUMIF(Invest[Affectation matrice],$AB$3,Invest[Amortissement HT + intérêts]))*BW28</f>
        <v>0</v>
      </c>
      <c r="W28" s="276">
        <f>(SUMIF(Fonctionnement[Affectation matrice],$AB$3,Fonctionnement[Montant (€HT)])+SUMIF(Invest[Affectation matrice],$AB$3,Invest[Amortissement HT + intérêts]))*BX28</f>
        <v>0</v>
      </c>
      <c r="X28" s="276">
        <f>(SUMIF(Fonctionnement[Affectation matrice],$AB$3,Fonctionnement[Montant (€HT)])+SUMIF(Invest[Affectation matrice],$AB$3,Invest[Amortissement HT + intérêts]))*BY28</f>
        <v>0</v>
      </c>
      <c r="Y28" s="276">
        <f>(SUMIF(Fonctionnement[Affectation matrice],$AB$3,Fonctionnement[Montant (€HT)])+SUMIF(Invest[Affectation matrice],$AB$3,Invest[Amortissement HT + intérêts]))*BZ28</f>
        <v>0</v>
      </c>
      <c r="Z28" s="276">
        <f>(SUMIF(Fonctionnement[Affectation matrice],$AB$3,Fonctionnement[Montant (€HT)])+SUMIF(Invest[Affectation matrice],$AB$3,Invest[Amortissement HT + intérêts]))*CA28</f>
        <v>0</v>
      </c>
      <c r="AA28" s="199"/>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283">
        <f t="shared" si="4"/>
        <v>0</v>
      </c>
      <c r="BB28" s="7"/>
      <c r="BC28" s="61">
        <f t="shared" si="8"/>
        <v>0</v>
      </c>
      <c r="BD28" s="61">
        <f t="shared" si="8"/>
        <v>0</v>
      </c>
      <c r="BE28" s="61">
        <f t="shared" si="8"/>
        <v>0</v>
      </c>
      <c r="BF28" s="61">
        <f t="shared" si="8"/>
        <v>0</v>
      </c>
      <c r="BG28" s="61">
        <f t="shared" si="8"/>
        <v>0</v>
      </c>
      <c r="BH28" s="61">
        <f t="shared" si="8"/>
        <v>0</v>
      </c>
      <c r="BI28" s="61">
        <f t="shared" si="8"/>
        <v>0</v>
      </c>
      <c r="BJ28" s="61">
        <f t="shared" si="8"/>
        <v>0</v>
      </c>
      <c r="BK28" s="61">
        <f t="shared" si="8"/>
        <v>0</v>
      </c>
      <c r="BL28" s="61">
        <f t="shared" si="8"/>
        <v>0</v>
      </c>
      <c r="BM28" s="61">
        <f t="shared" si="8"/>
        <v>0</v>
      </c>
      <c r="BN28" s="61">
        <f t="shared" si="8"/>
        <v>0</v>
      </c>
      <c r="BO28" s="61">
        <f t="shared" si="8"/>
        <v>0</v>
      </c>
      <c r="BP28" s="61">
        <f t="shared" si="8"/>
        <v>0</v>
      </c>
      <c r="BQ28" s="61">
        <f t="shared" si="8"/>
        <v>0</v>
      </c>
      <c r="BR28" s="61">
        <f t="shared" si="8"/>
        <v>0</v>
      </c>
      <c r="BS28" s="61">
        <f t="shared" si="9"/>
        <v>0</v>
      </c>
      <c r="BT28" s="61">
        <f t="shared" si="9"/>
        <v>0</v>
      </c>
      <c r="BU28" s="61">
        <f t="shared" si="9"/>
        <v>0</v>
      </c>
      <c r="BV28" s="61">
        <f t="shared" si="9"/>
        <v>0</v>
      </c>
      <c r="BW28" s="61">
        <f t="shared" si="9"/>
        <v>0</v>
      </c>
      <c r="BX28" s="61">
        <f t="shared" si="9"/>
        <v>0</v>
      </c>
      <c r="BY28" s="61">
        <f t="shared" si="9"/>
        <v>0</v>
      </c>
      <c r="BZ28" s="61">
        <f t="shared" si="9"/>
        <v>0</v>
      </c>
      <c r="CA28" s="61">
        <f t="shared" si="9"/>
        <v>0</v>
      </c>
      <c r="CB28" s="61">
        <f t="shared" si="5"/>
        <v>0</v>
      </c>
      <c r="CD28" s="200">
        <f>(SUMIF(Fonctionnement[Affectation matrice],$AB$3,Fonctionnement[TVA acquittée])+SUMIF(Invest[Affectation matrice],$AB$3,Invest[TVA acquittée]))*BC28</f>
        <v>0</v>
      </c>
      <c r="CE28" s="200">
        <f>(SUMIF(Fonctionnement[Affectation matrice],$AB$3,Fonctionnement[TVA acquittée])+SUMIF(Invest[Affectation matrice],$AB$3,Invest[TVA acquittée]))*BD28</f>
        <v>0</v>
      </c>
      <c r="CF28" s="200">
        <f>(SUMIF(Fonctionnement[Affectation matrice],$AB$3,Fonctionnement[TVA acquittée])+SUMIF(Invest[Affectation matrice],$AB$3,Invest[TVA acquittée]))*BE28</f>
        <v>0</v>
      </c>
      <c r="CG28" s="200">
        <f>(SUMIF(Fonctionnement[Affectation matrice],$AB$3,Fonctionnement[TVA acquittée])+SUMIF(Invest[Affectation matrice],$AB$3,Invest[TVA acquittée]))*BF28</f>
        <v>0</v>
      </c>
      <c r="CH28" s="200">
        <f>(SUMIF(Fonctionnement[Affectation matrice],$AB$3,Fonctionnement[TVA acquittée])+SUMIF(Invest[Affectation matrice],$AB$3,Invest[TVA acquittée]))*BG28</f>
        <v>0</v>
      </c>
      <c r="CI28" s="200">
        <f>(SUMIF(Fonctionnement[Affectation matrice],$AB$3,Fonctionnement[TVA acquittée])+SUMIF(Invest[Affectation matrice],$AB$3,Invest[TVA acquittée]))*BH28</f>
        <v>0</v>
      </c>
      <c r="CJ28" s="200">
        <f>(SUMIF(Fonctionnement[Affectation matrice],$AB$3,Fonctionnement[TVA acquittée])+SUMIF(Invest[Affectation matrice],$AB$3,Invest[TVA acquittée]))*BI28</f>
        <v>0</v>
      </c>
      <c r="CK28" s="200">
        <f>(SUMIF(Fonctionnement[Affectation matrice],$AB$3,Fonctionnement[TVA acquittée])+SUMIF(Invest[Affectation matrice],$AB$3,Invest[TVA acquittée]))*BJ28</f>
        <v>0</v>
      </c>
      <c r="CL28" s="200">
        <f>(SUMIF(Fonctionnement[Affectation matrice],$AB$3,Fonctionnement[TVA acquittée])+SUMIF(Invest[Affectation matrice],$AB$3,Invest[TVA acquittée]))*BK28</f>
        <v>0</v>
      </c>
      <c r="CM28" s="200">
        <f>(SUMIF(Fonctionnement[Affectation matrice],$AB$3,Fonctionnement[TVA acquittée])+SUMIF(Invest[Affectation matrice],$AB$3,Invest[TVA acquittée]))*BL28</f>
        <v>0</v>
      </c>
      <c r="CN28" s="200">
        <f>(SUMIF(Fonctionnement[Affectation matrice],$AB$3,Fonctionnement[TVA acquittée])+SUMIF(Invest[Affectation matrice],$AB$3,Invest[TVA acquittée]))*BM28</f>
        <v>0</v>
      </c>
      <c r="CO28" s="200">
        <f>(SUMIF(Fonctionnement[Affectation matrice],$AB$3,Fonctionnement[TVA acquittée])+SUMIF(Invest[Affectation matrice],$AB$3,Invest[TVA acquittée]))*BN28</f>
        <v>0</v>
      </c>
      <c r="CP28" s="200">
        <f>(SUMIF(Fonctionnement[Affectation matrice],$AB$3,Fonctionnement[TVA acquittée])+SUMIF(Invest[Affectation matrice],$AB$3,Invest[TVA acquittée]))*BO28</f>
        <v>0</v>
      </c>
      <c r="CQ28" s="200">
        <f>(SUMIF(Fonctionnement[Affectation matrice],$AB$3,Fonctionnement[TVA acquittée])+SUMIF(Invest[Affectation matrice],$AB$3,Invest[TVA acquittée]))*BP28</f>
        <v>0</v>
      </c>
      <c r="CR28" s="200">
        <f>(SUMIF(Fonctionnement[Affectation matrice],$AB$3,Fonctionnement[TVA acquittée])+SUMIF(Invest[Affectation matrice],$AB$3,Invest[TVA acquittée]))*BQ28</f>
        <v>0</v>
      </c>
      <c r="CS28" s="200">
        <f>(SUMIF(Fonctionnement[Affectation matrice],$AB$3,Fonctionnement[TVA acquittée])+SUMIF(Invest[Affectation matrice],$AB$3,Invest[TVA acquittée]))*BR28</f>
        <v>0</v>
      </c>
      <c r="CT28" s="200">
        <f>(SUMIF(Fonctionnement[Affectation matrice],$AB$3,Fonctionnement[TVA acquittée])+SUMIF(Invest[Affectation matrice],$AB$3,Invest[TVA acquittée]))*BS28</f>
        <v>0</v>
      </c>
      <c r="CU28" s="200">
        <f>(SUMIF(Fonctionnement[Affectation matrice],$AB$3,Fonctionnement[TVA acquittée])+SUMIF(Invest[Affectation matrice],$AB$3,Invest[TVA acquittée]))*BT28</f>
        <v>0</v>
      </c>
      <c r="CV28" s="200">
        <f>(SUMIF(Fonctionnement[Affectation matrice],$AB$3,Fonctionnement[TVA acquittée])+SUMIF(Invest[Affectation matrice],$AB$3,Invest[TVA acquittée]))*BU28</f>
        <v>0</v>
      </c>
      <c r="CW28" s="200">
        <f>(SUMIF(Fonctionnement[Affectation matrice],$AB$3,Fonctionnement[TVA acquittée])+SUMIF(Invest[Affectation matrice],$AB$3,Invest[TVA acquittée]))*BV28</f>
        <v>0</v>
      </c>
      <c r="CX28" s="200">
        <f>(SUMIF(Fonctionnement[Affectation matrice],$AB$3,Fonctionnement[TVA acquittée])+SUMIF(Invest[Affectation matrice],$AB$3,Invest[TVA acquittée]))*BW28</f>
        <v>0</v>
      </c>
      <c r="CY28" s="200">
        <f>(SUMIF(Fonctionnement[Affectation matrice],$AB$3,Fonctionnement[TVA acquittée])+SUMIF(Invest[Affectation matrice],$AB$3,Invest[TVA acquittée]))*BX28</f>
        <v>0</v>
      </c>
      <c r="CZ28" s="200">
        <f>(SUMIF(Fonctionnement[Affectation matrice],$AB$3,Fonctionnement[TVA acquittée])+SUMIF(Invest[Affectation matrice],$AB$3,Invest[TVA acquittée]))*BY28</f>
        <v>0</v>
      </c>
      <c r="DA28" s="200">
        <f>(SUMIF(Fonctionnement[Affectation matrice],$AB$3,Fonctionnement[TVA acquittée])+SUMIF(Invest[Affectation matrice],$AB$3,Invest[TVA acquittée]))*BZ28</f>
        <v>0</v>
      </c>
      <c r="DB28" s="200">
        <f>(SUMIF(Fonctionnement[Affectation matrice],$AB$3,Fonctionnement[TVA acquittée])+SUMIF(Invest[Affectation matrice],$AB$3,Invest[TVA acquittée]))*CA28</f>
        <v>0</v>
      </c>
    </row>
    <row r="29" spans="1:106" s="22" customFormat="1" ht="12.75" hidden="1" customHeight="1" x14ac:dyDescent="0.25">
      <c r="A29" s="42" t="str">
        <f>Matrice[[#This Row],[Ligne de la matrice]]</f>
        <v>Autres produits</v>
      </c>
      <c r="B29" s="276">
        <f>(SUMIF(Fonctionnement[Affectation matrice],$AB$3,Fonctionnement[Montant (€HT)])+SUMIF(Invest[Affectation matrice],$AB$3,Invest[Amortissement HT + intérêts]))*BC29</f>
        <v>0</v>
      </c>
      <c r="C29" s="276">
        <f>(SUMIF(Fonctionnement[Affectation matrice],$AB$3,Fonctionnement[Montant (€HT)])+SUMIF(Invest[Affectation matrice],$AB$3,Invest[Amortissement HT + intérêts]))*BD29</f>
        <v>0</v>
      </c>
      <c r="D29" s="276">
        <f>(SUMIF(Fonctionnement[Affectation matrice],$AB$3,Fonctionnement[Montant (€HT)])+SUMIF(Invest[Affectation matrice],$AB$3,Invest[Amortissement HT + intérêts]))*BE29</f>
        <v>0</v>
      </c>
      <c r="E29" s="276">
        <f>(SUMIF(Fonctionnement[Affectation matrice],$AB$3,Fonctionnement[Montant (€HT)])+SUMIF(Invest[Affectation matrice],$AB$3,Invest[Amortissement HT + intérêts]))*BF29</f>
        <v>0</v>
      </c>
      <c r="F29" s="276">
        <f>(SUMIF(Fonctionnement[Affectation matrice],$AB$3,Fonctionnement[Montant (€HT)])+SUMIF(Invest[Affectation matrice],$AB$3,Invest[Amortissement HT + intérêts]))*BG29</f>
        <v>0</v>
      </c>
      <c r="G29" s="276">
        <f>(SUMIF(Fonctionnement[Affectation matrice],$AB$3,Fonctionnement[Montant (€HT)])+SUMIF(Invest[Affectation matrice],$AB$3,Invest[Amortissement HT + intérêts]))*BH29</f>
        <v>0</v>
      </c>
      <c r="H29" s="276">
        <f>(SUMIF(Fonctionnement[Affectation matrice],$AB$3,Fonctionnement[Montant (€HT)])+SUMIF(Invest[Affectation matrice],$AB$3,Invest[Amortissement HT + intérêts]))*BI29</f>
        <v>0</v>
      </c>
      <c r="I29" s="276">
        <f>(SUMIF(Fonctionnement[Affectation matrice],$AB$3,Fonctionnement[Montant (€HT)])+SUMIF(Invest[Affectation matrice],$AB$3,Invest[Amortissement HT + intérêts]))*BJ29</f>
        <v>0</v>
      </c>
      <c r="J29" s="276">
        <f>(SUMIF(Fonctionnement[Affectation matrice],$AB$3,Fonctionnement[Montant (€HT)])+SUMIF(Invest[Affectation matrice],$AB$3,Invest[Amortissement HT + intérêts]))*BK29</f>
        <v>0</v>
      </c>
      <c r="K29" s="276">
        <f>(SUMIF(Fonctionnement[Affectation matrice],$AB$3,Fonctionnement[Montant (€HT)])+SUMIF(Invest[Affectation matrice],$AB$3,Invest[Amortissement HT + intérêts]))*BL29</f>
        <v>0</v>
      </c>
      <c r="L29" s="276">
        <f>(SUMIF(Fonctionnement[Affectation matrice],$AB$3,Fonctionnement[Montant (€HT)])+SUMIF(Invest[Affectation matrice],$AB$3,Invest[Amortissement HT + intérêts]))*BM29</f>
        <v>0</v>
      </c>
      <c r="M29" s="276">
        <f>(SUMIF(Fonctionnement[Affectation matrice],$AB$3,Fonctionnement[Montant (€HT)])+SUMIF(Invest[Affectation matrice],$AB$3,Invest[Amortissement HT + intérêts]))*BN29</f>
        <v>0</v>
      </c>
      <c r="N29" s="276">
        <f>(SUMIF(Fonctionnement[Affectation matrice],$AB$3,Fonctionnement[Montant (€HT)])+SUMIF(Invest[Affectation matrice],$AB$3,Invest[Amortissement HT + intérêts]))*BO29</f>
        <v>0</v>
      </c>
      <c r="O29" s="276">
        <f>(SUMIF(Fonctionnement[Affectation matrice],$AB$3,Fonctionnement[Montant (€HT)])+SUMIF(Invest[Affectation matrice],$AB$3,Invest[Amortissement HT + intérêts]))*BP29</f>
        <v>0</v>
      </c>
      <c r="P29" s="276">
        <f>(SUMIF(Fonctionnement[Affectation matrice],$AB$3,Fonctionnement[Montant (€HT)])+SUMIF(Invest[Affectation matrice],$AB$3,Invest[Amortissement HT + intérêts]))*BQ29</f>
        <v>0</v>
      </c>
      <c r="Q29" s="276">
        <f>(SUMIF(Fonctionnement[Affectation matrice],$AB$3,Fonctionnement[Montant (€HT)])+SUMIF(Invest[Affectation matrice],$AB$3,Invest[Amortissement HT + intérêts]))*BR29</f>
        <v>0</v>
      </c>
      <c r="R29" s="276">
        <f>(SUMIF(Fonctionnement[Affectation matrice],$AB$3,Fonctionnement[Montant (€HT)])+SUMIF(Invest[Affectation matrice],$AB$3,Invest[Amortissement HT + intérêts]))*BS29</f>
        <v>0</v>
      </c>
      <c r="S29" s="276">
        <f>(SUMIF(Fonctionnement[Affectation matrice],$AB$3,Fonctionnement[Montant (€HT)])+SUMIF(Invest[Affectation matrice],$AB$3,Invest[Amortissement HT + intérêts]))*BT29</f>
        <v>0</v>
      </c>
      <c r="T29" s="276">
        <f>(SUMIF(Fonctionnement[Affectation matrice],$AB$3,Fonctionnement[Montant (€HT)])+SUMIF(Invest[Affectation matrice],$AB$3,Invest[Amortissement HT + intérêts]))*BU29</f>
        <v>0</v>
      </c>
      <c r="U29" s="276">
        <f>(SUMIF(Fonctionnement[Affectation matrice],$AB$3,Fonctionnement[Montant (€HT)])+SUMIF(Invest[Affectation matrice],$AB$3,Invest[Amortissement HT + intérêts]))*BV29</f>
        <v>0</v>
      </c>
      <c r="V29" s="276">
        <f>(SUMIF(Fonctionnement[Affectation matrice],$AB$3,Fonctionnement[Montant (€HT)])+SUMIF(Invest[Affectation matrice],$AB$3,Invest[Amortissement HT + intérêts]))*BW29</f>
        <v>0</v>
      </c>
      <c r="W29" s="276">
        <f>(SUMIF(Fonctionnement[Affectation matrice],$AB$3,Fonctionnement[Montant (€HT)])+SUMIF(Invest[Affectation matrice],$AB$3,Invest[Amortissement HT + intérêts]))*BX29</f>
        <v>0</v>
      </c>
      <c r="X29" s="276">
        <f>(SUMIF(Fonctionnement[Affectation matrice],$AB$3,Fonctionnement[Montant (€HT)])+SUMIF(Invest[Affectation matrice],$AB$3,Invest[Amortissement HT + intérêts]))*BY29</f>
        <v>0</v>
      </c>
      <c r="Y29" s="276">
        <f>(SUMIF(Fonctionnement[Affectation matrice],$AB$3,Fonctionnement[Montant (€HT)])+SUMIF(Invest[Affectation matrice],$AB$3,Invest[Amortissement HT + intérêts]))*BZ29</f>
        <v>0</v>
      </c>
      <c r="Z29" s="276">
        <f>(SUMIF(Fonctionnement[Affectation matrice],$AB$3,Fonctionnement[Montant (€HT)])+SUMIF(Invest[Affectation matrice],$AB$3,Invest[Amortissement HT + intérêts]))*CA29</f>
        <v>0</v>
      </c>
      <c r="AA29" s="199"/>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283">
        <f t="shared" si="4"/>
        <v>0</v>
      </c>
      <c r="BB29" s="7"/>
      <c r="BC29" s="61">
        <f t="shared" si="8"/>
        <v>0</v>
      </c>
      <c r="BD29" s="61">
        <f t="shared" si="8"/>
        <v>0</v>
      </c>
      <c r="BE29" s="61">
        <f t="shared" si="8"/>
        <v>0</v>
      </c>
      <c r="BF29" s="61">
        <f t="shared" si="8"/>
        <v>0</v>
      </c>
      <c r="BG29" s="61">
        <f t="shared" si="8"/>
        <v>0</v>
      </c>
      <c r="BH29" s="61">
        <f t="shared" si="8"/>
        <v>0</v>
      </c>
      <c r="BI29" s="61">
        <f t="shared" si="8"/>
        <v>0</v>
      </c>
      <c r="BJ29" s="61">
        <f t="shared" si="8"/>
        <v>0</v>
      </c>
      <c r="BK29" s="61">
        <f t="shared" si="8"/>
        <v>0</v>
      </c>
      <c r="BL29" s="61">
        <f t="shared" si="8"/>
        <v>0</v>
      </c>
      <c r="BM29" s="61">
        <f t="shared" si="8"/>
        <v>0</v>
      </c>
      <c r="BN29" s="61">
        <f t="shared" si="8"/>
        <v>0</v>
      </c>
      <c r="BO29" s="61">
        <f t="shared" si="8"/>
        <v>0</v>
      </c>
      <c r="BP29" s="61">
        <f t="shared" si="8"/>
        <v>0</v>
      </c>
      <c r="BQ29" s="61">
        <f t="shared" si="8"/>
        <v>0</v>
      </c>
      <c r="BR29" s="61">
        <f t="shared" si="8"/>
        <v>0</v>
      </c>
      <c r="BS29" s="61">
        <f t="shared" si="9"/>
        <v>0</v>
      </c>
      <c r="BT29" s="61">
        <f t="shared" si="9"/>
        <v>0</v>
      </c>
      <c r="BU29" s="61">
        <f t="shared" si="9"/>
        <v>0</v>
      </c>
      <c r="BV29" s="61">
        <f t="shared" si="9"/>
        <v>0</v>
      </c>
      <c r="BW29" s="61">
        <f t="shared" si="9"/>
        <v>0</v>
      </c>
      <c r="BX29" s="61">
        <f t="shared" si="9"/>
        <v>0</v>
      </c>
      <c r="BY29" s="61">
        <f t="shared" si="9"/>
        <v>0</v>
      </c>
      <c r="BZ29" s="61">
        <f t="shared" si="9"/>
        <v>0</v>
      </c>
      <c r="CA29" s="61">
        <f t="shared" si="9"/>
        <v>0</v>
      </c>
      <c r="CB29" s="61">
        <f t="shared" si="5"/>
        <v>0</v>
      </c>
      <c r="CD29" s="200">
        <f>(SUMIF(Fonctionnement[Affectation matrice],$AB$3,Fonctionnement[TVA acquittée])+SUMIF(Invest[Affectation matrice],$AB$3,Invest[TVA acquittée]))*BC29</f>
        <v>0</v>
      </c>
      <c r="CE29" s="200">
        <f>(SUMIF(Fonctionnement[Affectation matrice],$AB$3,Fonctionnement[TVA acquittée])+SUMIF(Invest[Affectation matrice],$AB$3,Invest[TVA acquittée]))*BD29</f>
        <v>0</v>
      </c>
      <c r="CF29" s="200">
        <f>(SUMIF(Fonctionnement[Affectation matrice],$AB$3,Fonctionnement[TVA acquittée])+SUMIF(Invest[Affectation matrice],$AB$3,Invest[TVA acquittée]))*BE29</f>
        <v>0</v>
      </c>
      <c r="CG29" s="200">
        <f>(SUMIF(Fonctionnement[Affectation matrice],$AB$3,Fonctionnement[TVA acquittée])+SUMIF(Invest[Affectation matrice],$AB$3,Invest[TVA acquittée]))*BF29</f>
        <v>0</v>
      </c>
      <c r="CH29" s="200">
        <f>(SUMIF(Fonctionnement[Affectation matrice],$AB$3,Fonctionnement[TVA acquittée])+SUMIF(Invest[Affectation matrice],$AB$3,Invest[TVA acquittée]))*BG29</f>
        <v>0</v>
      </c>
      <c r="CI29" s="200">
        <f>(SUMIF(Fonctionnement[Affectation matrice],$AB$3,Fonctionnement[TVA acquittée])+SUMIF(Invest[Affectation matrice],$AB$3,Invest[TVA acquittée]))*BH29</f>
        <v>0</v>
      </c>
      <c r="CJ29" s="200">
        <f>(SUMIF(Fonctionnement[Affectation matrice],$AB$3,Fonctionnement[TVA acquittée])+SUMIF(Invest[Affectation matrice],$AB$3,Invest[TVA acquittée]))*BI29</f>
        <v>0</v>
      </c>
      <c r="CK29" s="200">
        <f>(SUMIF(Fonctionnement[Affectation matrice],$AB$3,Fonctionnement[TVA acquittée])+SUMIF(Invest[Affectation matrice],$AB$3,Invest[TVA acquittée]))*BJ29</f>
        <v>0</v>
      </c>
      <c r="CL29" s="200">
        <f>(SUMIF(Fonctionnement[Affectation matrice],$AB$3,Fonctionnement[TVA acquittée])+SUMIF(Invest[Affectation matrice],$AB$3,Invest[TVA acquittée]))*BK29</f>
        <v>0</v>
      </c>
      <c r="CM29" s="200">
        <f>(SUMIF(Fonctionnement[Affectation matrice],$AB$3,Fonctionnement[TVA acquittée])+SUMIF(Invest[Affectation matrice],$AB$3,Invest[TVA acquittée]))*BL29</f>
        <v>0</v>
      </c>
      <c r="CN29" s="200">
        <f>(SUMIF(Fonctionnement[Affectation matrice],$AB$3,Fonctionnement[TVA acquittée])+SUMIF(Invest[Affectation matrice],$AB$3,Invest[TVA acquittée]))*BM29</f>
        <v>0</v>
      </c>
      <c r="CO29" s="200">
        <f>(SUMIF(Fonctionnement[Affectation matrice],$AB$3,Fonctionnement[TVA acquittée])+SUMIF(Invest[Affectation matrice],$AB$3,Invest[TVA acquittée]))*BN29</f>
        <v>0</v>
      </c>
      <c r="CP29" s="200">
        <f>(SUMIF(Fonctionnement[Affectation matrice],$AB$3,Fonctionnement[TVA acquittée])+SUMIF(Invest[Affectation matrice],$AB$3,Invest[TVA acquittée]))*BO29</f>
        <v>0</v>
      </c>
      <c r="CQ29" s="200">
        <f>(SUMIF(Fonctionnement[Affectation matrice],$AB$3,Fonctionnement[TVA acquittée])+SUMIF(Invest[Affectation matrice],$AB$3,Invest[TVA acquittée]))*BP29</f>
        <v>0</v>
      </c>
      <c r="CR29" s="200">
        <f>(SUMIF(Fonctionnement[Affectation matrice],$AB$3,Fonctionnement[TVA acquittée])+SUMIF(Invest[Affectation matrice],$AB$3,Invest[TVA acquittée]))*BQ29</f>
        <v>0</v>
      </c>
      <c r="CS29" s="200">
        <f>(SUMIF(Fonctionnement[Affectation matrice],$AB$3,Fonctionnement[TVA acquittée])+SUMIF(Invest[Affectation matrice],$AB$3,Invest[TVA acquittée]))*BR29</f>
        <v>0</v>
      </c>
      <c r="CT29" s="200">
        <f>(SUMIF(Fonctionnement[Affectation matrice],$AB$3,Fonctionnement[TVA acquittée])+SUMIF(Invest[Affectation matrice],$AB$3,Invest[TVA acquittée]))*BS29</f>
        <v>0</v>
      </c>
      <c r="CU29" s="200">
        <f>(SUMIF(Fonctionnement[Affectation matrice],$AB$3,Fonctionnement[TVA acquittée])+SUMIF(Invest[Affectation matrice],$AB$3,Invest[TVA acquittée]))*BT29</f>
        <v>0</v>
      </c>
      <c r="CV29" s="200">
        <f>(SUMIF(Fonctionnement[Affectation matrice],$AB$3,Fonctionnement[TVA acquittée])+SUMIF(Invest[Affectation matrice],$AB$3,Invest[TVA acquittée]))*BU29</f>
        <v>0</v>
      </c>
      <c r="CW29" s="200">
        <f>(SUMIF(Fonctionnement[Affectation matrice],$AB$3,Fonctionnement[TVA acquittée])+SUMIF(Invest[Affectation matrice],$AB$3,Invest[TVA acquittée]))*BV29</f>
        <v>0</v>
      </c>
      <c r="CX29" s="200">
        <f>(SUMIF(Fonctionnement[Affectation matrice],$AB$3,Fonctionnement[TVA acquittée])+SUMIF(Invest[Affectation matrice],$AB$3,Invest[TVA acquittée]))*BW29</f>
        <v>0</v>
      </c>
      <c r="CY29" s="200">
        <f>(SUMIF(Fonctionnement[Affectation matrice],$AB$3,Fonctionnement[TVA acquittée])+SUMIF(Invest[Affectation matrice],$AB$3,Invest[TVA acquittée]))*BX29</f>
        <v>0</v>
      </c>
      <c r="CZ29" s="200">
        <f>(SUMIF(Fonctionnement[Affectation matrice],$AB$3,Fonctionnement[TVA acquittée])+SUMIF(Invest[Affectation matrice],$AB$3,Invest[TVA acquittée]))*BY29</f>
        <v>0</v>
      </c>
      <c r="DA29" s="200">
        <f>(SUMIF(Fonctionnement[Affectation matrice],$AB$3,Fonctionnement[TVA acquittée])+SUMIF(Invest[Affectation matrice],$AB$3,Invest[TVA acquittée]))*BZ29</f>
        <v>0</v>
      </c>
      <c r="DB29" s="200">
        <f>(SUMIF(Fonctionnement[Affectation matrice],$AB$3,Fonctionnement[TVA acquittée])+SUMIF(Invest[Affectation matrice],$AB$3,Invest[TVA acquittée]))*CA29</f>
        <v>0</v>
      </c>
    </row>
    <row r="30" spans="1:106" s="22" customFormat="1" ht="12.75" hidden="1" customHeight="1" x14ac:dyDescent="0.25">
      <c r="A30" s="42" t="str">
        <f>Matrice[[#This Row],[Ligne de la matrice]]</f>
        <v>Tous soutiens des sociétés agréées</v>
      </c>
      <c r="B30" s="276">
        <f>(SUMIF(Fonctionnement[Affectation matrice],$AB$3,Fonctionnement[Montant (€HT)])+SUMIF(Invest[Affectation matrice],$AB$3,Invest[Amortissement HT + intérêts]))*BC30</f>
        <v>0</v>
      </c>
      <c r="C30" s="276">
        <f>(SUMIF(Fonctionnement[Affectation matrice],$AB$3,Fonctionnement[Montant (€HT)])+SUMIF(Invest[Affectation matrice],$AB$3,Invest[Amortissement HT + intérêts]))*BD30</f>
        <v>0</v>
      </c>
      <c r="D30" s="276">
        <f>(SUMIF(Fonctionnement[Affectation matrice],$AB$3,Fonctionnement[Montant (€HT)])+SUMIF(Invest[Affectation matrice],$AB$3,Invest[Amortissement HT + intérêts]))*BE30</f>
        <v>0</v>
      </c>
      <c r="E30" s="276">
        <f>(SUMIF(Fonctionnement[Affectation matrice],$AB$3,Fonctionnement[Montant (€HT)])+SUMIF(Invest[Affectation matrice],$AB$3,Invest[Amortissement HT + intérêts]))*BF30</f>
        <v>0</v>
      </c>
      <c r="F30" s="276">
        <f>(SUMIF(Fonctionnement[Affectation matrice],$AB$3,Fonctionnement[Montant (€HT)])+SUMIF(Invest[Affectation matrice],$AB$3,Invest[Amortissement HT + intérêts]))*BG30</f>
        <v>0</v>
      </c>
      <c r="G30" s="276">
        <f>(SUMIF(Fonctionnement[Affectation matrice],$AB$3,Fonctionnement[Montant (€HT)])+SUMIF(Invest[Affectation matrice],$AB$3,Invest[Amortissement HT + intérêts]))*BH30</f>
        <v>0</v>
      </c>
      <c r="H30" s="276">
        <f>(SUMIF(Fonctionnement[Affectation matrice],$AB$3,Fonctionnement[Montant (€HT)])+SUMIF(Invest[Affectation matrice],$AB$3,Invest[Amortissement HT + intérêts]))*BI30</f>
        <v>0</v>
      </c>
      <c r="I30" s="276">
        <f>(SUMIF(Fonctionnement[Affectation matrice],$AB$3,Fonctionnement[Montant (€HT)])+SUMIF(Invest[Affectation matrice],$AB$3,Invest[Amortissement HT + intérêts]))*BJ30</f>
        <v>0</v>
      </c>
      <c r="J30" s="276">
        <f>(SUMIF(Fonctionnement[Affectation matrice],$AB$3,Fonctionnement[Montant (€HT)])+SUMIF(Invest[Affectation matrice],$AB$3,Invest[Amortissement HT + intérêts]))*BK30</f>
        <v>0</v>
      </c>
      <c r="K30" s="276">
        <f>(SUMIF(Fonctionnement[Affectation matrice],$AB$3,Fonctionnement[Montant (€HT)])+SUMIF(Invest[Affectation matrice],$AB$3,Invest[Amortissement HT + intérêts]))*BL30</f>
        <v>0</v>
      </c>
      <c r="L30" s="276">
        <f>(SUMIF(Fonctionnement[Affectation matrice],$AB$3,Fonctionnement[Montant (€HT)])+SUMIF(Invest[Affectation matrice],$AB$3,Invest[Amortissement HT + intérêts]))*BM30</f>
        <v>0</v>
      </c>
      <c r="M30" s="276">
        <f>(SUMIF(Fonctionnement[Affectation matrice],$AB$3,Fonctionnement[Montant (€HT)])+SUMIF(Invest[Affectation matrice],$AB$3,Invest[Amortissement HT + intérêts]))*BN30</f>
        <v>0</v>
      </c>
      <c r="N30" s="276">
        <f>(SUMIF(Fonctionnement[Affectation matrice],$AB$3,Fonctionnement[Montant (€HT)])+SUMIF(Invest[Affectation matrice],$AB$3,Invest[Amortissement HT + intérêts]))*BO30</f>
        <v>0</v>
      </c>
      <c r="O30" s="276">
        <f>(SUMIF(Fonctionnement[Affectation matrice],$AB$3,Fonctionnement[Montant (€HT)])+SUMIF(Invest[Affectation matrice],$AB$3,Invest[Amortissement HT + intérêts]))*BP30</f>
        <v>0</v>
      </c>
      <c r="P30" s="276">
        <f>(SUMIF(Fonctionnement[Affectation matrice],$AB$3,Fonctionnement[Montant (€HT)])+SUMIF(Invest[Affectation matrice],$AB$3,Invest[Amortissement HT + intérêts]))*BQ30</f>
        <v>0</v>
      </c>
      <c r="Q30" s="276">
        <f>(SUMIF(Fonctionnement[Affectation matrice],$AB$3,Fonctionnement[Montant (€HT)])+SUMIF(Invest[Affectation matrice],$AB$3,Invest[Amortissement HT + intérêts]))*BR30</f>
        <v>0</v>
      </c>
      <c r="R30" s="276">
        <f>(SUMIF(Fonctionnement[Affectation matrice],$AB$3,Fonctionnement[Montant (€HT)])+SUMIF(Invest[Affectation matrice],$AB$3,Invest[Amortissement HT + intérêts]))*BS30</f>
        <v>0</v>
      </c>
      <c r="S30" s="276">
        <f>(SUMIF(Fonctionnement[Affectation matrice],$AB$3,Fonctionnement[Montant (€HT)])+SUMIF(Invest[Affectation matrice],$AB$3,Invest[Amortissement HT + intérêts]))*BT30</f>
        <v>0</v>
      </c>
      <c r="T30" s="276">
        <f>(SUMIF(Fonctionnement[Affectation matrice],$AB$3,Fonctionnement[Montant (€HT)])+SUMIF(Invest[Affectation matrice],$AB$3,Invest[Amortissement HT + intérêts]))*BU30</f>
        <v>0</v>
      </c>
      <c r="U30" s="276">
        <f>(SUMIF(Fonctionnement[Affectation matrice],$AB$3,Fonctionnement[Montant (€HT)])+SUMIF(Invest[Affectation matrice],$AB$3,Invest[Amortissement HT + intérêts]))*BV30</f>
        <v>0</v>
      </c>
      <c r="V30" s="276">
        <f>(SUMIF(Fonctionnement[Affectation matrice],$AB$3,Fonctionnement[Montant (€HT)])+SUMIF(Invest[Affectation matrice],$AB$3,Invest[Amortissement HT + intérêts]))*BW30</f>
        <v>0</v>
      </c>
      <c r="W30" s="276">
        <f>(SUMIF(Fonctionnement[Affectation matrice],$AB$3,Fonctionnement[Montant (€HT)])+SUMIF(Invest[Affectation matrice],$AB$3,Invest[Amortissement HT + intérêts]))*BX30</f>
        <v>0</v>
      </c>
      <c r="X30" s="276">
        <f>(SUMIF(Fonctionnement[Affectation matrice],$AB$3,Fonctionnement[Montant (€HT)])+SUMIF(Invest[Affectation matrice],$AB$3,Invest[Amortissement HT + intérêts]))*BY30</f>
        <v>0</v>
      </c>
      <c r="Y30" s="276">
        <f>(SUMIF(Fonctionnement[Affectation matrice],$AB$3,Fonctionnement[Montant (€HT)])+SUMIF(Invest[Affectation matrice],$AB$3,Invest[Amortissement HT + intérêts]))*BZ30</f>
        <v>0</v>
      </c>
      <c r="Z30" s="276">
        <f>(SUMIF(Fonctionnement[Affectation matrice],$AB$3,Fonctionnement[Montant (€HT)])+SUMIF(Invest[Affectation matrice],$AB$3,Invest[Amortissement HT + intérêts]))*CA30</f>
        <v>0</v>
      </c>
      <c r="AA30" s="199"/>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283">
        <f t="shared" si="4"/>
        <v>0</v>
      </c>
      <c r="BB30" s="7"/>
      <c r="BC30" s="61">
        <f t="shared" si="8"/>
        <v>0</v>
      </c>
      <c r="BD30" s="61">
        <f t="shared" si="8"/>
        <v>0</v>
      </c>
      <c r="BE30" s="61">
        <f t="shared" si="8"/>
        <v>0</v>
      </c>
      <c r="BF30" s="61">
        <f t="shared" si="8"/>
        <v>0</v>
      </c>
      <c r="BG30" s="61">
        <f t="shared" si="8"/>
        <v>0</v>
      </c>
      <c r="BH30" s="61">
        <f t="shared" si="8"/>
        <v>0</v>
      </c>
      <c r="BI30" s="61">
        <f t="shared" si="8"/>
        <v>0</v>
      </c>
      <c r="BJ30" s="61">
        <f t="shared" si="8"/>
        <v>0</v>
      </c>
      <c r="BK30" s="61">
        <f t="shared" si="8"/>
        <v>0</v>
      </c>
      <c r="BL30" s="61">
        <f t="shared" si="8"/>
        <v>0</v>
      </c>
      <c r="BM30" s="61">
        <f t="shared" si="8"/>
        <v>0</v>
      </c>
      <c r="BN30" s="61">
        <f t="shared" si="8"/>
        <v>0</v>
      </c>
      <c r="BO30" s="61">
        <f t="shared" si="8"/>
        <v>0</v>
      </c>
      <c r="BP30" s="61">
        <f t="shared" si="8"/>
        <v>0</v>
      </c>
      <c r="BQ30" s="61">
        <f t="shared" si="8"/>
        <v>0</v>
      </c>
      <c r="BR30" s="61">
        <f t="shared" si="8"/>
        <v>0</v>
      </c>
      <c r="BS30" s="61">
        <f t="shared" si="9"/>
        <v>0</v>
      </c>
      <c r="BT30" s="61">
        <f t="shared" si="9"/>
        <v>0</v>
      </c>
      <c r="BU30" s="61">
        <f t="shared" si="9"/>
        <v>0</v>
      </c>
      <c r="BV30" s="61">
        <f t="shared" si="9"/>
        <v>0</v>
      </c>
      <c r="BW30" s="61">
        <f t="shared" si="9"/>
        <v>0</v>
      </c>
      <c r="BX30" s="61">
        <f t="shared" si="9"/>
        <v>0</v>
      </c>
      <c r="BY30" s="61">
        <f t="shared" si="9"/>
        <v>0</v>
      </c>
      <c r="BZ30" s="61">
        <f t="shared" si="9"/>
        <v>0</v>
      </c>
      <c r="CA30" s="61">
        <f t="shared" si="9"/>
        <v>0</v>
      </c>
      <c r="CB30" s="61">
        <f t="shared" si="5"/>
        <v>0</v>
      </c>
      <c r="CD30" s="200">
        <f>(SUMIF(Fonctionnement[Affectation matrice],$AB$3,Fonctionnement[TVA acquittée])+SUMIF(Invest[Affectation matrice],$AB$3,Invest[TVA acquittée]))*BC30</f>
        <v>0</v>
      </c>
      <c r="CE30" s="200">
        <f>(SUMIF(Fonctionnement[Affectation matrice],$AB$3,Fonctionnement[TVA acquittée])+SUMIF(Invest[Affectation matrice],$AB$3,Invest[TVA acquittée]))*BD30</f>
        <v>0</v>
      </c>
      <c r="CF30" s="200">
        <f>(SUMIF(Fonctionnement[Affectation matrice],$AB$3,Fonctionnement[TVA acquittée])+SUMIF(Invest[Affectation matrice],$AB$3,Invest[TVA acquittée]))*BE30</f>
        <v>0</v>
      </c>
      <c r="CG30" s="200">
        <f>(SUMIF(Fonctionnement[Affectation matrice],$AB$3,Fonctionnement[TVA acquittée])+SUMIF(Invest[Affectation matrice],$AB$3,Invest[TVA acquittée]))*BF30</f>
        <v>0</v>
      </c>
      <c r="CH30" s="200">
        <f>(SUMIF(Fonctionnement[Affectation matrice],$AB$3,Fonctionnement[TVA acquittée])+SUMIF(Invest[Affectation matrice],$AB$3,Invest[TVA acquittée]))*BG30</f>
        <v>0</v>
      </c>
      <c r="CI30" s="200">
        <f>(SUMIF(Fonctionnement[Affectation matrice],$AB$3,Fonctionnement[TVA acquittée])+SUMIF(Invest[Affectation matrice],$AB$3,Invest[TVA acquittée]))*BH30</f>
        <v>0</v>
      </c>
      <c r="CJ30" s="200">
        <f>(SUMIF(Fonctionnement[Affectation matrice],$AB$3,Fonctionnement[TVA acquittée])+SUMIF(Invest[Affectation matrice],$AB$3,Invest[TVA acquittée]))*BI30</f>
        <v>0</v>
      </c>
      <c r="CK30" s="200">
        <f>(SUMIF(Fonctionnement[Affectation matrice],$AB$3,Fonctionnement[TVA acquittée])+SUMIF(Invest[Affectation matrice],$AB$3,Invest[TVA acquittée]))*BJ30</f>
        <v>0</v>
      </c>
      <c r="CL30" s="200">
        <f>(SUMIF(Fonctionnement[Affectation matrice],$AB$3,Fonctionnement[TVA acquittée])+SUMIF(Invest[Affectation matrice],$AB$3,Invest[TVA acquittée]))*BK30</f>
        <v>0</v>
      </c>
      <c r="CM30" s="200">
        <f>(SUMIF(Fonctionnement[Affectation matrice],$AB$3,Fonctionnement[TVA acquittée])+SUMIF(Invest[Affectation matrice],$AB$3,Invest[TVA acquittée]))*BL30</f>
        <v>0</v>
      </c>
      <c r="CN30" s="200">
        <f>(SUMIF(Fonctionnement[Affectation matrice],$AB$3,Fonctionnement[TVA acquittée])+SUMIF(Invest[Affectation matrice],$AB$3,Invest[TVA acquittée]))*BM30</f>
        <v>0</v>
      </c>
      <c r="CO30" s="200">
        <f>(SUMIF(Fonctionnement[Affectation matrice],$AB$3,Fonctionnement[TVA acquittée])+SUMIF(Invest[Affectation matrice],$AB$3,Invest[TVA acquittée]))*BN30</f>
        <v>0</v>
      </c>
      <c r="CP30" s="200">
        <f>(SUMIF(Fonctionnement[Affectation matrice],$AB$3,Fonctionnement[TVA acquittée])+SUMIF(Invest[Affectation matrice],$AB$3,Invest[TVA acquittée]))*BO30</f>
        <v>0</v>
      </c>
      <c r="CQ30" s="200">
        <f>(SUMIF(Fonctionnement[Affectation matrice],$AB$3,Fonctionnement[TVA acquittée])+SUMIF(Invest[Affectation matrice],$AB$3,Invest[TVA acquittée]))*BP30</f>
        <v>0</v>
      </c>
      <c r="CR30" s="200">
        <f>(SUMIF(Fonctionnement[Affectation matrice],$AB$3,Fonctionnement[TVA acquittée])+SUMIF(Invest[Affectation matrice],$AB$3,Invest[TVA acquittée]))*BQ30</f>
        <v>0</v>
      </c>
      <c r="CS30" s="200">
        <f>(SUMIF(Fonctionnement[Affectation matrice],$AB$3,Fonctionnement[TVA acquittée])+SUMIF(Invest[Affectation matrice],$AB$3,Invest[TVA acquittée]))*BR30</f>
        <v>0</v>
      </c>
      <c r="CT30" s="200">
        <f>(SUMIF(Fonctionnement[Affectation matrice],$AB$3,Fonctionnement[TVA acquittée])+SUMIF(Invest[Affectation matrice],$AB$3,Invest[TVA acquittée]))*BS30</f>
        <v>0</v>
      </c>
      <c r="CU30" s="200">
        <f>(SUMIF(Fonctionnement[Affectation matrice],$AB$3,Fonctionnement[TVA acquittée])+SUMIF(Invest[Affectation matrice],$AB$3,Invest[TVA acquittée]))*BT30</f>
        <v>0</v>
      </c>
      <c r="CV30" s="200">
        <f>(SUMIF(Fonctionnement[Affectation matrice],$AB$3,Fonctionnement[TVA acquittée])+SUMIF(Invest[Affectation matrice],$AB$3,Invest[TVA acquittée]))*BU30</f>
        <v>0</v>
      </c>
      <c r="CW30" s="200">
        <f>(SUMIF(Fonctionnement[Affectation matrice],$AB$3,Fonctionnement[TVA acquittée])+SUMIF(Invest[Affectation matrice],$AB$3,Invest[TVA acquittée]))*BV30</f>
        <v>0</v>
      </c>
      <c r="CX30" s="200">
        <f>(SUMIF(Fonctionnement[Affectation matrice],$AB$3,Fonctionnement[TVA acquittée])+SUMIF(Invest[Affectation matrice],$AB$3,Invest[TVA acquittée]))*BW30</f>
        <v>0</v>
      </c>
      <c r="CY30" s="200">
        <f>(SUMIF(Fonctionnement[Affectation matrice],$AB$3,Fonctionnement[TVA acquittée])+SUMIF(Invest[Affectation matrice],$AB$3,Invest[TVA acquittée]))*BX30</f>
        <v>0</v>
      </c>
      <c r="CZ30" s="200">
        <f>(SUMIF(Fonctionnement[Affectation matrice],$AB$3,Fonctionnement[TVA acquittée])+SUMIF(Invest[Affectation matrice],$AB$3,Invest[TVA acquittée]))*BY30</f>
        <v>0</v>
      </c>
      <c r="DA30" s="200">
        <f>(SUMIF(Fonctionnement[Affectation matrice],$AB$3,Fonctionnement[TVA acquittée])+SUMIF(Invest[Affectation matrice],$AB$3,Invest[TVA acquittée]))*BZ30</f>
        <v>0</v>
      </c>
      <c r="DB30" s="200">
        <f>(SUMIF(Fonctionnement[Affectation matrice],$AB$3,Fonctionnement[TVA acquittée])+SUMIF(Invest[Affectation matrice],$AB$3,Invest[TVA acquittée]))*CA30</f>
        <v>0</v>
      </c>
    </row>
    <row r="31" spans="1:106" s="22" customFormat="1" ht="12.75" hidden="1" customHeight="1" x14ac:dyDescent="0.25">
      <c r="A31" s="42" t="str">
        <f>Matrice[[#This Row],[Ligne de la matrice]]</f>
        <v>Reprises des subventions d'investissement</v>
      </c>
      <c r="B31" s="276">
        <f>(SUMIF(Fonctionnement[Affectation matrice],$AB$3,Fonctionnement[Montant (€HT)])+SUMIF(Invest[Affectation matrice],$AB$3,Invest[Amortissement HT + intérêts]))*BC31</f>
        <v>0</v>
      </c>
      <c r="C31" s="276">
        <f>(SUMIF(Fonctionnement[Affectation matrice],$AB$3,Fonctionnement[Montant (€HT)])+SUMIF(Invest[Affectation matrice],$AB$3,Invest[Amortissement HT + intérêts]))*BD31</f>
        <v>0</v>
      </c>
      <c r="D31" s="276">
        <f>(SUMIF(Fonctionnement[Affectation matrice],$AB$3,Fonctionnement[Montant (€HT)])+SUMIF(Invest[Affectation matrice],$AB$3,Invest[Amortissement HT + intérêts]))*BE31</f>
        <v>0</v>
      </c>
      <c r="E31" s="276">
        <f>(SUMIF(Fonctionnement[Affectation matrice],$AB$3,Fonctionnement[Montant (€HT)])+SUMIF(Invest[Affectation matrice],$AB$3,Invest[Amortissement HT + intérêts]))*BF31</f>
        <v>0</v>
      </c>
      <c r="F31" s="276">
        <f>(SUMIF(Fonctionnement[Affectation matrice],$AB$3,Fonctionnement[Montant (€HT)])+SUMIF(Invest[Affectation matrice],$AB$3,Invest[Amortissement HT + intérêts]))*BG31</f>
        <v>0</v>
      </c>
      <c r="G31" s="276">
        <f>(SUMIF(Fonctionnement[Affectation matrice],$AB$3,Fonctionnement[Montant (€HT)])+SUMIF(Invest[Affectation matrice],$AB$3,Invest[Amortissement HT + intérêts]))*BH31</f>
        <v>0</v>
      </c>
      <c r="H31" s="276">
        <f>(SUMIF(Fonctionnement[Affectation matrice],$AB$3,Fonctionnement[Montant (€HT)])+SUMIF(Invest[Affectation matrice],$AB$3,Invest[Amortissement HT + intérêts]))*BI31</f>
        <v>0</v>
      </c>
      <c r="I31" s="276">
        <f>(SUMIF(Fonctionnement[Affectation matrice],$AB$3,Fonctionnement[Montant (€HT)])+SUMIF(Invest[Affectation matrice],$AB$3,Invest[Amortissement HT + intérêts]))*BJ31</f>
        <v>0</v>
      </c>
      <c r="J31" s="276">
        <f>(SUMIF(Fonctionnement[Affectation matrice],$AB$3,Fonctionnement[Montant (€HT)])+SUMIF(Invest[Affectation matrice],$AB$3,Invest[Amortissement HT + intérêts]))*BK31</f>
        <v>0</v>
      </c>
      <c r="K31" s="276">
        <f>(SUMIF(Fonctionnement[Affectation matrice],$AB$3,Fonctionnement[Montant (€HT)])+SUMIF(Invest[Affectation matrice],$AB$3,Invest[Amortissement HT + intérêts]))*BL31</f>
        <v>0</v>
      </c>
      <c r="L31" s="276">
        <f>(SUMIF(Fonctionnement[Affectation matrice],$AB$3,Fonctionnement[Montant (€HT)])+SUMIF(Invest[Affectation matrice],$AB$3,Invest[Amortissement HT + intérêts]))*BM31</f>
        <v>0</v>
      </c>
      <c r="M31" s="276">
        <f>(SUMIF(Fonctionnement[Affectation matrice],$AB$3,Fonctionnement[Montant (€HT)])+SUMIF(Invest[Affectation matrice],$AB$3,Invest[Amortissement HT + intérêts]))*BN31</f>
        <v>0</v>
      </c>
      <c r="N31" s="276">
        <f>(SUMIF(Fonctionnement[Affectation matrice],$AB$3,Fonctionnement[Montant (€HT)])+SUMIF(Invest[Affectation matrice],$AB$3,Invest[Amortissement HT + intérêts]))*BO31</f>
        <v>0</v>
      </c>
      <c r="O31" s="276">
        <f>(SUMIF(Fonctionnement[Affectation matrice],$AB$3,Fonctionnement[Montant (€HT)])+SUMIF(Invest[Affectation matrice],$AB$3,Invest[Amortissement HT + intérêts]))*BP31</f>
        <v>0</v>
      </c>
      <c r="P31" s="276">
        <f>(SUMIF(Fonctionnement[Affectation matrice],$AB$3,Fonctionnement[Montant (€HT)])+SUMIF(Invest[Affectation matrice],$AB$3,Invest[Amortissement HT + intérêts]))*BQ31</f>
        <v>0</v>
      </c>
      <c r="Q31" s="276">
        <f>(SUMIF(Fonctionnement[Affectation matrice],$AB$3,Fonctionnement[Montant (€HT)])+SUMIF(Invest[Affectation matrice],$AB$3,Invest[Amortissement HT + intérêts]))*BR31</f>
        <v>0</v>
      </c>
      <c r="R31" s="276">
        <f>(SUMIF(Fonctionnement[Affectation matrice],$AB$3,Fonctionnement[Montant (€HT)])+SUMIF(Invest[Affectation matrice],$AB$3,Invest[Amortissement HT + intérêts]))*BS31</f>
        <v>0</v>
      </c>
      <c r="S31" s="276">
        <f>(SUMIF(Fonctionnement[Affectation matrice],$AB$3,Fonctionnement[Montant (€HT)])+SUMIF(Invest[Affectation matrice],$AB$3,Invest[Amortissement HT + intérêts]))*BT31</f>
        <v>0</v>
      </c>
      <c r="T31" s="276">
        <f>(SUMIF(Fonctionnement[Affectation matrice],$AB$3,Fonctionnement[Montant (€HT)])+SUMIF(Invest[Affectation matrice],$AB$3,Invest[Amortissement HT + intérêts]))*BU31</f>
        <v>0</v>
      </c>
      <c r="U31" s="276">
        <f>(SUMIF(Fonctionnement[Affectation matrice],$AB$3,Fonctionnement[Montant (€HT)])+SUMIF(Invest[Affectation matrice],$AB$3,Invest[Amortissement HT + intérêts]))*BV31</f>
        <v>0</v>
      </c>
      <c r="V31" s="276">
        <f>(SUMIF(Fonctionnement[Affectation matrice],$AB$3,Fonctionnement[Montant (€HT)])+SUMIF(Invest[Affectation matrice],$AB$3,Invest[Amortissement HT + intérêts]))*BW31</f>
        <v>0</v>
      </c>
      <c r="W31" s="276">
        <f>(SUMIF(Fonctionnement[Affectation matrice],$AB$3,Fonctionnement[Montant (€HT)])+SUMIF(Invest[Affectation matrice],$AB$3,Invest[Amortissement HT + intérêts]))*BX31</f>
        <v>0</v>
      </c>
      <c r="X31" s="276">
        <f>(SUMIF(Fonctionnement[Affectation matrice],$AB$3,Fonctionnement[Montant (€HT)])+SUMIF(Invest[Affectation matrice],$AB$3,Invest[Amortissement HT + intérêts]))*BY31</f>
        <v>0</v>
      </c>
      <c r="Y31" s="276">
        <f>(SUMIF(Fonctionnement[Affectation matrice],$AB$3,Fonctionnement[Montant (€HT)])+SUMIF(Invest[Affectation matrice],$AB$3,Invest[Amortissement HT + intérêts]))*BZ31</f>
        <v>0</v>
      </c>
      <c r="Z31" s="276">
        <f>(SUMIF(Fonctionnement[Affectation matrice],$AB$3,Fonctionnement[Montant (€HT)])+SUMIF(Invest[Affectation matrice],$AB$3,Invest[Amortissement HT + intérêts]))*CA31</f>
        <v>0</v>
      </c>
      <c r="AA31" s="199"/>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283">
        <f t="shared" si="4"/>
        <v>0</v>
      </c>
      <c r="BB31" s="7"/>
      <c r="BC31" s="61">
        <f t="shared" si="8"/>
        <v>0</v>
      </c>
      <c r="BD31" s="61">
        <f t="shared" si="8"/>
        <v>0</v>
      </c>
      <c r="BE31" s="61">
        <f t="shared" si="8"/>
        <v>0</v>
      </c>
      <c r="BF31" s="61">
        <f t="shared" si="8"/>
        <v>0</v>
      </c>
      <c r="BG31" s="61">
        <f t="shared" si="8"/>
        <v>0</v>
      </c>
      <c r="BH31" s="61">
        <f t="shared" si="8"/>
        <v>0</v>
      </c>
      <c r="BI31" s="61">
        <f t="shared" si="8"/>
        <v>0</v>
      </c>
      <c r="BJ31" s="61">
        <f t="shared" si="8"/>
        <v>0</v>
      </c>
      <c r="BK31" s="61">
        <f t="shared" si="8"/>
        <v>0</v>
      </c>
      <c r="BL31" s="61">
        <f t="shared" si="8"/>
        <v>0</v>
      </c>
      <c r="BM31" s="61">
        <f t="shared" si="8"/>
        <v>0</v>
      </c>
      <c r="BN31" s="61">
        <f t="shared" si="8"/>
        <v>0</v>
      </c>
      <c r="BO31" s="61">
        <f t="shared" si="8"/>
        <v>0</v>
      </c>
      <c r="BP31" s="61">
        <f t="shared" si="8"/>
        <v>0</v>
      </c>
      <c r="BQ31" s="61">
        <f t="shared" si="8"/>
        <v>0</v>
      </c>
      <c r="BR31" s="61">
        <f t="shared" si="8"/>
        <v>0</v>
      </c>
      <c r="BS31" s="61">
        <f t="shared" si="9"/>
        <v>0</v>
      </c>
      <c r="BT31" s="61">
        <f t="shared" si="9"/>
        <v>0</v>
      </c>
      <c r="BU31" s="61">
        <f t="shared" si="9"/>
        <v>0</v>
      </c>
      <c r="BV31" s="61">
        <f t="shared" si="9"/>
        <v>0</v>
      </c>
      <c r="BW31" s="61">
        <f t="shared" si="9"/>
        <v>0</v>
      </c>
      <c r="BX31" s="61">
        <f t="shared" si="9"/>
        <v>0</v>
      </c>
      <c r="BY31" s="61">
        <f t="shared" si="9"/>
        <v>0</v>
      </c>
      <c r="BZ31" s="61">
        <f t="shared" si="9"/>
        <v>0</v>
      </c>
      <c r="CA31" s="61">
        <f t="shared" si="9"/>
        <v>0</v>
      </c>
      <c r="CB31" s="61">
        <f t="shared" si="5"/>
        <v>0</v>
      </c>
      <c r="CD31" s="200">
        <f>(SUMIF(Fonctionnement[Affectation matrice],$AB$3,Fonctionnement[TVA acquittée])+SUMIF(Invest[Affectation matrice],$AB$3,Invest[TVA acquittée]))*BC31</f>
        <v>0</v>
      </c>
      <c r="CE31" s="200">
        <f>(SUMIF(Fonctionnement[Affectation matrice],$AB$3,Fonctionnement[TVA acquittée])+SUMIF(Invest[Affectation matrice],$AB$3,Invest[TVA acquittée]))*BD31</f>
        <v>0</v>
      </c>
      <c r="CF31" s="200">
        <f>(SUMIF(Fonctionnement[Affectation matrice],$AB$3,Fonctionnement[TVA acquittée])+SUMIF(Invest[Affectation matrice],$AB$3,Invest[TVA acquittée]))*BE31</f>
        <v>0</v>
      </c>
      <c r="CG31" s="200">
        <f>(SUMIF(Fonctionnement[Affectation matrice],$AB$3,Fonctionnement[TVA acquittée])+SUMIF(Invest[Affectation matrice],$AB$3,Invest[TVA acquittée]))*BF31</f>
        <v>0</v>
      </c>
      <c r="CH31" s="200">
        <f>(SUMIF(Fonctionnement[Affectation matrice],$AB$3,Fonctionnement[TVA acquittée])+SUMIF(Invest[Affectation matrice],$AB$3,Invest[TVA acquittée]))*BG31</f>
        <v>0</v>
      </c>
      <c r="CI31" s="200">
        <f>(SUMIF(Fonctionnement[Affectation matrice],$AB$3,Fonctionnement[TVA acquittée])+SUMIF(Invest[Affectation matrice],$AB$3,Invest[TVA acquittée]))*BH31</f>
        <v>0</v>
      </c>
      <c r="CJ31" s="200">
        <f>(SUMIF(Fonctionnement[Affectation matrice],$AB$3,Fonctionnement[TVA acquittée])+SUMIF(Invest[Affectation matrice],$AB$3,Invest[TVA acquittée]))*BI31</f>
        <v>0</v>
      </c>
      <c r="CK31" s="200">
        <f>(SUMIF(Fonctionnement[Affectation matrice],$AB$3,Fonctionnement[TVA acquittée])+SUMIF(Invest[Affectation matrice],$AB$3,Invest[TVA acquittée]))*BJ31</f>
        <v>0</v>
      </c>
      <c r="CL31" s="200">
        <f>(SUMIF(Fonctionnement[Affectation matrice],$AB$3,Fonctionnement[TVA acquittée])+SUMIF(Invest[Affectation matrice],$AB$3,Invest[TVA acquittée]))*BK31</f>
        <v>0</v>
      </c>
      <c r="CM31" s="200">
        <f>(SUMIF(Fonctionnement[Affectation matrice],$AB$3,Fonctionnement[TVA acquittée])+SUMIF(Invest[Affectation matrice],$AB$3,Invest[TVA acquittée]))*BL31</f>
        <v>0</v>
      </c>
      <c r="CN31" s="200">
        <f>(SUMIF(Fonctionnement[Affectation matrice],$AB$3,Fonctionnement[TVA acquittée])+SUMIF(Invest[Affectation matrice],$AB$3,Invest[TVA acquittée]))*BM31</f>
        <v>0</v>
      </c>
      <c r="CO31" s="200">
        <f>(SUMIF(Fonctionnement[Affectation matrice],$AB$3,Fonctionnement[TVA acquittée])+SUMIF(Invest[Affectation matrice],$AB$3,Invest[TVA acquittée]))*BN31</f>
        <v>0</v>
      </c>
      <c r="CP31" s="200">
        <f>(SUMIF(Fonctionnement[Affectation matrice],$AB$3,Fonctionnement[TVA acquittée])+SUMIF(Invest[Affectation matrice],$AB$3,Invest[TVA acquittée]))*BO31</f>
        <v>0</v>
      </c>
      <c r="CQ31" s="200">
        <f>(SUMIF(Fonctionnement[Affectation matrice],$AB$3,Fonctionnement[TVA acquittée])+SUMIF(Invest[Affectation matrice],$AB$3,Invest[TVA acquittée]))*BP31</f>
        <v>0</v>
      </c>
      <c r="CR31" s="200">
        <f>(SUMIF(Fonctionnement[Affectation matrice],$AB$3,Fonctionnement[TVA acquittée])+SUMIF(Invest[Affectation matrice],$AB$3,Invest[TVA acquittée]))*BQ31</f>
        <v>0</v>
      </c>
      <c r="CS31" s="200">
        <f>(SUMIF(Fonctionnement[Affectation matrice],$AB$3,Fonctionnement[TVA acquittée])+SUMIF(Invest[Affectation matrice],$AB$3,Invest[TVA acquittée]))*BR31</f>
        <v>0</v>
      </c>
      <c r="CT31" s="200">
        <f>(SUMIF(Fonctionnement[Affectation matrice],$AB$3,Fonctionnement[TVA acquittée])+SUMIF(Invest[Affectation matrice],$AB$3,Invest[TVA acquittée]))*BS31</f>
        <v>0</v>
      </c>
      <c r="CU31" s="200">
        <f>(SUMIF(Fonctionnement[Affectation matrice],$AB$3,Fonctionnement[TVA acquittée])+SUMIF(Invest[Affectation matrice],$AB$3,Invest[TVA acquittée]))*BT31</f>
        <v>0</v>
      </c>
      <c r="CV31" s="200">
        <f>(SUMIF(Fonctionnement[Affectation matrice],$AB$3,Fonctionnement[TVA acquittée])+SUMIF(Invest[Affectation matrice],$AB$3,Invest[TVA acquittée]))*BU31</f>
        <v>0</v>
      </c>
      <c r="CW31" s="200">
        <f>(SUMIF(Fonctionnement[Affectation matrice],$AB$3,Fonctionnement[TVA acquittée])+SUMIF(Invest[Affectation matrice],$AB$3,Invest[TVA acquittée]))*BV31</f>
        <v>0</v>
      </c>
      <c r="CX31" s="200">
        <f>(SUMIF(Fonctionnement[Affectation matrice],$AB$3,Fonctionnement[TVA acquittée])+SUMIF(Invest[Affectation matrice],$AB$3,Invest[TVA acquittée]))*BW31</f>
        <v>0</v>
      </c>
      <c r="CY31" s="200">
        <f>(SUMIF(Fonctionnement[Affectation matrice],$AB$3,Fonctionnement[TVA acquittée])+SUMIF(Invest[Affectation matrice],$AB$3,Invest[TVA acquittée]))*BX31</f>
        <v>0</v>
      </c>
      <c r="CZ31" s="200">
        <f>(SUMIF(Fonctionnement[Affectation matrice],$AB$3,Fonctionnement[TVA acquittée])+SUMIF(Invest[Affectation matrice],$AB$3,Invest[TVA acquittée]))*BY31</f>
        <v>0</v>
      </c>
      <c r="DA31" s="200">
        <f>(SUMIF(Fonctionnement[Affectation matrice],$AB$3,Fonctionnement[TVA acquittée])+SUMIF(Invest[Affectation matrice],$AB$3,Invest[TVA acquittée]))*BZ31</f>
        <v>0</v>
      </c>
      <c r="DB31" s="200">
        <f>(SUMIF(Fonctionnement[Affectation matrice],$AB$3,Fonctionnement[TVA acquittée])+SUMIF(Invest[Affectation matrice],$AB$3,Invest[TVA acquittée]))*CA31</f>
        <v>0</v>
      </c>
    </row>
    <row r="32" spans="1:106" s="22" customFormat="1" ht="12.75" hidden="1" customHeight="1" x14ac:dyDescent="0.25">
      <c r="A32" s="42" t="str">
        <f>Matrice[[#This Row],[Ligne de la matrice]]</f>
        <v>Subventions de fonctionnement</v>
      </c>
      <c r="B32" s="276">
        <f>(SUMIF(Fonctionnement[Affectation matrice],$AB$3,Fonctionnement[Montant (€HT)])+SUMIF(Invest[Affectation matrice],$AB$3,Invest[Amortissement HT + intérêts]))*BC32</f>
        <v>0</v>
      </c>
      <c r="C32" s="276">
        <f>(SUMIF(Fonctionnement[Affectation matrice],$AB$3,Fonctionnement[Montant (€HT)])+SUMIF(Invest[Affectation matrice],$AB$3,Invest[Amortissement HT + intérêts]))*BD32</f>
        <v>0</v>
      </c>
      <c r="D32" s="276">
        <f>(SUMIF(Fonctionnement[Affectation matrice],$AB$3,Fonctionnement[Montant (€HT)])+SUMIF(Invest[Affectation matrice],$AB$3,Invest[Amortissement HT + intérêts]))*BE32</f>
        <v>0</v>
      </c>
      <c r="E32" s="276">
        <f>(SUMIF(Fonctionnement[Affectation matrice],$AB$3,Fonctionnement[Montant (€HT)])+SUMIF(Invest[Affectation matrice],$AB$3,Invest[Amortissement HT + intérêts]))*BF32</f>
        <v>0</v>
      </c>
      <c r="F32" s="276">
        <f>(SUMIF(Fonctionnement[Affectation matrice],$AB$3,Fonctionnement[Montant (€HT)])+SUMIF(Invest[Affectation matrice],$AB$3,Invest[Amortissement HT + intérêts]))*BG32</f>
        <v>0</v>
      </c>
      <c r="G32" s="276">
        <f>(SUMIF(Fonctionnement[Affectation matrice],$AB$3,Fonctionnement[Montant (€HT)])+SUMIF(Invest[Affectation matrice],$AB$3,Invest[Amortissement HT + intérêts]))*BH32</f>
        <v>0</v>
      </c>
      <c r="H32" s="276">
        <f>(SUMIF(Fonctionnement[Affectation matrice],$AB$3,Fonctionnement[Montant (€HT)])+SUMIF(Invest[Affectation matrice],$AB$3,Invest[Amortissement HT + intérêts]))*BI32</f>
        <v>0</v>
      </c>
      <c r="I32" s="276">
        <f>(SUMIF(Fonctionnement[Affectation matrice],$AB$3,Fonctionnement[Montant (€HT)])+SUMIF(Invest[Affectation matrice],$AB$3,Invest[Amortissement HT + intérêts]))*BJ32</f>
        <v>0</v>
      </c>
      <c r="J32" s="276">
        <f>(SUMIF(Fonctionnement[Affectation matrice],$AB$3,Fonctionnement[Montant (€HT)])+SUMIF(Invest[Affectation matrice],$AB$3,Invest[Amortissement HT + intérêts]))*BK32</f>
        <v>0</v>
      </c>
      <c r="K32" s="276">
        <f>(SUMIF(Fonctionnement[Affectation matrice],$AB$3,Fonctionnement[Montant (€HT)])+SUMIF(Invest[Affectation matrice],$AB$3,Invest[Amortissement HT + intérêts]))*BL32</f>
        <v>0</v>
      </c>
      <c r="L32" s="276">
        <f>(SUMIF(Fonctionnement[Affectation matrice],$AB$3,Fonctionnement[Montant (€HT)])+SUMIF(Invest[Affectation matrice],$AB$3,Invest[Amortissement HT + intérêts]))*BM32</f>
        <v>0</v>
      </c>
      <c r="M32" s="276">
        <f>(SUMIF(Fonctionnement[Affectation matrice],$AB$3,Fonctionnement[Montant (€HT)])+SUMIF(Invest[Affectation matrice],$AB$3,Invest[Amortissement HT + intérêts]))*BN32</f>
        <v>0</v>
      </c>
      <c r="N32" s="276">
        <f>(SUMIF(Fonctionnement[Affectation matrice],$AB$3,Fonctionnement[Montant (€HT)])+SUMIF(Invest[Affectation matrice],$AB$3,Invest[Amortissement HT + intérêts]))*BO32</f>
        <v>0</v>
      </c>
      <c r="O32" s="276">
        <f>(SUMIF(Fonctionnement[Affectation matrice],$AB$3,Fonctionnement[Montant (€HT)])+SUMIF(Invest[Affectation matrice],$AB$3,Invest[Amortissement HT + intérêts]))*BP32</f>
        <v>0</v>
      </c>
      <c r="P32" s="276">
        <f>(SUMIF(Fonctionnement[Affectation matrice],$AB$3,Fonctionnement[Montant (€HT)])+SUMIF(Invest[Affectation matrice],$AB$3,Invest[Amortissement HT + intérêts]))*BQ32</f>
        <v>0</v>
      </c>
      <c r="Q32" s="276">
        <f>(SUMIF(Fonctionnement[Affectation matrice],$AB$3,Fonctionnement[Montant (€HT)])+SUMIF(Invest[Affectation matrice],$AB$3,Invest[Amortissement HT + intérêts]))*BR32</f>
        <v>0</v>
      </c>
      <c r="R32" s="276">
        <f>(SUMIF(Fonctionnement[Affectation matrice],$AB$3,Fonctionnement[Montant (€HT)])+SUMIF(Invest[Affectation matrice],$AB$3,Invest[Amortissement HT + intérêts]))*BS32</f>
        <v>0</v>
      </c>
      <c r="S32" s="276">
        <f>(SUMIF(Fonctionnement[Affectation matrice],$AB$3,Fonctionnement[Montant (€HT)])+SUMIF(Invest[Affectation matrice],$AB$3,Invest[Amortissement HT + intérêts]))*BT32</f>
        <v>0</v>
      </c>
      <c r="T32" s="276">
        <f>(SUMIF(Fonctionnement[Affectation matrice],$AB$3,Fonctionnement[Montant (€HT)])+SUMIF(Invest[Affectation matrice],$AB$3,Invest[Amortissement HT + intérêts]))*BU32</f>
        <v>0</v>
      </c>
      <c r="U32" s="276">
        <f>(SUMIF(Fonctionnement[Affectation matrice],$AB$3,Fonctionnement[Montant (€HT)])+SUMIF(Invest[Affectation matrice],$AB$3,Invest[Amortissement HT + intérêts]))*BV32</f>
        <v>0</v>
      </c>
      <c r="V32" s="276">
        <f>(SUMIF(Fonctionnement[Affectation matrice],$AB$3,Fonctionnement[Montant (€HT)])+SUMIF(Invest[Affectation matrice],$AB$3,Invest[Amortissement HT + intérêts]))*BW32</f>
        <v>0</v>
      </c>
      <c r="W32" s="276">
        <f>(SUMIF(Fonctionnement[Affectation matrice],$AB$3,Fonctionnement[Montant (€HT)])+SUMIF(Invest[Affectation matrice],$AB$3,Invest[Amortissement HT + intérêts]))*BX32</f>
        <v>0</v>
      </c>
      <c r="X32" s="276">
        <f>(SUMIF(Fonctionnement[Affectation matrice],$AB$3,Fonctionnement[Montant (€HT)])+SUMIF(Invest[Affectation matrice],$AB$3,Invest[Amortissement HT + intérêts]))*BY32</f>
        <v>0</v>
      </c>
      <c r="Y32" s="276">
        <f>(SUMIF(Fonctionnement[Affectation matrice],$AB$3,Fonctionnement[Montant (€HT)])+SUMIF(Invest[Affectation matrice],$AB$3,Invest[Amortissement HT + intérêts]))*BZ32</f>
        <v>0</v>
      </c>
      <c r="Z32" s="276">
        <f>(SUMIF(Fonctionnement[Affectation matrice],$AB$3,Fonctionnement[Montant (€HT)])+SUMIF(Invest[Affectation matrice],$AB$3,Invest[Amortissement HT + intérêts]))*CA32</f>
        <v>0</v>
      </c>
      <c r="AA32" s="199"/>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283">
        <f t="shared" si="4"/>
        <v>0</v>
      </c>
      <c r="BB32" s="7"/>
      <c r="BC32" s="61">
        <f t="shared" si="8"/>
        <v>0</v>
      </c>
      <c r="BD32" s="61">
        <f t="shared" si="8"/>
        <v>0</v>
      </c>
      <c r="BE32" s="61">
        <f t="shared" si="8"/>
        <v>0</v>
      </c>
      <c r="BF32" s="61">
        <f t="shared" si="8"/>
        <v>0</v>
      </c>
      <c r="BG32" s="61">
        <f t="shared" si="8"/>
        <v>0</v>
      </c>
      <c r="BH32" s="61">
        <f t="shared" si="8"/>
        <v>0</v>
      </c>
      <c r="BI32" s="61">
        <f t="shared" si="8"/>
        <v>0</v>
      </c>
      <c r="BJ32" s="61">
        <f t="shared" si="8"/>
        <v>0</v>
      </c>
      <c r="BK32" s="61">
        <f t="shared" si="8"/>
        <v>0</v>
      </c>
      <c r="BL32" s="61">
        <f t="shared" si="8"/>
        <v>0</v>
      </c>
      <c r="BM32" s="61">
        <f t="shared" si="8"/>
        <v>0</v>
      </c>
      <c r="BN32" s="61">
        <f t="shared" si="8"/>
        <v>0</v>
      </c>
      <c r="BO32" s="61">
        <f t="shared" si="8"/>
        <v>0</v>
      </c>
      <c r="BP32" s="61">
        <f t="shared" si="8"/>
        <v>0</v>
      </c>
      <c r="BQ32" s="61">
        <f t="shared" si="8"/>
        <v>0</v>
      </c>
      <c r="BR32" s="61">
        <f t="shared" si="8"/>
        <v>0</v>
      </c>
      <c r="BS32" s="61">
        <f t="shared" si="9"/>
        <v>0</v>
      </c>
      <c r="BT32" s="61">
        <f t="shared" si="9"/>
        <v>0</v>
      </c>
      <c r="BU32" s="61">
        <f t="shared" si="9"/>
        <v>0</v>
      </c>
      <c r="BV32" s="61">
        <f t="shared" si="9"/>
        <v>0</v>
      </c>
      <c r="BW32" s="61">
        <f t="shared" si="9"/>
        <v>0</v>
      </c>
      <c r="BX32" s="61">
        <f t="shared" si="9"/>
        <v>0</v>
      </c>
      <c r="BY32" s="61">
        <f t="shared" si="9"/>
        <v>0</v>
      </c>
      <c r="BZ32" s="61">
        <f t="shared" si="9"/>
        <v>0</v>
      </c>
      <c r="CA32" s="61">
        <f t="shared" si="9"/>
        <v>0</v>
      </c>
      <c r="CB32" s="61">
        <f t="shared" si="5"/>
        <v>0</v>
      </c>
      <c r="CD32" s="200">
        <f>(SUMIF(Fonctionnement[Affectation matrice],$AB$3,Fonctionnement[TVA acquittée])+SUMIF(Invest[Affectation matrice],$AB$3,Invest[TVA acquittée]))*BC32</f>
        <v>0</v>
      </c>
      <c r="CE32" s="200">
        <f>(SUMIF(Fonctionnement[Affectation matrice],$AB$3,Fonctionnement[TVA acquittée])+SUMIF(Invest[Affectation matrice],$AB$3,Invest[TVA acquittée]))*BD32</f>
        <v>0</v>
      </c>
      <c r="CF32" s="200">
        <f>(SUMIF(Fonctionnement[Affectation matrice],$AB$3,Fonctionnement[TVA acquittée])+SUMIF(Invest[Affectation matrice],$AB$3,Invest[TVA acquittée]))*BE32</f>
        <v>0</v>
      </c>
      <c r="CG32" s="200">
        <f>(SUMIF(Fonctionnement[Affectation matrice],$AB$3,Fonctionnement[TVA acquittée])+SUMIF(Invest[Affectation matrice],$AB$3,Invest[TVA acquittée]))*BF32</f>
        <v>0</v>
      </c>
      <c r="CH32" s="200">
        <f>(SUMIF(Fonctionnement[Affectation matrice],$AB$3,Fonctionnement[TVA acquittée])+SUMIF(Invest[Affectation matrice],$AB$3,Invest[TVA acquittée]))*BG32</f>
        <v>0</v>
      </c>
      <c r="CI32" s="200">
        <f>(SUMIF(Fonctionnement[Affectation matrice],$AB$3,Fonctionnement[TVA acquittée])+SUMIF(Invest[Affectation matrice],$AB$3,Invest[TVA acquittée]))*BH32</f>
        <v>0</v>
      </c>
      <c r="CJ32" s="200">
        <f>(SUMIF(Fonctionnement[Affectation matrice],$AB$3,Fonctionnement[TVA acquittée])+SUMIF(Invest[Affectation matrice],$AB$3,Invest[TVA acquittée]))*BI32</f>
        <v>0</v>
      </c>
      <c r="CK32" s="200">
        <f>(SUMIF(Fonctionnement[Affectation matrice],$AB$3,Fonctionnement[TVA acquittée])+SUMIF(Invest[Affectation matrice],$AB$3,Invest[TVA acquittée]))*BJ32</f>
        <v>0</v>
      </c>
      <c r="CL32" s="200">
        <f>(SUMIF(Fonctionnement[Affectation matrice],$AB$3,Fonctionnement[TVA acquittée])+SUMIF(Invest[Affectation matrice],$AB$3,Invest[TVA acquittée]))*BK32</f>
        <v>0</v>
      </c>
      <c r="CM32" s="200">
        <f>(SUMIF(Fonctionnement[Affectation matrice],$AB$3,Fonctionnement[TVA acquittée])+SUMIF(Invest[Affectation matrice],$AB$3,Invest[TVA acquittée]))*BL32</f>
        <v>0</v>
      </c>
      <c r="CN32" s="200">
        <f>(SUMIF(Fonctionnement[Affectation matrice],$AB$3,Fonctionnement[TVA acquittée])+SUMIF(Invest[Affectation matrice],$AB$3,Invest[TVA acquittée]))*BM32</f>
        <v>0</v>
      </c>
      <c r="CO32" s="200">
        <f>(SUMIF(Fonctionnement[Affectation matrice],$AB$3,Fonctionnement[TVA acquittée])+SUMIF(Invest[Affectation matrice],$AB$3,Invest[TVA acquittée]))*BN32</f>
        <v>0</v>
      </c>
      <c r="CP32" s="200">
        <f>(SUMIF(Fonctionnement[Affectation matrice],$AB$3,Fonctionnement[TVA acquittée])+SUMIF(Invest[Affectation matrice],$AB$3,Invest[TVA acquittée]))*BO32</f>
        <v>0</v>
      </c>
      <c r="CQ32" s="200">
        <f>(SUMIF(Fonctionnement[Affectation matrice],$AB$3,Fonctionnement[TVA acquittée])+SUMIF(Invest[Affectation matrice],$AB$3,Invest[TVA acquittée]))*BP32</f>
        <v>0</v>
      </c>
      <c r="CR32" s="200">
        <f>(SUMIF(Fonctionnement[Affectation matrice],$AB$3,Fonctionnement[TVA acquittée])+SUMIF(Invest[Affectation matrice],$AB$3,Invest[TVA acquittée]))*BQ32</f>
        <v>0</v>
      </c>
      <c r="CS32" s="200">
        <f>(SUMIF(Fonctionnement[Affectation matrice],$AB$3,Fonctionnement[TVA acquittée])+SUMIF(Invest[Affectation matrice],$AB$3,Invest[TVA acquittée]))*BR32</f>
        <v>0</v>
      </c>
      <c r="CT32" s="200">
        <f>(SUMIF(Fonctionnement[Affectation matrice],$AB$3,Fonctionnement[TVA acquittée])+SUMIF(Invest[Affectation matrice],$AB$3,Invest[TVA acquittée]))*BS32</f>
        <v>0</v>
      </c>
      <c r="CU32" s="200">
        <f>(SUMIF(Fonctionnement[Affectation matrice],$AB$3,Fonctionnement[TVA acquittée])+SUMIF(Invest[Affectation matrice],$AB$3,Invest[TVA acquittée]))*BT32</f>
        <v>0</v>
      </c>
      <c r="CV32" s="200">
        <f>(SUMIF(Fonctionnement[Affectation matrice],$AB$3,Fonctionnement[TVA acquittée])+SUMIF(Invest[Affectation matrice],$AB$3,Invest[TVA acquittée]))*BU32</f>
        <v>0</v>
      </c>
      <c r="CW32" s="200">
        <f>(SUMIF(Fonctionnement[Affectation matrice],$AB$3,Fonctionnement[TVA acquittée])+SUMIF(Invest[Affectation matrice],$AB$3,Invest[TVA acquittée]))*BV32</f>
        <v>0</v>
      </c>
      <c r="CX32" s="200">
        <f>(SUMIF(Fonctionnement[Affectation matrice],$AB$3,Fonctionnement[TVA acquittée])+SUMIF(Invest[Affectation matrice],$AB$3,Invest[TVA acquittée]))*BW32</f>
        <v>0</v>
      </c>
      <c r="CY32" s="200">
        <f>(SUMIF(Fonctionnement[Affectation matrice],$AB$3,Fonctionnement[TVA acquittée])+SUMIF(Invest[Affectation matrice],$AB$3,Invest[TVA acquittée]))*BX32</f>
        <v>0</v>
      </c>
      <c r="CZ32" s="200">
        <f>(SUMIF(Fonctionnement[Affectation matrice],$AB$3,Fonctionnement[TVA acquittée])+SUMIF(Invest[Affectation matrice],$AB$3,Invest[TVA acquittée]))*BY32</f>
        <v>0</v>
      </c>
      <c r="DA32" s="200">
        <f>(SUMIF(Fonctionnement[Affectation matrice],$AB$3,Fonctionnement[TVA acquittée])+SUMIF(Invest[Affectation matrice],$AB$3,Invest[TVA acquittée]))*BZ32</f>
        <v>0</v>
      </c>
      <c r="DB32" s="200">
        <f>(SUMIF(Fonctionnement[Affectation matrice],$AB$3,Fonctionnement[TVA acquittée])+SUMIF(Invest[Affectation matrice],$AB$3,Invest[TVA acquittée]))*CA32</f>
        <v>0</v>
      </c>
    </row>
    <row r="33" spans="1:106" s="22" customFormat="1" ht="12.75" hidden="1" customHeight="1" x14ac:dyDescent="0.25">
      <c r="A33" s="42" t="str">
        <f>Matrice[[#This Row],[Ligne de la matrice]]</f>
        <v>Aides à l'emploi</v>
      </c>
      <c r="B33" s="276">
        <f>(SUMIF(Fonctionnement[Affectation matrice],$AB$3,Fonctionnement[Montant (€HT)])+SUMIF(Invest[Affectation matrice],$AB$3,Invest[Amortissement HT + intérêts]))*BC33</f>
        <v>0</v>
      </c>
      <c r="C33" s="276">
        <f>(SUMIF(Fonctionnement[Affectation matrice],$AB$3,Fonctionnement[Montant (€HT)])+SUMIF(Invest[Affectation matrice],$AB$3,Invest[Amortissement HT + intérêts]))*BD33</f>
        <v>0</v>
      </c>
      <c r="D33" s="276">
        <f>(SUMIF(Fonctionnement[Affectation matrice],$AB$3,Fonctionnement[Montant (€HT)])+SUMIF(Invest[Affectation matrice],$AB$3,Invest[Amortissement HT + intérêts]))*BE33</f>
        <v>0</v>
      </c>
      <c r="E33" s="276">
        <f>(SUMIF(Fonctionnement[Affectation matrice],$AB$3,Fonctionnement[Montant (€HT)])+SUMIF(Invest[Affectation matrice],$AB$3,Invest[Amortissement HT + intérêts]))*BF33</f>
        <v>0</v>
      </c>
      <c r="F33" s="276">
        <f>(SUMIF(Fonctionnement[Affectation matrice],$AB$3,Fonctionnement[Montant (€HT)])+SUMIF(Invest[Affectation matrice],$AB$3,Invest[Amortissement HT + intérêts]))*BG33</f>
        <v>0</v>
      </c>
      <c r="G33" s="276">
        <f>(SUMIF(Fonctionnement[Affectation matrice],$AB$3,Fonctionnement[Montant (€HT)])+SUMIF(Invest[Affectation matrice],$AB$3,Invest[Amortissement HT + intérêts]))*BH33</f>
        <v>0</v>
      </c>
      <c r="H33" s="276">
        <f>(SUMIF(Fonctionnement[Affectation matrice],$AB$3,Fonctionnement[Montant (€HT)])+SUMIF(Invest[Affectation matrice],$AB$3,Invest[Amortissement HT + intérêts]))*BI33</f>
        <v>0</v>
      </c>
      <c r="I33" s="276">
        <f>(SUMIF(Fonctionnement[Affectation matrice],$AB$3,Fonctionnement[Montant (€HT)])+SUMIF(Invest[Affectation matrice],$AB$3,Invest[Amortissement HT + intérêts]))*BJ33</f>
        <v>0</v>
      </c>
      <c r="J33" s="276">
        <f>(SUMIF(Fonctionnement[Affectation matrice],$AB$3,Fonctionnement[Montant (€HT)])+SUMIF(Invest[Affectation matrice],$AB$3,Invest[Amortissement HT + intérêts]))*BK33</f>
        <v>0</v>
      </c>
      <c r="K33" s="276">
        <f>(SUMIF(Fonctionnement[Affectation matrice],$AB$3,Fonctionnement[Montant (€HT)])+SUMIF(Invest[Affectation matrice],$AB$3,Invest[Amortissement HT + intérêts]))*BL33</f>
        <v>0</v>
      </c>
      <c r="L33" s="276">
        <f>(SUMIF(Fonctionnement[Affectation matrice],$AB$3,Fonctionnement[Montant (€HT)])+SUMIF(Invest[Affectation matrice],$AB$3,Invest[Amortissement HT + intérêts]))*BM33</f>
        <v>0</v>
      </c>
      <c r="M33" s="276">
        <f>(SUMIF(Fonctionnement[Affectation matrice],$AB$3,Fonctionnement[Montant (€HT)])+SUMIF(Invest[Affectation matrice],$AB$3,Invest[Amortissement HT + intérêts]))*BN33</f>
        <v>0</v>
      </c>
      <c r="N33" s="276">
        <f>(SUMIF(Fonctionnement[Affectation matrice],$AB$3,Fonctionnement[Montant (€HT)])+SUMIF(Invest[Affectation matrice],$AB$3,Invest[Amortissement HT + intérêts]))*BO33</f>
        <v>0</v>
      </c>
      <c r="O33" s="276">
        <f>(SUMIF(Fonctionnement[Affectation matrice],$AB$3,Fonctionnement[Montant (€HT)])+SUMIF(Invest[Affectation matrice],$AB$3,Invest[Amortissement HT + intérêts]))*BP33</f>
        <v>0</v>
      </c>
      <c r="P33" s="276">
        <f>(SUMIF(Fonctionnement[Affectation matrice],$AB$3,Fonctionnement[Montant (€HT)])+SUMIF(Invest[Affectation matrice],$AB$3,Invest[Amortissement HT + intérêts]))*BQ33</f>
        <v>0</v>
      </c>
      <c r="Q33" s="276">
        <f>(SUMIF(Fonctionnement[Affectation matrice],$AB$3,Fonctionnement[Montant (€HT)])+SUMIF(Invest[Affectation matrice],$AB$3,Invest[Amortissement HT + intérêts]))*BR33</f>
        <v>0</v>
      </c>
      <c r="R33" s="276">
        <f>(SUMIF(Fonctionnement[Affectation matrice],$AB$3,Fonctionnement[Montant (€HT)])+SUMIF(Invest[Affectation matrice],$AB$3,Invest[Amortissement HT + intérêts]))*BS33</f>
        <v>0</v>
      </c>
      <c r="S33" s="276">
        <f>(SUMIF(Fonctionnement[Affectation matrice],$AB$3,Fonctionnement[Montant (€HT)])+SUMIF(Invest[Affectation matrice],$AB$3,Invest[Amortissement HT + intérêts]))*BT33</f>
        <v>0</v>
      </c>
      <c r="T33" s="276">
        <f>(SUMIF(Fonctionnement[Affectation matrice],$AB$3,Fonctionnement[Montant (€HT)])+SUMIF(Invest[Affectation matrice],$AB$3,Invest[Amortissement HT + intérêts]))*BU33</f>
        <v>0</v>
      </c>
      <c r="U33" s="276">
        <f>(SUMIF(Fonctionnement[Affectation matrice],$AB$3,Fonctionnement[Montant (€HT)])+SUMIF(Invest[Affectation matrice],$AB$3,Invest[Amortissement HT + intérêts]))*BV33</f>
        <v>0</v>
      </c>
      <c r="V33" s="276">
        <f>(SUMIF(Fonctionnement[Affectation matrice],$AB$3,Fonctionnement[Montant (€HT)])+SUMIF(Invest[Affectation matrice],$AB$3,Invest[Amortissement HT + intérêts]))*BW33</f>
        <v>0</v>
      </c>
      <c r="W33" s="276">
        <f>(SUMIF(Fonctionnement[Affectation matrice],$AB$3,Fonctionnement[Montant (€HT)])+SUMIF(Invest[Affectation matrice],$AB$3,Invest[Amortissement HT + intérêts]))*BX33</f>
        <v>0</v>
      </c>
      <c r="X33" s="276">
        <f>(SUMIF(Fonctionnement[Affectation matrice],$AB$3,Fonctionnement[Montant (€HT)])+SUMIF(Invest[Affectation matrice],$AB$3,Invest[Amortissement HT + intérêts]))*BY33</f>
        <v>0</v>
      </c>
      <c r="Y33" s="276">
        <f>(SUMIF(Fonctionnement[Affectation matrice],$AB$3,Fonctionnement[Montant (€HT)])+SUMIF(Invest[Affectation matrice],$AB$3,Invest[Amortissement HT + intérêts]))*BZ33</f>
        <v>0</v>
      </c>
      <c r="Z33" s="276">
        <f>(SUMIF(Fonctionnement[Affectation matrice],$AB$3,Fonctionnement[Montant (€HT)])+SUMIF(Invest[Affectation matrice],$AB$3,Invest[Amortissement HT + intérêts]))*CA33</f>
        <v>0</v>
      </c>
      <c r="AA33" s="199"/>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283">
        <f t="shared" si="4"/>
        <v>0</v>
      </c>
      <c r="BB33" s="7"/>
      <c r="BC33" s="61">
        <f t="shared" si="8"/>
        <v>0</v>
      </c>
      <c r="BD33" s="61">
        <f t="shared" si="8"/>
        <v>0</v>
      </c>
      <c r="BE33" s="61">
        <f t="shared" si="8"/>
        <v>0</v>
      </c>
      <c r="BF33" s="61">
        <f t="shared" si="8"/>
        <v>0</v>
      </c>
      <c r="BG33" s="61">
        <f t="shared" si="8"/>
        <v>0</v>
      </c>
      <c r="BH33" s="61">
        <f t="shared" si="8"/>
        <v>0</v>
      </c>
      <c r="BI33" s="61">
        <f t="shared" si="8"/>
        <v>0</v>
      </c>
      <c r="BJ33" s="61">
        <f t="shared" si="8"/>
        <v>0</v>
      </c>
      <c r="BK33" s="61">
        <f t="shared" si="8"/>
        <v>0</v>
      </c>
      <c r="BL33" s="61">
        <f t="shared" si="8"/>
        <v>0</v>
      </c>
      <c r="BM33" s="61">
        <f t="shared" si="8"/>
        <v>0</v>
      </c>
      <c r="BN33" s="61">
        <f t="shared" si="8"/>
        <v>0</v>
      </c>
      <c r="BO33" s="61">
        <f t="shared" si="8"/>
        <v>0</v>
      </c>
      <c r="BP33" s="61">
        <f t="shared" si="8"/>
        <v>0</v>
      </c>
      <c r="BQ33" s="61">
        <f t="shared" si="8"/>
        <v>0</v>
      </c>
      <c r="BR33" s="61">
        <f t="shared" si="8"/>
        <v>0</v>
      </c>
      <c r="BS33" s="61">
        <f t="shared" si="9"/>
        <v>0</v>
      </c>
      <c r="BT33" s="61">
        <f t="shared" si="9"/>
        <v>0</v>
      </c>
      <c r="BU33" s="61">
        <f t="shared" si="9"/>
        <v>0</v>
      </c>
      <c r="BV33" s="61">
        <f t="shared" si="9"/>
        <v>0</v>
      </c>
      <c r="BW33" s="61">
        <f t="shared" si="9"/>
        <v>0</v>
      </c>
      <c r="BX33" s="61">
        <f t="shared" si="9"/>
        <v>0</v>
      </c>
      <c r="BY33" s="61">
        <f t="shared" si="9"/>
        <v>0</v>
      </c>
      <c r="BZ33" s="61">
        <f t="shared" si="9"/>
        <v>0</v>
      </c>
      <c r="CA33" s="61">
        <f t="shared" si="9"/>
        <v>0</v>
      </c>
      <c r="CB33" s="61">
        <f t="shared" si="5"/>
        <v>0</v>
      </c>
      <c r="CD33" s="200">
        <f>(SUMIF(Fonctionnement[Affectation matrice],$AB$3,Fonctionnement[TVA acquittée])+SUMIF(Invest[Affectation matrice],$AB$3,Invest[TVA acquittée]))*BC33</f>
        <v>0</v>
      </c>
      <c r="CE33" s="200">
        <f>(SUMIF(Fonctionnement[Affectation matrice],$AB$3,Fonctionnement[TVA acquittée])+SUMIF(Invest[Affectation matrice],$AB$3,Invest[TVA acquittée]))*BD33</f>
        <v>0</v>
      </c>
      <c r="CF33" s="200">
        <f>(SUMIF(Fonctionnement[Affectation matrice],$AB$3,Fonctionnement[TVA acquittée])+SUMIF(Invest[Affectation matrice],$AB$3,Invest[TVA acquittée]))*BE33</f>
        <v>0</v>
      </c>
      <c r="CG33" s="200">
        <f>(SUMIF(Fonctionnement[Affectation matrice],$AB$3,Fonctionnement[TVA acquittée])+SUMIF(Invest[Affectation matrice],$AB$3,Invest[TVA acquittée]))*BF33</f>
        <v>0</v>
      </c>
      <c r="CH33" s="200">
        <f>(SUMIF(Fonctionnement[Affectation matrice],$AB$3,Fonctionnement[TVA acquittée])+SUMIF(Invest[Affectation matrice],$AB$3,Invest[TVA acquittée]))*BG33</f>
        <v>0</v>
      </c>
      <c r="CI33" s="200">
        <f>(SUMIF(Fonctionnement[Affectation matrice],$AB$3,Fonctionnement[TVA acquittée])+SUMIF(Invest[Affectation matrice],$AB$3,Invest[TVA acquittée]))*BH33</f>
        <v>0</v>
      </c>
      <c r="CJ33" s="200">
        <f>(SUMIF(Fonctionnement[Affectation matrice],$AB$3,Fonctionnement[TVA acquittée])+SUMIF(Invest[Affectation matrice],$AB$3,Invest[TVA acquittée]))*BI33</f>
        <v>0</v>
      </c>
      <c r="CK33" s="200">
        <f>(SUMIF(Fonctionnement[Affectation matrice],$AB$3,Fonctionnement[TVA acquittée])+SUMIF(Invest[Affectation matrice],$AB$3,Invest[TVA acquittée]))*BJ33</f>
        <v>0</v>
      </c>
      <c r="CL33" s="200">
        <f>(SUMIF(Fonctionnement[Affectation matrice],$AB$3,Fonctionnement[TVA acquittée])+SUMIF(Invest[Affectation matrice],$AB$3,Invest[TVA acquittée]))*BK33</f>
        <v>0</v>
      </c>
      <c r="CM33" s="200">
        <f>(SUMIF(Fonctionnement[Affectation matrice],$AB$3,Fonctionnement[TVA acquittée])+SUMIF(Invest[Affectation matrice],$AB$3,Invest[TVA acquittée]))*BL33</f>
        <v>0</v>
      </c>
      <c r="CN33" s="200">
        <f>(SUMIF(Fonctionnement[Affectation matrice],$AB$3,Fonctionnement[TVA acquittée])+SUMIF(Invest[Affectation matrice],$AB$3,Invest[TVA acquittée]))*BM33</f>
        <v>0</v>
      </c>
      <c r="CO33" s="200">
        <f>(SUMIF(Fonctionnement[Affectation matrice],$AB$3,Fonctionnement[TVA acquittée])+SUMIF(Invest[Affectation matrice],$AB$3,Invest[TVA acquittée]))*BN33</f>
        <v>0</v>
      </c>
      <c r="CP33" s="200">
        <f>(SUMIF(Fonctionnement[Affectation matrice],$AB$3,Fonctionnement[TVA acquittée])+SUMIF(Invest[Affectation matrice],$AB$3,Invest[TVA acquittée]))*BO33</f>
        <v>0</v>
      </c>
      <c r="CQ33" s="200">
        <f>(SUMIF(Fonctionnement[Affectation matrice],$AB$3,Fonctionnement[TVA acquittée])+SUMIF(Invest[Affectation matrice],$AB$3,Invest[TVA acquittée]))*BP33</f>
        <v>0</v>
      </c>
      <c r="CR33" s="200">
        <f>(SUMIF(Fonctionnement[Affectation matrice],$AB$3,Fonctionnement[TVA acquittée])+SUMIF(Invest[Affectation matrice],$AB$3,Invest[TVA acquittée]))*BQ33</f>
        <v>0</v>
      </c>
      <c r="CS33" s="200">
        <f>(SUMIF(Fonctionnement[Affectation matrice],$AB$3,Fonctionnement[TVA acquittée])+SUMIF(Invest[Affectation matrice],$AB$3,Invest[TVA acquittée]))*BR33</f>
        <v>0</v>
      </c>
      <c r="CT33" s="200">
        <f>(SUMIF(Fonctionnement[Affectation matrice],$AB$3,Fonctionnement[TVA acquittée])+SUMIF(Invest[Affectation matrice],$AB$3,Invest[TVA acquittée]))*BS33</f>
        <v>0</v>
      </c>
      <c r="CU33" s="200">
        <f>(SUMIF(Fonctionnement[Affectation matrice],$AB$3,Fonctionnement[TVA acquittée])+SUMIF(Invest[Affectation matrice],$AB$3,Invest[TVA acquittée]))*BT33</f>
        <v>0</v>
      </c>
      <c r="CV33" s="200">
        <f>(SUMIF(Fonctionnement[Affectation matrice],$AB$3,Fonctionnement[TVA acquittée])+SUMIF(Invest[Affectation matrice],$AB$3,Invest[TVA acquittée]))*BU33</f>
        <v>0</v>
      </c>
      <c r="CW33" s="200">
        <f>(SUMIF(Fonctionnement[Affectation matrice],$AB$3,Fonctionnement[TVA acquittée])+SUMIF(Invest[Affectation matrice],$AB$3,Invest[TVA acquittée]))*BV33</f>
        <v>0</v>
      </c>
      <c r="CX33" s="200">
        <f>(SUMIF(Fonctionnement[Affectation matrice],$AB$3,Fonctionnement[TVA acquittée])+SUMIF(Invest[Affectation matrice],$AB$3,Invest[TVA acquittée]))*BW33</f>
        <v>0</v>
      </c>
      <c r="CY33" s="200">
        <f>(SUMIF(Fonctionnement[Affectation matrice],$AB$3,Fonctionnement[TVA acquittée])+SUMIF(Invest[Affectation matrice],$AB$3,Invest[TVA acquittée]))*BX33</f>
        <v>0</v>
      </c>
      <c r="CZ33" s="200">
        <f>(SUMIF(Fonctionnement[Affectation matrice],$AB$3,Fonctionnement[TVA acquittée])+SUMIF(Invest[Affectation matrice],$AB$3,Invest[TVA acquittée]))*BY33</f>
        <v>0</v>
      </c>
      <c r="DA33" s="200">
        <f>(SUMIF(Fonctionnement[Affectation matrice],$AB$3,Fonctionnement[TVA acquittée])+SUMIF(Invest[Affectation matrice],$AB$3,Invest[TVA acquittée]))*BZ33</f>
        <v>0</v>
      </c>
      <c r="DB33" s="200">
        <f>(SUMIF(Fonctionnement[Affectation matrice],$AB$3,Fonctionnement[TVA acquittée])+SUMIF(Invest[Affectation matrice],$AB$3,Invest[TVA acquittée]))*CA33</f>
        <v>0</v>
      </c>
    </row>
    <row r="34" spans="1:106" s="205" customFormat="1" ht="12.75" hidden="1" customHeight="1" x14ac:dyDescent="0.25">
      <c r="A34" s="186"/>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02"/>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03"/>
      <c r="BB34" s="204"/>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row>
    <row r="35" spans="1:106" s="22" customFormat="1" ht="12.75" hidden="1" customHeight="1" x14ac:dyDescent="0.25">
      <c r="A35" s="42" t="str">
        <f>Matrice[[#This Row],[Ligne de la matrice]]</f>
        <v>TVA acquittée</v>
      </c>
      <c r="B35" s="276">
        <f>(SUMIF(Fonctionnement[Affectation matrice],$AB$3,Fonctionnement[Montant (€HT)])+SUMIF(Invest[Affectation matrice],$AB$3,Invest[Amortissement HT + intérêts]))*BC35</f>
        <v>0</v>
      </c>
      <c r="C35" s="276">
        <f>(SUMIF(Fonctionnement[Affectation matrice],$AB$3,Fonctionnement[Montant (€HT)])+SUMIF(Invest[Affectation matrice],$AB$3,Invest[Amortissement HT + intérêts]))*BD35</f>
        <v>0</v>
      </c>
      <c r="D35" s="276">
        <f>(SUMIF(Fonctionnement[Affectation matrice],$AB$3,Fonctionnement[Montant (€HT)])+SUMIF(Invest[Affectation matrice],$AB$3,Invest[Amortissement HT + intérêts]))*BE35</f>
        <v>0</v>
      </c>
      <c r="E35" s="276">
        <f>(SUMIF(Fonctionnement[Affectation matrice],$AB$3,Fonctionnement[Montant (€HT)])+SUMIF(Invest[Affectation matrice],$AB$3,Invest[Amortissement HT + intérêts]))*BF35</f>
        <v>0</v>
      </c>
      <c r="F35" s="276">
        <f>(SUMIF(Fonctionnement[Affectation matrice],$AB$3,Fonctionnement[Montant (€HT)])+SUMIF(Invest[Affectation matrice],$AB$3,Invest[Amortissement HT + intérêts]))*BG35</f>
        <v>0</v>
      </c>
      <c r="G35" s="276">
        <f>(SUMIF(Fonctionnement[Affectation matrice],$AB$3,Fonctionnement[Montant (€HT)])+SUMIF(Invest[Affectation matrice],$AB$3,Invest[Amortissement HT + intérêts]))*BH35</f>
        <v>0</v>
      </c>
      <c r="H35" s="276">
        <f>(SUMIF(Fonctionnement[Affectation matrice],$AB$3,Fonctionnement[Montant (€HT)])+SUMIF(Invest[Affectation matrice],$AB$3,Invest[Amortissement HT + intérêts]))*BI35</f>
        <v>0</v>
      </c>
      <c r="I35" s="276">
        <f>(SUMIF(Fonctionnement[Affectation matrice],$AB$3,Fonctionnement[Montant (€HT)])+SUMIF(Invest[Affectation matrice],$AB$3,Invest[Amortissement HT + intérêts]))*BJ35</f>
        <v>0</v>
      </c>
      <c r="J35" s="276">
        <f>(SUMIF(Fonctionnement[Affectation matrice],$AB$3,Fonctionnement[Montant (€HT)])+SUMIF(Invest[Affectation matrice],$AB$3,Invest[Amortissement HT + intérêts]))*BK35</f>
        <v>0</v>
      </c>
      <c r="K35" s="276">
        <f>(SUMIF(Fonctionnement[Affectation matrice],$AB$3,Fonctionnement[Montant (€HT)])+SUMIF(Invest[Affectation matrice],$AB$3,Invest[Amortissement HT + intérêts]))*BL35</f>
        <v>0</v>
      </c>
      <c r="L35" s="276">
        <f>(SUMIF(Fonctionnement[Affectation matrice],$AB$3,Fonctionnement[Montant (€HT)])+SUMIF(Invest[Affectation matrice],$AB$3,Invest[Amortissement HT + intérêts]))*BM35</f>
        <v>0</v>
      </c>
      <c r="M35" s="276">
        <f>(SUMIF(Fonctionnement[Affectation matrice],$AB$3,Fonctionnement[Montant (€HT)])+SUMIF(Invest[Affectation matrice],$AB$3,Invest[Amortissement HT + intérêts]))*BN35</f>
        <v>0</v>
      </c>
      <c r="N35" s="276">
        <f>(SUMIF(Fonctionnement[Affectation matrice],$AB$3,Fonctionnement[Montant (€HT)])+SUMIF(Invest[Affectation matrice],$AB$3,Invest[Amortissement HT + intérêts]))*BO35</f>
        <v>0</v>
      </c>
      <c r="O35" s="276">
        <f>(SUMIF(Fonctionnement[Affectation matrice],$AB$3,Fonctionnement[Montant (€HT)])+SUMIF(Invest[Affectation matrice],$AB$3,Invest[Amortissement HT + intérêts]))*BP35</f>
        <v>0</v>
      </c>
      <c r="P35" s="276">
        <f>(SUMIF(Fonctionnement[Affectation matrice],$AB$3,Fonctionnement[Montant (€HT)])+SUMIF(Invest[Affectation matrice],$AB$3,Invest[Amortissement HT + intérêts]))*BQ35</f>
        <v>0</v>
      </c>
      <c r="Q35" s="276">
        <f>(SUMIF(Fonctionnement[Affectation matrice],$AB$3,Fonctionnement[Montant (€HT)])+SUMIF(Invest[Affectation matrice],$AB$3,Invest[Amortissement HT + intérêts]))*BR35</f>
        <v>0</v>
      </c>
      <c r="R35" s="276">
        <f>(SUMIF(Fonctionnement[Affectation matrice],$AB$3,Fonctionnement[Montant (€HT)])+SUMIF(Invest[Affectation matrice],$AB$3,Invest[Amortissement HT + intérêts]))*BS35</f>
        <v>0</v>
      </c>
      <c r="S35" s="276">
        <f>(SUMIF(Fonctionnement[Affectation matrice],$AB$3,Fonctionnement[Montant (€HT)])+SUMIF(Invest[Affectation matrice],$AB$3,Invest[Amortissement HT + intérêts]))*BT35</f>
        <v>0</v>
      </c>
      <c r="T35" s="276">
        <f>(SUMIF(Fonctionnement[Affectation matrice],$AB$3,Fonctionnement[Montant (€HT)])+SUMIF(Invest[Affectation matrice],$AB$3,Invest[Amortissement HT + intérêts]))*BU35</f>
        <v>0</v>
      </c>
      <c r="U35" s="276">
        <f>(SUMIF(Fonctionnement[Affectation matrice],$AB$3,Fonctionnement[Montant (€HT)])+SUMIF(Invest[Affectation matrice],$AB$3,Invest[Amortissement HT + intérêts]))*BV35</f>
        <v>0</v>
      </c>
      <c r="V35" s="276">
        <f>(SUMIF(Fonctionnement[Affectation matrice],$AB$3,Fonctionnement[Montant (€HT)])+SUMIF(Invest[Affectation matrice],$AB$3,Invest[Amortissement HT + intérêts]))*BW35</f>
        <v>0</v>
      </c>
      <c r="W35" s="276">
        <f>(SUMIF(Fonctionnement[Affectation matrice],$AB$3,Fonctionnement[Montant (€HT)])+SUMIF(Invest[Affectation matrice],$AB$3,Invest[Amortissement HT + intérêts]))*BX35</f>
        <v>0</v>
      </c>
      <c r="X35" s="276">
        <f>(SUMIF(Fonctionnement[Affectation matrice],$AB$3,Fonctionnement[Montant (€HT)])+SUMIF(Invest[Affectation matrice],$AB$3,Invest[Amortissement HT + intérêts]))*BY35</f>
        <v>0</v>
      </c>
      <c r="Y35" s="276">
        <f>(SUMIF(Fonctionnement[Affectation matrice],$AB$3,Fonctionnement[Montant (€HT)])+SUMIF(Invest[Affectation matrice],$AB$3,Invest[Amortissement HT + intérêts]))*BZ35</f>
        <v>0</v>
      </c>
      <c r="Z35" s="276">
        <f>(SUMIF(Fonctionnement[Affectation matrice],$AB$3,Fonctionnement[Montant (€HT)])+SUMIF(Invest[Affectation matrice],$AB$3,Invest[Amortissement HT + intérêts]))*CA35</f>
        <v>0</v>
      </c>
      <c r="AA35" s="199"/>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283">
        <f t="shared" si="4"/>
        <v>0</v>
      </c>
      <c r="BB35" s="7"/>
      <c r="BC35" s="61">
        <f t="shared" ref="BC35:BR41" si="10">IF($BA$53=0,0,AB35/$BA$53)</f>
        <v>0</v>
      </c>
      <c r="BD35" s="61">
        <f t="shared" si="10"/>
        <v>0</v>
      </c>
      <c r="BE35" s="61">
        <f t="shared" si="10"/>
        <v>0</v>
      </c>
      <c r="BF35" s="61">
        <f t="shared" si="10"/>
        <v>0</v>
      </c>
      <c r="BG35" s="61">
        <f t="shared" si="10"/>
        <v>0</v>
      </c>
      <c r="BH35" s="61">
        <f t="shared" si="10"/>
        <v>0</v>
      </c>
      <c r="BI35" s="61">
        <f t="shared" si="10"/>
        <v>0</v>
      </c>
      <c r="BJ35" s="61">
        <f t="shared" si="10"/>
        <v>0</v>
      </c>
      <c r="BK35" s="61">
        <f t="shared" si="10"/>
        <v>0</v>
      </c>
      <c r="BL35" s="61">
        <f t="shared" si="10"/>
        <v>0</v>
      </c>
      <c r="BM35" s="61">
        <f t="shared" si="10"/>
        <v>0</v>
      </c>
      <c r="BN35" s="61">
        <f t="shared" si="10"/>
        <v>0</v>
      </c>
      <c r="BO35" s="61">
        <f t="shared" si="10"/>
        <v>0</v>
      </c>
      <c r="BP35" s="61">
        <f t="shared" si="10"/>
        <v>0</v>
      </c>
      <c r="BQ35" s="61">
        <f t="shared" si="10"/>
        <v>0</v>
      </c>
      <c r="BR35" s="61">
        <f t="shared" si="10"/>
        <v>0</v>
      </c>
      <c r="BS35" s="61">
        <f t="shared" ref="BM35:CA41" si="11">IF($BA$53=0,0,AR35/$BA$53)</f>
        <v>0</v>
      </c>
      <c r="BT35" s="61">
        <f t="shared" si="11"/>
        <v>0</v>
      </c>
      <c r="BU35" s="61">
        <f t="shared" si="11"/>
        <v>0</v>
      </c>
      <c r="BV35" s="61">
        <f t="shared" si="11"/>
        <v>0</v>
      </c>
      <c r="BW35" s="61">
        <f t="shared" si="11"/>
        <v>0</v>
      </c>
      <c r="BX35" s="61">
        <f t="shared" si="11"/>
        <v>0</v>
      </c>
      <c r="BY35" s="61">
        <f t="shared" si="11"/>
        <v>0</v>
      </c>
      <c r="BZ35" s="61">
        <f t="shared" si="11"/>
        <v>0</v>
      </c>
      <c r="CA35" s="61">
        <f t="shared" si="11"/>
        <v>0</v>
      </c>
      <c r="CB35" s="61">
        <f t="shared" si="5"/>
        <v>0</v>
      </c>
      <c r="CD35" s="200">
        <f>(SUMIF(Fonctionnement[Affectation matrice],$AB$3,Fonctionnement[TVA acquittée])+SUMIF(Invest[Affectation matrice],$AB$3,Invest[TVA acquittée]))*BC35</f>
        <v>0</v>
      </c>
      <c r="CE35" s="200">
        <f>(SUMIF(Fonctionnement[Affectation matrice],$AB$3,Fonctionnement[TVA acquittée])+SUMIF(Invest[Affectation matrice],$AB$3,Invest[TVA acquittée]))*BD35</f>
        <v>0</v>
      </c>
      <c r="CF35" s="200">
        <f>(SUMIF(Fonctionnement[Affectation matrice],$AB$3,Fonctionnement[TVA acquittée])+SUMIF(Invest[Affectation matrice],$AB$3,Invest[TVA acquittée]))*BE35</f>
        <v>0</v>
      </c>
      <c r="CG35" s="200">
        <f>(SUMIF(Fonctionnement[Affectation matrice],$AB$3,Fonctionnement[TVA acquittée])+SUMIF(Invest[Affectation matrice],$AB$3,Invest[TVA acquittée]))*BF35</f>
        <v>0</v>
      </c>
      <c r="CH35" s="200">
        <f>(SUMIF(Fonctionnement[Affectation matrice],$AB$3,Fonctionnement[TVA acquittée])+SUMIF(Invest[Affectation matrice],$AB$3,Invest[TVA acquittée]))*BG35</f>
        <v>0</v>
      </c>
      <c r="CI35" s="200">
        <f>(SUMIF(Fonctionnement[Affectation matrice],$AB$3,Fonctionnement[TVA acquittée])+SUMIF(Invest[Affectation matrice],$AB$3,Invest[TVA acquittée]))*BH35</f>
        <v>0</v>
      </c>
      <c r="CJ35" s="200">
        <f>(SUMIF(Fonctionnement[Affectation matrice],$AB$3,Fonctionnement[TVA acquittée])+SUMIF(Invest[Affectation matrice],$AB$3,Invest[TVA acquittée]))*BI35</f>
        <v>0</v>
      </c>
      <c r="CK35" s="200">
        <f>(SUMIF(Fonctionnement[Affectation matrice],$AB$3,Fonctionnement[TVA acquittée])+SUMIF(Invest[Affectation matrice],$AB$3,Invest[TVA acquittée]))*BJ35</f>
        <v>0</v>
      </c>
      <c r="CL35" s="200">
        <f>(SUMIF(Fonctionnement[Affectation matrice],$AB$3,Fonctionnement[TVA acquittée])+SUMIF(Invest[Affectation matrice],$AB$3,Invest[TVA acquittée]))*BK35</f>
        <v>0</v>
      </c>
      <c r="CM35" s="200">
        <f>(SUMIF(Fonctionnement[Affectation matrice],$AB$3,Fonctionnement[TVA acquittée])+SUMIF(Invest[Affectation matrice],$AB$3,Invest[TVA acquittée]))*BL35</f>
        <v>0</v>
      </c>
      <c r="CN35" s="200">
        <f>(SUMIF(Fonctionnement[Affectation matrice],$AB$3,Fonctionnement[TVA acquittée])+SUMIF(Invest[Affectation matrice],$AB$3,Invest[TVA acquittée]))*BM35</f>
        <v>0</v>
      </c>
      <c r="CO35" s="200">
        <f>(SUMIF(Fonctionnement[Affectation matrice],$AB$3,Fonctionnement[TVA acquittée])+SUMIF(Invest[Affectation matrice],$AB$3,Invest[TVA acquittée]))*BN35</f>
        <v>0</v>
      </c>
      <c r="CP35" s="200">
        <f>(SUMIF(Fonctionnement[Affectation matrice],$AB$3,Fonctionnement[TVA acquittée])+SUMIF(Invest[Affectation matrice],$AB$3,Invest[TVA acquittée]))*BO35</f>
        <v>0</v>
      </c>
      <c r="CQ35" s="200">
        <f>(SUMIF(Fonctionnement[Affectation matrice],$AB$3,Fonctionnement[TVA acquittée])+SUMIF(Invest[Affectation matrice],$AB$3,Invest[TVA acquittée]))*BP35</f>
        <v>0</v>
      </c>
      <c r="CR35" s="200">
        <f>(SUMIF(Fonctionnement[Affectation matrice],$AB$3,Fonctionnement[TVA acquittée])+SUMIF(Invest[Affectation matrice],$AB$3,Invest[TVA acquittée]))*BQ35</f>
        <v>0</v>
      </c>
      <c r="CS35" s="200">
        <f>(SUMIF(Fonctionnement[Affectation matrice],$AB$3,Fonctionnement[TVA acquittée])+SUMIF(Invest[Affectation matrice],$AB$3,Invest[TVA acquittée]))*BR35</f>
        <v>0</v>
      </c>
      <c r="CT35" s="200">
        <f>(SUMIF(Fonctionnement[Affectation matrice],$AB$3,Fonctionnement[TVA acquittée])+SUMIF(Invest[Affectation matrice],$AB$3,Invest[TVA acquittée]))*BS35</f>
        <v>0</v>
      </c>
      <c r="CU35" s="200">
        <f>(SUMIF(Fonctionnement[Affectation matrice],$AB$3,Fonctionnement[TVA acquittée])+SUMIF(Invest[Affectation matrice],$AB$3,Invest[TVA acquittée]))*BT35</f>
        <v>0</v>
      </c>
      <c r="CV35" s="200">
        <f>(SUMIF(Fonctionnement[Affectation matrice],$AB$3,Fonctionnement[TVA acquittée])+SUMIF(Invest[Affectation matrice],$AB$3,Invest[TVA acquittée]))*BU35</f>
        <v>0</v>
      </c>
      <c r="CW35" s="200">
        <f>(SUMIF(Fonctionnement[Affectation matrice],$AB$3,Fonctionnement[TVA acquittée])+SUMIF(Invest[Affectation matrice],$AB$3,Invest[TVA acquittée]))*BV35</f>
        <v>0</v>
      </c>
      <c r="CX35" s="200">
        <f>(SUMIF(Fonctionnement[Affectation matrice],$AB$3,Fonctionnement[TVA acquittée])+SUMIF(Invest[Affectation matrice],$AB$3,Invest[TVA acquittée]))*BW35</f>
        <v>0</v>
      </c>
      <c r="CY35" s="200">
        <f>(SUMIF(Fonctionnement[Affectation matrice],$AB$3,Fonctionnement[TVA acquittée])+SUMIF(Invest[Affectation matrice],$AB$3,Invest[TVA acquittée]))*BX35</f>
        <v>0</v>
      </c>
      <c r="CZ35" s="200">
        <f>(SUMIF(Fonctionnement[Affectation matrice],$AB$3,Fonctionnement[TVA acquittée])+SUMIF(Invest[Affectation matrice],$AB$3,Invest[TVA acquittée]))*BY35</f>
        <v>0</v>
      </c>
      <c r="DA35" s="200">
        <f>(SUMIF(Fonctionnement[Affectation matrice],$AB$3,Fonctionnement[TVA acquittée])+SUMIF(Invest[Affectation matrice],$AB$3,Invest[TVA acquittée]))*BZ35</f>
        <v>0</v>
      </c>
      <c r="DB35" s="200">
        <f>(SUMIF(Fonctionnement[Affectation matrice],$AB$3,Fonctionnement[TVA acquittée])+SUMIF(Invest[Affectation matrice],$AB$3,Invest[TVA acquittée]))*CA35</f>
        <v>0</v>
      </c>
    </row>
    <row r="36" spans="1:106" s="22" customFormat="1" ht="12.75" hidden="1" customHeight="1" x14ac:dyDescent="0.25">
      <c r="A36" s="42" t="str">
        <f>Matrice[[#This Row],[Ligne de la matrice]]</f>
        <v>TEOM</v>
      </c>
      <c r="B36" s="276">
        <f>(SUMIF(Fonctionnement[Affectation matrice],$AB$3,Fonctionnement[Montant (€HT)])+SUMIF(Invest[Affectation matrice],$AB$3,Invest[Amortissement HT + intérêts]))*BC36</f>
        <v>0</v>
      </c>
      <c r="C36" s="276">
        <f>(SUMIF(Fonctionnement[Affectation matrice],$AB$3,Fonctionnement[Montant (€HT)])+SUMIF(Invest[Affectation matrice],$AB$3,Invest[Amortissement HT + intérêts]))*BD36</f>
        <v>0</v>
      </c>
      <c r="D36" s="276">
        <f>(SUMIF(Fonctionnement[Affectation matrice],$AB$3,Fonctionnement[Montant (€HT)])+SUMIF(Invest[Affectation matrice],$AB$3,Invest[Amortissement HT + intérêts]))*BE36</f>
        <v>0</v>
      </c>
      <c r="E36" s="276">
        <f>(SUMIF(Fonctionnement[Affectation matrice],$AB$3,Fonctionnement[Montant (€HT)])+SUMIF(Invest[Affectation matrice],$AB$3,Invest[Amortissement HT + intérêts]))*BF36</f>
        <v>0</v>
      </c>
      <c r="F36" s="276">
        <f>(SUMIF(Fonctionnement[Affectation matrice],$AB$3,Fonctionnement[Montant (€HT)])+SUMIF(Invest[Affectation matrice],$AB$3,Invest[Amortissement HT + intérêts]))*BG36</f>
        <v>0</v>
      </c>
      <c r="G36" s="276">
        <f>(SUMIF(Fonctionnement[Affectation matrice],$AB$3,Fonctionnement[Montant (€HT)])+SUMIF(Invest[Affectation matrice],$AB$3,Invest[Amortissement HT + intérêts]))*BH36</f>
        <v>0</v>
      </c>
      <c r="H36" s="276">
        <f>(SUMIF(Fonctionnement[Affectation matrice],$AB$3,Fonctionnement[Montant (€HT)])+SUMIF(Invest[Affectation matrice],$AB$3,Invest[Amortissement HT + intérêts]))*BI36</f>
        <v>0</v>
      </c>
      <c r="I36" s="276">
        <f>(SUMIF(Fonctionnement[Affectation matrice],$AB$3,Fonctionnement[Montant (€HT)])+SUMIF(Invest[Affectation matrice],$AB$3,Invest[Amortissement HT + intérêts]))*BJ36</f>
        <v>0</v>
      </c>
      <c r="J36" s="276">
        <f>(SUMIF(Fonctionnement[Affectation matrice],$AB$3,Fonctionnement[Montant (€HT)])+SUMIF(Invest[Affectation matrice],$AB$3,Invest[Amortissement HT + intérêts]))*BK36</f>
        <v>0</v>
      </c>
      <c r="K36" s="276">
        <f>(SUMIF(Fonctionnement[Affectation matrice],$AB$3,Fonctionnement[Montant (€HT)])+SUMIF(Invest[Affectation matrice],$AB$3,Invest[Amortissement HT + intérêts]))*BL36</f>
        <v>0</v>
      </c>
      <c r="L36" s="276">
        <f>(SUMIF(Fonctionnement[Affectation matrice],$AB$3,Fonctionnement[Montant (€HT)])+SUMIF(Invest[Affectation matrice],$AB$3,Invest[Amortissement HT + intérêts]))*BM36</f>
        <v>0</v>
      </c>
      <c r="M36" s="276">
        <f>(SUMIF(Fonctionnement[Affectation matrice],$AB$3,Fonctionnement[Montant (€HT)])+SUMIF(Invest[Affectation matrice],$AB$3,Invest[Amortissement HT + intérêts]))*BN36</f>
        <v>0</v>
      </c>
      <c r="N36" s="276">
        <f>(SUMIF(Fonctionnement[Affectation matrice],$AB$3,Fonctionnement[Montant (€HT)])+SUMIF(Invest[Affectation matrice],$AB$3,Invest[Amortissement HT + intérêts]))*BO36</f>
        <v>0</v>
      </c>
      <c r="O36" s="276">
        <f>(SUMIF(Fonctionnement[Affectation matrice],$AB$3,Fonctionnement[Montant (€HT)])+SUMIF(Invest[Affectation matrice],$AB$3,Invest[Amortissement HT + intérêts]))*BP36</f>
        <v>0</v>
      </c>
      <c r="P36" s="276">
        <f>(SUMIF(Fonctionnement[Affectation matrice],$AB$3,Fonctionnement[Montant (€HT)])+SUMIF(Invest[Affectation matrice],$AB$3,Invest[Amortissement HT + intérêts]))*BQ36</f>
        <v>0</v>
      </c>
      <c r="Q36" s="276">
        <f>(SUMIF(Fonctionnement[Affectation matrice],$AB$3,Fonctionnement[Montant (€HT)])+SUMIF(Invest[Affectation matrice],$AB$3,Invest[Amortissement HT + intérêts]))*BR36</f>
        <v>0</v>
      </c>
      <c r="R36" s="276">
        <f>(SUMIF(Fonctionnement[Affectation matrice],$AB$3,Fonctionnement[Montant (€HT)])+SUMIF(Invest[Affectation matrice],$AB$3,Invest[Amortissement HT + intérêts]))*BS36</f>
        <v>0</v>
      </c>
      <c r="S36" s="276">
        <f>(SUMIF(Fonctionnement[Affectation matrice],$AB$3,Fonctionnement[Montant (€HT)])+SUMIF(Invest[Affectation matrice],$AB$3,Invest[Amortissement HT + intérêts]))*BT36</f>
        <v>0</v>
      </c>
      <c r="T36" s="276">
        <f>(SUMIF(Fonctionnement[Affectation matrice],$AB$3,Fonctionnement[Montant (€HT)])+SUMIF(Invest[Affectation matrice],$AB$3,Invest[Amortissement HT + intérêts]))*BU36</f>
        <v>0</v>
      </c>
      <c r="U36" s="276">
        <f>(SUMIF(Fonctionnement[Affectation matrice],$AB$3,Fonctionnement[Montant (€HT)])+SUMIF(Invest[Affectation matrice],$AB$3,Invest[Amortissement HT + intérêts]))*BV36</f>
        <v>0</v>
      </c>
      <c r="V36" s="276">
        <f>(SUMIF(Fonctionnement[Affectation matrice],$AB$3,Fonctionnement[Montant (€HT)])+SUMIF(Invest[Affectation matrice],$AB$3,Invest[Amortissement HT + intérêts]))*BW36</f>
        <v>0</v>
      </c>
      <c r="W36" s="276">
        <f>(SUMIF(Fonctionnement[Affectation matrice],$AB$3,Fonctionnement[Montant (€HT)])+SUMIF(Invest[Affectation matrice],$AB$3,Invest[Amortissement HT + intérêts]))*BX36</f>
        <v>0</v>
      </c>
      <c r="X36" s="276">
        <f>(SUMIF(Fonctionnement[Affectation matrice],$AB$3,Fonctionnement[Montant (€HT)])+SUMIF(Invest[Affectation matrice],$AB$3,Invest[Amortissement HT + intérêts]))*BY36</f>
        <v>0</v>
      </c>
      <c r="Y36" s="276">
        <f>(SUMIF(Fonctionnement[Affectation matrice],$AB$3,Fonctionnement[Montant (€HT)])+SUMIF(Invest[Affectation matrice],$AB$3,Invest[Amortissement HT + intérêts]))*BZ36</f>
        <v>0</v>
      </c>
      <c r="Z36" s="276">
        <f>(SUMIF(Fonctionnement[Affectation matrice],$AB$3,Fonctionnement[Montant (€HT)])+SUMIF(Invest[Affectation matrice],$AB$3,Invest[Amortissement HT + intérêts]))*CA36</f>
        <v>0</v>
      </c>
      <c r="AA36" s="199"/>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283">
        <f t="shared" si="4"/>
        <v>0</v>
      </c>
      <c r="BB36" s="7"/>
      <c r="BC36" s="61">
        <f t="shared" si="10"/>
        <v>0</v>
      </c>
      <c r="BD36" s="61">
        <f t="shared" si="10"/>
        <v>0</v>
      </c>
      <c r="BE36" s="61">
        <f t="shared" si="10"/>
        <v>0</v>
      </c>
      <c r="BF36" s="61">
        <f t="shared" si="10"/>
        <v>0</v>
      </c>
      <c r="BG36" s="61">
        <f t="shared" si="10"/>
        <v>0</v>
      </c>
      <c r="BH36" s="61">
        <f t="shared" si="10"/>
        <v>0</v>
      </c>
      <c r="BI36" s="61">
        <f t="shared" si="10"/>
        <v>0</v>
      </c>
      <c r="BJ36" s="61">
        <f t="shared" si="10"/>
        <v>0</v>
      </c>
      <c r="BK36" s="61">
        <f t="shared" si="10"/>
        <v>0</v>
      </c>
      <c r="BL36" s="61">
        <f t="shared" si="10"/>
        <v>0</v>
      </c>
      <c r="BM36" s="61">
        <f t="shared" si="11"/>
        <v>0</v>
      </c>
      <c r="BN36" s="61">
        <f t="shared" si="11"/>
        <v>0</v>
      </c>
      <c r="BO36" s="61">
        <f t="shared" si="11"/>
        <v>0</v>
      </c>
      <c r="BP36" s="61">
        <f t="shared" si="11"/>
        <v>0</v>
      </c>
      <c r="BQ36" s="61">
        <f t="shared" si="11"/>
        <v>0</v>
      </c>
      <c r="BR36" s="61">
        <f t="shared" si="11"/>
        <v>0</v>
      </c>
      <c r="BS36" s="61">
        <f t="shared" si="11"/>
        <v>0</v>
      </c>
      <c r="BT36" s="61">
        <f t="shared" si="11"/>
        <v>0</v>
      </c>
      <c r="BU36" s="61">
        <f t="shared" si="11"/>
        <v>0</v>
      </c>
      <c r="BV36" s="61">
        <f t="shared" si="11"/>
        <v>0</v>
      </c>
      <c r="BW36" s="61">
        <f t="shared" si="11"/>
        <v>0</v>
      </c>
      <c r="BX36" s="61">
        <f t="shared" si="11"/>
        <v>0</v>
      </c>
      <c r="BY36" s="61">
        <f t="shared" si="11"/>
        <v>0</v>
      </c>
      <c r="BZ36" s="61">
        <f t="shared" si="11"/>
        <v>0</v>
      </c>
      <c r="CA36" s="61">
        <f t="shared" si="11"/>
        <v>0</v>
      </c>
      <c r="CB36" s="61">
        <f t="shared" si="5"/>
        <v>0</v>
      </c>
      <c r="CD36" s="200">
        <f>(SUMIF(Fonctionnement[Affectation matrice],$AB$3,Fonctionnement[TVA acquittée])+SUMIF(Invest[Affectation matrice],$AB$3,Invest[TVA acquittée]))*BC36</f>
        <v>0</v>
      </c>
      <c r="CE36" s="200">
        <f>(SUMIF(Fonctionnement[Affectation matrice],$AB$3,Fonctionnement[TVA acquittée])+SUMIF(Invest[Affectation matrice],$AB$3,Invest[TVA acquittée]))*BD36</f>
        <v>0</v>
      </c>
      <c r="CF36" s="200">
        <f>(SUMIF(Fonctionnement[Affectation matrice],$AB$3,Fonctionnement[TVA acquittée])+SUMIF(Invest[Affectation matrice],$AB$3,Invest[TVA acquittée]))*BE36</f>
        <v>0</v>
      </c>
      <c r="CG36" s="200">
        <f>(SUMIF(Fonctionnement[Affectation matrice],$AB$3,Fonctionnement[TVA acquittée])+SUMIF(Invest[Affectation matrice],$AB$3,Invest[TVA acquittée]))*BF36</f>
        <v>0</v>
      </c>
      <c r="CH36" s="200">
        <f>(SUMIF(Fonctionnement[Affectation matrice],$AB$3,Fonctionnement[TVA acquittée])+SUMIF(Invest[Affectation matrice],$AB$3,Invest[TVA acquittée]))*BG36</f>
        <v>0</v>
      </c>
      <c r="CI36" s="200">
        <f>(SUMIF(Fonctionnement[Affectation matrice],$AB$3,Fonctionnement[TVA acquittée])+SUMIF(Invest[Affectation matrice],$AB$3,Invest[TVA acquittée]))*BH36</f>
        <v>0</v>
      </c>
      <c r="CJ36" s="200">
        <f>(SUMIF(Fonctionnement[Affectation matrice],$AB$3,Fonctionnement[TVA acquittée])+SUMIF(Invest[Affectation matrice],$AB$3,Invest[TVA acquittée]))*BI36</f>
        <v>0</v>
      </c>
      <c r="CK36" s="200">
        <f>(SUMIF(Fonctionnement[Affectation matrice],$AB$3,Fonctionnement[TVA acquittée])+SUMIF(Invest[Affectation matrice],$AB$3,Invest[TVA acquittée]))*BJ36</f>
        <v>0</v>
      </c>
      <c r="CL36" s="200">
        <f>(SUMIF(Fonctionnement[Affectation matrice],$AB$3,Fonctionnement[TVA acquittée])+SUMIF(Invest[Affectation matrice],$AB$3,Invest[TVA acquittée]))*BK36</f>
        <v>0</v>
      </c>
      <c r="CM36" s="200">
        <f>(SUMIF(Fonctionnement[Affectation matrice],$AB$3,Fonctionnement[TVA acquittée])+SUMIF(Invest[Affectation matrice],$AB$3,Invest[TVA acquittée]))*BL36</f>
        <v>0</v>
      </c>
      <c r="CN36" s="200">
        <f>(SUMIF(Fonctionnement[Affectation matrice],$AB$3,Fonctionnement[TVA acquittée])+SUMIF(Invest[Affectation matrice],$AB$3,Invest[TVA acquittée]))*BM36</f>
        <v>0</v>
      </c>
      <c r="CO36" s="200">
        <f>(SUMIF(Fonctionnement[Affectation matrice],$AB$3,Fonctionnement[TVA acquittée])+SUMIF(Invest[Affectation matrice],$AB$3,Invest[TVA acquittée]))*BN36</f>
        <v>0</v>
      </c>
      <c r="CP36" s="200">
        <f>(SUMIF(Fonctionnement[Affectation matrice],$AB$3,Fonctionnement[TVA acquittée])+SUMIF(Invest[Affectation matrice],$AB$3,Invest[TVA acquittée]))*BO36</f>
        <v>0</v>
      </c>
      <c r="CQ36" s="200">
        <f>(SUMIF(Fonctionnement[Affectation matrice],$AB$3,Fonctionnement[TVA acquittée])+SUMIF(Invest[Affectation matrice],$AB$3,Invest[TVA acquittée]))*BP36</f>
        <v>0</v>
      </c>
      <c r="CR36" s="200">
        <f>(SUMIF(Fonctionnement[Affectation matrice],$AB$3,Fonctionnement[TVA acquittée])+SUMIF(Invest[Affectation matrice],$AB$3,Invest[TVA acquittée]))*BQ36</f>
        <v>0</v>
      </c>
      <c r="CS36" s="200">
        <f>(SUMIF(Fonctionnement[Affectation matrice],$AB$3,Fonctionnement[TVA acquittée])+SUMIF(Invest[Affectation matrice],$AB$3,Invest[TVA acquittée]))*BR36</f>
        <v>0</v>
      </c>
      <c r="CT36" s="200">
        <f>(SUMIF(Fonctionnement[Affectation matrice],$AB$3,Fonctionnement[TVA acquittée])+SUMIF(Invest[Affectation matrice],$AB$3,Invest[TVA acquittée]))*BS36</f>
        <v>0</v>
      </c>
      <c r="CU36" s="200">
        <f>(SUMIF(Fonctionnement[Affectation matrice],$AB$3,Fonctionnement[TVA acquittée])+SUMIF(Invest[Affectation matrice],$AB$3,Invest[TVA acquittée]))*BT36</f>
        <v>0</v>
      </c>
      <c r="CV36" s="200">
        <f>(SUMIF(Fonctionnement[Affectation matrice],$AB$3,Fonctionnement[TVA acquittée])+SUMIF(Invest[Affectation matrice],$AB$3,Invest[TVA acquittée]))*BU36</f>
        <v>0</v>
      </c>
      <c r="CW36" s="200">
        <f>(SUMIF(Fonctionnement[Affectation matrice],$AB$3,Fonctionnement[TVA acquittée])+SUMIF(Invest[Affectation matrice],$AB$3,Invest[TVA acquittée]))*BV36</f>
        <v>0</v>
      </c>
      <c r="CX36" s="200">
        <f>(SUMIF(Fonctionnement[Affectation matrice],$AB$3,Fonctionnement[TVA acquittée])+SUMIF(Invest[Affectation matrice],$AB$3,Invest[TVA acquittée]))*BW36</f>
        <v>0</v>
      </c>
      <c r="CY36" s="200">
        <f>(SUMIF(Fonctionnement[Affectation matrice],$AB$3,Fonctionnement[TVA acquittée])+SUMIF(Invest[Affectation matrice],$AB$3,Invest[TVA acquittée]))*BX36</f>
        <v>0</v>
      </c>
      <c r="CZ36" s="200">
        <f>(SUMIF(Fonctionnement[Affectation matrice],$AB$3,Fonctionnement[TVA acquittée])+SUMIF(Invest[Affectation matrice],$AB$3,Invest[TVA acquittée]))*BY36</f>
        <v>0</v>
      </c>
      <c r="DA36" s="200">
        <f>(SUMIF(Fonctionnement[Affectation matrice],$AB$3,Fonctionnement[TVA acquittée])+SUMIF(Invest[Affectation matrice],$AB$3,Invest[TVA acquittée]))*BZ36</f>
        <v>0</v>
      </c>
      <c r="DB36" s="200">
        <f>(SUMIF(Fonctionnement[Affectation matrice],$AB$3,Fonctionnement[TVA acquittée])+SUMIF(Invest[Affectation matrice],$AB$3,Invest[TVA acquittée]))*CA36</f>
        <v>0</v>
      </c>
    </row>
    <row r="37" spans="1:106" s="22" customFormat="1" ht="12.75" hidden="1" customHeight="1" x14ac:dyDescent="0.25">
      <c r="A37" s="42" t="str">
        <f>Matrice[[#This Row],[Ligne de la matrice]]</f>
        <v>REOM</v>
      </c>
      <c r="B37" s="276">
        <f>(SUMIF(Fonctionnement[Affectation matrice],$AB$3,Fonctionnement[Montant (€HT)])+SUMIF(Invest[Affectation matrice],$AB$3,Invest[Amortissement HT + intérêts]))*BC37</f>
        <v>0</v>
      </c>
      <c r="C37" s="276">
        <f>(SUMIF(Fonctionnement[Affectation matrice],$AB$3,Fonctionnement[Montant (€HT)])+SUMIF(Invest[Affectation matrice],$AB$3,Invest[Amortissement HT + intérêts]))*BD37</f>
        <v>0</v>
      </c>
      <c r="D37" s="276">
        <f>(SUMIF(Fonctionnement[Affectation matrice],$AB$3,Fonctionnement[Montant (€HT)])+SUMIF(Invest[Affectation matrice],$AB$3,Invest[Amortissement HT + intérêts]))*BE37</f>
        <v>0</v>
      </c>
      <c r="E37" s="276">
        <f>(SUMIF(Fonctionnement[Affectation matrice],$AB$3,Fonctionnement[Montant (€HT)])+SUMIF(Invest[Affectation matrice],$AB$3,Invest[Amortissement HT + intérêts]))*BF37</f>
        <v>0</v>
      </c>
      <c r="F37" s="276">
        <f>(SUMIF(Fonctionnement[Affectation matrice],$AB$3,Fonctionnement[Montant (€HT)])+SUMIF(Invest[Affectation matrice],$AB$3,Invest[Amortissement HT + intérêts]))*BG37</f>
        <v>0</v>
      </c>
      <c r="G37" s="276">
        <f>(SUMIF(Fonctionnement[Affectation matrice],$AB$3,Fonctionnement[Montant (€HT)])+SUMIF(Invest[Affectation matrice],$AB$3,Invest[Amortissement HT + intérêts]))*BH37</f>
        <v>0</v>
      </c>
      <c r="H37" s="276">
        <f>(SUMIF(Fonctionnement[Affectation matrice],$AB$3,Fonctionnement[Montant (€HT)])+SUMIF(Invest[Affectation matrice],$AB$3,Invest[Amortissement HT + intérêts]))*BI37</f>
        <v>0</v>
      </c>
      <c r="I37" s="276">
        <f>(SUMIF(Fonctionnement[Affectation matrice],$AB$3,Fonctionnement[Montant (€HT)])+SUMIF(Invest[Affectation matrice],$AB$3,Invest[Amortissement HT + intérêts]))*BJ37</f>
        <v>0</v>
      </c>
      <c r="J37" s="276">
        <f>(SUMIF(Fonctionnement[Affectation matrice],$AB$3,Fonctionnement[Montant (€HT)])+SUMIF(Invest[Affectation matrice],$AB$3,Invest[Amortissement HT + intérêts]))*BK37</f>
        <v>0</v>
      </c>
      <c r="K37" s="276">
        <f>(SUMIF(Fonctionnement[Affectation matrice],$AB$3,Fonctionnement[Montant (€HT)])+SUMIF(Invest[Affectation matrice],$AB$3,Invest[Amortissement HT + intérêts]))*BL37</f>
        <v>0</v>
      </c>
      <c r="L37" s="276">
        <f>(SUMIF(Fonctionnement[Affectation matrice],$AB$3,Fonctionnement[Montant (€HT)])+SUMIF(Invest[Affectation matrice],$AB$3,Invest[Amortissement HT + intérêts]))*BM37</f>
        <v>0</v>
      </c>
      <c r="M37" s="276">
        <f>(SUMIF(Fonctionnement[Affectation matrice],$AB$3,Fonctionnement[Montant (€HT)])+SUMIF(Invest[Affectation matrice],$AB$3,Invest[Amortissement HT + intérêts]))*BN37</f>
        <v>0</v>
      </c>
      <c r="N37" s="276">
        <f>(SUMIF(Fonctionnement[Affectation matrice],$AB$3,Fonctionnement[Montant (€HT)])+SUMIF(Invest[Affectation matrice],$AB$3,Invest[Amortissement HT + intérêts]))*BO37</f>
        <v>0</v>
      </c>
      <c r="O37" s="276">
        <f>(SUMIF(Fonctionnement[Affectation matrice],$AB$3,Fonctionnement[Montant (€HT)])+SUMIF(Invest[Affectation matrice],$AB$3,Invest[Amortissement HT + intérêts]))*BP37</f>
        <v>0</v>
      </c>
      <c r="P37" s="276">
        <f>(SUMIF(Fonctionnement[Affectation matrice],$AB$3,Fonctionnement[Montant (€HT)])+SUMIF(Invest[Affectation matrice],$AB$3,Invest[Amortissement HT + intérêts]))*BQ37</f>
        <v>0</v>
      </c>
      <c r="Q37" s="276">
        <f>(SUMIF(Fonctionnement[Affectation matrice],$AB$3,Fonctionnement[Montant (€HT)])+SUMIF(Invest[Affectation matrice],$AB$3,Invest[Amortissement HT + intérêts]))*BR37</f>
        <v>0</v>
      </c>
      <c r="R37" s="276">
        <f>(SUMIF(Fonctionnement[Affectation matrice],$AB$3,Fonctionnement[Montant (€HT)])+SUMIF(Invest[Affectation matrice],$AB$3,Invest[Amortissement HT + intérêts]))*BS37</f>
        <v>0</v>
      </c>
      <c r="S37" s="276">
        <f>(SUMIF(Fonctionnement[Affectation matrice],$AB$3,Fonctionnement[Montant (€HT)])+SUMIF(Invest[Affectation matrice],$AB$3,Invest[Amortissement HT + intérêts]))*BT37</f>
        <v>0</v>
      </c>
      <c r="T37" s="276">
        <f>(SUMIF(Fonctionnement[Affectation matrice],$AB$3,Fonctionnement[Montant (€HT)])+SUMIF(Invest[Affectation matrice],$AB$3,Invest[Amortissement HT + intérêts]))*BU37</f>
        <v>0</v>
      </c>
      <c r="U37" s="276">
        <f>(SUMIF(Fonctionnement[Affectation matrice],$AB$3,Fonctionnement[Montant (€HT)])+SUMIF(Invest[Affectation matrice],$AB$3,Invest[Amortissement HT + intérêts]))*BV37</f>
        <v>0</v>
      </c>
      <c r="V37" s="276">
        <f>(SUMIF(Fonctionnement[Affectation matrice],$AB$3,Fonctionnement[Montant (€HT)])+SUMIF(Invest[Affectation matrice],$AB$3,Invest[Amortissement HT + intérêts]))*BW37</f>
        <v>0</v>
      </c>
      <c r="W37" s="276">
        <f>(SUMIF(Fonctionnement[Affectation matrice],$AB$3,Fonctionnement[Montant (€HT)])+SUMIF(Invest[Affectation matrice],$AB$3,Invest[Amortissement HT + intérêts]))*BX37</f>
        <v>0</v>
      </c>
      <c r="X37" s="276">
        <f>(SUMIF(Fonctionnement[Affectation matrice],$AB$3,Fonctionnement[Montant (€HT)])+SUMIF(Invest[Affectation matrice],$AB$3,Invest[Amortissement HT + intérêts]))*BY37</f>
        <v>0</v>
      </c>
      <c r="Y37" s="276">
        <f>(SUMIF(Fonctionnement[Affectation matrice],$AB$3,Fonctionnement[Montant (€HT)])+SUMIF(Invest[Affectation matrice],$AB$3,Invest[Amortissement HT + intérêts]))*BZ37</f>
        <v>0</v>
      </c>
      <c r="Z37" s="276">
        <f>(SUMIF(Fonctionnement[Affectation matrice],$AB$3,Fonctionnement[Montant (€HT)])+SUMIF(Invest[Affectation matrice],$AB$3,Invest[Amortissement HT + intérêts]))*CA37</f>
        <v>0</v>
      </c>
      <c r="AA37" s="199"/>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283">
        <f t="shared" si="4"/>
        <v>0</v>
      </c>
      <c r="BB37" s="7"/>
      <c r="BC37" s="61">
        <f t="shared" si="10"/>
        <v>0</v>
      </c>
      <c r="BD37" s="61">
        <f t="shared" si="10"/>
        <v>0</v>
      </c>
      <c r="BE37" s="61">
        <f t="shared" si="10"/>
        <v>0</v>
      </c>
      <c r="BF37" s="61">
        <f t="shared" si="10"/>
        <v>0</v>
      </c>
      <c r="BG37" s="61">
        <f t="shared" si="10"/>
        <v>0</v>
      </c>
      <c r="BH37" s="61">
        <f t="shared" si="10"/>
        <v>0</v>
      </c>
      <c r="BI37" s="61">
        <f t="shared" si="10"/>
        <v>0</v>
      </c>
      <c r="BJ37" s="61">
        <f t="shared" si="10"/>
        <v>0</v>
      </c>
      <c r="BK37" s="61">
        <f t="shared" si="10"/>
        <v>0</v>
      </c>
      <c r="BL37" s="61">
        <f t="shared" si="10"/>
        <v>0</v>
      </c>
      <c r="BM37" s="61">
        <f t="shared" si="11"/>
        <v>0</v>
      </c>
      <c r="BN37" s="61">
        <f t="shared" si="11"/>
        <v>0</v>
      </c>
      <c r="BO37" s="61">
        <f t="shared" si="11"/>
        <v>0</v>
      </c>
      <c r="BP37" s="61">
        <f t="shared" si="11"/>
        <v>0</v>
      </c>
      <c r="BQ37" s="61">
        <f t="shared" si="11"/>
        <v>0</v>
      </c>
      <c r="BR37" s="61">
        <f t="shared" si="11"/>
        <v>0</v>
      </c>
      <c r="BS37" s="61">
        <f t="shared" si="11"/>
        <v>0</v>
      </c>
      <c r="BT37" s="61">
        <f t="shared" si="11"/>
        <v>0</v>
      </c>
      <c r="BU37" s="61">
        <f t="shared" si="11"/>
        <v>0</v>
      </c>
      <c r="BV37" s="61">
        <f t="shared" si="11"/>
        <v>0</v>
      </c>
      <c r="BW37" s="61">
        <f t="shared" si="11"/>
        <v>0</v>
      </c>
      <c r="BX37" s="61">
        <f t="shared" si="11"/>
        <v>0</v>
      </c>
      <c r="BY37" s="61">
        <f t="shared" si="11"/>
        <v>0</v>
      </c>
      <c r="BZ37" s="61">
        <f t="shared" si="11"/>
        <v>0</v>
      </c>
      <c r="CA37" s="61">
        <f t="shared" si="11"/>
        <v>0</v>
      </c>
      <c r="CB37" s="61">
        <f t="shared" si="5"/>
        <v>0</v>
      </c>
      <c r="CD37" s="200">
        <f>(SUMIF(Fonctionnement[Affectation matrice],$AB$3,Fonctionnement[TVA acquittée])+SUMIF(Invest[Affectation matrice],$AB$3,Invest[TVA acquittée]))*BC37</f>
        <v>0</v>
      </c>
      <c r="CE37" s="200">
        <f>(SUMIF(Fonctionnement[Affectation matrice],$AB$3,Fonctionnement[TVA acquittée])+SUMIF(Invest[Affectation matrice],$AB$3,Invest[TVA acquittée]))*BD37</f>
        <v>0</v>
      </c>
      <c r="CF37" s="200">
        <f>(SUMIF(Fonctionnement[Affectation matrice],$AB$3,Fonctionnement[TVA acquittée])+SUMIF(Invest[Affectation matrice],$AB$3,Invest[TVA acquittée]))*BE37</f>
        <v>0</v>
      </c>
      <c r="CG37" s="200">
        <f>(SUMIF(Fonctionnement[Affectation matrice],$AB$3,Fonctionnement[TVA acquittée])+SUMIF(Invest[Affectation matrice],$AB$3,Invest[TVA acquittée]))*BF37</f>
        <v>0</v>
      </c>
      <c r="CH37" s="200">
        <f>(SUMIF(Fonctionnement[Affectation matrice],$AB$3,Fonctionnement[TVA acquittée])+SUMIF(Invest[Affectation matrice],$AB$3,Invest[TVA acquittée]))*BG37</f>
        <v>0</v>
      </c>
      <c r="CI37" s="200">
        <f>(SUMIF(Fonctionnement[Affectation matrice],$AB$3,Fonctionnement[TVA acquittée])+SUMIF(Invest[Affectation matrice],$AB$3,Invest[TVA acquittée]))*BH37</f>
        <v>0</v>
      </c>
      <c r="CJ37" s="200">
        <f>(SUMIF(Fonctionnement[Affectation matrice],$AB$3,Fonctionnement[TVA acquittée])+SUMIF(Invest[Affectation matrice],$AB$3,Invest[TVA acquittée]))*BI37</f>
        <v>0</v>
      </c>
      <c r="CK37" s="200">
        <f>(SUMIF(Fonctionnement[Affectation matrice],$AB$3,Fonctionnement[TVA acquittée])+SUMIF(Invest[Affectation matrice],$AB$3,Invest[TVA acquittée]))*BJ37</f>
        <v>0</v>
      </c>
      <c r="CL37" s="200">
        <f>(SUMIF(Fonctionnement[Affectation matrice],$AB$3,Fonctionnement[TVA acquittée])+SUMIF(Invest[Affectation matrice],$AB$3,Invest[TVA acquittée]))*BK37</f>
        <v>0</v>
      </c>
      <c r="CM37" s="200">
        <f>(SUMIF(Fonctionnement[Affectation matrice],$AB$3,Fonctionnement[TVA acquittée])+SUMIF(Invest[Affectation matrice],$AB$3,Invest[TVA acquittée]))*BL37</f>
        <v>0</v>
      </c>
      <c r="CN37" s="200">
        <f>(SUMIF(Fonctionnement[Affectation matrice],$AB$3,Fonctionnement[TVA acquittée])+SUMIF(Invest[Affectation matrice],$AB$3,Invest[TVA acquittée]))*BM37</f>
        <v>0</v>
      </c>
      <c r="CO37" s="200">
        <f>(SUMIF(Fonctionnement[Affectation matrice],$AB$3,Fonctionnement[TVA acquittée])+SUMIF(Invest[Affectation matrice],$AB$3,Invest[TVA acquittée]))*BN37</f>
        <v>0</v>
      </c>
      <c r="CP37" s="200">
        <f>(SUMIF(Fonctionnement[Affectation matrice],$AB$3,Fonctionnement[TVA acquittée])+SUMIF(Invest[Affectation matrice],$AB$3,Invest[TVA acquittée]))*BO37</f>
        <v>0</v>
      </c>
      <c r="CQ37" s="200">
        <f>(SUMIF(Fonctionnement[Affectation matrice],$AB$3,Fonctionnement[TVA acquittée])+SUMIF(Invest[Affectation matrice],$AB$3,Invest[TVA acquittée]))*BP37</f>
        <v>0</v>
      </c>
      <c r="CR37" s="200">
        <f>(SUMIF(Fonctionnement[Affectation matrice],$AB$3,Fonctionnement[TVA acquittée])+SUMIF(Invest[Affectation matrice],$AB$3,Invest[TVA acquittée]))*BQ37</f>
        <v>0</v>
      </c>
      <c r="CS37" s="200">
        <f>(SUMIF(Fonctionnement[Affectation matrice],$AB$3,Fonctionnement[TVA acquittée])+SUMIF(Invest[Affectation matrice],$AB$3,Invest[TVA acquittée]))*BR37</f>
        <v>0</v>
      </c>
      <c r="CT37" s="200">
        <f>(SUMIF(Fonctionnement[Affectation matrice],$AB$3,Fonctionnement[TVA acquittée])+SUMIF(Invest[Affectation matrice],$AB$3,Invest[TVA acquittée]))*BS37</f>
        <v>0</v>
      </c>
      <c r="CU37" s="200">
        <f>(SUMIF(Fonctionnement[Affectation matrice],$AB$3,Fonctionnement[TVA acquittée])+SUMIF(Invest[Affectation matrice],$AB$3,Invest[TVA acquittée]))*BT37</f>
        <v>0</v>
      </c>
      <c r="CV37" s="200">
        <f>(SUMIF(Fonctionnement[Affectation matrice],$AB$3,Fonctionnement[TVA acquittée])+SUMIF(Invest[Affectation matrice],$AB$3,Invest[TVA acquittée]))*BU37</f>
        <v>0</v>
      </c>
      <c r="CW37" s="200">
        <f>(SUMIF(Fonctionnement[Affectation matrice],$AB$3,Fonctionnement[TVA acquittée])+SUMIF(Invest[Affectation matrice],$AB$3,Invest[TVA acquittée]))*BV37</f>
        <v>0</v>
      </c>
      <c r="CX37" s="200">
        <f>(SUMIF(Fonctionnement[Affectation matrice],$AB$3,Fonctionnement[TVA acquittée])+SUMIF(Invest[Affectation matrice],$AB$3,Invest[TVA acquittée]))*BW37</f>
        <v>0</v>
      </c>
      <c r="CY37" s="200">
        <f>(SUMIF(Fonctionnement[Affectation matrice],$AB$3,Fonctionnement[TVA acquittée])+SUMIF(Invest[Affectation matrice],$AB$3,Invest[TVA acquittée]))*BX37</f>
        <v>0</v>
      </c>
      <c r="CZ37" s="200">
        <f>(SUMIF(Fonctionnement[Affectation matrice],$AB$3,Fonctionnement[TVA acquittée])+SUMIF(Invest[Affectation matrice],$AB$3,Invest[TVA acquittée]))*BY37</f>
        <v>0</v>
      </c>
      <c r="DA37" s="200">
        <f>(SUMIF(Fonctionnement[Affectation matrice],$AB$3,Fonctionnement[TVA acquittée])+SUMIF(Invest[Affectation matrice],$AB$3,Invest[TVA acquittée]))*BZ37</f>
        <v>0</v>
      </c>
      <c r="DB37" s="200">
        <f>(SUMIF(Fonctionnement[Affectation matrice],$AB$3,Fonctionnement[TVA acquittée])+SUMIF(Invest[Affectation matrice],$AB$3,Invest[TVA acquittée]))*CA37</f>
        <v>0</v>
      </c>
    </row>
    <row r="38" spans="1:106" s="22" customFormat="1" ht="12.75" hidden="1" customHeight="1" x14ac:dyDescent="0.25">
      <c r="A38" s="42" t="str">
        <f>Matrice[[#This Row],[Ligne de la matrice]]</f>
        <v>Redevance spéciale et facturation à l'usager</v>
      </c>
      <c r="B38" s="276">
        <f>(SUMIF(Fonctionnement[Affectation matrice],$AB$3,Fonctionnement[Montant (€HT)])+SUMIF(Invest[Affectation matrice],$AB$3,Invest[Amortissement HT + intérêts]))*BC38</f>
        <v>0</v>
      </c>
      <c r="C38" s="276">
        <f>(SUMIF(Fonctionnement[Affectation matrice],$AB$3,Fonctionnement[Montant (€HT)])+SUMIF(Invest[Affectation matrice],$AB$3,Invest[Amortissement HT + intérêts]))*BD38</f>
        <v>0</v>
      </c>
      <c r="D38" s="276">
        <f>(SUMIF(Fonctionnement[Affectation matrice],$AB$3,Fonctionnement[Montant (€HT)])+SUMIF(Invest[Affectation matrice],$AB$3,Invest[Amortissement HT + intérêts]))*BE38</f>
        <v>0</v>
      </c>
      <c r="E38" s="276">
        <f>(SUMIF(Fonctionnement[Affectation matrice],$AB$3,Fonctionnement[Montant (€HT)])+SUMIF(Invest[Affectation matrice],$AB$3,Invest[Amortissement HT + intérêts]))*BF38</f>
        <v>0</v>
      </c>
      <c r="F38" s="276">
        <f>(SUMIF(Fonctionnement[Affectation matrice],$AB$3,Fonctionnement[Montant (€HT)])+SUMIF(Invest[Affectation matrice],$AB$3,Invest[Amortissement HT + intérêts]))*BG38</f>
        <v>0</v>
      </c>
      <c r="G38" s="276">
        <f>(SUMIF(Fonctionnement[Affectation matrice],$AB$3,Fonctionnement[Montant (€HT)])+SUMIF(Invest[Affectation matrice],$AB$3,Invest[Amortissement HT + intérêts]))*BH38</f>
        <v>0</v>
      </c>
      <c r="H38" s="276">
        <f>(SUMIF(Fonctionnement[Affectation matrice],$AB$3,Fonctionnement[Montant (€HT)])+SUMIF(Invest[Affectation matrice],$AB$3,Invest[Amortissement HT + intérêts]))*BI38</f>
        <v>0</v>
      </c>
      <c r="I38" s="276">
        <f>(SUMIF(Fonctionnement[Affectation matrice],$AB$3,Fonctionnement[Montant (€HT)])+SUMIF(Invest[Affectation matrice],$AB$3,Invest[Amortissement HT + intérêts]))*BJ38</f>
        <v>0</v>
      </c>
      <c r="J38" s="276">
        <f>(SUMIF(Fonctionnement[Affectation matrice],$AB$3,Fonctionnement[Montant (€HT)])+SUMIF(Invest[Affectation matrice],$AB$3,Invest[Amortissement HT + intérêts]))*BK38</f>
        <v>0</v>
      </c>
      <c r="K38" s="276">
        <f>(SUMIF(Fonctionnement[Affectation matrice],$AB$3,Fonctionnement[Montant (€HT)])+SUMIF(Invest[Affectation matrice],$AB$3,Invest[Amortissement HT + intérêts]))*BL38</f>
        <v>0</v>
      </c>
      <c r="L38" s="276">
        <f>(SUMIF(Fonctionnement[Affectation matrice],$AB$3,Fonctionnement[Montant (€HT)])+SUMIF(Invest[Affectation matrice],$AB$3,Invest[Amortissement HT + intérêts]))*BM38</f>
        <v>0</v>
      </c>
      <c r="M38" s="276">
        <f>(SUMIF(Fonctionnement[Affectation matrice],$AB$3,Fonctionnement[Montant (€HT)])+SUMIF(Invest[Affectation matrice],$AB$3,Invest[Amortissement HT + intérêts]))*BN38</f>
        <v>0</v>
      </c>
      <c r="N38" s="276">
        <f>(SUMIF(Fonctionnement[Affectation matrice],$AB$3,Fonctionnement[Montant (€HT)])+SUMIF(Invest[Affectation matrice],$AB$3,Invest[Amortissement HT + intérêts]))*BO38</f>
        <v>0</v>
      </c>
      <c r="O38" s="276">
        <f>(SUMIF(Fonctionnement[Affectation matrice],$AB$3,Fonctionnement[Montant (€HT)])+SUMIF(Invest[Affectation matrice],$AB$3,Invest[Amortissement HT + intérêts]))*BP38</f>
        <v>0</v>
      </c>
      <c r="P38" s="276">
        <f>(SUMIF(Fonctionnement[Affectation matrice],$AB$3,Fonctionnement[Montant (€HT)])+SUMIF(Invest[Affectation matrice],$AB$3,Invest[Amortissement HT + intérêts]))*BQ38</f>
        <v>0</v>
      </c>
      <c r="Q38" s="276">
        <f>(SUMIF(Fonctionnement[Affectation matrice],$AB$3,Fonctionnement[Montant (€HT)])+SUMIF(Invest[Affectation matrice],$AB$3,Invest[Amortissement HT + intérêts]))*BR38</f>
        <v>0</v>
      </c>
      <c r="R38" s="276">
        <f>(SUMIF(Fonctionnement[Affectation matrice],$AB$3,Fonctionnement[Montant (€HT)])+SUMIF(Invest[Affectation matrice],$AB$3,Invest[Amortissement HT + intérêts]))*BS38</f>
        <v>0</v>
      </c>
      <c r="S38" s="276">
        <f>(SUMIF(Fonctionnement[Affectation matrice],$AB$3,Fonctionnement[Montant (€HT)])+SUMIF(Invest[Affectation matrice],$AB$3,Invest[Amortissement HT + intérêts]))*BT38</f>
        <v>0</v>
      </c>
      <c r="T38" s="276">
        <f>(SUMIF(Fonctionnement[Affectation matrice],$AB$3,Fonctionnement[Montant (€HT)])+SUMIF(Invest[Affectation matrice],$AB$3,Invest[Amortissement HT + intérêts]))*BU38</f>
        <v>0</v>
      </c>
      <c r="U38" s="276">
        <f>(SUMIF(Fonctionnement[Affectation matrice],$AB$3,Fonctionnement[Montant (€HT)])+SUMIF(Invest[Affectation matrice],$AB$3,Invest[Amortissement HT + intérêts]))*BV38</f>
        <v>0</v>
      </c>
      <c r="V38" s="276">
        <f>(SUMIF(Fonctionnement[Affectation matrice],$AB$3,Fonctionnement[Montant (€HT)])+SUMIF(Invest[Affectation matrice],$AB$3,Invest[Amortissement HT + intérêts]))*BW38</f>
        <v>0</v>
      </c>
      <c r="W38" s="276">
        <f>(SUMIF(Fonctionnement[Affectation matrice],$AB$3,Fonctionnement[Montant (€HT)])+SUMIF(Invest[Affectation matrice],$AB$3,Invest[Amortissement HT + intérêts]))*BX38</f>
        <v>0</v>
      </c>
      <c r="X38" s="276">
        <f>(SUMIF(Fonctionnement[Affectation matrice],$AB$3,Fonctionnement[Montant (€HT)])+SUMIF(Invest[Affectation matrice],$AB$3,Invest[Amortissement HT + intérêts]))*BY38</f>
        <v>0</v>
      </c>
      <c r="Y38" s="276">
        <f>(SUMIF(Fonctionnement[Affectation matrice],$AB$3,Fonctionnement[Montant (€HT)])+SUMIF(Invest[Affectation matrice],$AB$3,Invest[Amortissement HT + intérêts]))*BZ38</f>
        <v>0</v>
      </c>
      <c r="Z38" s="276">
        <f>(SUMIF(Fonctionnement[Affectation matrice],$AB$3,Fonctionnement[Montant (€HT)])+SUMIF(Invest[Affectation matrice],$AB$3,Invest[Amortissement HT + intérêts]))*CA38</f>
        <v>0</v>
      </c>
      <c r="AA38" s="199"/>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283">
        <f t="shared" si="4"/>
        <v>0</v>
      </c>
      <c r="BB38" s="7"/>
      <c r="BC38" s="61">
        <f t="shared" si="10"/>
        <v>0</v>
      </c>
      <c r="BD38" s="61">
        <f t="shared" si="10"/>
        <v>0</v>
      </c>
      <c r="BE38" s="61">
        <f t="shared" si="10"/>
        <v>0</v>
      </c>
      <c r="BF38" s="61">
        <f t="shared" si="10"/>
        <v>0</v>
      </c>
      <c r="BG38" s="61">
        <f t="shared" si="10"/>
        <v>0</v>
      </c>
      <c r="BH38" s="61">
        <f t="shared" si="10"/>
        <v>0</v>
      </c>
      <c r="BI38" s="61">
        <f t="shared" si="10"/>
        <v>0</v>
      </c>
      <c r="BJ38" s="61">
        <f t="shared" si="10"/>
        <v>0</v>
      </c>
      <c r="BK38" s="61">
        <f t="shared" si="10"/>
        <v>0</v>
      </c>
      <c r="BL38" s="61">
        <f t="shared" si="10"/>
        <v>0</v>
      </c>
      <c r="BM38" s="61">
        <f t="shared" si="11"/>
        <v>0</v>
      </c>
      <c r="BN38" s="61">
        <f t="shared" si="11"/>
        <v>0</v>
      </c>
      <c r="BO38" s="61">
        <f t="shared" si="11"/>
        <v>0</v>
      </c>
      <c r="BP38" s="61">
        <f t="shared" si="11"/>
        <v>0</v>
      </c>
      <c r="BQ38" s="61">
        <f t="shared" si="11"/>
        <v>0</v>
      </c>
      <c r="BR38" s="61">
        <f t="shared" si="11"/>
        <v>0</v>
      </c>
      <c r="BS38" s="61">
        <f t="shared" si="11"/>
        <v>0</v>
      </c>
      <c r="BT38" s="61">
        <f t="shared" si="11"/>
        <v>0</v>
      </c>
      <c r="BU38" s="61">
        <f t="shared" si="11"/>
        <v>0</v>
      </c>
      <c r="BV38" s="61">
        <f t="shared" si="11"/>
        <v>0</v>
      </c>
      <c r="BW38" s="61">
        <f t="shared" si="11"/>
        <v>0</v>
      </c>
      <c r="BX38" s="61">
        <f t="shared" si="11"/>
        <v>0</v>
      </c>
      <c r="BY38" s="61">
        <f t="shared" si="11"/>
        <v>0</v>
      </c>
      <c r="BZ38" s="61">
        <f t="shared" si="11"/>
        <v>0</v>
      </c>
      <c r="CA38" s="61">
        <f t="shared" si="11"/>
        <v>0</v>
      </c>
      <c r="CB38" s="61">
        <f t="shared" si="5"/>
        <v>0</v>
      </c>
      <c r="CD38" s="200">
        <f>(SUMIF(Fonctionnement[Affectation matrice],$AB$3,Fonctionnement[TVA acquittée])+SUMIF(Invest[Affectation matrice],$AB$3,Invest[TVA acquittée]))*BC38</f>
        <v>0</v>
      </c>
      <c r="CE38" s="200">
        <f>(SUMIF(Fonctionnement[Affectation matrice],$AB$3,Fonctionnement[TVA acquittée])+SUMIF(Invest[Affectation matrice],$AB$3,Invest[TVA acquittée]))*BD38</f>
        <v>0</v>
      </c>
      <c r="CF38" s="200">
        <f>(SUMIF(Fonctionnement[Affectation matrice],$AB$3,Fonctionnement[TVA acquittée])+SUMIF(Invest[Affectation matrice],$AB$3,Invest[TVA acquittée]))*BE38</f>
        <v>0</v>
      </c>
      <c r="CG38" s="200">
        <f>(SUMIF(Fonctionnement[Affectation matrice],$AB$3,Fonctionnement[TVA acquittée])+SUMIF(Invest[Affectation matrice],$AB$3,Invest[TVA acquittée]))*BF38</f>
        <v>0</v>
      </c>
      <c r="CH38" s="200">
        <f>(SUMIF(Fonctionnement[Affectation matrice],$AB$3,Fonctionnement[TVA acquittée])+SUMIF(Invest[Affectation matrice],$AB$3,Invest[TVA acquittée]))*BG38</f>
        <v>0</v>
      </c>
      <c r="CI38" s="200">
        <f>(SUMIF(Fonctionnement[Affectation matrice],$AB$3,Fonctionnement[TVA acquittée])+SUMIF(Invest[Affectation matrice],$AB$3,Invest[TVA acquittée]))*BH38</f>
        <v>0</v>
      </c>
      <c r="CJ38" s="200">
        <f>(SUMIF(Fonctionnement[Affectation matrice],$AB$3,Fonctionnement[TVA acquittée])+SUMIF(Invest[Affectation matrice],$AB$3,Invest[TVA acquittée]))*BI38</f>
        <v>0</v>
      </c>
      <c r="CK38" s="200">
        <f>(SUMIF(Fonctionnement[Affectation matrice],$AB$3,Fonctionnement[TVA acquittée])+SUMIF(Invest[Affectation matrice],$AB$3,Invest[TVA acquittée]))*BJ38</f>
        <v>0</v>
      </c>
      <c r="CL38" s="200">
        <f>(SUMIF(Fonctionnement[Affectation matrice],$AB$3,Fonctionnement[TVA acquittée])+SUMIF(Invest[Affectation matrice],$AB$3,Invest[TVA acquittée]))*BK38</f>
        <v>0</v>
      </c>
      <c r="CM38" s="200">
        <f>(SUMIF(Fonctionnement[Affectation matrice],$AB$3,Fonctionnement[TVA acquittée])+SUMIF(Invest[Affectation matrice],$AB$3,Invest[TVA acquittée]))*BL38</f>
        <v>0</v>
      </c>
      <c r="CN38" s="200">
        <f>(SUMIF(Fonctionnement[Affectation matrice],$AB$3,Fonctionnement[TVA acquittée])+SUMIF(Invest[Affectation matrice],$AB$3,Invest[TVA acquittée]))*BM38</f>
        <v>0</v>
      </c>
      <c r="CO38" s="200">
        <f>(SUMIF(Fonctionnement[Affectation matrice],$AB$3,Fonctionnement[TVA acquittée])+SUMIF(Invest[Affectation matrice],$AB$3,Invest[TVA acquittée]))*BN38</f>
        <v>0</v>
      </c>
      <c r="CP38" s="200">
        <f>(SUMIF(Fonctionnement[Affectation matrice],$AB$3,Fonctionnement[TVA acquittée])+SUMIF(Invest[Affectation matrice],$AB$3,Invest[TVA acquittée]))*BO38</f>
        <v>0</v>
      </c>
      <c r="CQ38" s="200">
        <f>(SUMIF(Fonctionnement[Affectation matrice],$AB$3,Fonctionnement[TVA acquittée])+SUMIF(Invest[Affectation matrice],$AB$3,Invest[TVA acquittée]))*BP38</f>
        <v>0</v>
      </c>
      <c r="CR38" s="200">
        <f>(SUMIF(Fonctionnement[Affectation matrice],$AB$3,Fonctionnement[TVA acquittée])+SUMIF(Invest[Affectation matrice],$AB$3,Invest[TVA acquittée]))*BQ38</f>
        <v>0</v>
      </c>
      <c r="CS38" s="200">
        <f>(SUMIF(Fonctionnement[Affectation matrice],$AB$3,Fonctionnement[TVA acquittée])+SUMIF(Invest[Affectation matrice],$AB$3,Invest[TVA acquittée]))*BR38</f>
        <v>0</v>
      </c>
      <c r="CT38" s="200">
        <f>(SUMIF(Fonctionnement[Affectation matrice],$AB$3,Fonctionnement[TVA acquittée])+SUMIF(Invest[Affectation matrice],$AB$3,Invest[TVA acquittée]))*BS38</f>
        <v>0</v>
      </c>
      <c r="CU38" s="200">
        <f>(SUMIF(Fonctionnement[Affectation matrice],$AB$3,Fonctionnement[TVA acquittée])+SUMIF(Invest[Affectation matrice],$AB$3,Invest[TVA acquittée]))*BT38</f>
        <v>0</v>
      </c>
      <c r="CV38" s="200">
        <f>(SUMIF(Fonctionnement[Affectation matrice],$AB$3,Fonctionnement[TVA acquittée])+SUMIF(Invest[Affectation matrice],$AB$3,Invest[TVA acquittée]))*BU38</f>
        <v>0</v>
      </c>
      <c r="CW38" s="200">
        <f>(SUMIF(Fonctionnement[Affectation matrice],$AB$3,Fonctionnement[TVA acquittée])+SUMIF(Invest[Affectation matrice],$AB$3,Invest[TVA acquittée]))*BV38</f>
        <v>0</v>
      </c>
      <c r="CX38" s="200">
        <f>(SUMIF(Fonctionnement[Affectation matrice],$AB$3,Fonctionnement[TVA acquittée])+SUMIF(Invest[Affectation matrice],$AB$3,Invest[TVA acquittée]))*BW38</f>
        <v>0</v>
      </c>
      <c r="CY38" s="200">
        <f>(SUMIF(Fonctionnement[Affectation matrice],$AB$3,Fonctionnement[TVA acquittée])+SUMIF(Invest[Affectation matrice],$AB$3,Invest[TVA acquittée]))*BX38</f>
        <v>0</v>
      </c>
      <c r="CZ38" s="200">
        <f>(SUMIF(Fonctionnement[Affectation matrice],$AB$3,Fonctionnement[TVA acquittée])+SUMIF(Invest[Affectation matrice],$AB$3,Invest[TVA acquittée]))*BY38</f>
        <v>0</v>
      </c>
      <c r="DA38" s="200">
        <f>(SUMIF(Fonctionnement[Affectation matrice],$AB$3,Fonctionnement[TVA acquittée])+SUMIF(Invest[Affectation matrice],$AB$3,Invest[TVA acquittée]))*BZ38</f>
        <v>0</v>
      </c>
      <c r="DB38" s="200">
        <f>(SUMIF(Fonctionnement[Affectation matrice],$AB$3,Fonctionnement[TVA acquittée])+SUMIF(Invest[Affectation matrice],$AB$3,Invest[TVA acquittée]))*CA38</f>
        <v>0</v>
      </c>
    </row>
    <row r="39" spans="1:106" s="22" customFormat="1" ht="12.75" hidden="1" customHeight="1" x14ac:dyDescent="0.25">
      <c r="A39" s="42" t="str">
        <f>Matrice[[#This Row],[Ligne de la matrice]]</f>
        <v>Redevance spéciale</v>
      </c>
      <c r="B39" s="276">
        <f>(SUMIF(Fonctionnement[Affectation matrice],$AB$3,Fonctionnement[Montant (€HT)])+SUMIF(Invest[Affectation matrice],$AB$3,Invest[Amortissement HT + intérêts]))*BC39</f>
        <v>0</v>
      </c>
      <c r="C39" s="276">
        <f>(SUMIF(Fonctionnement[Affectation matrice],$AB$3,Fonctionnement[Montant (€HT)])+SUMIF(Invest[Affectation matrice],$AB$3,Invest[Amortissement HT + intérêts]))*BD39</f>
        <v>0</v>
      </c>
      <c r="D39" s="276">
        <f>(SUMIF(Fonctionnement[Affectation matrice],$AB$3,Fonctionnement[Montant (€HT)])+SUMIF(Invest[Affectation matrice],$AB$3,Invest[Amortissement HT + intérêts]))*BE39</f>
        <v>0</v>
      </c>
      <c r="E39" s="276">
        <f>(SUMIF(Fonctionnement[Affectation matrice],$AB$3,Fonctionnement[Montant (€HT)])+SUMIF(Invest[Affectation matrice],$AB$3,Invest[Amortissement HT + intérêts]))*BF39</f>
        <v>0</v>
      </c>
      <c r="F39" s="276">
        <f>(SUMIF(Fonctionnement[Affectation matrice],$AB$3,Fonctionnement[Montant (€HT)])+SUMIF(Invest[Affectation matrice],$AB$3,Invest[Amortissement HT + intérêts]))*BG39</f>
        <v>0</v>
      </c>
      <c r="G39" s="276">
        <f>(SUMIF(Fonctionnement[Affectation matrice],$AB$3,Fonctionnement[Montant (€HT)])+SUMIF(Invest[Affectation matrice],$AB$3,Invest[Amortissement HT + intérêts]))*BH39</f>
        <v>0</v>
      </c>
      <c r="H39" s="276">
        <f>(SUMIF(Fonctionnement[Affectation matrice],$AB$3,Fonctionnement[Montant (€HT)])+SUMIF(Invest[Affectation matrice],$AB$3,Invest[Amortissement HT + intérêts]))*BI39</f>
        <v>0</v>
      </c>
      <c r="I39" s="276">
        <f>(SUMIF(Fonctionnement[Affectation matrice],$AB$3,Fonctionnement[Montant (€HT)])+SUMIF(Invest[Affectation matrice],$AB$3,Invest[Amortissement HT + intérêts]))*BJ39</f>
        <v>0</v>
      </c>
      <c r="J39" s="276">
        <f>(SUMIF(Fonctionnement[Affectation matrice],$AB$3,Fonctionnement[Montant (€HT)])+SUMIF(Invest[Affectation matrice],$AB$3,Invest[Amortissement HT + intérêts]))*BK39</f>
        <v>0</v>
      </c>
      <c r="K39" s="276">
        <f>(SUMIF(Fonctionnement[Affectation matrice],$AB$3,Fonctionnement[Montant (€HT)])+SUMIF(Invest[Affectation matrice],$AB$3,Invest[Amortissement HT + intérêts]))*BL39</f>
        <v>0</v>
      </c>
      <c r="L39" s="276">
        <f>(SUMIF(Fonctionnement[Affectation matrice],$AB$3,Fonctionnement[Montant (€HT)])+SUMIF(Invest[Affectation matrice],$AB$3,Invest[Amortissement HT + intérêts]))*BM39</f>
        <v>0</v>
      </c>
      <c r="M39" s="276">
        <f>(SUMIF(Fonctionnement[Affectation matrice],$AB$3,Fonctionnement[Montant (€HT)])+SUMIF(Invest[Affectation matrice],$AB$3,Invest[Amortissement HT + intérêts]))*BN39</f>
        <v>0</v>
      </c>
      <c r="N39" s="276">
        <f>(SUMIF(Fonctionnement[Affectation matrice],$AB$3,Fonctionnement[Montant (€HT)])+SUMIF(Invest[Affectation matrice],$AB$3,Invest[Amortissement HT + intérêts]))*BO39</f>
        <v>0</v>
      </c>
      <c r="O39" s="276">
        <f>(SUMIF(Fonctionnement[Affectation matrice],$AB$3,Fonctionnement[Montant (€HT)])+SUMIF(Invest[Affectation matrice],$AB$3,Invest[Amortissement HT + intérêts]))*BP39</f>
        <v>0</v>
      </c>
      <c r="P39" s="276">
        <f>(SUMIF(Fonctionnement[Affectation matrice],$AB$3,Fonctionnement[Montant (€HT)])+SUMIF(Invest[Affectation matrice],$AB$3,Invest[Amortissement HT + intérêts]))*BQ39</f>
        <v>0</v>
      </c>
      <c r="Q39" s="276">
        <f>(SUMIF(Fonctionnement[Affectation matrice],$AB$3,Fonctionnement[Montant (€HT)])+SUMIF(Invest[Affectation matrice],$AB$3,Invest[Amortissement HT + intérêts]))*BR39</f>
        <v>0</v>
      </c>
      <c r="R39" s="276">
        <f>(SUMIF(Fonctionnement[Affectation matrice],$AB$3,Fonctionnement[Montant (€HT)])+SUMIF(Invest[Affectation matrice],$AB$3,Invest[Amortissement HT + intérêts]))*BS39</f>
        <v>0</v>
      </c>
      <c r="S39" s="276">
        <f>(SUMIF(Fonctionnement[Affectation matrice],$AB$3,Fonctionnement[Montant (€HT)])+SUMIF(Invest[Affectation matrice],$AB$3,Invest[Amortissement HT + intérêts]))*BT39</f>
        <v>0</v>
      </c>
      <c r="T39" s="276">
        <f>(SUMIF(Fonctionnement[Affectation matrice],$AB$3,Fonctionnement[Montant (€HT)])+SUMIF(Invest[Affectation matrice],$AB$3,Invest[Amortissement HT + intérêts]))*BU39</f>
        <v>0</v>
      </c>
      <c r="U39" s="276">
        <f>(SUMIF(Fonctionnement[Affectation matrice],$AB$3,Fonctionnement[Montant (€HT)])+SUMIF(Invest[Affectation matrice],$AB$3,Invest[Amortissement HT + intérêts]))*BV39</f>
        <v>0</v>
      </c>
      <c r="V39" s="276">
        <f>(SUMIF(Fonctionnement[Affectation matrice],$AB$3,Fonctionnement[Montant (€HT)])+SUMIF(Invest[Affectation matrice],$AB$3,Invest[Amortissement HT + intérêts]))*BW39</f>
        <v>0</v>
      </c>
      <c r="W39" s="276">
        <f>(SUMIF(Fonctionnement[Affectation matrice],$AB$3,Fonctionnement[Montant (€HT)])+SUMIF(Invest[Affectation matrice],$AB$3,Invest[Amortissement HT + intérêts]))*BX39</f>
        <v>0</v>
      </c>
      <c r="X39" s="276">
        <f>(SUMIF(Fonctionnement[Affectation matrice],$AB$3,Fonctionnement[Montant (€HT)])+SUMIF(Invest[Affectation matrice],$AB$3,Invest[Amortissement HT + intérêts]))*BY39</f>
        <v>0</v>
      </c>
      <c r="Y39" s="276">
        <f>(SUMIF(Fonctionnement[Affectation matrice],$AB$3,Fonctionnement[Montant (€HT)])+SUMIF(Invest[Affectation matrice],$AB$3,Invest[Amortissement HT + intérêts]))*BZ39</f>
        <v>0</v>
      </c>
      <c r="Z39" s="276">
        <f>(SUMIF(Fonctionnement[Affectation matrice],$AB$3,Fonctionnement[Montant (€HT)])+SUMIF(Invest[Affectation matrice],$AB$3,Invest[Amortissement HT + intérêts]))*CA39</f>
        <v>0</v>
      </c>
      <c r="AA39" s="199"/>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283">
        <f t="shared" si="4"/>
        <v>0</v>
      </c>
      <c r="BB39" s="7"/>
      <c r="BC39" s="61">
        <f t="shared" si="10"/>
        <v>0</v>
      </c>
      <c r="BD39" s="61">
        <f t="shared" si="10"/>
        <v>0</v>
      </c>
      <c r="BE39" s="61">
        <f t="shared" si="10"/>
        <v>0</v>
      </c>
      <c r="BF39" s="61">
        <f t="shared" si="10"/>
        <v>0</v>
      </c>
      <c r="BG39" s="61">
        <f t="shared" si="10"/>
        <v>0</v>
      </c>
      <c r="BH39" s="61">
        <f t="shared" si="10"/>
        <v>0</v>
      </c>
      <c r="BI39" s="61">
        <f t="shared" si="10"/>
        <v>0</v>
      </c>
      <c r="BJ39" s="61">
        <f t="shared" si="10"/>
        <v>0</v>
      </c>
      <c r="BK39" s="61">
        <f t="shared" si="10"/>
        <v>0</v>
      </c>
      <c r="BL39" s="61">
        <f t="shared" si="10"/>
        <v>0</v>
      </c>
      <c r="BM39" s="61">
        <f t="shared" si="11"/>
        <v>0</v>
      </c>
      <c r="BN39" s="61">
        <f t="shared" si="11"/>
        <v>0</v>
      </c>
      <c r="BO39" s="61">
        <f t="shared" si="11"/>
        <v>0</v>
      </c>
      <c r="BP39" s="61">
        <f t="shared" si="11"/>
        <v>0</v>
      </c>
      <c r="BQ39" s="61">
        <f t="shared" si="11"/>
        <v>0</v>
      </c>
      <c r="BR39" s="61">
        <f t="shared" si="11"/>
        <v>0</v>
      </c>
      <c r="BS39" s="61">
        <f t="shared" si="11"/>
        <v>0</v>
      </c>
      <c r="BT39" s="61">
        <f t="shared" si="11"/>
        <v>0</v>
      </c>
      <c r="BU39" s="61">
        <f t="shared" si="11"/>
        <v>0</v>
      </c>
      <c r="BV39" s="61">
        <f t="shared" si="11"/>
        <v>0</v>
      </c>
      <c r="BW39" s="61">
        <f t="shared" si="11"/>
        <v>0</v>
      </c>
      <c r="BX39" s="61">
        <f t="shared" si="11"/>
        <v>0</v>
      </c>
      <c r="BY39" s="61">
        <f t="shared" si="11"/>
        <v>0</v>
      </c>
      <c r="BZ39" s="61">
        <f t="shared" si="11"/>
        <v>0</v>
      </c>
      <c r="CA39" s="61">
        <f t="shared" si="11"/>
        <v>0</v>
      </c>
      <c r="CB39" s="61">
        <f t="shared" si="5"/>
        <v>0</v>
      </c>
      <c r="CD39" s="200">
        <f>(SUMIF(Fonctionnement[Affectation matrice],$AB$3,Fonctionnement[TVA acquittée])+SUMIF(Invest[Affectation matrice],$AB$3,Invest[TVA acquittée]))*BC39</f>
        <v>0</v>
      </c>
      <c r="CE39" s="200">
        <f>(SUMIF(Fonctionnement[Affectation matrice],$AB$3,Fonctionnement[TVA acquittée])+SUMIF(Invest[Affectation matrice],$AB$3,Invest[TVA acquittée]))*BD39</f>
        <v>0</v>
      </c>
      <c r="CF39" s="200">
        <f>(SUMIF(Fonctionnement[Affectation matrice],$AB$3,Fonctionnement[TVA acquittée])+SUMIF(Invest[Affectation matrice],$AB$3,Invest[TVA acquittée]))*BE39</f>
        <v>0</v>
      </c>
      <c r="CG39" s="200">
        <f>(SUMIF(Fonctionnement[Affectation matrice],$AB$3,Fonctionnement[TVA acquittée])+SUMIF(Invest[Affectation matrice],$AB$3,Invest[TVA acquittée]))*BF39</f>
        <v>0</v>
      </c>
      <c r="CH39" s="200">
        <f>(SUMIF(Fonctionnement[Affectation matrice],$AB$3,Fonctionnement[TVA acquittée])+SUMIF(Invest[Affectation matrice],$AB$3,Invest[TVA acquittée]))*BG39</f>
        <v>0</v>
      </c>
      <c r="CI39" s="200">
        <f>(SUMIF(Fonctionnement[Affectation matrice],$AB$3,Fonctionnement[TVA acquittée])+SUMIF(Invest[Affectation matrice],$AB$3,Invest[TVA acquittée]))*BH39</f>
        <v>0</v>
      </c>
      <c r="CJ39" s="200">
        <f>(SUMIF(Fonctionnement[Affectation matrice],$AB$3,Fonctionnement[TVA acquittée])+SUMIF(Invest[Affectation matrice],$AB$3,Invest[TVA acquittée]))*BI39</f>
        <v>0</v>
      </c>
      <c r="CK39" s="200">
        <f>(SUMIF(Fonctionnement[Affectation matrice],$AB$3,Fonctionnement[TVA acquittée])+SUMIF(Invest[Affectation matrice],$AB$3,Invest[TVA acquittée]))*BJ39</f>
        <v>0</v>
      </c>
      <c r="CL39" s="200">
        <f>(SUMIF(Fonctionnement[Affectation matrice],$AB$3,Fonctionnement[TVA acquittée])+SUMIF(Invest[Affectation matrice],$AB$3,Invest[TVA acquittée]))*BK39</f>
        <v>0</v>
      </c>
      <c r="CM39" s="200">
        <f>(SUMIF(Fonctionnement[Affectation matrice],$AB$3,Fonctionnement[TVA acquittée])+SUMIF(Invest[Affectation matrice],$AB$3,Invest[TVA acquittée]))*BL39</f>
        <v>0</v>
      </c>
      <c r="CN39" s="200">
        <f>(SUMIF(Fonctionnement[Affectation matrice],$AB$3,Fonctionnement[TVA acquittée])+SUMIF(Invest[Affectation matrice],$AB$3,Invest[TVA acquittée]))*BM39</f>
        <v>0</v>
      </c>
      <c r="CO39" s="200">
        <f>(SUMIF(Fonctionnement[Affectation matrice],$AB$3,Fonctionnement[TVA acquittée])+SUMIF(Invest[Affectation matrice],$AB$3,Invest[TVA acquittée]))*BN39</f>
        <v>0</v>
      </c>
      <c r="CP39" s="200">
        <f>(SUMIF(Fonctionnement[Affectation matrice],$AB$3,Fonctionnement[TVA acquittée])+SUMIF(Invest[Affectation matrice],$AB$3,Invest[TVA acquittée]))*BO39</f>
        <v>0</v>
      </c>
      <c r="CQ39" s="200">
        <f>(SUMIF(Fonctionnement[Affectation matrice],$AB$3,Fonctionnement[TVA acquittée])+SUMIF(Invest[Affectation matrice],$AB$3,Invest[TVA acquittée]))*BP39</f>
        <v>0</v>
      </c>
      <c r="CR39" s="200">
        <f>(SUMIF(Fonctionnement[Affectation matrice],$AB$3,Fonctionnement[TVA acquittée])+SUMIF(Invest[Affectation matrice],$AB$3,Invest[TVA acquittée]))*BQ39</f>
        <v>0</v>
      </c>
      <c r="CS39" s="200">
        <f>(SUMIF(Fonctionnement[Affectation matrice],$AB$3,Fonctionnement[TVA acquittée])+SUMIF(Invest[Affectation matrice],$AB$3,Invest[TVA acquittée]))*BR39</f>
        <v>0</v>
      </c>
      <c r="CT39" s="200">
        <f>(SUMIF(Fonctionnement[Affectation matrice],$AB$3,Fonctionnement[TVA acquittée])+SUMIF(Invest[Affectation matrice],$AB$3,Invest[TVA acquittée]))*BS39</f>
        <v>0</v>
      </c>
      <c r="CU39" s="200">
        <f>(SUMIF(Fonctionnement[Affectation matrice],$AB$3,Fonctionnement[TVA acquittée])+SUMIF(Invest[Affectation matrice],$AB$3,Invest[TVA acquittée]))*BT39</f>
        <v>0</v>
      </c>
      <c r="CV39" s="200">
        <f>(SUMIF(Fonctionnement[Affectation matrice],$AB$3,Fonctionnement[TVA acquittée])+SUMIF(Invest[Affectation matrice],$AB$3,Invest[TVA acquittée]))*BU39</f>
        <v>0</v>
      </c>
      <c r="CW39" s="200">
        <f>(SUMIF(Fonctionnement[Affectation matrice],$AB$3,Fonctionnement[TVA acquittée])+SUMIF(Invest[Affectation matrice],$AB$3,Invest[TVA acquittée]))*BV39</f>
        <v>0</v>
      </c>
      <c r="CX39" s="200">
        <f>(SUMIF(Fonctionnement[Affectation matrice],$AB$3,Fonctionnement[TVA acquittée])+SUMIF(Invest[Affectation matrice],$AB$3,Invest[TVA acquittée]))*BW39</f>
        <v>0</v>
      </c>
      <c r="CY39" s="200">
        <f>(SUMIF(Fonctionnement[Affectation matrice],$AB$3,Fonctionnement[TVA acquittée])+SUMIF(Invest[Affectation matrice],$AB$3,Invest[TVA acquittée]))*BX39</f>
        <v>0</v>
      </c>
      <c r="CZ39" s="200">
        <f>(SUMIF(Fonctionnement[Affectation matrice],$AB$3,Fonctionnement[TVA acquittée])+SUMIF(Invest[Affectation matrice],$AB$3,Invest[TVA acquittée]))*BY39</f>
        <v>0</v>
      </c>
      <c r="DA39" s="200">
        <f>(SUMIF(Fonctionnement[Affectation matrice],$AB$3,Fonctionnement[TVA acquittée])+SUMIF(Invest[Affectation matrice],$AB$3,Invest[TVA acquittée]))*BZ39</f>
        <v>0</v>
      </c>
      <c r="DB39" s="200">
        <f>(SUMIF(Fonctionnement[Affectation matrice],$AB$3,Fonctionnement[TVA acquittée])+SUMIF(Invest[Affectation matrice],$AB$3,Invest[TVA acquittée]))*CA39</f>
        <v>0</v>
      </c>
    </row>
    <row r="40" spans="1:106" s="22" customFormat="1" ht="12.75" hidden="1" customHeight="1" x14ac:dyDescent="0.25">
      <c r="A40" s="42" t="str">
        <f>Matrice[[#This Row],[Ligne de la matrice]]</f>
        <v>Facturation à l'usager</v>
      </c>
      <c r="B40" s="276">
        <f>(SUMIF(Fonctionnement[Affectation matrice],$AB$3,Fonctionnement[Montant (€HT)])+SUMIF(Invest[Affectation matrice],$AB$3,Invest[Amortissement HT + intérêts]))*BC40</f>
        <v>0</v>
      </c>
      <c r="C40" s="276">
        <f>(SUMIF(Fonctionnement[Affectation matrice],$AB$3,Fonctionnement[Montant (€HT)])+SUMIF(Invest[Affectation matrice],$AB$3,Invest[Amortissement HT + intérêts]))*BD40</f>
        <v>0</v>
      </c>
      <c r="D40" s="276">
        <f>(SUMIF(Fonctionnement[Affectation matrice],$AB$3,Fonctionnement[Montant (€HT)])+SUMIF(Invest[Affectation matrice],$AB$3,Invest[Amortissement HT + intérêts]))*BE40</f>
        <v>0</v>
      </c>
      <c r="E40" s="276">
        <f>(SUMIF(Fonctionnement[Affectation matrice],$AB$3,Fonctionnement[Montant (€HT)])+SUMIF(Invest[Affectation matrice],$AB$3,Invest[Amortissement HT + intérêts]))*BF40</f>
        <v>0</v>
      </c>
      <c r="F40" s="276">
        <f>(SUMIF(Fonctionnement[Affectation matrice],$AB$3,Fonctionnement[Montant (€HT)])+SUMIF(Invest[Affectation matrice],$AB$3,Invest[Amortissement HT + intérêts]))*BG40</f>
        <v>0</v>
      </c>
      <c r="G40" s="276">
        <f>(SUMIF(Fonctionnement[Affectation matrice],$AB$3,Fonctionnement[Montant (€HT)])+SUMIF(Invest[Affectation matrice],$AB$3,Invest[Amortissement HT + intérêts]))*BH40</f>
        <v>0</v>
      </c>
      <c r="H40" s="276">
        <f>(SUMIF(Fonctionnement[Affectation matrice],$AB$3,Fonctionnement[Montant (€HT)])+SUMIF(Invest[Affectation matrice],$AB$3,Invest[Amortissement HT + intérêts]))*BI40</f>
        <v>0</v>
      </c>
      <c r="I40" s="276">
        <f>(SUMIF(Fonctionnement[Affectation matrice],$AB$3,Fonctionnement[Montant (€HT)])+SUMIF(Invest[Affectation matrice],$AB$3,Invest[Amortissement HT + intérêts]))*BJ40</f>
        <v>0</v>
      </c>
      <c r="J40" s="276">
        <f>(SUMIF(Fonctionnement[Affectation matrice],$AB$3,Fonctionnement[Montant (€HT)])+SUMIF(Invest[Affectation matrice],$AB$3,Invest[Amortissement HT + intérêts]))*BK40</f>
        <v>0</v>
      </c>
      <c r="K40" s="276">
        <f>(SUMIF(Fonctionnement[Affectation matrice],$AB$3,Fonctionnement[Montant (€HT)])+SUMIF(Invest[Affectation matrice],$AB$3,Invest[Amortissement HT + intérêts]))*BL40</f>
        <v>0</v>
      </c>
      <c r="L40" s="276">
        <f>(SUMIF(Fonctionnement[Affectation matrice],$AB$3,Fonctionnement[Montant (€HT)])+SUMIF(Invest[Affectation matrice],$AB$3,Invest[Amortissement HT + intérêts]))*BM40</f>
        <v>0</v>
      </c>
      <c r="M40" s="276">
        <f>(SUMIF(Fonctionnement[Affectation matrice],$AB$3,Fonctionnement[Montant (€HT)])+SUMIF(Invest[Affectation matrice],$AB$3,Invest[Amortissement HT + intérêts]))*BN40</f>
        <v>0</v>
      </c>
      <c r="N40" s="276">
        <f>(SUMIF(Fonctionnement[Affectation matrice],$AB$3,Fonctionnement[Montant (€HT)])+SUMIF(Invest[Affectation matrice],$AB$3,Invest[Amortissement HT + intérêts]))*BO40</f>
        <v>0</v>
      </c>
      <c r="O40" s="276">
        <f>(SUMIF(Fonctionnement[Affectation matrice],$AB$3,Fonctionnement[Montant (€HT)])+SUMIF(Invest[Affectation matrice],$AB$3,Invest[Amortissement HT + intérêts]))*BP40</f>
        <v>0</v>
      </c>
      <c r="P40" s="276">
        <f>(SUMIF(Fonctionnement[Affectation matrice],$AB$3,Fonctionnement[Montant (€HT)])+SUMIF(Invest[Affectation matrice],$AB$3,Invest[Amortissement HT + intérêts]))*BQ40</f>
        <v>0</v>
      </c>
      <c r="Q40" s="276">
        <f>(SUMIF(Fonctionnement[Affectation matrice],$AB$3,Fonctionnement[Montant (€HT)])+SUMIF(Invest[Affectation matrice],$AB$3,Invest[Amortissement HT + intérêts]))*BR40</f>
        <v>0</v>
      </c>
      <c r="R40" s="276">
        <f>(SUMIF(Fonctionnement[Affectation matrice],$AB$3,Fonctionnement[Montant (€HT)])+SUMIF(Invest[Affectation matrice],$AB$3,Invest[Amortissement HT + intérêts]))*BS40</f>
        <v>0</v>
      </c>
      <c r="S40" s="276">
        <f>(SUMIF(Fonctionnement[Affectation matrice],$AB$3,Fonctionnement[Montant (€HT)])+SUMIF(Invest[Affectation matrice],$AB$3,Invest[Amortissement HT + intérêts]))*BT40</f>
        <v>0</v>
      </c>
      <c r="T40" s="276">
        <f>(SUMIF(Fonctionnement[Affectation matrice],$AB$3,Fonctionnement[Montant (€HT)])+SUMIF(Invest[Affectation matrice],$AB$3,Invest[Amortissement HT + intérêts]))*BU40</f>
        <v>0</v>
      </c>
      <c r="U40" s="276">
        <f>(SUMIF(Fonctionnement[Affectation matrice],$AB$3,Fonctionnement[Montant (€HT)])+SUMIF(Invest[Affectation matrice],$AB$3,Invest[Amortissement HT + intérêts]))*BV40</f>
        <v>0</v>
      </c>
      <c r="V40" s="276">
        <f>(SUMIF(Fonctionnement[Affectation matrice],$AB$3,Fonctionnement[Montant (€HT)])+SUMIF(Invest[Affectation matrice],$AB$3,Invest[Amortissement HT + intérêts]))*BW40</f>
        <v>0</v>
      </c>
      <c r="W40" s="276">
        <f>(SUMIF(Fonctionnement[Affectation matrice],$AB$3,Fonctionnement[Montant (€HT)])+SUMIF(Invest[Affectation matrice],$AB$3,Invest[Amortissement HT + intérêts]))*BX40</f>
        <v>0</v>
      </c>
      <c r="X40" s="276">
        <f>(SUMIF(Fonctionnement[Affectation matrice],$AB$3,Fonctionnement[Montant (€HT)])+SUMIF(Invest[Affectation matrice],$AB$3,Invest[Amortissement HT + intérêts]))*BY40</f>
        <v>0</v>
      </c>
      <c r="Y40" s="276">
        <f>(SUMIF(Fonctionnement[Affectation matrice],$AB$3,Fonctionnement[Montant (€HT)])+SUMIF(Invest[Affectation matrice],$AB$3,Invest[Amortissement HT + intérêts]))*BZ40</f>
        <v>0</v>
      </c>
      <c r="Z40" s="276">
        <f>(SUMIF(Fonctionnement[Affectation matrice],$AB$3,Fonctionnement[Montant (€HT)])+SUMIF(Invest[Affectation matrice],$AB$3,Invest[Amortissement HT + intérêts]))*CA40</f>
        <v>0</v>
      </c>
      <c r="AA40" s="199"/>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283">
        <f t="shared" si="4"/>
        <v>0</v>
      </c>
      <c r="BB40" s="7"/>
      <c r="BC40" s="61">
        <f t="shared" si="10"/>
        <v>0</v>
      </c>
      <c r="BD40" s="61">
        <f t="shared" si="10"/>
        <v>0</v>
      </c>
      <c r="BE40" s="61">
        <f t="shared" si="10"/>
        <v>0</v>
      </c>
      <c r="BF40" s="61">
        <f t="shared" si="10"/>
        <v>0</v>
      </c>
      <c r="BG40" s="61">
        <f t="shared" si="10"/>
        <v>0</v>
      </c>
      <c r="BH40" s="61">
        <f t="shared" si="10"/>
        <v>0</v>
      </c>
      <c r="BI40" s="61">
        <f t="shared" si="10"/>
        <v>0</v>
      </c>
      <c r="BJ40" s="61">
        <f t="shared" si="10"/>
        <v>0</v>
      </c>
      <c r="BK40" s="61">
        <f t="shared" si="10"/>
        <v>0</v>
      </c>
      <c r="BL40" s="61">
        <f t="shared" si="10"/>
        <v>0</v>
      </c>
      <c r="BM40" s="61">
        <f t="shared" si="11"/>
        <v>0</v>
      </c>
      <c r="BN40" s="61">
        <f t="shared" si="11"/>
        <v>0</v>
      </c>
      <c r="BO40" s="61">
        <f t="shared" si="11"/>
        <v>0</v>
      </c>
      <c r="BP40" s="61">
        <f t="shared" si="11"/>
        <v>0</v>
      </c>
      <c r="BQ40" s="61">
        <f t="shared" si="11"/>
        <v>0</v>
      </c>
      <c r="BR40" s="61">
        <f t="shared" si="11"/>
        <v>0</v>
      </c>
      <c r="BS40" s="61">
        <f t="shared" si="11"/>
        <v>0</v>
      </c>
      <c r="BT40" s="61">
        <f t="shared" si="11"/>
        <v>0</v>
      </c>
      <c r="BU40" s="61">
        <f t="shared" si="11"/>
        <v>0</v>
      </c>
      <c r="BV40" s="61">
        <f t="shared" si="11"/>
        <v>0</v>
      </c>
      <c r="BW40" s="61">
        <f t="shared" si="11"/>
        <v>0</v>
      </c>
      <c r="BX40" s="61">
        <f t="shared" si="11"/>
        <v>0</v>
      </c>
      <c r="BY40" s="61">
        <f t="shared" si="11"/>
        <v>0</v>
      </c>
      <c r="BZ40" s="61">
        <f t="shared" si="11"/>
        <v>0</v>
      </c>
      <c r="CA40" s="61">
        <f t="shared" si="11"/>
        <v>0</v>
      </c>
      <c r="CB40" s="61">
        <f t="shared" si="5"/>
        <v>0</v>
      </c>
      <c r="CD40" s="200">
        <f>(SUMIF(Fonctionnement[Affectation matrice],$AB$3,Fonctionnement[TVA acquittée])+SUMIF(Invest[Affectation matrice],$AB$3,Invest[TVA acquittée]))*BC40</f>
        <v>0</v>
      </c>
      <c r="CE40" s="200">
        <f>(SUMIF(Fonctionnement[Affectation matrice],$AB$3,Fonctionnement[TVA acquittée])+SUMIF(Invest[Affectation matrice],$AB$3,Invest[TVA acquittée]))*BD40</f>
        <v>0</v>
      </c>
      <c r="CF40" s="200">
        <f>(SUMIF(Fonctionnement[Affectation matrice],$AB$3,Fonctionnement[TVA acquittée])+SUMIF(Invest[Affectation matrice],$AB$3,Invest[TVA acquittée]))*BE40</f>
        <v>0</v>
      </c>
      <c r="CG40" s="200">
        <f>(SUMIF(Fonctionnement[Affectation matrice],$AB$3,Fonctionnement[TVA acquittée])+SUMIF(Invest[Affectation matrice],$AB$3,Invest[TVA acquittée]))*BF40</f>
        <v>0</v>
      </c>
      <c r="CH40" s="200">
        <f>(SUMIF(Fonctionnement[Affectation matrice],$AB$3,Fonctionnement[TVA acquittée])+SUMIF(Invest[Affectation matrice],$AB$3,Invest[TVA acquittée]))*BG40</f>
        <v>0</v>
      </c>
      <c r="CI40" s="200">
        <f>(SUMIF(Fonctionnement[Affectation matrice],$AB$3,Fonctionnement[TVA acquittée])+SUMIF(Invest[Affectation matrice],$AB$3,Invest[TVA acquittée]))*BH40</f>
        <v>0</v>
      </c>
      <c r="CJ40" s="200">
        <f>(SUMIF(Fonctionnement[Affectation matrice],$AB$3,Fonctionnement[TVA acquittée])+SUMIF(Invest[Affectation matrice],$AB$3,Invest[TVA acquittée]))*BI40</f>
        <v>0</v>
      </c>
      <c r="CK40" s="200">
        <f>(SUMIF(Fonctionnement[Affectation matrice],$AB$3,Fonctionnement[TVA acquittée])+SUMIF(Invest[Affectation matrice],$AB$3,Invest[TVA acquittée]))*BJ40</f>
        <v>0</v>
      </c>
      <c r="CL40" s="200">
        <f>(SUMIF(Fonctionnement[Affectation matrice],$AB$3,Fonctionnement[TVA acquittée])+SUMIF(Invest[Affectation matrice],$AB$3,Invest[TVA acquittée]))*BK40</f>
        <v>0</v>
      </c>
      <c r="CM40" s="200">
        <f>(SUMIF(Fonctionnement[Affectation matrice],$AB$3,Fonctionnement[TVA acquittée])+SUMIF(Invest[Affectation matrice],$AB$3,Invest[TVA acquittée]))*BL40</f>
        <v>0</v>
      </c>
      <c r="CN40" s="200">
        <f>(SUMIF(Fonctionnement[Affectation matrice],$AB$3,Fonctionnement[TVA acquittée])+SUMIF(Invest[Affectation matrice],$AB$3,Invest[TVA acquittée]))*BM40</f>
        <v>0</v>
      </c>
      <c r="CO40" s="200">
        <f>(SUMIF(Fonctionnement[Affectation matrice],$AB$3,Fonctionnement[TVA acquittée])+SUMIF(Invest[Affectation matrice],$AB$3,Invest[TVA acquittée]))*BN40</f>
        <v>0</v>
      </c>
      <c r="CP40" s="200">
        <f>(SUMIF(Fonctionnement[Affectation matrice],$AB$3,Fonctionnement[TVA acquittée])+SUMIF(Invest[Affectation matrice],$AB$3,Invest[TVA acquittée]))*BO40</f>
        <v>0</v>
      </c>
      <c r="CQ40" s="200">
        <f>(SUMIF(Fonctionnement[Affectation matrice],$AB$3,Fonctionnement[TVA acquittée])+SUMIF(Invest[Affectation matrice],$AB$3,Invest[TVA acquittée]))*BP40</f>
        <v>0</v>
      </c>
      <c r="CR40" s="200">
        <f>(SUMIF(Fonctionnement[Affectation matrice],$AB$3,Fonctionnement[TVA acquittée])+SUMIF(Invest[Affectation matrice],$AB$3,Invest[TVA acquittée]))*BQ40</f>
        <v>0</v>
      </c>
      <c r="CS40" s="200">
        <f>(SUMIF(Fonctionnement[Affectation matrice],$AB$3,Fonctionnement[TVA acquittée])+SUMIF(Invest[Affectation matrice],$AB$3,Invest[TVA acquittée]))*BR40</f>
        <v>0</v>
      </c>
      <c r="CT40" s="200">
        <f>(SUMIF(Fonctionnement[Affectation matrice],$AB$3,Fonctionnement[TVA acquittée])+SUMIF(Invest[Affectation matrice],$AB$3,Invest[TVA acquittée]))*BS40</f>
        <v>0</v>
      </c>
      <c r="CU40" s="200">
        <f>(SUMIF(Fonctionnement[Affectation matrice],$AB$3,Fonctionnement[TVA acquittée])+SUMIF(Invest[Affectation matrice],$AB$3,Invest[TVA acquittée]))*BT40</f>
        <v>0</v>
      </c>
      <c r="CV40" s="200">
        <f>(SUMIF(Fonctionnement[Affectation matrice],$AB$3,Fonctionnement[TVA acquittée])+SUMIF(Invest[Affectation matrice],$AB$3,Invest[TVA acquittée]))*BU40</f>
        <v>0</v>
      </c>
      <c r="CW40" s="200">
        <f>(SUMIF(Fonctionnement[Affectation matrice],$AB$3,Fonctionnement[TVA acquittée])+SUMIF(Invest[Affectation matrice],$AB$3,Invest[TVA acquittée]))*BV40</f>
        <v>0</v>
      </c>
      <c r="CX40" s="200">
        <f>(SUMIF(Fonctionnement[Affectation matrice],$AB$3,Fonctionnement[TVA acquittée])+SUMIF(Invest[Affectation matrice],$AB$3,Invest[TVA acquittée]))*BW40</f>
        <v>0</v>
      </c>
      <c r="CY40" s="200">
        <f>(SUMIF(Fonctionnement[Affectation matrice],$AB$3,Fonctionnement[TVA acquittée])+SUMIF(Invest[Affectation matrice],$AB$3,Invest[TVA acquittée]))*BX40</f>
        <v>0</v>
      </c>
      <c r="CZ40" s="200">
        <f>(SUMIF(Fonctionnement[Affectation matrice],$AB$3,Fonctionnement[TVA acquittée])+SUMIF(Invest[Affectation matrice],$AB$3,Invest[TVA acquittée]))*BY40</f>
        <v>0</v>
      </c>
      <c r="DA40" s="200">
        <f>(SUMIF(Fonctionnement[Affectation matrice],$AB$3,Fonctionnement[TVA acquittée])+SUMIF(Invest[Affectation matrice],$AB$3,Invest[TVA acquittée]))*BZ40</f>
        <v>0</v>
      </c>
      <c r="DB40" s="200">
        <f>(SUMIF(Fonctionnement[Affectation matrice],$AB$3,Fonctionnement[TVA acquittée])+SUMIF(Invest[Affectation matrice],$AB$3,Invest[TVA acquittée]))*CA40</f>
        <v>0</v>
      </c>
    </row>
    <row r="41" spans="1:106" s="22" customFormat="1" ht="12.75" hidden="1" customHeight="1" x14ac:dyDescent="0.25">
      <c r="A41" s="42" t="str">
        <f>Matrice[[#This Row],[Ligne de la matrice]]</f>
        <v>Contribution des collectivités</v>
      </c>
      <c r="B41" s="276">
        <f>(SUMIF(Fonctionnement[Affectation matrice],$AB$3,Fonctionnement[Montant (€HT)])+SUMIF(Invest[Affectation matrice],$AB$3,Invest[Amortissement HT + intérêts]))*BC41</f>
        <v>0</v>
      </c>
      <c r="C41" s="276">
        <f>(SUMIF(Fonctionnement[Affectation matrice],$AB$3,Fonctionnement[Montant (€HT)])+SUMIF(Invest[Affectation matrice],$AB$3,Invest[Amortissement HT + intérêts]))*BD41</f>
        <v>0</v>
      </c>
      <c r="D41" s="276">
        <f>(SUMIF(Fonctionnement[Affectation matrice],$AB$3,Fonctionnement[Montant (€HT)])+SUMIF(Invest[Affectation matrice],$AB$3,Invest[Amortissement HT + intérêts]))*BE41</f>
        <v>0</v>
      </c>
      <c r="E41" s="276">
        <f>(SUMIF(Fonctionnement[Affectation matrice],$AB$3,Fonctionnement[Montant (€HT)])+SUMIF(Invest[Affectation matrice],$AB$3,Invest[Amortissement HT + intérêts]))*BF41</f>
        <v>0</v>
      </c>
      <c r="F41" s="276">
        <f>(SUMIF(Fonctionnement[Affectation matrice],$AB$3,Fonctionnement[Montant (€HT)])+SUMIF(Invest[Affectation matrice],$AB$3,Invest[Amortissement HT + intérêts]))*BG41</f>
        <v>0</v>
      </c>
      <c r="G41" s="276">
        <f>(SUMIF(Fonctionnement[Affectation matrice],$AB$3,Fonctionnement[Montant (€HT)])+SUMIF(Invest[Affectation matrice],$AB$3,Invest[Amortissement HT + intérêts]))*BH41</f>
        <v>0</v>
      </c>
      <c r="H41" s="276">
        <f>(SUMIF(Fonctionnement[Affectation matrice],$AB$3,Fonctionnement[Montant (€HT)])+SUMIF(Invest[Affectation matrice],$AB$3,Invest[Amortissement HT + intérêts]))*BI41</f>
        <v>0</v>
      </c>
      <c r="I41" s="276">
        <f>(SUMIF(Fonctionnement[Affectation matrice],$AB$3,Fonctionnement[Montant (€HT)])+SUMIF(Invest[Affectation matrice],$AB$3,Invest[Amortissement HT + intérêts]))*BJ41</f>
        <v>0</v>
      </c>
      <c r="J41" s="276">
        <f>(SUMIF(Fonctionnement[Affectation matrice],$AB$3,Fonctionnement[Montant (€HT)])+SUMIF(Invest[Affectation matrice],$AB$3,Invest[Amortissement HT + intérêts]))*BK41</f>
        <v>0</v>
      </c>
      <c r="K41" s="276">
        <f>(SUMIF(Fonctionnement[Affectation matrice],$AB$3,Fonctionnement[Montant (€HT)])+SUMIF(Invest[Affectation matrice],$AB$3,Invest[Amortissement HT + intérêts]))*BL41</f>
        <v>0</v>
      </c>
      <c r="L41" s="276">
        <f>(SUMIF(Fonctionnement[Affectation matrice],$AB$3,Fonctionnement[Montant (€HT)])+SUMIF(Invest[Affectation matrice],$AB$3,Invest[Amortissement HT + intérêts]))*BM41</f>
        <v>0</v>
      </c>
      <c r="M41" s="276">
        <f>(SUMIF(Fonctionnement[Affectation matrice],$AB$3,Fonctionnement[Montant (€HT)])+SUMIF(Invest[Affectation matrice],$AB$3,Invest[Amortissement HT + intérêts]))*BN41</f>
        <v>0</v>
      </c>
      <c r="N41" s="276">
        <f>(SUMIF(Fonctionnement[Affectation matrice],$AB$3,Fonctionnement[Montant (€HT)])+SUMIF(Invest[Affectation matrice],$AB$3,Invest[Amortissement HT + intérêts]))*BO41</f>
        <v>0</v>
      </c>
      <c r="O41" s="276">
        <f>(SUMIF(Fonctionnement[Affectation matrice],$AB$3,Fonctionnement[Montant (€HT)])+SUMIF(Invest[Affectation matrice],$AB$3,Invest[Amortissement HT + intérêts]))*BP41</f>
        <v>0</v>
      </c>
      <c r="P41" s="276">
        <f>(SUMIF(Fonctionnement[Affectation matrice],$AB$3,Fonctionnement[Montant (€HT)])+SUMIF(Invest[Affectation matrice],$AB$3,Invest[Amortissement HT + intérêts]))*BQ41</f>
        <v>0</v>
      </c>
      <c r="Q41" s="276">
        <f>(SUMIF(Fonctionnement[Affectation matrice],$AB$3,Fonctionnement[Montant (€HT)])+SUMIF(Invest[Affectation matrice],$AB$3,Invest[Amortissement HT + intérêts]))*BR41</f>
        <v>0</v>
      </c>
      <c r="R41" s="276">
        <f>(SUMIF(Fonctionnement[Affectation matrice],$AB$3,Fonctionnement[Montant (€HT)])+SUMIF(Invest[Affectation matrice],$AB$3,Invest[Amortissement HT + intérêts]))*BS41</f>
        <v>0</v>
      </c>
      <c r="S41" s="276">
        <f>(SUMIF(Fonctionnement[Affectation matrice],$AB$3,Fonctionnement[Montant (€HT)])+SUMIF(Invest[Affectation matrice],$AB$3,Invest[Amortissement HT + intérêts]))*BT41</f>
        <v>0</v>
      </c>
      <c r="T41" s="276">
        <f>(SUMIF(Fonctionnement[Affectation matrice],$AB$3,Fonctionnement[Montant (€HT)])+SUMIF(Invest[Affectation matrice],$AB$3,Invest[Amortissement HT + intérêts]))*BU41</f>
        <v>0</v>
      </c>
      <c r="U41" s="276">
        <f>(SUMIF(Fonctionnement[Affectation matrice],$AB$3,Fonctionnement[Montant (€HT)])+SUMIF(Invest[Affectation matrice],$AB$3,Invest[Amortissement HT + intérêts]))*BV41</f>
        <v>0</v>
      </c>
      <c r="V41" s="276">
        <f>(SUMIF(Fonctionnement[Affectation matrice],$AB$3,Fonctionnement[Montant (€HT)])+SUMIF(Invest[Affectation matrice],$AB$3,Invest[Amortissement HT + intérêts]))*BW41</f>
        <v>0</v>
      </c>
      <c r="W41" s="276">
        <f>(SUMIF(Fonctionnement[Affectation matrice],$AB$3,Fonctionnement[Montant (€HT)])+SUMIF(Invest[Affectation matrice],$AB$3,Invest[Amortissement HT + intérêts]))*BX41</f>
        <v>0</v>
      </c>
      <c r="X41" s="276">
        <f>(SUMIF(Fonctionnement[Affectation matrice],$AB$3,Fonctionnement[Montant (€HT)])+SUMIF(Invest[Affectation matrice],$AB$3,Invest[Amortissement HT + intérêts]))*BY41</f>
        <v>0</v>
      </c>
      <c r="Y41" s="276">
        <f>(SUMIF(Fonctionnement[Affectation matrice],$AB$3,Fonctionnement[Montant (€HT)])+SUMIF(Invest[Affectation matrice],$AB$3,Invest[Amortissement HT + intérêts]))*BZ41</f>
        <v>0</v>
      </c>
      <c r="Z41" s="276">
        <f>(SUMIF(Fonctionnement[Affectation matrice],$AB$3,Fonctionnement[Montant (€HT)])+SUMIF(Invest[Affectation matrice],$AB$3,Invest[Amortissement HT + intérêts]))*CA41</f>
        <v>0</v>
      </c>
      <c r="AA41" s="199"/>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283">
        <f t="shared" si="4"/>
        <v>0</v>
      </c>
      <c r="BB41" s="7"/>
      <c r="BC41" s="61">
        <f t="shared" si="10"/>
        <v>0</v>
      </c>
      <c r="BD41" s="61">
        <f t="shared" si="10"/>
        <v>0</v>
      </c>
      <c r="BE41" s="61">
        <f t="shared" si="10"/>
        <v>0</v>
      </c>
      <c r="BF41" s="61">
        <f t="shared" si="10"/>
        <v>0</v>
      </c>
      <c r="BG41" s="61">
        <f t="shared" si="10"/>
        <v>0</v>
      </c>
      <c r="BH41" s="61">
        <f t="shared" si="10"/>
        <v>0</v>
      </c>
      <c r="BI41" s="61">
        <f t="shared" si="10"/>
        <v>0</v>
      </c>
      <c r="BJ41" s="61">
        <f t="shared" si="10"/>
        <v>0</v>
      </c>
      <c r="BK41" s="61">
        <f t="shared" si="10"/>
        <v>0</v>
      </c>
      <c r="BL41" s="61">
        <f t="shared" si="10"/>
        <v>0</v>
      </c>
      <c r="BM41" s="61">
        <f t="shared" si="11"/>
        <v>0</v>
      </c>
      <c r="BN41" s="61">
        <f t="shared" si="11"/>
        <v>0</v>
      </c>
      <c r="BO41" s="61">
        <f t="shared" si="11"/>
        <v>0</v>
      </c>
      <c r="BP41" s="61">
        <f t="shared" si="11"/>
        <v>0</v>
      </c>
      <c r="BQ41" s="61">
        <f t="shared" si="11"/>
        <v>0</v>
      </c>
      <c r="BR41" s="61">
        <f t="shared" si="11"/>
        <v>0</v>
      </c>
      <c r="BS41" s="61">
        <f t="shared" si="11"/>
        <v>0</v>
      </c>
      <c r="BT41" s="61">
        <f t="shared" si="11"/>
        <v>0</v>
      </c>
      <c r="BU41" s="61">
        <f t="shared" si="11"/>
        <v>0</v>
      </c>
      <c r="BV41" s="61">
        <f t="shared" si="11"/>
        <v>0</v>
      </c>
      <c r="BW41" s="61">
        <f t="shared" si="11"/>
        <v>0</v>
      </c>
      <c r="BX41" s="61">
        <f t="shared" si="11"/>
        <v>0</v>
      </c>
      <c r="BY41" s="61">
        <f t="shared" si="11"/>
        <v>0</v>
      </c>
      <c r="BZ41" s="61">
        <f t="shared" si="11"/>
        <v>0</v>
      </c>
      <c r="CA41" s="61">
        <f t="shared" si="11"/>
        <v>0</v>
      </c>
      <c r="CB41" s="61">
        <f t="shared" si="5"/>
        <v>0</v>
      </c>
      <c r="CD41" s="200">
        <f>(SUMIF(Fonctionnement[Affectation matrice],$AB$3,Fonctionnement[TVA acquittée])+SUMIF(Invest[Affectation matrice],$AB$3,Invest[TVA acquittée]))*BC41</f>
        <v>0</v>
      </c>
      <c r="CE41" s="200">
        <f>(SUMIF(Fonctionnement[Affectation matrice],$AB$3,Fonctionnement[TVA acquittée])+SUMIF(Invest[Affectation matrice],$AB$3,Invest[TVA acquittée]))*BD41</f>
        <v>0</v>
      </c>
      <c r="CF41" s="200">
        <f>(SUMIF(Fonctionnement[Affectation matrice],$AB$3,Fonctionnement[TVA acquittée])+SUMIF(Invest[Affectation matrice],$AB$3,Invest[TVA acquittée]))*BE41</f>
        <v>0</v>
      </c>
      <c r="CG41" s="200">
        <f>(SUMIF(Fonctionnement[Affectation matrice],$AB$3,Fonctionnement[TVA acquittée])+SUMIF(Invest[Affectation matrice],$AB$3,Invest[TVA acquittée]))*BF41</f>
        <v>0</v>
      </c>
      <c r="CH41" s="200">
        <f>(SUMIF(Fonctionnement[Affectation matrice],$AB$3,Fonctionnement[TVA acquittée])+SUMIF(Invest[Affectation matrice],$AB$3,Invest[TVA acquittée]))*BG41</f>
        <v>0</v>
      </c>
      <c r="CI41" s="200">
        <f>(SUMIF(Fonctionnement[Affectation matrice],$AB$3,Fonctionnement[TVA acquittée])+SUMIF(Invest[Affectation matrice],$AB$3,Invest[TVA acquittée]))*BH41</f>
        <v>0</v>
      </c>
      <c r="CJ41" s="200">
        <f>(SUMIF(Fonctionnement[Affectation matrice],$AB$3,Fonctionnement[TVA acquittée])+SUMIF(Invest[Affectation matrice],$AB$3,Invest[TVA acquittée]))*BI41</f>
        <v>0</v>
      </c>
      <c r="CK41" s="200">
        <f>(SUMIF(Fonctionnement[Affectation matrice],$AB$3,Fonctionnement[TVA acquittée])+SUMIF(Invest[Affectation matrice],$AB$3,Invest[TVA acquittée]))*BJ41</f>
        <v>0</v>
      </c>
      <c r="CL41" s="200">
        <f>(SUMIF(Fonctionnement[Affectation matrice],$AB$3,Fonctionnement[TVA acquittée])+SUMIF(Invest[Affectation matrice],$AB$3,Invest[TVA acquittée]))*BK41</f>
        <v>0</v>
      </c>
      <c r="CM41" s="200">
        <f>(SUMIF(Fonctionnement[Affectation matrice],$AB$3,Fonctionnement[TVA acquittée])+SUMIF(Invest[Affectation matrice],$AB$3,Invest[TVA acquittée]))*BL41</f>
        <v>0</v>
      </c>
      <c r="CN41" s="200">
        <f>(SUMIF(Fonctionnement[Affectation matrice],$AB$3,Fonctionnement[TVA acquittée])+SUMIF(Invest[Affectation matrice],$AB$3,Invest[TVA acquittée]))*BM41</f>
        <v>0</v>
      </c>
      <c r="CO41" s="200">
        <f>(SUMIF(Fonctionnement[Affectation matrice],$AB$3,Fonctionnement[TVA acquittée])+SUMIF(Invest[Affectation matrice],$AB$3,Invest[TVA acquittée]))*BN41</f>
        <v>0</v>
      </c>
      <c r="CP41" s="200">
        <f>(SUMIF(Fonctionnement[Affectation matrice],$AB$3,Fonctionnement[TVA acquittée])+SUMIF(Invest[Affectation matrice],$AB$3,Invest[TVA acquittée]))*BO41</f>
        <v>0</v>
      </c>
      <c r="CQ41" s="200">
        <f>(SUMIF(Fonctionnement[Affectation matrice],$AB$3,Fonctionnement[TVA acquittée])+SUMIF(Invest[Affectation matrice],$AB$3,Invest[TVA acquittée]))*BP41</f>
        <v>0</v>
      </c>
      <c r="CR41" s="200">
        <f>(SUMIF(Fonctionnement[Affectation matrice],$AB$3,Fonctionnement[TVA acquittée])+SUMIF(Invest[Affectation matrice],$AB$3,Invest[TVA acquittée]))*BQ41</f>
        <v>0</v>
      </c>
      <c r="CS41" s="200">
        <f>(SUMIF(Fonctionnement[Affectation matrice],$AB$3,Fonctionnement[TVA acquittée])+SUMIF(Invest[Affectation matrice],$AB$3,Invest[TVA acquittée]))*BR41</f>
        <v>0</v>
      </c>
      <c r="CT41" s="200">
        <f>(SUMIF(Fonctionnement[Affectation matrice],$AB$3,Fonctionnement[TVA acquittée])+SUMIF(Invest[Affectation matrice],$AB$3,Invest[TVA acquittée]))*BS41</f>
        <v>0</v>
      </c>
      <c r="CU41" s="200">
        <f>(SUMIF(Fonctionnement[Affectation matrice],$AB$3,Fonctionnement[TVA acquittée])+SUMIF(Invest[Affectation matrice],$AB$3,Invest[TVA acquittée]))*BT41</f>
        <v>0</v>
      </c>
      <c r="CV41" s="200">
        <f>(SUMIF(Fonctionnement[Affectation matrice],$AB$3,Fonctionnement[TVA acquittée])+SUMIF(Invest[Affectation matrice],$AB$3,Invest[TVA acquittée]))*BU41</f>
        <v>0</v>
      </c>
      <c r="CW41" s="200">
        <f>(SUMIF(Fonctionnement[Affectation matrice],$AB$3,Fonctionnement[TVA acquittée])+SUMIF(Invest[Affectation matrice],$AB$3,Invest[TVA acquittée]))*BV41</f>
        <v>0</v>
      </c>
      <c r="CX41" s="200">
        <f>(SUMIF(Fonctionnement[Affectation matrice],$AB$3,Fonctionnement[TVA acquittée])+SUMIF(Invest[Affectation matrice],$AB$3,Invest[TVA acquittée]))*BW41</f>
        <v>0</v>
      </c>
      <c r="CY41" s="200">
        <f>(SUMIF(Fonctionnement[Affectation matrice],$AB$3,Fonctionnement[TVA acquittée])+SUMIF(Invest[Affectation matrice],$AB$3,Invest[TVA acquittée]))*BX41</f>
        <v>0</v>
      </c>
      <c r="CZ41" s="200">
        <f>(SUMIF(Fonctionnement[Affectation matrice],$AB$3,Fonctionnement[TVA acquittée])+SUMIF(Invest[Affectation matrice],$AB$3,Invest[TVA acquittée]))*BY41</f>
        <v>0</v>
      </c>
      <c r="DA41" s="200">
        <f>(SUMIF(Fonctionnement[Affectation matrice],$AB$3,Fonctionnement[TVA acquittée])+SUMIF(Invest[Affectation matrice],$AB$3,Invest[TVA acquittée]))*BZ41</f>
        <v>0</v>
      </c>
      <c r="DB41" s="200">
        <f>(SUMIF(Fonctionnement[Affectation matrice],$AB$3,Fonctionnement[TVA acquittée])+SUMIF(Invest[Affectation matrice],$AB$3,Invest[TVA acquittée]))*CA41</f>
        <v>0</v>
      </c>
    </row>
    <row r="42" spans="1:106" s="204" customFormat="1" hidden="1" x14ac:dyDescent="0.25">
      <c r="A42" s="186"/>
      <c r="B42" s="277"/>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02"/>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row>
    <row r="43" spans="1:106" s="204" customFormat="1" ht="12.75" hidden="1" customHeight="1" x14ac:dyDescent="0.25">
      <c r="A43" s="186"/>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02"/>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row>
    <row r="44" spans="1:106" hidden="1" x14ac:dyDescent="0.25">
      <c r="A44" s="42" t="str">
        <f>Matrice[[#This Row],[Ligne de la matrice]]</f>
        <v>Exemple : REG incinération / énergie</v>
      </c>
      <c r="B44" s="276">
        <f>(SUMIF(Fonctionnement[Affectation matrice],$AB$3,Fonctionnement[Montant (€HT)])+SUMIF(Invest[Affectation matrice],$AB$3,Invest[Amortissement HT + intérêts]))*BC44</f>
        <v>0</v>
      </c>
      <c r="C44" s="276">
        <f>(SUMIF(Fonctionnement[Affectation matrice],$AB$3,Fonctionnement[Montant (€HT)])+SUMIF(Invest[Affectation matrice],$AB$3,Invest[Amortissement HT + intérêts]))*BD44</f>
        <v>0</v>
      </c>
      <c r="D44" s="276">
        <f>(SUMIF(Fonctionnement[Affectation matrice],$AB$3,Fonctionnement[Montant (€HT)])+SUMIF(Invest[Affectation matrice],$AB$3,Invest[Amortissement HT + intérêts]))*BE44</f>
        <v>0</v>
      </c>
      <c r="E44" s="276">
        <f>(SUMIF(Fonctionnement[Affectation matrice],$AB$3,Fonctionnement[Montant (€HT)])+SUMIF(Invest[Affectation matrice],$AB$3,Invest[Amortissement HT + intérêts]))*BF44</f>
        <v>0</v>
      </c>
      <c r="F44" s="276">
        <f>(SUMIF(Fonctionnement[Affectation matrice],$AB$3,Fonctionnement[Montant (€HT)])+SUMIF(Invest[Affectation matrice],$AB$3,Invest[Amortissement HT + intérêts]))*BG44</f>
        <v>0</v>
      </c>
      <c r="G44" s="276">
        <f>(SUMIF(Fonctionnement[Affectation matrice],$AB$3,Fonctionnement[Montant (€HT)])+SUMIF(Invest[Affectation matrice],$AB$3,Invest[Amortissement HT + intérêts]))*BH44</f>
        <v>0</v>
      </c>
      <c r="H44" s="276">
        <f>(SUMIF(Fonctionnement[Affectation matrice],$AB$3,Fonctionnement[Montant (€HT)])+SUMIF(Invest[Affectation matrice],$AB$3,Invest[Amortissement HT + intérêts]))*BI44</f>
        <v>0</v>
      </c>
      <c r="I44" s="276">
        <f>(SUMIF(Fonctionnement[Affectation matrice],$AB$3,Fonctionnement[Montant (€HT)])+SUMIF(Invest[Affectation matrice],$AB$3,Invest[Amortissement HT + intérêts]))*BJ44</f>
        <v>0</v>
      </c>
      <c r="J44" s="276">
        <f>(SUMIF(Fonctionnement[Affectation matrice],$AB$3,Fonctionnement[Montant (€HT)])+SUMIF(Invest[Affectation matrice],$AB$3,Invest[Amortissement HT + intérêts]))*BK44</f>
        <v>0</v>
      </c>
      <c r="K44" s="276">
        <f>(SUMIF(Fonctionnement[Affectation matrice],$AB$3,Fonctionnement[Montant (€HT)])+SUMIF(Invest[Affectation matrice],$AB$3,Invest[Amortissement HT + intérêts]))*BL44</f>
        <v>0</v>
      </c>
      <c r="L44" s="276">
        <f>(SUMIF(Fonctionnement[Affectation matrice],$AB$3,Fonctionnement[Montant (€HT)])+SUMIF(Invest[Affectation matrice],$AB$3,Invest[Amortissement HT + intérêts]))*BM44</f>
        <v>0</v>
      </c>
      <c r="M44" s="276">
        <f>(SUMIF(Fonctionnement[Affectation matrice],$AB$3,Fonctionnement[Montant (€HT)])+SUMIF(Invest[Affectation matrice],$AB$3,Invest[Amortissement HT + intérêts]))*BN44</f>
        <v>0</v>
      </c>
      <c r="N44" s="276">
        <f>(SUMIF(Fonctionnement[Affectation matrice],$AB$3,Fonctionnement[Montant (€HT)])+SUMIF(Invest[Affectation matrice],$AB$3,Invest[Amortissement HT + intérêts]))*BO44</f>
        <v>0</v>
      </c>
      <c r="O44" s="276">
        <f>(SUMIF(Fonctionnement[Affectation matrice],$AB$3,Fonctionnement[Montant (€HT)])+SUMIF(Invest[Affectation matrice],$AB$3,Invest[Amortissement HT + intérêts]))*BP44</f>
        <v>0</v>
      </c>
      <c r="P44" s="276">
        <f>(SUMIF(Fonctionnement[Affectation matrice],$AB$3,Fonctionnement[Montant (€HT)])+SUMIF(Invest[Affectation matrice],$AB$3,Invest[Amortissement HT + intérêts]))*BQ44</f>
        <v>0</v>
      </c>
      <c r="Q44" s="276">
        <f>(SUMIF(Fonctionnement[Affectation matrice],$AB$3,Fonctionnement[Montant (€HT)])+SUMIF(Invest[Affectation matrice],$AB$3,Invest[Amortissement HT + intérêts]))*BR44</f>
        <v>0</v>
      </c>
      <c r="R44" s="276">
        <f>(SUMIF(Fonctionnement[Affectation matrice],$AB$3,Fonctionnement[Montant (€HT)])+SUMIF(Invest[Affectation matrice],$AB$3,Invest[Amortissement HT + intérêts]))*BS44</f>
        <v>0</v>
      </c>
      <c r="S44" s="276">
        <f>(SUMIF(Fonctionnement[Affectation matrice],$AB$3,Fonctionnement[Montant (€HT)])+SUMIF(Invest[Affectation matrice],$AB$3,Invest[Amortissement HT + intérêts]))*BT44</f>
        <v>0</v>
      </c>
      <c r="T44" s="276">
        <f>(SUMIF(Fonctionnement[Affectation matrice],$AB$3,Fonctionnement[Montant (€HT)])+SUMIF(Invest[Affectation matrice],$AB$3,Invest[Amortissement HT + intérêts]))*BU44</f>
        <v>0</v>
      </c>
      <c r="U44" s="276">
        <f>(SUMIF(Fonctionnement[Affectation matrice],$AB$3,Fonctionnement[Montant (€HT)])+SUMIF(Invest[Affectation matrice],$AB$3,Invest[Amortissement HT + intérêts]))*BV44</f>
        <v>0</v>
      </c>
      <c r="V44" s="276">
        <f>(SUMIF(Fonctionnement[Affectation matrice],$AB$3,Fonctionnement[Montant (€HT)])+SUMIF(Invest[Affectation matrice],$AB$3,Invest[Amortissement HT + intérêts]))*BW44</f>
        <v>0</v>
      </c>
      <c r="W44" s="276">
        <f>(SUMIF(Fonctionnement[Affectation matrice],$AB$3,Fonctionnement[Montant (€HT)])+SUMIF(Invest[Affectation matrice],$AB$3,Invest[Amortissement HT + intérêts]))*BX44</f>
        <v>0</v>
      </c>
      <c r="X44" s="276">
        <f>(SUMIF(Fonctionnement[Affectation matrice],$AB$3,Fonctionnement[Montant (€HT)])+SUMIF(Invest[Affectation matrice],$AB$3,Invest[Amortissement HT + intérêts]))*BY44</f>
        <v>0</v>
      </c>
      <c r="Y44" s="276">
        <f>(SUMIF(Fonctionnement[Affectation matrice],$AB$3,Fonctionnement[Montant (€HT)])+SUMIF(Invest[Affectation matrice],$AB$3,Invest[Amortissement HT + intérêts]))*BZ44</f>
        <v>0</v>
      </c>
      <c r="Z44" s="276">
        <f>(SUMIF(Fonctionnement[Affectation matrice],$AB$3,Fonctionnement[Montant (€HT)])+SUMIF(Invest[Affectation matrice],$AB$3,Invest[Amortissement HT + intérêts]))*CA44</f>
        <v>0</v>
      </c>
      <c r="AA44" s="199"/>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283">
        <f t="shared" si="4"/>
        <v>0</v>
      </c>
      <c r="BC44" s="61">
        <f t="shared" ref="BC44:BR52" si="12">IF($BA$53=0,0,AB44/$BA$53)</f>
        <v>0</v>
      </c>
      <c r="BD44" s="61">
        <f t="shared" si="12"/>
        <v>0</v>
      </c>
      <c r="BE44" s="61">
        <f t="shared" si="12"/>
        <v>0</v>
      </c>
      <c r="BF44" s="61">
        <f t="shared" si="12"/>
        <v>0</v>
      </c>
      <c r="BG44" s="61">
        <f t="shared" si="12"/>
        <v>0</v>
      </c>
      <c r="BH44" s="61">
        <f t="shared" si="12"/>
        <v>0</v>
      </c>
      <c r="BI44" s="61">
        <f t="shared" si="12"/>
        <v>0</v>
      </c>
      <c r="BJ44" s="61">
        <f t="shared" si="12"/>
        <v>0</v>
      </c>
      <c r="BK44" s="61">
        <f t="shared" si="12"/>
        <v>0</v>
      </c>
      <c r="BL44" s="61">
        <f t="shared" si="12"/>
        <v>0</v>
      </c>
      <c r="BM44" s="61">
        <f t="shared" si="12"/>
        <v>0</v>
      </c>
      <c r="BN44" s="61">
        <f t="shared" si="12"/>
        <v>0</v>
      </c>
      <c r="BO44" s="61">
        <f t="shared" si="12"/>
        <v>0</v>
      </c>
      <c r="BP44" s="61">
        <f t="shared" si="12"/>
        <v>0</v>
      </c>
      <c r="BQ44" s="61">
        <f t="shared" si="12"/>
        <v>0</v>
      </c>
      <c r="BR44" s="61">
        <f t="shared" si="12"/>
        <v>0</v>
      </c>
      <c r="BS44" s="61">
        <f t="shared" ref="BS44:CA52" si="13">IF($BA$53=0,0,AR44/$BA$53)</f>
        <v>0</v>
      </c>
      <c r="BT44" s="61">
        <f t="shared" si="13"/>
        <v>0</v>
      </c>
      <c r="BU44" s="61">
        <f t="shared" si="13"/>
        <v>0</v>
      </c>
      <c r="BV44" s="61">
        <f t="shared" si="13"/>
        <v>0</v>
      </c>
      <c r="BW44" s="61">
        <f t="shared" si="13"/>
        <v>0</v>
      </c>
      <c r="BX44" s="61">
        <f t="shared" si="13"/>
        <v>0</v>
      </c>
      <c r="BY44" s="61">
        <f t="shared" si="13"/>
        <v>0</v>
      </c>
      <c r="BZ44" s="61">
        <f t="shared" si="13"/>
        <v>0</v>
      </c>
      <c r="CA44" s="61">
        <f t="shared" si="13"/>
        <v>0</v>
      </c>
      <c r="CB44" s="61">
        <f t="shared" si="5"/>
        <v>0</v>
      </c>
      <c r="CD44" s="200">
        <f>(SUMIF(Fonctionnement[Affectation matrice],$AB$3,Fonctionnement[TVA acquittée])+SUMIF(Invest[Affectation matrice],$AB$3,Invest[TVA acquittée]))*BC44</f>
        <v>0</v>
      </c>
      <c r="CE44" s="200">
        <f>(SUMIF(Fonctionnement[Affectation matrice],$AB$3,Fonctionnement[TVA acquittée])+SUMIF(Invest[Affectation matrice],$AB$3,Invest[TVA acquittée]))*BD44</f>
        <v>0</v>
      </c>
      <c r="CF44" s="200">
        <f>(SUMIF(Fonctionnement[Affectation matrice],$AB$3,Fonctionnement[TVA acquittée])+SUMIF(Invest[Affectation matrice],$AB$3,Invest[TVA acquittée]))*BE44</f>
        <v>0</v>
      </c>
      <c r="CG44" s="200">
        <f>(SUMIF(Fonctionnement[Affectation matrice],$AB$3,Fonctionnement[TVA acquittée])+SUMIF(Invest[Affectation matrice],$AB$3,Invest[TVA acquittée]))*BF44</f>
        <v>0</v>
      </c>
      <c r="CH44" s="200">
        <f>(SUMIF(Fonctionnement[Affectation matrice],$AB$3,Fonctionnement[TVA acquittée])+SUMIF(Invest[Affectation matrice],$AB$3,Invest[TVA acquittée]))*BG44</f>
        <v>0</v>
      </c>
      <c r="CI44" s="200">
        <f>(SUMIF(Fonctionnement[Affectation matrice],$AB$3,Fonctionnement[TVA acquittée])+SUMIF(Invest[Affectation matrice],$AB$3,Invest[TVA acquittée]))*BH44</f>
        <v>0</v>
      </c>
      <c r="CJ44" s="200">
        <f>(SUMIF(Fonctionnement[Affectation matrice],$AB$3,Fonctionnement[TVA acquittée])+SUMIF(Invest[Affectation matrice],$AB$3,Invest[TVA acquittée]))*BI44</f>
        <v>0</v>
      </c>
      <c r="CK44" s="200">
        <f>(SUMIF(Fonctionnement[Affectation matrice],$AB$3,Fonctionnement[TVA acquittée])+SUMIF(Invest[Affectation matrice],$AB$3,Invest[TVA acquittée]))*BJ44</f>
        <v>0</v>
      </c>
      <c r="CL44" s="200">
        <f>(SUMIF(Fonctionnement[Affectation matrice],$AB$3,Fonctionnement[TVA acquittée])+SUMIF(Invest[Affectation matrice],$AB$3,Invest[TVA acquittée]))*BK44</f>
        <v>0</v>
      </c>
      <c r="CM44" s="200">
        <f>(SUMIF(Fonctionnement[Affectation matrice],$AB$3,Fonctionnement[TVA acquittée])+SUMIF(Invest[Affectation matrice],$AB$3,Invest[TVA acquittée]))*BL44</f>
        <v>0</v>
      </c>
      <c r="CN44" s="200">
        <f>(SUMIF(Fonctionnement[Affectation matrice],$AB$3,Fonctionnement[TVA acquittée])+SUMIF(Invest[Affectation matrice],$AB$3,Invest[TVA acquittée]))*BM44</f>
        <v>0</v>
      </c>
      <c r="CO44" s="200">
        <f>(SUMIF(Fonctionnement[Affectation matrice],$AB$3,Fonctionnement[TVA acquittée])+SUMIF(Invest[Affectation matrice],$AB$3,Invest[TVA acquittée]))*BN44</f>
        <v>0</v>
      </c>
      <c r="CP44" s="200">
        <f>(SUMIF(Fonctionnement[Affectation matrice],$AB$3,Fonctionnement[TVA acquittée])+SUMIF(Invest[Affectation matrice],$AB$3,Invest[TVA acquittée]))*BO44</f>
        <v>0</v>
      </c>
      <c r="CQ44" s="200">
        <f>(SUMIF(Fonctionnement[Affectation matrice],$AB$3,Fonctionnement[TVA acquittée])+SUMIF(Invest[Affectation matrice],$AB$3,Invest[TVA acquittée]))*BP44</f>
        <v>0</v>
      </c>
      <c r="CR44" s="200">
        <f>(SUMIF(Fonctionnement[Affectation matrice],$AB$3,Fonctionnement[TVA acquittée])+SUMIF(Invest[Affectation matrice],$AB$3,Invest[TVA acquittée]))*BQ44</f>
        <v>0</v>
      </c>
      <c r="CS44" s="200">
        <f>(SUMIF(Fonctionnement[Affectation matrice],$AB$3,Fonctionnement[TVA acquittée])+SUMIF(Invest[Affectation matrice],$AB$3,Invest[TVA acquittée]))*BR44</f>
        <v>0</v>
      </c>
      <c r="CT44" s="200">
        <f>(SUMIF(Fonctionnement[Affectation matrice],$AB$3,Fonctionnement[TVA acquittée])+SUMIF(Invest[Affectation matrice],$AB$3,Invest[TVA acquittée]))*BS44</f>
        <v>0</v>
      </c>
      <c r="CU44" s="200">
        <f>(SUMIF(Fonctionnement[Affectation matrice],$AB$3,Fonctionnement[TVA acquittée])+SUMIF(Invest[Affectation matrice],$AB$3,Invest[TVA acquittée]))*BT44</f>
        <v>0</v>
      </c>
      <c r="CV44" s="200">
        <f>(SUMIF(Fonctionnement[Affectation matrice],$AB$3,Fonctionnement[TVA acquittée])+SUMIF(Invest[Affectation matrice],$AB$3,Invest[TVA acquittée]))*BU44</f>
        <v>0</v>
      </c>
      <c r="CW44" s="200">
        <f>(SUMIF(Fonctionnement[Affectation matrice],$AB$3,Fonctionnement[TVA acquittée])+SUMIF(Invest[Affectation matrice],$AB$3,Invest[TVA acquittée]))*BV44</f>
        <v>0</v>
      </c>
      <c r="CX44" s="200">
        <f>(SUMIF(Fonctionnement[Affectation matrice],$AB$3,Fonctionnement[TVA acquittée])+SUMIF(Invest[Affectation matrice],$AB$3,Invest[TVA acquittée]))*BW44</f>
        <v>0</v>
      </c>
      <c r="CY44" s="200">
        <f>(SUMIF(Fonctionnement[Affectation matrice],$AB$3,Fonctionnement[TVA acquittée])+SUMIF(Invest[Affectation matrice],$AB$3,Invest[TVA acquittée]))*BX44</f>
        <v>0</v>
      </c>
      <c r="CZ44" s="200">
        <f>(SUMIF(Fonctionnement[Affectation matrice],$AB$3,Fonctionnement[TVA acquittée])+SUMIF(Invest[Affectation matrice],$AB$3,Invest[TVA acquittée]))*BY44</f>
        <v>0</v>
      </c>
      <c r="DA44" s="200">
        <f>(SUMIF(Fonctionnement[Affectation matrice],$AB$3,Fonctionnement[TVA acquittée])+SUMIF(Invest[Affectation matrice],$AB$3,Invest[TVA acquittée]))*BZ44</f>
        <v>0</v>
      </c>
      <c r="DB44" s="200">
        <f>(SUMIF(Fonctionnement[Affectation matrice],$AB$3,Fonctionnement[TVA acquittée])+SUMIF(Invest[Affectation matrice],$AB$3,Invest[TVA acquittée]))*CA44</f>
        <v>0</v>
      </c>
    </row>
    <row r="45" spans="1:106" hidden="1" x14ac:dyDescent="0.25">
      <c r="A45" s="42">
        <f>Matrice[[#This Row],[Ligne de la matrice]]</f>
        <v>0</v>
      </c>
      <c r="B45" s="276">
        <f>(SUMIF(Fonctionnement[Affectation matrice],$AB$3,Fonctionnement[Montant (€HT)])+SUMIF(Invest[Affectation matrice],$AB$3,Invest[Amortissement HT + intérêts]))*BC45</f>
        <v>0</v>
      </c>
      <c r="C45" s="276">
        <f>(SUMIF(Fonctionnement[Affectation matrice],$AB$3,Fonctionnement[Montant (€HT)])+SUMIF(Invest[Affectation matrice],$AB$3,Invest[Amortissement HT + intérêts]))*BD45</f>
        <v>0</v>
      </c>
      <c r="D45" s="276">
        <f>(SUMIF(Fonctionnement[Affectation matrice],$AB$3,Fonctionnement[Montant (€HT)])+SUMIF(Invest[Affectation matrice],$AB$3,Invest[Amortissement HT + intérêts]))*BE45</f>
        <v>0</v>
      </c>
      <c r="E45" s="276">
        <f>(SUMIF(Fonctionnement[Affectation matrice],$AB$3,Fonctionnement[Montant (€HT)])+SUMIF(Invest[Affectation matrice],$AB$3,Invest[Amortissement HT + intérêts]))*BF45</f>
        <v>0</v>
      </c>
      <c r="F45" s="276">
        <f>(SUMIF(Fonctionnement[Affectation matrice],$AB$3,Fonctionnement[Montant (€HT)])+SUMIF(Invest[Affectation matrice],$AB$3,Invest[Amortissement HT + intérêts]))*BG45</f>
        <v>0</v>
      </c>
      <c r="G45" s="276">
        <f>(SUMIF(Fonctionnement[Affectation matrice],$AB$3,Fonctionnement[Montant (€HT)])+SUMIF(Invest[Affectation matrice],$AB$3,Invest[Amortissement HT + intérêts]))*BH45</f>
        <v>0</v>
      </c>
      <c r="H45" s="276">
        <f>(SUMIF(Fonctionnement[Affectation matrice],$AB$3,Fonctionnement[Montant (€HT)])+SUMIF(Invest[Affectation matrice],$AB$3,Invest[Amortissement HT + intérêts]))*BI45</f>
        <v>0</v>
      </c>
      <c r="I45" s="276">
        <f>(SUMIF(Fonctionnement[Affectation matrice],$AB$3,Fonctionnement[Montant (€HT)])+SUMIF(Invest[Affectation matrice],$AB$3,Invest[Amortissement HT + intérêts]))*BJ45</f>
        <v>0</v>
      </c>
      <c r="J45" s="276">
        <f>(SUMIF(Fonctionnement[Affectation matrice],$AB$3,Fonctionnement[Montant (€HT)])+SUMIF(Invest[Affectation matrice],$AB$3,Invest[Amortissement HT + intérêts]))*BK45</f>
        <v>0</v>
      </c>
      <c r="K45" s="276">
        <f>(SUMIF(Fonctionnement[Affectation matrice],$AB$3,Fonctionnement[Montant (€HT)])+SUMIF(Invest[Affectation matrice],$AB$3,Invest[Amortissement HT + intérêts]))*BL45</f>
        <v>0</v>
      </c>
      <c r="L45" s="276">
        <f>(SUMIF(Fonctionnement[Affectation matrice],$AB$3,Fonctionnement[Montant (€HT)])+SUMIF(Invest[Affectation matrice],$AB$3,Invest[Amortissement HT + intérêts]))*BM45</f>
        <v>0</v>
      </c>
      <c r="M45" s="276">
        <f>(SUMIF(Fonctionnement[Affectation matrice],$AB$3,Fonctionnement[Montant (€HT)])+SUMIF(Invest[Affectation matrice],$AB$3,Invest[Amortissement HT + intérêts]))*BN45</f>
        <v>0</v>
      </c>
      <c r="N45" s="276">
        <f>(SUMIF(Fonctionnement[Affectation matrice],$AB$3,Fonctionnement[Montant (€HT)])+SUMIF(Invest[Affectation matrice],$AB$3,Invest[Amortissement HT + intérêts]))*BO45</f>
        <v>0</v>
      </c>
      <c r="O45" s="276">
        <f>(SUMIF(Fonctionnement[Affectation matrice],$AB$3,Fonctionnement[Montant (€HT)])+SUMIF(Invest[Affectation matrice],$AB$3,Invest[Amortissement HT + intérêts]))*BP45</f>
        <v>0</v>
      </c>
      <c r="P45" s="276">
        <f>(SUMIF(Fonctionnement[Affectation matrice],$AB$3,Fonctionnement[Montant (€HT)])+SUMIF(Invest[Affectation matrice],$AB$3,Invest[Amortissement HT + intérêts]))*BQ45</f>
        <v>0</v>
      </c>
      <c r="Q45" s="276">
        <f>(SUMIF(Fonctionnement[Affectation matrice],$AB$3,Fonctionnement[Montant (€HT)])+SUMIF(Invest[Affectation matrice],$AB$3,Invest[Amortissement HT + intérêts]))*BR45</f>
        <v>0</v>
      </c>
      <c r="R45" s="276">
        <f>(SUMIF(Fonctionnement[Affectation matrice],$AB$3,Fonctionnement[Montant (€HT)])+SUMIF(Invest[Affectation matrice],$AB$3,Invest[Amortissement HT + intérêts]))*BS45</f>
        <v>0</v>
      </c>
      <c r="S45" s="276">
        <f>(SUMIF(Fonctionnement[Affectation matrice],$AB$3,Fonctionnement[Montant (€HT)])+SUMIF(Invest[Affectation matrice],$AB$3,Invest[Amortissement HT + intérêts]))*BT45</f>
        <v>0</v>
      </c>
      <c r="T45" s="276">
        <f>(SUMIF(Fonctionnement[Affectation matrice],$AB$3,Fonctionnement[Montant (€HT)])+SUMIF(Invest[Affectation matrice],$AB$3,Invest[Amortissement HT + intérêts]))*BU45</f>
        <v>0</v>
      </c>
      <c r="U45" s="276">
        <f>(SUMIF(Fonctionnement[Affectation matrice],$AB$3,Fonctionnement[Montant (€HT)])+SUMIF(Invest[Affectation matrice],$AB$3,Invest[Amortissement HT + intérêts]))*BV45</f>
        <v>0</v>
      </c>
      <c r="V45" s="276">
        <f>(SUMIF(Fonctionnement[Affectation matrice],$AB$3,Fonctionnement[Montant (€HT)])+SUMIF(Invest[Affectation matrice],$AB$3,Invest[Amortissement HT + intérêts]))*BW45</f>
        <v>0</v>
      </c>
      <c r="W45" s="276">
        <f>(SUMIF(Fonctionnement[Affectation matrice],$AB$3,Fonctionnement[Montant (€HT)])+SUMIF(Invest[Affectation matrice],$AB$3,Invest[Amortissement HT + intérêts]))*BX45</f>
        <v>0</v>
      </c>
      <c r="X45" s="276">
        <f>(SUMIF(Fonctionnement[Affectation matrice],$AB$3,Fonctionnement[Montant (€HT)])+SUMIF(Invest[Affectation matrice],$AB$3,Invest[Amortissement HT + intérêts]))*BY45</f>
        <v>0</v>
      </c>
      <c r="Y45" s="276">
        <f>(SUMIF(Fonctionnement[Affectation matrice],$AB$3,Fonctionnement[Montant (€HT)])+SUMIF(Invest[Affectation matrice],$AB$3,Invest[Amortissement HT + intérêts]))*BZ45</f>
        <v>0</v>
      </c>
      <c r="Z45" s="276">
        <f>(SUMIF(Fonctionnement[Affectation matrice],$AB$3,Fonctionnement[Montant (€HT)])+SUMIF(Invest[Affectation matrice],$AB$3,Invest[Amortissement HT + intérêts]))*CA45</f>
        <v>0</v>
      </c>
      <c r="AA45" s="199"/>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283">
        <f t="shared" si="4"/>
        <v>0</v>
      </c>
      <c r="BC45" s="61">
        <f t="shared" si="12"/>
        <v>0</v>
      </c>
      <c r="BD45" s="61">
        <f t="shared" si="12"/>
        <v>0</v>
      </c>
      <c r="BE45" s="61">
        <f t="shared" si="12"/>
        <v>0</v>
      </c>
      <c r="BF45" s="61">
        <f t="shared" si="12"/>
        <v>0</v>
      </c>
      <c r="BG45" s="61">
        <f t="shared" si="12"/>
        <v>0</v>
      </c>
      <c r="BH45" s="61">
        <f t="shared" si="12"/>
        <v>0</v>
      </c>
      <c r="BI45" s="61">
        <f t="shared" si="12"/>
        <v>0</v>
      </c>
      <c r="BJ45" s="61">
        <f t="shared" si="12"/>
        <v>0</v>
      </c>
      <c r="BK45" s="61">
        <f t="shared" si="12"/>
        <v>0</v>
      </c>
      <c r="BL45" s="61">
        <f t="shared" si="12"/>
        <v>0</v>
      </c>
      <c r="BM45" s="61">
        <f t="shared" si="12"/>
        <v>0</v>
      </c>
      <c r="BN45" s="61">
        <f t="shared" si="12"/>
        <v>0</v>
      </c>
      <c r="BO45" s="61">
        <f t="shared" si="12"/>
        <v>0</v>
      </c>
      <c r="BP45" s="61">
        <f t="shared" si="12"/>
        <v>0</v>
      </c>
      <c r="BQ45" s="61">
        <f t="shared" si="12"/>
        <v>0</v>
      </c>
      <c r="BR45" s="61">
        <f t="shared" si="12"/>
        <v>0</v>
      </c>
      <c r="BS45" s="61">
        <f t="shared" si="13"/>
        <v>0</v>
      </c>
      <c r="BT45" s="61">
        <f t="shared" si="13"/>
        <v>0</v>
      </c>
      <c r="BU45" s="61">
        <f t="shared" si="13"/>
        <v>0</v>
      </c>
      <c r="BV45" s="61">
        <f t="shared" si="13"/>
        <v>0</v>
      </c>
      <c r="BW45" s="61">
        <f t="shared" si="13"/>
        <v>0</v>
      </c>
      <c r="BX45" s="61">
        <f t="shared" si="13"/>
        <v>0</v>
      </c>
      <c r="BY45" s="61">
        <f t="shared" si="13"/>
        <v>0</v>
      </c>
      <c r="BZ45" s="61">
        <f t="shared" si="13"/>
        <v>0</v>
      </c>
      <c r="CA45" s="61">
        <f t="shared" si="13"/>
        <v>0</v>
      </c>
      <c r="CB45" s="61">
        <f t="shared" si="5"/>
        <v>0</v>
      </c>
      <c r="CD45" s="200">
        <f>(SUMIF(Fonctionnement[Affectation matrice],$AB$3,Fonctionnement[TVA acquittée])+SUMIF(Invest[Affectation matrice],$AB$3,Invest[TVA acquittée]))*BC45</f>
        <v>0</v>
      </c>
      <c r="CE45" s="200">
        <f>(SUMIF(Fonctionnement[Affectation matrice],$AB$3,Fonctionnement[TVA acquittée])+SUMIF(Invest[Affectation matrice],$AB$3,Invest[TVA acquittée]))*BD45</f>
        <v>0</v>
      </c>
      <c r="CF45" s="200">
        <f>(SUMIF(Fonctionnement[Affectation matrice],$AB$3,Fonctionnement[TVA acquittée])+SUMIF(Invest[Affectation matrice],$AB$3,Invest[TVA acquittée]))*BE45</f>
        <v>0</v>
      </c>
      <c r="CG45" s="200">
        <f>(SUMIF(Fonctionnement[Affectation matrice],$AB$3,Fonctionnement[TVA acquittée])+SUMIF(Invest[Affectation matrice],$AB$3,Invest[TVA acquittée]))*BF45</f>
        <v>0</v>
      </c>
      <c r="CH45" s="200">
        <f>(SUMIF(Fonctionnement[Affectation matrice],$AB$3,Fonctionnement[TVA acquittée])+SUMIF(Invest[Affectation matrice],$AB$3,Invest[TVA acquittée]))*BG45</f>
        <v>0</v>
      </c>
      <c r="CI45" s="200">
        <f>(SUMIF(Fonctionnement[Affectation matrice],$AB$3,Fonctionnement[TVA acquittée])+SUMIF(Invest[Affectation matrice],$AB$3,Invest[TVA acquittée]))*BH45</f>
        <v>0</v>
      </c>
      <c r="CJ45" s="200">
        <f>(SUMIF(Fonctionnement[Affectation matrice],$AB$3,Fonctionnement[TVA acquittée])+SUMIF(Invest[Affectation matrice],$AB$3,Invest[TVA acquittée]))*BI45</f>
        <v>0</v>
      </c>
      <c r="CK45" s="200">
        <f>(SUMIF(Fonctionnement[Affectation matrice],$AB$3,Fonctionnement[TVA acquittée])+SUMIF(Invest[Affectation matrice],$AB$3,Invest[TVA acquittée]))*BJ45</f>
        <v>0</v>
      </c>
      <c r="CL45" s="200">
        <f>(SUMIF(Fonctionnement[Affectation matrice],$AB$3,Fonctionnement[TVA acquittée])+SUMIF(Invest[Affectation matrice],$AB$3,Invest[TVA acquittée]))*BK45</f>
        <v>0</v>
      </c>
      <c r="CM45" s="200">
        <f>(SUMIF(Fonctionnement[Affectation matrice],$AB$3,Fonctionnement[TVA acquittée])+SUMIF(Invest[Affectation matrice],$AB$3,Invest[TVA acquittée]))*BL45</f>
        <v>0</v>
      </c>
      <c r="CN45" s="200">
        <f>(SUMIF(Fonctionnement[Affectation matrice],$AB$3,Fonctionnement[TVA acquittée])+SUMIF(Invest[Affectation matrice],$AB$3,Invest[TVA acquittée]))*BM45</f>
        <v>0</v>
      </c>
      <c r="CO45" s="200">
        <f>(SUMIF(Fonctionnement[Affectation matrice],$AB$3,Fonctionnement[TVA acquittée])+SUMIF(Invest[Affectation matrice],$AB$3,Invest[TVA acquittée]))*BN45</f>
        <v>0</v>
      </c>
      <c r="CP45" s="200">
        <f>(SUMIF(Fonctionnement[Affectation matrice],$AB$3,Fonctionnement[TVA acquittée])+SUMIF(Invest[Affectation matrice],$AB$3,Invest[TVA acquittée]))*BO45</f>
        <v>0</v>
      </c>
      <c r="CQ45" s="200">
        <f>(SUMIF(Fonctionnement[Affectation matrice],$AB$3,Fonctionnement[TVA acquittée])+SUMIF(Invest[Affectation matrice],$AB$3,Invest[TVA acquittée]))*BP45</f>
        <v>0</v>
      </c>
      <c r="CR45" s="200">
        <f>(SUMIF(Fonctionnement[Affectation matrice],$AB$3,Fonctionnement[TVA acquittée])+SUMIF(Invest[Affectation matrice],$AB$3,Invest[TVA acquittée]))*BQ45</f>
        <v>0</v>
      </c>
      <c r="CS45" s="200">
        <f>(SUMIF(Fonctionnement[Affectation matrice],$AB$3,Fonctionnement[TVA acquittée])+SUMIF(Invest[Affectation matrice],$AB$3,Invest[TVA acquittée]))*BR45</f>
        <v>0</v>
      </c>
      <c r="CT45" s="200">
        <f>(SUMIF(Fonctionnement[Affectation matrice],$AB$3,Fonctionnement[TVA acquittée])+SUMIF(Invest[Affectation matrice],$AB$3,Invest[TVA acquittée]))*BS45</f>
        <v>0</v>
      </c>
      <c r="CU45" s="200">
        <f>(SUMIF(Fonctionnement[Affectation matrice],$AB$3,Fonctionnement[TVA acquittée])+SUMIF(Invest[Affectation matrice],$AB$3,Invest[TVA acquittée]))*BT45</f>
        <v>0</v>
      </c>
      <c r="CV45" s="200">
        <f>(SUMIF(Fonctionnement[Affectation matrice],$AB$3,Fonctionnement[TVA acquittée])+SUMIF(Invest[Affectation matrice],$AB$3,Invest[TVA acquittée]))*BU45</f>
        <v>0</v>
      </c>
      <c r="CW45" s="200">
        <f>(SUMIF(Fonctionnement[Affectation matrice],$AB$3,Fonctionnement[TVA acquittée])+SUMIF(Invest[Affectation matrice],$AB$3,Invest[TVA acquittée]))*BV45</f>
        <v>0</v>
      </c>
      <c r="CX45" s="200">
        <f>(SUMIF(Fonctionnement[Affectation matrice],$AB$3,Fonctionnement[TVA acquittée])+SUMIF(Invest[Affectation matrice],$AB$3,Invest[TVA acquittée]))*BW45</f>
        <v>0</v>
      </c>
      <c r="CY45" s="200">
        <f>(SUMIF(Fonctionnement[Affectation matrice],$AB$3,Fonctionnement[TVA acquittée])+SUMIF(Invest[Affectation matrice],$AB$3,Invest[TVA acquittée]))*BX45</f>
        <v>0</v>
      </c>
      <c r="CZ45" s="200">
        <f>(SUMIF(Fonctionnement[Affectation matrice],$AB$3,Fonctionnement[TVA acquittée])+SUMIF(Invest[Affectation matrice],$AB$3,Invest[TVA acquittée]))*BY45</f>
        <v>0</v>
      </c>
      <c r="DA45" s="200">
        <f>(SUMIF(Fonctionnement[Affectation matrice],$AB$3,Fonctionnement[TVA acquittée])+SUMIF(Invest[Affectation matrice],$AB$3,Invest[TVA acquittée]))*BZ45</f>
        <v>0</v>
      </c>
      <c r="DB45" s="200">
        <f>(SUMIF(Fonctionnement[Affectation matrice],$AB$3,Fonctionnement[TVA acquittée])+SUMIF(Invest[Affectation matrice],$AB$3,Invest[TVA acquittée]))*CA45</f>
        <v>0</v>
      </c>
    </row>
    <row r="46" spans="1:106" ht="12.75" hidden="1" customHeight="1" x14ac:dyDescent="0.25">
      <c r="A46" s="42">
        <f>Matrice[[#This Row],[Ligne de la matrice]]</f>
        <v>0</v>
      </c>
      <c r="B46" s="276">
        <f>(SUMIF(Fonctionnement[Affectation matrice],$AB$3,Fonctionnement[Montant (€HT)])+SUMIF(Invest[Affectation matrice],$AB$3,Invest[Amortissement HT + intérêts]))*BC46</f>
        <v>0</v>
      </c>
      <c r="C46" s="276">
        <f>(SUMIF(Fonctionnement[Affectation matrice],$AB$3,Fonctionnement[Montant (€HT)])+SUMIF(Invest[Affectation matrice],$AB$3,Invest[Amortissement HT + intérêts]))*BD46</f>
        <v>0</v>
      </c>
      <c r="D46" s="276">
        <f>(SUMIF(Fonctionnement[Affectation matrice],$AB$3,Fonctionnement[Montant (€HT)])+SUMIF(Invest[Affectation matrice],$AB$3,Invest[Amortissement HT + intérêts]))*BE46</f>
        <v>0</v>
      </c>
      <c r="E46" s="276">
        <f>(SUMIF(Fonctionnement[Affectation matrice],$AB$3,Fonctionnement[Montant (€HT)])+SUMIF(Invest[Affectation matrice],$AB$3,Invest[Amortissement HT + intérêts]))*BF46</f>
        <v>0</v>
      </c>
      <c r="F46" s="276">
        <f>(SUMIF(Fonctionnement[Affectation matrice],$AB$3,Fonctionnement[Montant (€HT)])+SUMIF(Invest[Affectation matrice],$AB$3,Invest[Amortissement HT + intérêts]))*BG46</f>
        <v>0</v>
      </c>
      <c r="G46" s="276">
        <f>(SUMIF(Fonctionnement[Affectation matrice],$AB$3,Fonctionnement[Montant (€HT)])+SUMIF(Invest[Affectation matrice],$AB$3,Invest[Amortissement HT + intérêts]))*BH46</f>
        <v>0</v>
      </c>
      <c r="H46" s="276">
        <f>(SUMIF(Fonctionnement[Affectation matrice],$AB$3,Fonctionnement[Montant (€HT)])+SUMIF(Invest[Affectation matrice],$AB$3,Invest[Amortissement HT + intérêts]))*BI46</f>
        <v>0</v>
      </c>
      <c r="I46" s="276">
        <f>(SUMIF(Fonctionnement[Affectation matrice],$AB$3,Fonctionnement[Montant (€HT)])+SUMIF(Invest[Affectation matrice],$AB$3,Invest[Amortissement HT + intérêts]))*BJ46</f>
        <v>0</v>
      </c>
      <c r="J46" s="276">
        <f>(SUMIF(Fonctionnement[Affectation matrice],$AB$3,Fonctionnement[Montant (€HT)])+SUMIF(Invest[Affectation matrice],$AB$3,Invest[Amortissement HT + intérêts]))*BK46</f>
        <v>0</v>
      </c>
      <c r="K46" s="276">
        <f>(SUMIF(Fonctionnement[Affectation matrice],$AB$3,Fonctionnement[Montant (€HT)])+SUMIF(Invest[Affectation matrice],$AB$3,Invest[Amortissement HT + intérêts]))*BL46</f>
        <v>0</v>
      </c>
      <c r="L46" s="276">
        <f>(SUMIF(Fonctionnement[Affectation matrice],$AB$3,Fonctionnement[Montant (€HT)])+SUMIF(Invest[Affectation matrice],$AB$3,Invest[Amortissement HT + intérêts]))*BM46</f>
        <v>0</v>
      </c>
      <c r="M46" s="276">
        <f>(SUMIF(Fonctionnement[Affectation matrice],$AB$3,Fonctionnement[Montant (€HT)])+SUMIF(Invest[Affectation matrice],$AB$3,Invest[Amortissement HT + intérêts]))*BN46</f>
        <v>0</v>
      </c>
      <c r="N46" s="276">
        <f>(SUMIF(Fonctionnement[Affectation matrice],$AB$3,Fonctionnement[Montant (€HT)])+SUMIF(Invest[Affectation matrice],$AB$3,Invest[Amortissement HT + intérêts]))*BO46</f>
        <v>0</v>
      </c>
      <c r="O46" s="276">
        <f>(SUMIF(Fonctionnement[Affectation matrice],$AB$3,Fonctionnement[Montant (€HT)])+SUMIF(Invest[Affectation matrice],$AB$3,Invest[Amortissement HT + intérêts]))*BP46</f>
        <v>0</v>
      </c>
      <c r="P46" s="276">
        <f>(SUMIF(Fonctionnement[Affectation matrice],$AB$3,Fonctionnement[Montant (€HT)])+SUMIF(Invest[Affectation matrice],$AB$3,Invest[Amortissement HT + intérêts]))*BQ46</f>
        <v>0</v>
      </c>
      <c r="Q46" s="276">
        <f>(SUMIF(Fonctionnement[Affectation matrice],$AB$3,Fonctionnement[Montant (€HT)])+SUMIF(Invest[Affectation matrice],$AB$3,Invest[Amortissement HT + intérêts]))*BR46</f>
        <v>0</v>
      </c>
      <c r="R46" s="276">
        <f>(SUMIF(Fonctionnement[Affectation matrice],$AB$3,Fonctionnement[Montant (€HT)])+SUMIF(Invest[Affectation matrice],$AB$3,Invest[Amortissement HT + intérêts]))*BS46</f>
        <v>0</v>
      </c>
      <c r="S46" s="276">
        <f>(SUMIF(Fonctionnement[Affectation matrice],$AB$3,Fonctionnement[Montant (€HT)])+SUMIF(Invest[Affectation matrice],$AB$3,Invest[Amortissement HT + intérêts]))*BT46</f>
        <v>0</v>
      </c>
      <c r="T46" s="276">
        <f>(SUMIF(Fonctionnement[Affectation matrice],$AB$3,Fonctionnement[Montant (€HT)])+SUMIF(Invest[Affectation matrice],$AB$3,Invest[Amortissement HT + intérêts]))*BU46</f>
        <v>0</v>
      </c>
      <c r="U46" s="276">
        <f>(SUMIF(Fonctionnement[Affectation matrice],$AB$3,Fonctionnement[Montant (€HT)])+SUMIF(Invest[Affectation matrice],$AB$3,Invest[Amortissement HT + intérêts]))*BV46</f>
        <v>0</v>
      </c>
      <c r="V46" s="276">
        <f>(SUMIF(Fonctionnement[Affectation matrice],$AB$3,Fonctionnement[Montant (€HT)])+SUMIF(Invest[Affectation matrice],$AB$3,Invest[Amortissement HT + intérêts]))*BW46</f>
        <v>0</v>
      </c>
      <c r="W46" s="276">
        <f>(SUMIF(Fonctionnement[Affectation matrice],$AB$3,Fonctionnement[Montant (€HT)])+SUMIF(Invest[Affectation matrice],$AB$3,Invest[Amortissement HT + intérêts]))*BX46</f>
        <v>0</v>
      </c>
      <c r="X46" s="276">
        <f>(SUMIF(Fonctionnement[Affectation matrice],$AB$3,Fonctionnement[Montant (€HT)])+SUMIF(Invest[Affectation matrice],$AB$3,Invest[Amortissement HT + intérêts]))*BY46</f>
        <v>0</v>
      </c>
      <c r="Y46" s="276">
        <f>(SUMIF(Fonctionnement[Affectation matrice],$AB$3,Fonctionnement[Montant (€HT)])+SUMIF(Invest[Affectation matrice],$AB$3,Invest[Amortissement HT + intérêts]))*BZ46</f>
        <v>0</v>
      </c>
      <c r="Z46" s="276">
        <f>(SUMIF(Fonctionnement[Affectation matrice],$AB$3,Fonctionnement[Montant (€HT)])+SUMIF(Invest[Affectation matrice],$AB$3,Invest[Amortissement HT + intérêts]))*CA46</f>
        <v>0</v>
      </c>
      <c r="AA46" s="199"/>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283">
        <f t="shared" si="4"/>
        <v>0</v>
      </c>
      <c r="BC46" s="61">
        <f t="shared" si="12"/>
        <v>0</v>
      </c>
      <c r="BD46" s="61">
        <f t="shared" si="12"/>
        <v>0</v>
      </c>
      <c r="BE46" s="61">
        <f t="shared" si="12"/>
        <v>0</v>
      </c>
      <c r="BF46" s="61">
        <f t="shared" si="12"/>
        <v>0</v>
      </c>
      <c r="BG46" s="61">
        <f t="shared" si="12"/>
        <v>0</v>
      </c>
      <c r="BH46" s="61">
        <f t="shared" si="12"/>
        <v>0</v>
      </c>
      <c r="BI46" s="61">
        <f t="shared" si="12"/>
        <v>0</v>
      </c>
      <c r="BJ46" s="61">
        <f t="shared" si="12"/>
        <v>0</v>
      </c>
      <c r="BK46" s="61">
        <f t="shared" si="12"/>
        <v>0</v>
      </c>
      <c r="BL46" s="61">
        <f t="shared" si="12"/>
        <v>0</v>
      </c>
      <c r="BM46" s="61">
        <f t="shared" si="12"/>
        <v>0</v>
      </c>
      <c r="BN46" s="61">
        <f t="shared" si="12"/>
        <v>0</v>
      </c>
      <c r="BO46" s="61">
        <f t="shared" si="12"/>
        <v>0</v>
      </c>
      <c r="BP46" s="61">
        <f t="shared" si="12"/>
        <v>0</v>
      </c>
      <c r="BQ46" s="61">
        <f t="shared" si="12"/>
        <v>0</v>
      </c>
      <c r="BR46" s="61">
        <f t="shared" si="12"/>
        <v>0</v>
      </c>
      <c r="BS46" s="61">
        <f t="shared" si="13"/>
        <v>0</v>
      </c>
      <c r="BT46" s="61">
        <f t="shared" si="13"/>
        <v>0</v>
      </c>
      <c r="BU46" s="61">
        <f t="shared" si="13"/>
        <v>0</v>
      </c>
      <c r="BV46" s="61">
        <f t="shared" si="13"/>
        <v>0</v>
      </c>
      <c r="BW46" s="61">
        <f t="shared" si="13"/>
        <v>0</v>
      </c>
      <c r="BX46" s="61">
        <f t="shared" si="13"/>
        <v>0</v>
      </c>
      <c r="BY46" s="61">
        <f t="shared" si="13"/>
        <v>0</v>
      </c>
      <c r="BZ46" s="61">
        <f t="shared" si="13"/>
        <v>0</v>
      </c>
      <c r="CA46" s="61">
        <f t="shared" si="13"/>
        <v>0</v>
      </c>
      <c r="CB46" s="61">
        <f t="shared" si="5"/>
        <v>0</v>
      </c>
      <c r="CD46" s="200">
        <f>(SUMIF(Fonctionnement[Affectation matrice],$AB$3,Fonctionnement[TVA acquittée])+SUMIF(Invest[Affectation matrice],$AB$3,Invest[TVA acquittée]))*BC46</f>
        <v>0</v>
      </c>
      <c r="CE46" s="200">
        <f>(SUMIF(Fonctionnement[Affectation matrice],$AB$3,Fonctionnement[TVA acquittée])+SUMIF(Invest[Affectation matrice],$AB$3,Invest[TVA acquittée]))*BD46</f>
        <v>0</v>
      </c>
      <c r="CF46" s="200">
        <f>(SUMIF(Fonctionnement[Affectation matrice],$AB$3,Fonctionnement[TVA acquittée])+SUMIF(Invest[Affectation matrice],$AB$3,Invest[TVA acquittée]))*BE46</f>
        <v>0</v>
      </c>
      <c r="CG46" s="200">
        <f>(SUMIF(Fonctionnement[Affectation matrice],$AB$3,Fonctionnement[TVA acquittée])+SUMIF(Invest[Affectation matrice],$AB$3,Invest[TVA acquittée]))*BF46</f>
        <v>0</v>
      </c>
      <c r="CH46" s="200">
        <f>(SUMIF(Fonctionnement[Affectation matrice],$AB$3,Fonctionnement[TVA acquittée])+SUMIF(Invest[Affectation matrice],$AB$3,Invest[TVA acquittée]))*BG46</f>
        <v>0</v>
      </c>
      <c r="CI46" s="200">
        <f>(SUMIF(Fonctionnement[Affectation matrice],$AB$3,Fonctionnement[TVA acquittée])+SUMIF(Invest[Affectation matrice],$AB$3,Invest[TVA acquittée]))*BH46</f>
        <v>0</v>
      </c>
      <c r="CJ46" s="200">
        <f>(SUMIF(Fonctionnement[Affectation matrice],$AB$3,Fonctionnement[TVA acquittée])+SUMIF(Invest[Affectation matrice],$AB$3,Invest[TVA acquittée]))*BI46</f>
        <v>0</v>
      </c>
      <c r="CK46" s="200">
        <f>(SUMIF(Fonctionnement[Affectation matrice],$AB$3,Fonctionnement[TVA acquittée])+SUMIF(Invest[Affectation matrice],$AB$3,Invest[TVA acquittée]))*BJ46</f>
        <v>0</v>
      </c>
      <c r="CL46" s="200">
        <f>(SUMIF(Fonctionnement[Affectation matrice],$AB$3,Fonctionnement[TVA acquittée])+SUMIF(Invest[Affectation matrice],$AB$3,Invest[TVA acquittée]))*BK46</f>
        <v>0</v>
      </c>
      <c r="CM46" s="200">
        <f>(SUMIF(Fonctionnement[Affectation matrice],$AB$3,Fonctionnement[TVA acquittée])+SUMIF(Invest[Affectation matrice],$AB$3,Invest[TVA acquittée]))*BL46</f>
        <v>0</v>
      </c>
      <c r="CN46" s="200">
        <f>(SUMIF(Fonctionnement[Affectation matrice],$AB$3,Fonctionnement[TVA acquittée])+SUMIF(Invest[Affectation matrice],$AB$3,Invest[TVA acquittée]))*BM46</f>
        <v>0</v>
      </c>
      <c r="CO46" s="200">
        <f>(SUMIF(Fonctionnement[Affectation matrice],$AB$3,Fonctionnement[TVA acquittée])+SUMIF(Invest[Affectation matrice],$AB$3,Invest[TVA acquittée]))*BN46</f>
        <v>0</v>
      </c>
      <c r="CP46" s="200">
        <f>(SUMIF(Fonctionnement[Affectation matrice],$AB$3,Fonctionnement[TVA acquittée])+SUMIF(Invest[Affectation matrice],$AB$3,Invest[TVA acquittée]))*BO46</f>
        <v>0</v>
      </c>
      <c r="CQ46" s="200">
        <f>(SUMIF(Fonctionnement[Affectation matrice],$AB$3,Fonctionnement[TVA acquittée])+SUMIF(Invest[Affectation matrice],$AB$3,Invest[TVA acquittée]))*BP46</f>
        <v>0</v>
      </c>
      <c r="CR46" s="200">
        <f>(SUMIF(Fonctionnement[Affectation matrice],$AB$3,Fonctionnement[TVA acquittée])+SUMIF(Invest[Affectation matrice],$AB$3,Invest[TVA acquittée]))*BQ46</f>
        <v>0</v>
      </c>
      <c r="CS46" s="200">
        <f>(SUMIF(Fonctionnement[Affectation matrice],$AB$3,Fonctionnement[TVA acquittée])+SUMIF(Invest[Affectation matrice],$AB$3,Invest[TVA acquittée]))*BR46</f>
        <v>0</v>
      </c>
      <c r="CT46" s="200">
        <f>(SUMIF(Fonctionnement[Affectation matrice],$AB$3,Fonctionnement[TVA acquittée])+SUMIF(Invest[Affectation matrice],$AB$3,Invest[TVA acquittée]))*BS46</f>
        <v>0</v>
      </c>
      <c r="CU46" s="200">
        <f>(SUMIF(Fonctionnement[Affectation matrice],$AB$3,Fonctionnement[TVA acquittée])+SUMIF(Invest[Affectation matrice],$AB$3,Invest[TVA acquittée]))*BT46</f>
        <v>0</v>
      </c>
      <c r="CV46" s="200">
        <f>(SUMIF(Fonctionnement[Affectation matrice],$AB$3,Fonctionnement[TVA acquittée])+SUMIF(Invest[Affectation matrice],$AB$3,Invest[TVA acquittée]))*BU46</f>
        <v>0</v>
      </c>
      <c r="CW46" s="200">
        <f>(SUMIF(Fonctionnement[Affectation matrice],$AB$3,Fonctionnement[TVA acquittée])+SUMIF(Invest[Affectation matrice],$AB$3,Invest[TVA acquittée]))*BV46</f>
        <v>0</v>
      </c>
      <c r="CX46" s="200">
        <f>(SUMIF(Fonctionnement[Affectation matrice],$AB$3,Fonctionnement[TVA acquittée])+SUMIF(Invest[Affectation matrice],$AB$3,Invest[TVA acquittée]))*BW46</f>
        <v>0</v>
      </c>
      <c r="CY46" s="200">
        <f>(SUMIF(Fonctionnement[Affectation matrice],$AB$3,Fonctionnement[TVA acquittée])+SUMIF(Invest[Affectation matrice],$AB$3,Invest[TVA acquittée]))*BX46</f>
        <v>0</v>
      </c>
      <c r="CZ46" s="200">
        <f>(SUMIF(Fonctionnement[Affectation matrice],$AB$3,Fonctionnement[TVA acquittée])+SUMIF(Invest[Affectation matrice],$AB$3,Invest[TVA acquittée]))*BY46</f>
        <v>0</v>
      </c>
      <c r="DA46" s="200">
        <f>(SUMIF(Fonctionnement[Affectation matrice],$AB$3,Fonctionnement[TVA acquittée])+SUMIF(Invest[Affectation matrice],$AB$3,Invest[TVA acquittée]))*BZ46</f>
        <v>0</v>
      </c>
      <c r="DB46" s="200">
        <f>(SUMIF(Fonctionnement[Affectation matrice],$AB$3,Fonctionnement[TVA acquittée])+SUMIF(Invest[Affectation matrice],$AB$3,Invest[TVA acquittée]))*CA46</f>
        <v>0</v>
      </c>
    </row>
    <row r="47" spans="1:106" ht="12.75" hidden="1" customHeight="1" x14ac:dyDescent="0.25">
      <c r="A47" s="42">
        <f>Matrice[[#This Row],[Ligne de la matrice]]</f>
        <v>0</v>
      </c>
      <c r="B47" s="276">
        <f>(SUMIF(Fonctionnement[Affectation matrice],$AB$3,Fonctionnement[Montant (€HT)])+SUMIF(Invest[Affectation matrice],$AB$3,Invest[Amortissement HT + intérêts]))*BC47</f>
        <v>0</v>
      </c>
      <c r="C47" s="276">
        <f>(SUMIF(Fonctionnement[Affectation matrice],$AB$3,Fonctionnement[Montant (€HT)])+SUMIF(Invest[Affectation matrice],$AB$3,Invest[Amortissement HT + intérêts]))*BD47</f>
        <v>0</v>
      </c>
      <c r="D47" s="276">
        <f>(SUMIF(Fonctionnement[Affectation matrice],$AB$3,Fonctionnement[Montant (€HT)])+SUMIF(Invest[Affectation matrice],$AB$3,Invest[Amortissement HT + intérêts]))*BE47</f>
        <v>0</v>
      </c>
      <c r="E47" s="276">
        <f>(SUMIF(Fonctionnement[Affectation matrice],$AB$3,Fonctionnement[Montant (€HT)])+SUMIF(Invest[Affectation matrice],$AB$3,Invest[Amortissement HT + intérêts]))*BF47</f>
        <v>0</v>
      </c>
      <c r="F47" s="276">
        <f>(SUMIF(Fonctionnement[Affectation matrice],$AB$3,Fonctionnement[Montant (€HT)])+SUMIF(Invest[Affectation matrice],$AB$3,Invest[Amortissement HT + intérêts]))*BG47</f>
        <v>0</v>
      </c>
      <c r="G47" s="276">
        <f>(SUMIF(Fonctionnement[Affectation matrice],$AB$3,Fonctionnement[Montant (€HT)])+SUMIF(Invest[Affectation matrice],$AB$3,Invest[Amortissement HT + intérêts]))*BH47</f>
        <v>0</v>
      </c>
      <c r="H47" s="276">
        <f>(SUMIF(Fonctionnement[Affectation matrice],$AB$3,Fonctionnement[Montant (€HT)])+SUMIF(Invest[Affectation matrice],$AB$3,Invest[Amortissement HT + intérêts]))*BI47</f>
        <v>0</v>
      </c>
      <c r="I47" s="276">
        <f>(SUMIF(Fonctionnement[Affectation matrice],$AB$3,Fonctionnement[Montant (€HT)])+SUMIF(Invest[Affectation matrice],$AB$3,Invest[Amortissement HT + intérêts]))*BJ47</f>
        <v>0</v>
      </c>
      <c r="J47" s="276">
        <f>(SUMIF(Fonctionnement[Affectation matrice],$AB$3,Fonctionnement[Montant (€HT)])+SUMIF(Invest[Affectation matrice],$AB$3,Invest[Amortissement HT + intérêts]))*BK47</f>
        <v>0</v>
      </c>
      <c r="K47" s="276">
        <f>(SUMIF(Fonctionnement[Affectation matrice],$AB$3,Fonctionnement[Montant (€HT)])+SUMIF(Invest[Affectation matrice],$AB$3,Invest[Amortissement HT + intérêts]))*BL47</f>
        <v>0</v>
      </c>
      <c r="L47" s="276">
        <f>(SUMIF(Fonctionnement[Affectation matrice],$AB$3,Fonctionnement[Montant (€HT)])+SUMIF(Invest[Affectation matrice],$AB$3,Invest[Amortissement HT + intérêts]))*BM47</f>
        <v>0</v>
      </c>
      <c r="M47" s="276">
        <f>(SUMIF(Fonctionnement[Affectation matrice],$AB$3,Fonctionnement[Montant (€HT)])+SUMIF(Invest[Affectation matrice],$AB$3,Invest[Amortissement HT + intérêts]))*BN47</f>
        <v>0</v>
      </c>
      <c r="N47" s="276">
        <f>(SUMIF(Fonctionnement[Affectation matrice],$AB$3,Fonctionnement[Montant (€HT)])+SUMIF(Invest[Affectation matrice],$AB$3,Invest[Amortissement HT + intérêts]))*BO47</f>
        <v>0</v>
      </c>
      <c r="O47" s="276">
        <f>(SUMIF(Fonctionnement[Affectation matrice],$AB$3,Fonctionnement[Montant (€HT)])+SUMIF(Invest[Affectation matrice],$AB$3,Invest[Amortissement HT + intérêts]))*BP47</f>
        <v>0</v>
      </c>
      <c r="P47" s="276">
        <f>(SUMIF(Fonctionnement[Affectation matrice],$AB$3,Fonctionnement[Montant (€HT)])+SUMIF(Invest[Affectation matrice],$AB$3,Invest[Amortissement HT + intérêts]))*BQ47</f>
        <v>0</v>
      </c>
      <c r="Q47" s="276">
        <f>(SUMIF(Fonctionnement[Affectation matrice],$AB$3,Fonctionnement[Montant (€HT)])+SUMIF(Invest[Affectation matrice],$AB$3,Invest[Amortissement HT + intérêts]))*BR47</f>
        <v>0</v>
      </c>
      <c r="R47" s="276">
        <f>(SUMIF(Fonctionnement[Affectation matrice],$AB$3,Fonctionnement[Montant (€HT)])+SUMIF(Invest[Affectation matrice],$AB$3,Invest[Amortissement HT + intérêts]))*BS47</f>
        <v>0</v>
      </c>
      <c r="S47" s="276">
        <f>(SUMIF(Fonctionnement[Affectation matrice],$AB$3,Fonctionnement[Montant (€HT)])+SUMIF(Invest[Affectation matrice],$AB$3,Invest[Amortissement HT + intérêts]))*BT47</f>
        <v>0</v>
      </c>
      <c r="T47" s="276">
        <f>(SUMIF(Fonctionnement[Affectation matrice],$AB$3,Fonctionnement[Montant (€HT)])+SUMIF(Invest[Affectation matrice],$AB$3,Invest[Amortissement HT + intérêts]))*BU47</f>
        <v>0</v>
      </c>
      <c r="U47" s="276">
        <f>(SUMIF(Fonctionnement[Affectation matrice],$AB$3,Fonctionnement[Montant (€HT)])+SUMIF(Invest[Affectation matrice],$AB$3,Invest[Amortissement HT + intérêts]))*BV47</f>
        <v>0</v>
      </c>
      <c r="V47" s="276">
        <f>(SUMIF(Fonctionnement[Affectation matrice],$AB$3,Fonctionnement[Montant (€HT)])+SUMIF(Invest[Affectation matrice],$AB$3,Invest[Amortissement HT + intérêts]))*BW47</f>
        <v>0</v>
      </c>
      <c r="W47" s="276">
        <f>(SUMIF(Fonctionnement[Affectation matrice],$AB$3,Fonctionnement[Montant (€HT)])+SUMIF(Invest[Affectation matrice],$AB$3,Invest[Amortissement HT + intérêts]))*BX47</f>
        <v>0</v>
      </c>
      <c r="X47" s="276">
        <f>(SUMIF(Fonctionnement[Affectation matrice],$AB$3,Fonctionnement[Montant (€HT)])+SUMIF(Invest[Affectation matrice],$AB$3,Invest[Amortissement HT + intérêts]))*BY47</f>
        <v>0</v>
      </c>
      <c r="Y47" s="276">
        <f>(SUMIF(Fonctionnement[Affectation matrice],$AB$3,Fonctionnement[Montant (€HT)])+SUMIF(Invest[Affectation matrice],$AB$3,Invest[Amortissement HT + intérêts]))*BZ47</f>
        <v>0</v>
      </c>
      <c r="Z47" s="276">
        <f>(SUMIF(Fonctionnement[Affectation matrice],$AB$3,Fonctionnement[Montant (€HT)])+SUMIF(Invest[Affectation matrice],$AB$3,Invest[Amortissement HT + intérêts]))*CA47</f>
        <v>0</v>
      </c>
      <c r="AA47" s="199"/>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283">
        <f t="shared" si="4"/>
        <v>0</v>
      </c>
      <c r="BC47" s="61">
        <f t="shared" si="12"/>
        <v>0</v>
      </c>
      <c r="BD47" s="61">
        <f t="shared" si="12"/>
        <v>0</v>
      </c>
      <c r="BE47" s="61">
        <f t="shared" si="12"/>
        <v>0</v>
      </c>
      <c r="BF47" s="61">
        <f t="shared" si="12"/>
        <v>0</v>
      </c>
      <c r="BG47" s="61">
        <f t="shared" si="12"/>
        <v>0</v>
      </c>
      <c r="BH47" s="61">
        <f t="shared" si="12"/>
        <v>0</v>
      </c>
      <c r="BI47" s="61">
        <f t="shared" si="12"/>
        <v>0</v>
      </c>
      <c r="BJ47" s="61">
        <f t="shared" si="12"/>
        <v>0</v>
      </c>
      <c r="BK47" s="61">
        <f t="shared" si="12"/>
        <v>0</v>
      </c>
      <c r="BL47" s="61">
        <f t="shared" si="12"/>
        <v>0</v>
      </c>
      <c r="BM47" s="61">
        <f t="shared" si="12"/>
        <v>0</v>
      </c>
      <c r="BN47" s="61">
        <f t="shared" si="12"/>
        <v>0</v>
      </c>
      <c r="BO47" s="61">
        <f t="shared" si="12"/>
        <v>0</v>
      </c>
      <c r="BP47" s="61">
        <f t="shared" si="12"/>
        <v>0</v>
      </c>
      <c r="BQ47" s="61">
        <f t="shared" si="12"/>
        <v>0</v>
      </c>
      <c r="BR47" s="61">
        <f t="shared" si="12"/>
        <v>0</v>
      </c>
      <c r="BS47" s="61">
        <f t="shared" si="13"/>
        <v>0</v>
      </c>
      <c r="BT47" s="61">
        <f t="shared" si="13"/>
        <v>0</v>
      </c>
      <c r="BU47" s="61">
        <f t="shared" si="13"/>
        <v>0</v>
      </c>
      <c r="BV47" s="61">
        <f t="shared" si="13"/>
        <v>0</v>
      </c>
      <c r="BW47" s="61">
        <f t="shared" si="13"/>
        <v>0</v>
      </c>
      <c r="BX47" s="61">
        <f t="shared" si="13"/>
        <v>0</v>
      </c>
      <c r="BY47" s="61">
        <f t="shared" si="13"/>
        <v>0</v>
      </c>
      <c r="BZ47" s="61">
        <f t="shared" si="13"/>
        <v>0</v>
      </c>
      <c r="CA47" s="61">
        <f t="shared" si="13"/>
        <v>0</v>
      </c>
      <c r="CB47" s="61">
        <f t="shared" si="5"/>
        <v>0</v>
      </c>
      <c r="CD47" s="200">
        <f>(SUMIF(Fonctionnement[Affectation matrice],$AB$3,Fonctionnement[TVA acquittée])+SUMIF(Invest[Affectation matrice],$AB$3,Invest[TVA acquittée]))*BC47</f>
        <v>0</v>
      </c>
      <c r="CE47" s="200">
        <f>(SUMIF(Fonctionnement[Affectation matrice],$AB$3,Fonctionnement[TVA acquittée])+SUMIF(Invest[Affectation matrice],$AB$3,Invest[TVA acquittée]))*BD47</f>
        <v>0</v>
      </c>
      <c r="CF47" s="200">
        <f>(SUMIF(Fonctionnement[Affectation matrice],$AB$3,Fonctionnement[TVA acquittée])+SUMIF(Invest[Affectation matrice],$AB$3,Invest[TVA acquittée]))*BE47</f>
        <v>0</v>
      </c>
      <c r="CG47" s="200">
        <f>(SUMIF(Fonctionnement[Affectation matrice],$AB$3,Fonctionnement[TVA acquittée])+SUMIF(Invest[Affectation matrice],$AB$3,Invest[TVA acquittée]))*BF47</f>
        <v>0</v>
      </c>
      <c r="CH47" s="200">
        <f>(SUMIF(Fonctionnement[Affectation matrice],$AB$3,Fonctionnement[TVA acquittée])+SUMIF(Invest[Affectation matrice],$AB$3,Invest[TVA acquittée]))*BG47</f>
        <v>0</v>
      </c>
      <c r="CI47" s="200">
        <f>(SUMIF(Fonctionnement[Affectation matrice],$AB$3,Fonctionnement[TVA acquittée])+SUMIF(Invest[Affectation matrice],$AB$3,Invest[TVA acquittée]))*BH47</f>
        <v>0</v>
      </c>
      <c r="CJ47" s="200">
        <f>(SUMIF(Fonctionnement[Affectation matrice],$AB$3,Fonctionnement[TVA acquittée])+SUMIF(Invest[Affectation matrice],$AB$3,Invest[TVA acquittée]))*BI47</f>
        <v>0</v>
      </c>
      <c r="CK47" s="200">
        <f>(SUMIF(Fonctionnement[Affectation matrice],$AB$3,Fonctionnement[TVA acquittée])+SUMIF(Invest[Affectation matrice],$AB$3,Invest[TVA acquittée]))*BJ47</f>
        <v>0</v>
      </c>
      <c r="CL47" s="200">
        <f>(SUMIF(Fonctionnement[Affectation matrice],$AB$3,Fonctionnement[TVA acquittée])+SUMIF(Invest[Affectation matrice],$AB$3,Invest[TVA acquittée]))*BK47</f>
        <v>0</v>
      </c>
      <c r="CM47" s="200">
        <f>(SUMIF(Fonctionnement[Affectation matrice],$AB$3,Fonctionnement[TVA acquittée])+SUMIF(Invest[Affectation matrice],$AB$3,Invest[TVA acquittée]))*BL47</f>
        <v>0</v>
      </c>
      <c r="CN47" s="200">
        <f>(SUMIF(Fonctionnement[Affectation matrice],$AB$3,Fonctionnement[TVA acquittée])+SUMIF(Invest[Affectation matrice],$AB$3,Invest[TVA acquittée]))*BM47</f>
        <v>0</v>
      </c>
      <c r="CO47" s="200">
        <f>(SUMIF(Fonctionnement[Affectation matrice],$AB$3,Fonctionnement[TVA acquittée])+SUMIF(Invest[Affectation matrice],$AB$3,Invest[TVA acquittée]))*BN47</f>
        <v>0</v>
      </c>
      <c r="CP47" s="200">
        <f>(SUMIF(Fonctionnement[Affectation matrice],$AB$3,Fonctionnement[TVA acquittée])+SUMIF(Invest[Affectation matrice],$AB$3,Invest[TVA acquittée]))*BO47</f>
        <v>0</v>
      </c>
      <c r="CQ47" s="200">
        <f>(SUMIF(Fonctionnement[Affectation matrice],$AB$3,Fonctionnement[TVA acquittée])+SUMIF(Invest[Affectation matrice],$AB$3,Invest[TVA acquittée]))*BP47</f>
        <v>0</v>
      </c>
      <c r="CR47" s="200">
        <f>(SUMIF(Fonctionnement[Affectation matrice],$AB$3,Fonctionnement[TVA acquittée])+SUMIF(Invest[Affectation matrice],$AB$3,Invest[TVA acquittée]))*BQ47</f>
        <v>0</v>
      </c>
      <c r="CS47" s="200">
        <f>(SUMIF(Fonctionnement[Affectation matrice],$AB$3,Fonctionnement[TVA acquittée])+SUMIF(Invest[Affectation matrice],$AB$3,Invest[TVA acquittée]))*BR47</f>
        <v>0</v>
      </c>
      <c r="CT47" s="200">
        <f>(SUMIF(Fonctionnement[Affectation matrice],$AB$3,Fonctionnement[TVA acquittée])+SUMIF(Invest[Affectation matrice],$AB$3,Invest[TVA acquittée]))*BS47</f>
        <v>0</v>
      </c>
      <c r="CU47" s="200">
        <f>(SUMIF(Fonctionnement[Affectation matrice],$AB$3,Fonctionnement[TVA acquittée])+SUMIF(Invest[Affectation matrice],$AB$3,Invest[TVA acquittée]))*BT47</f>
        <v>0</v>
      </c>
      <c r="CV47" s="200">
        <f>(SUMIF(Fonctionnement[Affectation matrice],$AB$3,Fonctionnement[TVA acquittée])+SUMIF(Invest[Affectation matrice],$AB$3,Invest[TVA acquittée]))*BU47</f>
        <v>0</v>
      </c>
      <c r="CW47" s="200">
        <f>(SUMIF(Fonctionnement[Affectation matrice],$AB$3,Fonctionnement[TVA acquittée])+SUMIF(Invest[Affectation matrice],$AB$3,Invest[TVA acquittée]))*BV47</f>
        <v>0</v>
      </c>
      <c r="CX47" s="200">
        <f>(SUMIF(Fonctionnement[Affectation matrice],$AB$3,Fonctionnement[TVA acquittée])+SUMIF(Invest[Affectation matrice],$AB$3,Invest[TVA acquittée]))*BW47</f>
        <v>0</v>
      </c>
      <c r="CY47" s="200">
        <f>(SUMIF(Fonctionnement[Affectation matrice],$AB$3,Fonctionnement[TVA acquittée])+SUMIF(Invest[Affectation matrice],$AB$3,Invest[TVA acquittée]))*BX47</f>
        <v>0</v>
      </c>
      <c r="CZ47" s="200">
        <f>(SUMIF(Fonctionnement[Affectation matrice],$AB$3,Fonctionnement[TVA acquittée])+SUMIF(Invest[Affectation matrice],$AB$3,Invest[TVA acquittée]))*BY47</f>
        <v>0</v>
      </c>
      <c r="DA47" s="200">
        <f>(SUMIF(Fonctionnement[Affectation matrice],$AB$3,Fonctionnement[TVA acquittée])+SUMIF(Invest[Affectation matrice],$AB$3,Invest[TVA acquittée]))*BZ47</f>
        <v>0</v>
      </c>
      <c r="DB47" s="200">
        <f>(SUMIF(Fonctionnement[Affectation matrice],$AB$3,Fonctionnement[TVA acquittée])+SUMIF(Invest[Affectation matrice],$AB$3,Invest[TVA acquittée]))*CA47</f>
        <v>0</v>
      </c>
    </row>
    <row r="48" spans="1:106" ht="12.75" hidden="1" customHeight="1" x14ac:dyDescent="0.25">
      <c r="A48" s="42">
        <f>Matrice[[#This Row],[Ligne de la matrice]]</f>
        <v>0</v>
      </c>
      <c r="B48" s="276">
        <f>(SUMIF(Fonctionnement[Affectation matrice],$AB$3,Fonctionnement[Montant (€HT)])+SUMIF(Invest[Affectation matrice],$AB$3,Invest[Amortissement HT + intérêts]))*BC48</f>
        <v>0</v>
      </c>
      <c r="C48" s="276">
        <f>(SUMIF(Fonctionnement[Affectation matrice],$AB$3,Fonctionnement[Montant (€HT)])+SUMIF(Invest[Affectation matrice],$AB$3,Invest[Amortissement HT + intérêts]))*BD48</f>
        <v>0</v>
      </c>
      <c r="D48" s="276">
        <f>(SUMIF(Fonctionnement[Affectation matrice],$AB$3,Fonctionnement[Montant (€HT)])+SUMIF(Invest[Affectation matrice],$AB$3,Invest[Amortissement HT + intérêts]))*BE48</f>
        <v>0</v>
      </c>
      <c r="E48" s="276">
        <f>(SUMIF(Fonctionnement[Affectation matrice],$AB$3,Fonctionnement[Montant (€HT)])+SUMIF(Invest[Affectation matrice],$AB$3,Invest[Amortissement HT + intérêts]))*BF48</f>
        <v>0</v>
      </c>
      <c r="F48" s="276">
        <f>(SUMIF(Fonctionnement[Affectation matrice],$AB$3,Fonctionnement[Montant (€HT)])+SUMIF(Invest[Affectation matrice],$AB$3,Invest[Amortissement HT + intérêts]))*BG48</f>
        <v>0</v>
      </c>
      <c r="G48" s="276">
        <f>(SUMIF(Fonctionnement[Affectation matrice],$AB$3,Fonctionnement[Montant (€HT)])+SUMIF(Invest[Affectation matrice],$AB$3,Invest[Amortissement HT + intérêts]))*BH48</f>
        <v>0</v>
      </c>
      <c r="H48" s="276">
        <f>(SUMIF(Fonctionnement[Affectation matrice],$AB$3,Fonctionnement[Montant (€HT)])+SUMIF(Invest[Affectation matrice],$AB$3,Invest[Amortissement HT + intérêts]))*BI48</f>
        <v>0</v>
      </c>
      <c r="I48" s="276">
        <f>(SUMIF(Fonctionnement[Affectation matrice],$AB$3,Fonctionnement[Montant (€HT)])+SUMIF(Invest[Affectation matrice],$AB$3,Invest[Amortissement HT + intérêts]))*BJ48</f>
        <v>0</v>
      </c>
      <c r="J48" s="276">
        <f>(SUMIF(Fonctionnement[Affectation matrice],$AB$3,Fonctionnement[Montant (€HT)])+SUMIF(Invest[Affectation matrice],$AB$3,Invest[Amortissement HT + intérêts]))*BK48</f>
        <v>0</v>
      </c>
      <c r="K48" s="276">
        <f>(SUMIF(Fonctionnement[Affectation matrice],$AB$3,Fonctionnement[Montant (€HT)])+SUMIF(Invest[Affectation matrice],$AB$3,Invest[Amortissement HT + intérêts]))*BL48</f>
        <v>0</v>
      </c>
      <c r="L48" s="276">
        <f>(SUMIF(Fonctionnement[Affectation matrice],$AB$3,Fonctionnement[Montant (€HT)])+SUMIF(Invest[Affectation matrice],$AB$3,Invest[Amortissement HT + intérêts]))*BM48</f>
        <v>0</v>
      </c>
      <c r="M48" s="276">
        <f>(SUMIF(Fonctionnement[Affectation matrice],$AB$3,Fonctionnement[Montant (€HT)])+SUMIF(Invest[Affectation matrice],$AB$3,Invest[Amortissement HT + intérêts]))*BN48</f>
        <v>0</v>
      </c>
      <c r="N48" s="276">
        <f>(SUMIF(Fonctionnement[Affectation matrice],$AB$3,Fonctionnement[Montant (€HT)])+SUMIF(Invest[Affectation matrice],$AB$3,Invest[Amortissement HT + intérêts]))*BO48</f>
        <v>0</v>
      </c>
      <c r="O48" s="276">
        <f>(SUMIF(Fonctionnement[Affectation matrice],$AB$3,Fonctionnement[Montant (€HT)])+SUMIF(Invest[Affectation matrice],$AB$3,Invest[Amortissement HT + intérêts]))*BP48</f>
        <v>0</v>
      </c>
      <c r="P48" s="276">
        <f>(SUMIF(Fonctionnement[Affectation matrice],$AB$3,Fonctionnement[Montant (€HT)])+SUMIF(Invest[Affectation matrice],$AB$3,Invest[Amortissement HT + intérêts]))*BQ48</f>
        <v>0</v>
      </c>
      <c r="Q48" s="276">
        <f>(SUMIF(Fonctionnement[Affectation matrice],$AB$3,Fonctionnement[Montant (€HT)])+SUMIF(Invest[Affectation matrice],$AB$3,Invest[Amortissement HT + intérêts]))*BR48</f>
        <v>0</v>
      </c>
      <c r="R48" s="276">
        <f>(SUMIF(Fonctionnement[Affectation matrice],$AB$3,Fonctionnement[Montant (€HT)])+SUMIF(Invest[Affectation matrice],$AB$3,Invest[Amortissement HT + intérêts]))*BS48</f>
        <v>0</v>
      </c>
      <c r="S48" s="276">
        <f>(SUMIF(Fonctionnement[Affectation matrice],$AB$3,Fonctionnement[Montant (€HT)])+SUMIF(Invest[Affectation matrice],$AB$3,Invest[Amortissement HT + intérêts]))*BT48</f>
        <v>0</v>
      </c>
      <c r="T48" s="276">
        <f>(SUMIF(Fonctionnement[Affectation matrice],$AB$3,Fonctionnement[Montant (€HT)])+SUMIF(Invest[Affectation matrice],$AB$3,Invest[Amortissement HT + intérêts]))*BU48</f>
        <v>0</v>
      </c>
      <c r="U48" s="276">
        <f>(SUMIF(Fonctionnement[Affectation matrice],$AB$3,Fonctionnement[Montant (€HT)])+SUMIF(Invest[Affectation matrice],$AB$3,Invest[Amortissement HT + intérêts]))*BV48</f>
        <v>0</v>
      </c>
      <c r="V48" s="276">
        <f>(SUMIF(Fonctionnement[Affectation matrice],$AB$3,Fonctionnement[Montant (€HT)])+SUMIF(Invest[Affectation matrice],$AB$3,Invest[Amortissement HT + intérêts]))*BW48</f>
        <v>0</v>
      </c>
      <c r="W48" s="276">
        <f>(SUMIF(Fonctionnement[Affectation matrice],$AB$3,Fonctionnement[Montant (€HT)])+SUMIF(Invest[Affectation matrice],$AB$3,Invest[Amortissement HT + intérêts]))*BX48</f>
        <v>0</v>
      </c>
      <c r="X48" s="276">
        <f>(SUMIF(Fonctionnement[Affectation matrice],$AB$3,Fonctionnement[Montant (€HT)])+SUMIF(Invest[Affectation matrice],$AB$3,Invest[Amortissement HT + intérêts]))*BY48</f>
        <v>0</v>
      </c>
      <c r="Y48" s="276">
        <f>(SUMIF(Fonctionnement[Affectation matrice],$AB$3,Fonctionnement[Montant (€HT)])+SUMIF(Invest[Affectation matrice],$AB$3,Invest[Amortissement HT + intérêts]))*BZ48</f>
        <v>0</v>
      </c>
      <c r="Z48" s="276">
        <f>(SUMIF(Fonctionnement[Affectation matrice],$AB$3,Fonctionnement[Montant (€HT)])+SUMIF(Invest[Affectation matrice],$AB$3,Invest[Amortissement HT + intérêts]))*CA48</f>
        <v>0</v>
      </c>
      <c r="AA48" s="199"/>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283">
        <f t="shared" si="4"/>
        <v>0</v>
      </c>
      <c r="BC48" s="61">
        <f t="shared" si="12"/>
        <v>0</v>
      </c>
      <c r="BD48" s="61">
        <f t="shared" si="12"/>
        <v>0</v>
      </c>
      <c r="BE48" s="61">
        <f t="shared" si="12"/>
        <v>0</v>
      </c>
      <c r="BF48" s="61">
        <f t="shared" si="12"/>
        <v>0</v>
      </c>
      <c r="BG48" s="61">
        <f t="shared" si="12"/>
        <v>0</v>
      </c>
      <c r="BH48" s="61">
        <f t="shared" si="12"/>
        <v>0</v>
      </c>
      <c r="BI48" s="61">
        <f t="shared" si="12"/>
        <v>0</v>
      </c>
      <c r="BJ48" s="61">
        <f t="shared" si="12"/>
        <v>0</v>
      </c>
      <c r="BK48" s="61">
        <f t="shared" si="12"/>
        <v>0</v>
      </c>
      <c r="BL48" s="61">
        <f t="shared" si="12"/>
        <v>0</v>
      </c>
      <c r="BM48" s="61">
        <f t="shared" si="12"/>
        <v>0</v>
      </c>
      <c r="BN48" s="61">
        <f t="shared" si="12"/>
        <v>0</v>
      </c>
      <c r="BO48" s="61">
        <f t="shared" si="12"/>
        <v>0</v>
      </c>
      <c r="BP48" s="61">
        <f t="shared" si="12"/>
        <v>0</v>
      </c>
      <c r="BQ48" s="61">
        <f t="shared" si="12"/>
        <v>0</v>
      </c>
      <c r="BR48" s="61">
        <f t="shared" si="12"/>
        <v>0</v>
      </c>
      <c r="BS48" s="61">
        <f t="shared" si="13"/>
        <v>0</v>
      </c>
      <c r="BT48" s="61">
        <f t="shared" si="13"/>
        <v>0</v>
      </c>
      <c r="BU48" s="61">
        <f t="shared" si="13"/>
        <v>0</v>
      </c>
      <c r="BV48" s="61">
        <f t="shared" si="13"/>
        <v>0</v>
      </c>
      <c r="BW48" s="61">
        <f t="shared" si="13"/>
        <v>0</v>
      </c>
      <c r="BX48" s="61">
        <f t="shared" si="13"/>
        <v>0</v>
      </c>
      <c r="BY48" s="61">
        <f t="shared" si="13"/>
        <v>0</v>
      </c>
      <c r="BZ48" s="61">
        <f t="shared" si="13"/>
        <v>0</v>
      </c>
      <c r="CA48" s="61">
        <f t="shared" si="13"/>
        <v>0</v>
      </c>
      <c r="CB48" s="61">
        <f t="shared" si="5"/>
        <v>0</v>
      </c>
      <c r="CD48" s="200">
        <f>(SUMIF(Fonctionnement[Affectation matrice],$AB$3,Fonctionnement[TVA acquittée])+SUMIF(Invest[Affectation matrice],$AB$3,Invest[TVA acquittée]))*BC48</f>
        <v>0</v>
      </c>
      <c r="CE48" s="200">
        <f>(SUMIF(Fonctionnement[Affectation matrice],$AB$3,Fonctionnement[TVA acquittée])+SUMIF(Invest[Affectation matrice],$AB$3,Invest[TVA acquittée]))*BD48</f>
        <v>0</v>
      </c>
      <c r="CF48" s="200">
        <f>(SUMIF(Fonctionnement[Affectation matrice],$AB$3,Fonctionnement[TVA acquittée])+SUMIF(Invest[Affectation matrice],$AB$3,Invest[TVA acquittée]))*BE48</f>
        <v>0</v>
      </c>
      <c r="CG48" s="200">
        <f>(SUMIF(Fonctionnement[Affectation matrice],$AB$3,Fonctionnement[TVA acquittée])+SUMIF(Invest[Affectation matrice],$AB$3,Invest[TVA acquittée]))*BF48</f>
        <v>0</v>
      </c>
      <c r="CH48" s="200">
        <f>(SUMIF(Fonctionnement[Affectation matrice],$AB$3,Fonctionnement[TVA acquittée])+SUMIF(Invest[Affectation matrice],$AB$3,Invest[TVA acquittée]))*BG48</f>
        <v>0</v>
      </c>
      <c r="CI48" s="200">
        <f>(SUMIF(Fonctionnement[Affectation matrice],$AB$3,Fonctionnement[TVA acquittée])+SUMIF(Invest[Affectation matrice],$AB$3,Invest[TVA acquittée]))*BH48</f>
        <v>0</v>
      </c>
      <c r="CJ48" s="200">
        <f>(SUMIF(Fonctionnement[Affectation matrice],$AB$3,Fonctionnement[TVA acquittée])+SUMIF(Invest[Affectation matrice],$AB$3,Invest[TVA acquittée]))*BI48</f>
        <v>0</v>
      </c>
      <c r="CK48" s="200">
        <f>(SUMIF(Fonctionnement[Affectation matrice],$AB$3,Fonctionnement[TVA acquittée])+SUMIF(Invest[Affectation matrice],$AB$3,Invest[TVA acquittée]))*BJ48</f>
        <v>0</v>
      </c>
      <c r="CL48" s="200">
        <f>(SUMIF(Fonctionnement[Affectation matrice],$AB$3,Fonctionnement[TVA acquittée])+SUMIF(Invest[Affectation matrice],$AB$3,Invest[TVA acquittée]))*BK48</f>
        <v>0</v>
      </c>
      <c r="CM48" s="200">
        <f>(SUMIF(Fonctionnement[Affectation matrice],$AB$3,Fonctionnement[TVA acquittée])+SUMIF(Invest[Affectation matrice],$AB$3,Invest[TVA acquittée]))*BL48</f>
        <v>0</v>
      </c>
      <c r="CN48" s="200">
        <f>(SUMIF(Fonctionnement[Affectation matrice],$AB$3,Fonctionnement[TVA acquittée])+SUMIF(Invest[Affectation matrice],$AB$3,Invest[TVA acquittée]))*BM48</f>
        <v>0</v>
      </c>
      <c r="CO48" s="200">
        <f>(SUMIF(Fonctionnement[Affectation matrice],$AB$3,Fonctionnement[TVA acquittée])+SUMIF(Invest[Affectation matrice],$AB$3,Invest[TVA acquittée]))*BN48</f>
        <v>0</v>
      </c>
      <c r="CP48" s="200">
        <f>(SUMIF(Fonctionnement[Affectation matrice],$AB$3,Fonctionnement[TVA acquittée])+SUMIF(Invest[Affectation matrice],$AB$3,Invest[TVA acquittée]))*BO48</f>
        <v>0</v>
      </c>
      <c r="CQ48" s="200">
        <f>(SUMIF(Fonctionnement[Affectation matrice],$AB$3,Fonctionnement[TVA acquittée])+SUMIF(Invest[Affectation matrice],$AB$3,Invest[TVA acquittée]))*BP48</f>
        <v>0</v>
      </c>
      <c r="CR48" s="200">
        <f>(SUMIF(Fonctionnement[Affectation matrice],$AB$3,Fonctionnement[TVA acquittée])+SUMIF(Invest[Affectation matrice],$AB$3,Invest[TVA acquittée]))*BQ48</f>
        <v>0</v>
      </c>
      <c r="CS48" s="200">
        <f>(SUMIF(Fonctionnement[Affectation matrice],$AB$3,Fonctionnement[TVA acquittée])+SUMIF(Invest[Affectation matrice],$AB$3,Invest[TVA acquittée]))*BR48</f>
        <v>0</v>
      </c>
      <c r="CT48" s="200">
        <f>(SUMIF(Fonctionnement[Affectation matrice],$AB$3,Fonctionnement[TVA acquittée])+SUMIF(Invest[Affectation matrice],$AB$3,Invest[TVA acquittée]))*BS48</f>
        <v>0</v>
      </c>
      <c r="CU48" s="200">
        <f>(SUMIF(Fonctionnement[Affectation matrice],$AB$3,Fonctionnement[TVA acquittée])+SUMIF(Invest[Affectation matrice],$AB$3,Invest[TVA acquittée]))*BT48</f>
        <v>0</v>
      </c>
      <c r="CV48" s="200">
        <f>(SUMIF(Fonctionnement[Affectation matrice],$AB$3,Fonctionnement[TVA acquittée])+SUMIF(Invest[Affectation matrice],$AB$3,Invest[TVA acquittée]))*BU48</f>
        <v>0</v>
      </c>
      <c r="CW48" s="200">
        <f>(SUMIF(Fonctionnement[Affectation matrice],$AB$3,Fonctionnement[TVA acquittée])+SUMIF(Invest[Affectation matrice],$AB$3,Invest[TVA acquittée]))*BV48</f>
        <v>0</v>
      </c>
      <c r="CX48" s="200">
        <f>(SUMIF(Fonctionnement[Affectation matrice],$AB$3,Fonctionnement[TVA acquittée])+SUMIF(Invest[Affectation matrice],$AB$3,Invest[TVA acquittée]))*BW48</f>
        <v>0</v>
      </c>
      <c r="CY48" s="200">
        <f>(SUMIF(Fonctionnement[Affectation matrice],$AB$3,Fonctionnement[TVA acquittée])+SUMIF(Invest[Affectation matrice],$AB$3,Invest[TVA acquittée]))*BX48</f>
        <v>0</v>
      </c>
      <c r="CZ48" s="200">
        <f>(SUMIF(Fonctionnement[Affectation matrice],$AB$3,Fonctionnement[TVA acquittée])+SUMIF(Invest[Affectation matrice],$AB$3,Invest[TVA acquittée]))*BY48</f>
        <v>0</v>
      </c>
      <c r="DA48" s="200">
        <f>(SUMIF(Fonctionnement[Affectation matrice],$AB$3,Fonctionnement[TVA acquittée])+SUMIF(Invest[Affectation matrice],$AB$3,Invest[TVA acquittée]))*BZ48</f>
        <v>0</v>
      </c>
      <c r="DB48" s="200">
        <f>(SUMIF(Fonctionnement[Affectation matrice],$AB$3,Fonctionnement[TVA acquittée])+SUMIF(Invest[Affectation matrice],$AB$3,Invest[TVA acquittée]))*CA48</f>
        <v>0</v>
      </c>
    </row>
    <row r="49" spans="1:107" ht="12.75" hidden="1" customHeight="1" x14ac:dyDescent="0.25">
      <c r="A49" s="42">
        <f>Matrice[[#This Row],[Ligne de la matrice]]</f>
        <v>0</v>
      </c>
      <c r="B49" s="276">
        <f>(SUMIF(Fonctionnement[Affectation matrice],$AB$3,Fonctionnement[Montant (€HT)])+SUMIF(Invest[Affectation matrice],$AB$3,Invest[Amortissement HT + intérêts]))*BC49</f>
        <v>0</v>
      </c>
      <c r="C49" s="276">
        <f>(SUMIF(Fonctionnement[Affectation matrice],$AB$3,Fonctionnement[Montant (€HT)])+SUMIF(Invest[Affectation matrice],$AB$3,Invest[Amortissement HT + intérêts]))*BD49</f>
        <v>0</v>
      </c>
      <c r="D49" s="276">
        <f>(SUMIF(Fonctionnement[Affectation matrice],$AB$3,Fonctionnement[Montant (€HT)])+SUMIF(Invest[Affectation matrice],$AB$3,Invest[Amortissement HT + intérêts]))*BE49</f>
        <v>0</v>
      </c>
      <c r="E49" s="276">
        <f>(SUMIF(Fonctionnement[Affectation matrice],$AB$3,Fonctionnement[Montant (€HT)])+SUMIF(Invest[Affectation matrice],$AB$3,Invest[Amortissement HT + intérêts]))*BF49</f>
        <v>0</v>
      </c>
      <c r="F49" s="276">
        <f>(SUMIF(Fonctionnement[Affectation matrice],$AB$3,Fonctionnement[Montant (€HT)])+SUMIF(Invest[Affectation matrice],$AB$3,Invest[Amortissement HT + intérêts]))*BG49</f>
        <v>0</v>
      </c>
      <c r="G49" s="276">
        <f>(SUMIF(Fonctionnement[Affectation matrice],$AB$3,Fonctionnement[Montant (€HT)])+SUMIF(Invest[Affectation matrice],$AB$3,Invest[Amortissement HT + intérêts]))*BH49</f>
        <v>0</v>
      </c>
      <c r="H49" s="276">
        <f>(SUMIF(Fonctionnement[Affectation matrice],$AB$3,Fonctionnement[Montant (€HT)])+SUMIF(Invest[Affectation matrice],$AB$3,Invest[Amortissement HT + intérêts]))*BI49</f>
        <v>0</v>
      </c>
      <c r="I49" s="276">
        <f>(SUMIF(Fonctionnement[Affectation matrice],$AB$3,Fonctionnement[Montant (€HT)])+SUMIF(Invest[Affectation matrice],$AB$3,Invest[Amortissement HT + intérêts]))*BJ49</f>
        <v>0</v>
      </c>
      <c r="J49" s="276">
        <f>(SUMIF(Fonctionnement[Affectation matrice],$AB$3,Fonctionnement[Montant (€HT)])+SUMIF(Invest[Affectation matrice],$AB$3,Invest[Amortissement HT + intérêts]))*BK49</f>
        <v>0</v>
      </c>
      <c r="K49" s="276">
        <f>(SUMIF(Fonctionnement[Affectation matrice],$AB$3,Fonctionnement[Montant (€HT)])+SUMIF(Invest[Affectation matrice],$AB$3,Invest[Amortissement HT + intérêts]))*BL49</f>
        <v>0</v>
      </c>
      <c r="L49" s="276">
        <f>(SUMIF(Fonctionnement[Affectation matrice],$AB$3,Fonctionnement[Montant (€HT)])+SUMIF(Invest[Affectation matrice],$AB$3,Invest[Amortissement HT + intérêts]))*BM49</f>
        <v>0</v>
      </c>
      <c r="M49" s="276">
        <f>(SUMIF(Fonctionnement[Affectation matrice],$AB$3,Fonctionnement[Montant (€HT)])+SUMIF(Invest[Affectation matrice],$AB$3,Invest[Amortissement HT + intérêts]))*BN49</f>
        <v>0</v>
      </c>
      <c r="N49" s="276">
        <f>(SUMIF(Fonctionnement[Affectation matrice],$AB$3,Fonctionnement[Montant (€HT)])+SUMIF(Invest[Affectation matrice],$AB$3,Invest[Amortissement HT + intérêts]))*BO49</f>
        <v>0</v>
      </c>
      <c r="O49" s="276">
        <f>(SUMIF(Fonctionnement[Affectation matrice],$AB$3,Fonctionnement[Montant (€HT)])+SUMIF(Invest[Affectation matrice],$AB$3,Invest[Amortissement HT + intérêts]))*BP49</f>
        <v>0</v>
      </c>
      <c r="P49" s="276">
        <f>(SUMIF(Fonctionnement[Affectation matrice],$AB$3,Fonctionnement[Montant (€HT)])+SUMIF(Invest[Affectation matrice],$AB$3,Invest[Amortissement HT + intérêts]))*BQ49</f>
        <v>0</v>
      </c>
      <c r="Q49" s="276">
        <f>(SUMIF(Fonctionnement[Affectation matrice],$AB$3,Fonctionnement[Montant (€HT)])+SUMIF(Invest[Affectation matrice],$AB$3,Invest[Amortissement HT + intérêts]))*BR49</f>
        <v>0</v>
      </c>
      <c r="R49" s="276">
        <f>(SUMIF(Fonctionnement[Affectation matrice],$AB$3,Fonctionnement[Montant (€HT)])+SUMIF(Invest[Affectation matrice],$AB$3,Invest[Amortissement HT + intérêts]))*BS49</f>
        <v>0</v>
      </c>
      <c r="S49" s="276">
        <f>(SUMIF(Fonctionnement[Affectation matrice],$AB$3,Fonctionnement[Montant (€HT)])+SUMIF(Invest[Affectation matrice],$AB$3,Invest[Amortissement HT + intérêts]))*BT49</f>
        <v>0</v>
      </c>
      <c r="T49" s="276">
        <f>(SUMIF(Fonctionnement[Affectation matrice],$AB$3,Fonctionnement[Montant (€HT)])+SUMIF(Invest[Affectation matrice],$AB$3,Invest[Amortissement HT + intérêts]))*BU49</f>
        <v>0</v>
      </c>
      <c r="U49" s="276">
        <f>(SUMIF(Fonctionnement[Affectation matrice],$AB$3,Fonctionnement[Montant (€HT)])+SUMIF(Invest[Affectation matrice],$AB$3,Invest[Amortissement HT + intérêts]))*BV49</f>
        <v>0</v>
      </c>
      <c r="V49" s="276">
        <f>(SUMIF(Fonctionnement[Affectation matrice],$AB$3,Fonctionnement[Montant (€HT)])+SUMIF(Invest[Affectation matrice],$AB$3,Invest[Amortissement HT + intérêts]))*BW49</f>
        <v>0</v>
      </c>
      <c r="W49" s="276">
        <f>(SUMIF(Fonctionnement[Affectation matrice],$AB$3,Fonctionnement[Montant (€HT)])+SUMIF(Invest[Affectation matrice],$AB$3,Invest[Amortissement HT + intérêts]))*BX49</f>
        <v>0</v>
      </c>
      <c r="X49" s="276">
        <f>(SUMIF(Fonctionnement[Affectation matrice],$AB$3,Fonctionnement[Montant (€HT)])+SUMIF(Invest[Affectation matrice],$AB$3,Invest[Amortissement HT + intérêts]))*BY49</f>
        <v>0</v>
      </c>
      <c r="Y49" s="276">
        <f>(SUMIF(Fonctionnement[Affectation matrice],$AB$3,Fonctionnement[Montant (€HT)])+SUMIF(Invest[Affectation matrice],$AB$3,Invest[Amortissement HT + intérêts]))*BZ49</f>
        <v>0</v>
      </c>
      <c r="Z49" s="276">
        <f>(SUMIF(Fonctionnement[Affectation matrice],$AB$3,Fonctionnement[Montant (€HT)])+SUMIF(Invest[Affectation matrice],$AB$3,Invest[Amortissement HT + intérêts]))*CA49</f>
        <v>0</v>
      </c>
      <c r="AA49" s="199"/>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283">
        <f t="shared" si="4"/>
        <v>0</v>
      </c>
      <c r="BC49" s="61">
        <f t="shared" si="12"/>
        <v>0</v>
      </c>
      <c r="BD49" s="61">
        <f t="shared" si="12"/>
        <v>0</v>
      </c>
      <c r="BE49" s="61">
        <f t="shared" si="12"/>
        <v>0</v>
      </c>
      <c r="BF49" s="61">
        <f t="shared" si="12"/>
        <v>0</v>
      </c>
      <c r="BG49" s="61">
        <f t="shared" si="12"/>
        <v>0</v>
      </c>
      <c r="BH49" s="61">
        <f t="shared" si="12"/>
        <v>0</v>
      </c>
      <c r="BI49" s="61">
        <f t="shared" si="12"/>
        <v>0</v>
      </c>
      <c r="BJ49" s="61">
        <f t="shared" si="12"/>
        <v>0</v>
      </c>
      <c r="BK49" s="61">
        <f t="shared" si="12"/>
        <v>0</v>
      </c>
      <c r="BL49" s="61">
        <f t="shared" si="12"/>
        <v>0</v>
      </c>
      <c r="BM49" s="61">
        <f t="shared" si="12"/>
        <v>0</v>
      </c>
      <c r="BN49" s="61">
        <f t="shared" si="12"/>
        <v>0</v>
      </c>
      <c r="BO49" s="61">
        <f t="shared" si="12"/>
        <v>0</v>
      </c>
      <c r="BP49" s="61">
        <f t="shared" si="12"/>
        <v>0</v>
      </c>
      <c r="BQ49" s="61">
        <f t="shared" si="12"/>
        <v>0</v>
      </c>
      <c r="BR49" s="61">
        <f t="shared" si="12"/>
        <v>0</v>
      </c>
      <c r="BS49" s="61">
        <f t="shared" si="13"/>
        <v>0</v>
      </c>
      <c r="BT49" s="61">
        <f t="shared" si="13"/>
        <v>0</v>
      </c>
      <c r="BU49" s="61">
        <f t="shared" si="13"/>
        <v>0</v>
      </c>
      <c r="BV49" s="61">
        <f t="shared" si="13"/>
        <v>0</v>
      </c>
      <c r="BW49" s="61">
        <f t="shared" si="13"/>
        <v>0</v>
      </c>
      <c r="BX49" s="61">
        <f t="shared" si="13"/>
        <v>0</v>
      </c>
      <c r="BY49" s="61">
        <f t="shared" si="13"/>
        <v>0</v>
      </c>
      <c r="BZ49" s="61">
        <f t="shared" si="13"/>
        <v>0</v>
      </c>
      <c r="CA49" s="61">
        <f t="shared" si="13"/>
        <v>0</v>
      </c>
      <c r="CB49" s="61">
        <f t="shared" si="5"/>
        <v>0</v>
      </c>
      <c r="CD49" s="200">
        <f>(SUMIF(Fonctionnement[Affectation matrice],$AB$3,Fonctionnement[TVA acquittée])+SUMIF(Invest[Affectation matrice],$AB$3,Invest[TVA acquittée]))*BC49</f>
        <v>0</v>
      </c>
      <c r="CE49" s="200">
        <f>(SUMIF(Fonctionnement[Affectation matrice],$AB$3,Fonctionnement[TVA acquittée])+SUMIF(Invest[Affectation matrice],$AB$3,Invest[TVA acquittée]))*BD49</f>
        <v>0</v>
      </c>
      <c r="CF49" s="200">
        <f>(SUMIF(Fonctionnement[Affectation matrice],$AB$3,Fonctionnement[TVA acquittée])+SUMIF(Invest[Affectation matrice],$AB$3,Invest[TVA acquittée]))*BE49</f>
        <v>0</v>
      </c>
      <c r="CG49" s="200">
        <f>(SUMIF(Fonctionnement[Affectation matrice],$AB$3,Fonctionnement[TVA acquittée])+SUMIF(Invest[Affectation matrice],$AB$3,Invest[TVA acquittée]))*BF49</f>
        <v>0</v>
      </c>
      <c r="CH49" s="200">
        <f>(SUMIF(Fonctionnement[Affectation matrice],$AB$3,Fonctionnement[TVA acquittée])+SUMIF(Invest[Affectation matrice],$AB$3,Invest[TVA acquittée]))*BG49</f>
        <v>0</v>
      </c>
      <c r="CI49" s="200">
        <f>(SUMIF(Fonctionnement[Affectation matrice],$AB$3,Fonctionnement[TVA acquittée])+SUMIF(Invest[Affectation matrice],$AB$3,Invest[TVA acquittée]))*BH49</f>
        <v>0</v>
      </c>
      <c r="CJ49" s="200">
        <f>(SUMIF(Fonctionnement[Affectation matrice],$AB$3,Fonctionnement[TVA acquittée])+SUMIF(Invest[Affectation matrice],$AB$3,Invest[TVA acquittée]))*BI49</f>
        <v>0</v>
      </c>
      <c r="CK49" s="200">
        <f>(SUMIF(Fonctionnement[Affectation matrice],$AB$3,Fonctionnement[TVA acquittée])+SUMIF(Invest[Affectation matrice],$AB$3,Invest[TVA acquittée]))*BJ49</f>
        <v>0</v>
      </c>
      <c r="CL49" s="200">
        <f>(SUMIF(Fonctionnement[Affectation matrice],$AB$3,Fonctionnement[TVA acquittée])+SUMIF(Invest[Affectation matrice],$AB$3,Invest[TVA acquittée]))*BK49</f>
        <v>0</v>
      </c>
      <c r="CM49" s="200">
        <f>(SUMIF(Fonctionnement[Affectation matrice],$AB$3,Fonctionnement[TVA acquittée])+SUMIF(Invest[Affectation matrice],$AB$3,Invest[TVA acquittée]))*BL49</f>
        <v>0</v>
      </c>
      <c r="CN49" s="200">
        <f>(SUMIF(Fonctionnement[Affectation matrice],$AB$3,Fonctionnement[TVA acquittée])+SUMIF(Invest[Affectation matrice],$AB$3,Invest[TVA acquittée]))*BM49</f>
        <v>0</v>
      </c>
      <c r="CO49" s="200">
        <f>(SUMIF(Fonctionnement[Affectation matrice],$AB$3,Fonctionnement[TVA acquittée])+SUMIF(Invest[Affectation matrice],$AB$3,Invest[TVA acquittée]))*BN49</f>
        <v>0</v>
      </c>
      <c r="CP49" s="200">
        <f>(SUMIF(Fonctionnement[Affectation matrice],$AB$3,Fonctionnement[TVA acquittée])+SUMIF(Invest[Affectation matrice],$AB$3,Invest[TVA acquittée]))*BO49</f>
        <v>0</v>
      </c>
      <c r="CQ49" s="200">
        <f>(SUMIF(Fonctionnement[Affectation matrice],$AB$3,Fonctionnement[TVA acquittée])+SUMIF(Invest[Affectation matrice],$AB$3,Invest[TVA acquittée]))*BP49</f>
        <v>0</v>
      </c>
      <c r="CR49" s="200">
        <f>(SUMIF(Fonctionnement[Affectation matrice],$AB$3,Fonctionnement[TVA acquittée])+SUMIF(Invest[Affectation matrice],$AB$3,Invest[TVA acquittée]))*BQ49</f>
        <v>0</v>
      </c>
      <c r="CS49" s="200">
        <f>(SUMIF(Fonctionnement[Affectation matrice],$AB$3,Fonctionnement[TVA acquittée])+SUMIF(Invest[Affectation matrice],$AB$3,Invest[TVA acquittée]))*BR49</f>
        <v>0</v>
      </c>
      <c r="CT49" s="200">
        <f>(SUMIF(Fonctionnement[Affectation matrice],$AB$3,Fonctionnement[TVA acquittée])+SUMIF(Invest[Affectation matrice],$AB$3,Invest[TVA acquittée]))*BS49</f>
        <v>0</v>
      </c>
      <c r="CU49" s="200">
        <f>(SUMIF(Fonctionnement[Affectation matrice],$AB$3,Fonctionnement[TVA acquittée])+SUMIF(Invest[Affectation matrice],$AB$3,Invest[TVA acquittée]))*BT49</f>
        <v>0</v>
      </c>
      <c r="CV49" s="200">
        <f>(SUMIF(Fonctionnement[Affectation matrice],$AB$3,Fonctionnement[TVA acquittée])+SUMIF(Invest[Affectation matrice],$AB$3,Invest[TVA acquittée]))*BU49</f>
        <v>0</v>
      </c>
      <c r="CW49" s="200">
        <f>(SUMIF(Fonctionnement[Affectation matrice],$AB$3,Fonctionnement[TVA acquittée])+SUMIF(Invest[Affectation matrice],$AB$3,Invest[TVA acquittée]))*BV49</f>
        <v>0</v>
      </c>
      <c r="CX49" s="200">
        <f>(SUMIF(Fonctionnement[Affectation matrice],$AB$3,Fonctionnement[TVA acquittée])+SUMIF(Invest[Affectation matrice],$AB$3,Invest[TVA acquittée]))*BW49</f>
        <v>0</v>
      </c>
      <c r="CY49" s="200">
        <f>(SUMIF(Fonctionnement[Affectation matrice],$AB$3,Fonctionnement[TVA acquittée])+SUMIF(Invest[Affectation matrice],$AB$3,Invest[TVA acquittée]))*BX49</f>
        <v>0</v>
      </c>
      <c r="CZ49" s="200">
        <f>(SUMIF(Fonctionnement[Affectation matrice],$AB$3,Fonctionnement[TVA acquittée])+SUMIF(Invest[Affectation matrice],$AB$3,Invest[TVA acquittée]))*BY49</f>
        <v>0</v>
      </c>
      <c r="DA49" s="200">
        <f>(SUMIF(Fonctionnement[Affectation matrice],$AB$3,Fonctionnement[TVA acquittée])+SUMIF(Invest[Affectation matrice],$AB$3,Invest[TVA acquittée]))*BZ49</f>
        <v>0</v>
      </c>
      <c r="DB49" s="200">
        <f>(SUMIF(Fonctionnement[Affectation matrice],$AB$3,Fonctionnement[TVA acquittée])+SUMIF(Invest[Affectation matrice],$AB$3,Invest[TVA acquittée]))*CA49</f>
        <v>0</v>
      </c>
    </row>
    <row r="50" spans="1:107" ht="12.75" hidden="1" customHeight="1" x14ac:dyDescent="0.25">
      <c r="A50" s="42">
        <f>Matrice[[#This Row],[Ligne de la matrice]]</f>
        <v>0</v>
      </c>
      <c r="B50" s="276">
        <f>(SUMIF(Fonctionnement[Affectation matrice],$AB$3,Fonctionnement[Montant (€HT)])+SUMIF(Invest[Affectation matrice],$AB$3,Invest[Amortissement HT + intérêts]))*BC50</f>
        <v>0</v>
      </c>
      <c r="C50" s="276">
        <f>(SUMIF(Fonctionnement[Affectation matrice],$AB$3,Fonctionnement[Montant (€HT)])+SUMIF(Invest[Affectation matrice],$AB$3,Invest[Amortissement HT + intérêts]))*BD50</f>
        <v>0</v>
      </c>
      <c r="D50" s="276">
        <f>(SUMIF(Fonctionnement[Affectation matrice],$AB$3,Fonctionnement[Montant (€HT)])+SUMIF(Invest[Affectation matrice],$AB$3,Invest[Amortissement HT + intérêts]))*BE50</f>
        <v>0</v>
      </c>
      <c r="E50" s="276">
        <f>(SUMIF(Fonctionnement[Affectation matrice],$AB$3,Fonctionnement[Montant (€HT)])+SUMIF(Invest[Affectation matrice],$AB$3,Invest[Amortissement HT + intérêts]))*BF50</f>
        <v>0</v>
      </c>
      <c r="F50" s="276">
        <f>(SUMIF(Fonctionnement[Affectation matrice],$AB$3,Fonctionnement[Montant (€HT)])+SUMIF(Invest[Affectation matrice],$AB$3,Invest[Amortissement HT + intérêts]))*BG50</f>
        <v>0</v>
      </c>
      <c r="G50" s="276">
        <f>(SUMIF(Fonctionnement[Affectation matrice],$AB$3,Fonctionnement[Montant (€HT)])+SUMIF(Invest[Affectation matrice],$AB$3,Invest[Amortissement HT + intérêts]))*BH50</f>
        <v>0</v>
      </c>
      <c r="H50" s="276">
        <f>(SUMIF(Fonctionnement[Affectation matrice],$AB$3,Fonctionnement[Montant (€HT)])+SUMIF(Invest[Affectation matrice],$AB$3,Invest[Amortissement HT + intérêts]))*BI50</f>
        <v>0</v>
      </c>
      <c r="I50" s="276">
        <f>(SUMIF(Fonctionnement[Affectation matrice],$AB$3,Fonctionnement[Montant (€HT)])+SUMIF(Invest[Affectation matrice],$AB$3,Invest[Amortissement HT + intérêts]))*BJ50</f>
        <v>0</v>
      </c>
      <c r="J50" s="276">
        <f>(SUMIF(Fonctionnement[Affectation matrice],$AB$3,Fonctionnement[Montant (€HT)])+SUMIF(Invest[Affectation matrice],$AB$3,Invest[Amortissement HT + intérêts]))*BK50</f>
        <v>0</v>
      </c>
      <c r="K50" s="276">
        <f>(SUMIF(Fonctionnement[Affectation matrice],$AB$3,Fonctionnement[Montant (€HT)])+SUMIF(Invest[Affectation matrice],$AB$3,Invest[Amortissement HT + intérêts]))*BL50</f>
        <v>0</v>
      </c>
      <c r="L50" s="276">
        <f>(SUMIF(Fonctionnement[Affectation matrice],$AB$3,Fonctionnement[Montant (€HT)])+SUMIF(Invest[Affectation matrice],$AB$3,Invest[Amortissement HT + intérêts]))*BM50</f>
        <v>0</v>
      </c>
      <c r="M50" s="276">
        <f>(SUMIF(Fonctionnement[Affectation matrice],$AB$3,Fonctionnement[Montant (€HT)])+SUMIF(Invest[Affectation matrice],$AB$3,Invest[Amortissement HT + intérêts]))*BN50</f>
        <v>0</v>
      </c>
      <c r="N50" s="276">
        <f>(SUMIF(Fonctionnement[Affectation matrice],$AB$3,Fonctionnement[Montant (€HT)])+SUMIF(Invest[Affectation matrice],$AB$3,Invest[Amortissement HT + intérêts]))*BO50</f>
        <v>0</v>
      </c>
      <c r="O50" s="276">
        <f>(SUMIF(Fonctionnement[Affectation matrice],$AB$3,Fonctionnement[Montant (€HT)])+SUMIF(Invest[Affectation matrice],$AB$3,Invest[Amortissement HT + intérêts]))*BP50</f>
        <v>0</v>
      </c>
      <c r="P50" s="276">
        <f>(SUMIF(Fonctionnement[Affectation matrice],$AB$3,Fonctionnement[Montant (€HT)])+SUMIF(Invest[Affectation matrice],$AB$3,Invest[Amortissement HT + intérêts]))*BQ50</f>
        <v>0</v>
      </c>
      <c r="Q50" s="276">
        <f>(SUMIF(Fonctionnement[Affectation matrice],$AB$3,Fonctionnement[Montant (€HT)])+SUMIF(Invest[Affectation matrice],$AB$3,Invest[Amortissement HT + intérêts]))*BR50</f>
        <v>0</v>
      </c>
      <c r="R50" s="276">
        <f>(SUMIF(Fonctionnement[Affectation matrice],$AB$3,Fonctionnement[Montant (€HT)])+SUMIF(Invest[Affectation matrice],$AB$3,Invest[Amortissement HT + intérêts]))*BS50</f>
        <v>0</v>
      </c>
      <c r="S50" s="276">
        <f>(SUMIF(Fonctionnement[Affectation matrice],$AB$3,Fonctionnement[Montant (€HT)])+SUMIF(Invest[Affectation matrice],$AB$3,Invest[Amortissement HT + intérêts]))*BT50</f>
        <v>0</v>
      </c>
      <c r="T50" s="276">
        <f>(SUMIF(Fonctionnement[Affectation matrice],$AB$3,Fonctionnement[Montant (€HT)])+SUMIF(Invest[Affectation matrice],$AB$3,Invest[Amortissement HT + intérêts]))*BU50</f>
        <v>0</v>
      </c>
      <c r="U50" s="276">
        <f>(SUMIF(Fonctionnement[Affectation matrice],$AB$3,Fonctionnement[Montant (€HT)])+SUMIF(Invest[Affectation matrice],$AB$3,Invest[Amortissement HT + intérêts]))*BV50</f>
        <v>0</v>
      </c>
      <c r="V50" s="276">
        <f>(SUMIF(Fonctionnement[Affectation matrice],$AB$3,Fonctionnement[Montant (€HT)])+SUMIF(Invest[Affectation matrice],$AB$3,Invest[Amortissement HT + intérêts]))*BW50</f>
        <v>0</v>
      </c>
      <c r="W50" s="276">
        <f>(SUMIF(Fonctionnement[Affectation matrice],$AB$3,Fonctionnement[Montant (€HT)])+SUMIF(Invest[Affectation matrice],$AB$3,Invest[Amortissement HT + intérêts]))*BX50</f>
        <v>0</v>
      </c>
      <c r="X50" s="276">
        <f>(SUMIF(Fonctionnement[Affectation matrice],$AB$3,Fonctionnement[Montant (€HT)])+SUMIF(Invest[Affectation matrice],$AB$3,Invest[Amortissement HT + intérêts]))*BY50</f>
        <v>0</v>
      </c>
      <c r="Y50" s="276">
        <f>(SUMIF(Fonctionnement[Affectation matrice],$AB$3,Fonctionnement[Montant (€HT)])+SUMIF(Invest[Affectation matrice],$AB$3,Invest[Amortissement HT + intérêts]))*BZ50</f>
        <v>0</v>
      </c>
      <c r="Z50" s="276">
        <f>(SUMIF(Fonctionnement[Affectation matrice],$AB$3,Fonctionnement[Montant (€HT)])+SUMIF(Invest[Affectation matrice],$AB$3,Invest[Amortissement HT + intérêts]))*CA50</f>
        <v>0</v>
      </c>
      <c r="AA50" s="199"/>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283">
        <f t="shared" si="4"/>
        <v>0</v>
      </c>
      <c r="BC50" s="61">
        <f t="shared" si="12"/>
        <v>0</v>
      </c>
      <c r="BD50" s="61">
        <f t="shared" si="12"/>
        <v>0</v>
      </c>
      <c r="BE50" s="61">
        <f t="shared" si="12"/>
        <v>0</v>
      </c>
      <c r="BF50" s="61">
        <f t="shared" si="12"/>
        <v>0</v>
      </c>
      <c r="BG50" s="61">
        <f t="shared" si="12"/>
        <v>0</v>
      </c>
      <c r="BH50" s="61">
        <f t="shared" si="12"/>
        <v>0</v>
      </c>
      <c r="BI50" s="61">
        <f t="shared" si="12"/>
        <v>0</v>
      </c>
      <c r="BJ50" s="61">
        <f t="shared" si="12"/>
        <v>0</v>
      </c>
      <c r="BK50" s="61">
        <f t="shared" si="12"/>
        <v>0</v>
      </c>
      <c r="BL50" s="61">
        <f t="shared" si="12"/>
        <v>0</v>
      </c>
      <c r="BM50" s="61">
        <f t="shared" si="12"/>
        <v>0</v>
      </c>
      <c r="BN50" s="61">
        <f t="shared" si="12"/>
        <v>0</v>
      </c>
      <c r="BO50" s="61">
        <f t="shared" si="12"/>
        <v>0</v>
      </c>
      <c r="BP50" s="61">
        <f t="shared" si="12"/>
        <v>0</v>
      </c>
      <c r="BQ50" s="61">
        <f t="shared" si="12"/>
        <v>0</v>
      </c>
      <c r="BR50" s="61">
        <f t="shared" si="12"/>
        <v>0</v>
      </c>
      <c r="BS50" s="61">
        <f t="shared" si="13"/>
        <v>0</v>
      </c>
      <c r="BT50" s="61">
        <f t="shared" si="13"/>
        <v>0</v>
      </c>
      <c r="BU50" s="61">
        <f t="shared" si="13"/>
        <v>0</v>
      </c>
      <c r="BV50" s="61">
        <f t="shared" si="13"/>
        <v>0</v>
      </c>
      <c r="BW50" s="61">
        <f t="shared" si="13"/>
        <v>0</v>
      </c>
      <c r="BX50" s="61">
        <f t="shared" si="13"/>
        <v>0</v>
      </c>
      <c r="BY50" s="61">
        <f t="shared" si="13"/>
        <v>0</v>
      </c>
      <c r="BZ50" s="61">
        <f t="shared" si="13"/>
        <v>0</v>
      </c>
      <c r="CA50" s="61">
        <f t="shared" si="13"/>
        <v>0</v>
      </c>
      <c r="CB50" s="61">
        <f t="shared" si="5"/>
        <v>0</v>
      </c>
      <c r="CD50" s="200">
        <f>(SUMIF(Fonctionnement[Affectation matrice],$AB$3,Fonctionnement[TVA acquittée])+SUMIF(Invest[Affectation matrice],$AB$3,Invest[TVA acquittée]))*BC50</f>
        <v>0</v>
      </c>
      <c r="CE50" s="200">
        <f>(SUMIF(Fonctionnement[Affectation matrice],$AB$3,Fonctionnement[TVA acquittée])+SUMIF(Invest[Affectation matrice],$AB$3,Invest[TVA acquittée]))*BD50</f>
        <v>0</v>
      </c>
      <c r="CF50" s="200">
        <f>(SUMIF(Fonctionnement[Affectation matrice],$AB$3,Fonctionnement[TVA acquittée])+SUMIF(Invest[Affectation matrice],$AB$3,Invest[TVA acquittée]))*BE50</f>
        <v>0</v>
      </c>
      <c r="CG50" s="200">
        <f>(SUMIF(Fonctionnement[Affectation matrice],$AB$3,Fonctionnement[TVA acquittée])+SUMIF(Invest[Affectation matrice],$AB$3,Invest[TVA acquittée]))*BF50</f>
        <v>0</v>
      </c>
      <c r="CH50" s="200">
        <f>(SUMIF(Fonctionnement[Affectation matrice],$AB$3,Fonctionnement[TVA acquittée])+SUMIF(Invest[Affectation matrice],$AB$3,Invest[TVA acquittée]))*BG50</f>
        <v>0</v>
      </c>
      <c r="CI50" s="200">
        <f>(SUMIF(Fonctionnement[Affectation matrice],$AB$3,Fonctionnement[TVA acquittée])+SUMIF(Invest[Affectation matrice],$AB$3,Invest[TVA acquittée]))*BH50</f>
        <v>0</v>
      </c>
      <c r="CJ50" s="200">
        <f>(SUMIF(Fonctionnement[Affectation matrice],$AB$3,Fonctionnement[TVA acquittée])+SUMIF(Invest[Affectation matrice],$AB$3,Invest[TVA acquittée]))*BI50</f>
        <v>0</v>
      </c>
      <c r="CK50" s="200">
        <f>(SUMIF(Fonctionnement[Affectation matrice],$AB$3,Fonctionnement[TVA acquittée])+SUMIF(Invest[Affectation matrice],$AB$3,Invest[TVA acquittée]))*BJ50</f>
        <v>0</v>
      </c>
      <c r="CL50" s="200">
        <f>(SUMIF(Fonctionnement[Affectation matrice],$AB$3,Fonctionnement[TVA acquittée])+SUMIF(Invest[Affectation matrice],$AB$3,Invest[TVA acquittée]))*BK50</f>
        <v>0</v>
      </c>
      <c r="CM50" s="200">
        <f>(SUMIF(Fonctionnement[Affectation matrice],$AB$3,Fonctionnement[TVA acquittée])+SUMIF(Invest[Affectation matrice],$AB$3,Invest[TVA acquittée]))*BL50</f>
        <v>0</v>
      </c>
      <c r="CN50" s="200">
        <f>(SUMIF(Fonctionnement[Affectation matrice],$AB$3,Fonctionnement[TVA acquittée])+SUMIF(Invest[Affectation matrice],$AB$3,Invest[TVA acquittée]))*BM50</f>
        <v>0</v>
      </c>
      <c r="CO50" s="200">
        <f>(SUMIF(Fonctionnement[Affectation matrice],$AB$3,Fonctionnement[TVA acquittée])+SUMIF(Invest[Affectation matrice],$AB$3,Invest[TVA acquittée]))*BN50</f>
        <v>0</v>
      </c>
      <c r="CP50" s="200">
        <f>(SUMIF(Fonctionnement[Affectation matrice],$AB$3,Fonctionnement[TVA acquittée])+SUMIF(Invest[Affectation matrice],$AB$3,Invest[TVA acquittée]))*BO50</f>
        <v>0</v>
      </c>
      <c r="CQ50" s="200">
        <f>(SUMIF(Fonctionnement[Affectation matrice],$AB$3,Fonctionnement[TVA acquittée])+SUMIF(Invest[Affectation matrice],$AB$3,Invest[TVA acquittée]))*BP50</f>
        <v>0</v>
      </c>
      <c r="CR50" s="200">
        <f>(SUMIF(Fonctionnement[Affectation matrice],$AB$3,Fonctionnement[TVA acquittée])+SUMIF(Invest[Affectation matrice],$AB$3,Invest[TVA acquittée]))*BQ50</f>
        <v>0</v>
      </c>
      <c r="CS50" s="200">
        <f>(SUMIF(Fonctionnement[Affectation matrice],$AB$3,Fonctionnement[TVA acquittée])+SUMIF(Invest[Affectation matrice],$AB$3,Invest[TVA acquittée]))*BR50</f>
        <v>0</v>
      </c>
      <c r="CT50" s="200">
        <f>(SUMIF(Fonctionnement[Affectation matrice],$AB$3,Fonctionnement[TVA acquittée])+SUMIF(Invest[Affectation matrice],$AB$3,Invest[TVA acquittée]))*BS50</f>
        <v>0</v>
      </c>
      <c r="CU50" s="200">
        <f>(SUMIF(Fonctionnement[Affectation matrice],$AB$3,Fonctionnement[TVA acquittée])+SUMIF(Invest[Affectation matrice],$AB$3,Invest[TVA acquittée]))*BT50</f>
        <v>0</v>
      </c>
      <c r="CV50" s="200">
        <f>(SUMIF(Fonctionnement[Affectation matrice],$AB$3,Fonctionnement[TVA acquittée])+SUMIF(Invest[Affectation matrice],$AB$3,Invest[TVA acquittée]))*BU50</f>
        <v>0</v>
      </c>
      <c r="CW50" s="200">
        <f>(SUMIF(Fonctionnement[Affectation matrice],$AB$3,Fonctionnement[TVA acquittée])+SUMIF(Invest[Affectation matrice],$AB$3,Invest[TVA acquittée]))*BV50</f>
        <v>0</v>
      </c>
      <c r="CX50" s="200">
        <f>(SUMIF(Fonctionnement[Affectation matrice],$AB$3,Fonctionnement[TVA acquittée])+SUMIF(Invest[Affectation matrice],$AB$3,Invest[TVA acquittée]))*BW50</f>
        <v>0</v>
      </c>
      <c r="CY50" s="200">
        <f>(SUMIF(Fonctionnement[Affectation matrice],$AB$3,Fonctionnement[TVA acquittée])+SUMIF(Invest[Affectation matrice],$AB$3,Invest[TVA acquittée]))*BX50</f>
        <v>0</v>
      </c>
      <c r="CZ50" s="200">
        <f>(SUMIF(Fonctionnement[Affectation matrice],$AB$3,Fonctionnement[TVA acquittée])+SUMIF(Invest[Affectation matrice],$AB$3,Invest[TVA acquittée]))*BY50</f>
        <v>0</v>
      </c>
      <c r="DA50" s="200">
        <f>(SUMIF(Fonctionnement[Affectation matrice],$AB$3,Fonctionnement[TVA acquittée])+SUMIF(Invest[Affectation matrice],$AB$3,Invest[TVA acquittée]))*BZ50</f>
        <v>0</v>
      </c>
      <c r="DB50" s="200">
        <f>(SUMIF(Fonctionnement[Affectation matrice],$AB$3,Fonctionnement[TVA acquittée])+SUMIF(Invest[Affectation matrice],$AB$3,Invest[TVA acquittée]))*CA50</f>
        <v>0</v>
      </c>
    </row>
    <row r="51" spans="1:107" ht="12.75" hidden="1" customHeight="1" x14ac:dyDescent="0.25">
      <c r="A51" s="42">
        <f>Matrice[[#This Row],[Ligne de la matrice]]</f>
        <v>0</v>
      </c>
      <c r="B51" s="276">
        <f>(SUMIF(Fonctionnement[Affectation matrice],$AB$3,Fonctionnement[Montant (€HT)])+SUMIF(Invest[Affectation matrice],$AB$3,Invest[Amortissement HT + intérêts]))*BC51</f>
        <v>0</v>
      </c>
      <c r="C51" s="276">
        <f>(SUMIF(Fonctionnement[Affectation matrice],$AB$3,Fonctionnement[Montant (€HT)])+SUMIF(Invest[Affectation matrice],$AB$3,Invest[Amortissement HT + intérêts]))*BD51</f>
        <v>0</v>
      </c>
      <c r="D51" s="276">
        <f>(SUMIF(Fonctionnement[Affectation matrice],$AB$3,Fonctionnement[Montant (€HT)])+SUMIF(Invest[Affectation matrice],$AB$3,Invest[Amortissement HT + intérêts]))*BE51</f>
        <v>0</v>
      </c>
      <c r="E51" s="276">
        <f>(SUMIF(Fonctionnement[Affectation matrice],$AB$3,Fonctionnement[Montant (€HT)])+SUMIF(Invest[Affectation matrice],$AB$3,Invest[Amortissement HT + intérêts]))*BF51</f>
        <v>0</v>
      </c>
      <c r="F51" s="276">
        <f>(SUMIF(Fonctionnement[Affectation matrice],$AB$3,Fonctionnement[Montant (€HT)])+SUMIF(Invest[Affectation matrice],$AB$3,Invest[Amortissement HT + intérêts]))*BG51</f>
        <v>0</v>
      </c>
      <c r="G51" s="276">
        <f>(SUMIF(Fonctionnement[Affectation matrice],$AB$3,Fonctionnement[Montant (€HT)])+SUMIF(Invest[Affectation matrice],$AB$3,Invest[Amortissement HT + intérêts]))*BH51</f>
        <v>0</v>
      </c>
      <c r="H51" s="276">
        <f>(SUMIF(Fonctionnement[Affectation matrice],$AB$3,Fonctionnement[Montant (€HT)])+SUMIF(Invest[Affectation matrice],$AB$3,Invest[Amortissement HT + intérêts]))*BI51</f>
        <v>0</v>
      </c>
      <c r="I51" s="276">
        <f>(SUMIF(Fonctionnement[Affectation matrice],$AB$3,Fonctionnement[Montant (€HT)])+SUMIF(Invest[Affectation matrice],$AB$3,Invest[Amortissement HT + intérêts]))*BJ51</f>
        <v>0</v>
      </c>
      <c r="J51" s="276">
        <f>(SUMIF(Fonctionnement[Affectation matrice],$AB$3,Fonctionnement[Montant (€HT)])+SUMIF(Invest[Affectation matrice],$AB$3,Invest[Amortissement HT + intérêts]))*BK51</f>
        <v>0</v>
      </c>
      <c r="K51" s="276">
        <f>(SUMIF(Fonctionnement[Affectation matrice],$AB$3,Fonctionnement[Montant (€HT)])+SUMIF(Invest[Affectation matrice],$AB$3,Invest[Amortissement HT + intérêts]))*BL51</f>
        <v>0</v>
      </c>
      <c r="L51" s="276">
        <f>(SUMIF(Fonctionnement[Affectation matrice],$AB$3,Fonctionnement[Montant (€HT)])+SUMIF(Invest[Affectation matrice],$AB$3,Invest[Amortissement HT + intérêts]))*BM51</f>
        <v>0</v>
      </c>
      <c r="M51" s="276">
        <f>(SUMIF(Fonctionnement[Affectation matrice],$AB$3,Fonctionnement[Montant (€HT)])+SUMIF(Invest[Affectation matrice],$AB$3,Invest[Amortissement HT + intérêts]))*BN51</f>
        <v>0</v>
      </c>
      <c r="N51" s="276">
        <f>(SUMIF(Fonctionnement[Affectation matrice],$AB$3,Fonctionnement[Montant (€HT)])+SUMIF(Invest[Affectation matrice],$AB$3,Invest[Amortissement HT + intérêts]))*BO51</f>
        <v>0</v>
      </c>
      <c r="O51" s="276">
        <f>(SUMIF(Fonctionnement[Affectation matrice],$AB$3,Fonctionnement[Montant (€HT)])+SUMIF(Invest[Affectation matrice],$AB$3,Invest[Amortissement HT + intérêts]))*BP51</f>
        <v>0</v>
      </c>
      <c r="P51" s="276">
        <f>(SUMIF(Fonctionnement[Affectation matrice],$AB$3,Fonctionnement[Montant (€HT)])+SUMIF(Invest[Affectation matrice],$AB$3,Invest[Amortissement HT + intérêts]))*BQ51</f>
        <v>0</v>
      </c>
      <c r="Q51" s="276">
        <f>(SUMIF(Fonctionnement[Affectation matrice],$AB$3,Fonctionnement[Montant (€HT)])+SUMIF(Invest[Affectation matrice],$AB$3,Invest[Amortissement HT + intérêts]))*BR51</f>
        <v>0</v>
      </c>
      <c r="R51" s="276">
        <f>(SUMIF(Fonctionnement[Affectation matrice],$AB$3,Fonctionnement[Montant (€HT)])+SUMIF(Invest[Affectation matrice],$AB$3,Invest[Amortissement HT + intérêts]))*BS51</f>
        <v>0</v>
      </c>
      <c r="S51" s="276">
        <f>(SUMIF(Fonctionnement[Affectation matrice],$AB$3,Fonctionnement[Montant (€HT)])+SUMIF(Invest[Affectation matrice],$AB$3,Invest[Amortissement HT + intérêts]))*BT51</f>
        <v>0</v>
      </c>
      <c r="T51" s="276">
        <f>(SUMIF(Fonctionnement[Affectation matrice],$AB$3,Fonctionnement[Montant (€HT)])+SUMIF(Invest[Affectation matrice],$AB$3,Invest[Amortissement HT + intérêts]))*BU51</f>
        <v>0</v>
      </c>
      <c r="U51" s="276">
        <f>(SUMIF(Fonctionnement[Affectation matrice],$AB$3,Fonctionnement[Montant (€HT)])+SUMIF(Invest[Affectation matrice],$AB$3,Invest[Amortissement HT + intérêts]))*BV51</f>
        <v>0</v>
      </c>
      <c r="V51" s="276">
        <f>(SUMIF(Fonctionnement[Affectation matrice],$AB$3,Fonctionnement[Montant (€HT)])+SUMIF(Invest[Affectation matrice],$AB$3,Invest[Amortissement HT + intérêts]))*BW51</f>
        <v>0</v>
      </c>
      <c r="W51" s="276">
        <f>(SUMIF(Fonctionnement[Affectation matrice],$AB$3,Fonctionnement[Montant (€HT)])+SUMIF(Invest[Affectation matrice],$AB$3,Invest[Amortissement HT + intérêts]))*BX51</f>
        <v>0</v>
      </c>
      <c r="X51" s="276">
        <f>(SUMIF(Fonctionnement[Affectation matrice],$AB$3,Fonctionnement[Montant (€HT)])+SUMIF(Invest[Affectation matrice],$AB$3,Invest[Amortissement HT + intérêts]))*BY51</f>
        <v>0</v>
      </c>
      <c r="Y51" s="276">
        <f>(SUMIF(Fonctionnement[Affectation matrice],$AB$3,Fonctionnement[Montant (€HT)])+SUMIF(Invest[Affectation matrice],$AB$3,Invest[Amortissement HT + intérêts]))*BZ51</f>
        <v>0</v>
      </c>
      <c r="Z51" s="276">
        <f>(SUMIF(Fonctionnement[Affectation matrice],$AB$3,Fonctionnement[Montant (€HT)])+SUMIF(Invest[Affectation matrice],$AB$3,Invest[Amortissement HT + intérêts]))*CA51</f>
        <v>0</v>
      </c>
      <c r="AA51" s="199"/>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283">
        <f t="shared" si="4"/>
        <v>0</v>
      </c>
      <c r="BC51" s="61">
        <f t="shared" si="12"/>
        <v>0</v>
      </c>
      <c r="BD51" s="61">
        <f t="shared" si="12"/>
        <v>0</v>
      </c>
      <c r="BE51" s="61">
        <f t="shared" si="12"/>
        <v>0</v>
      </c>
      <c r="BF51" s="61">
        <f t="shared" si="12"/>
        <v>0</v>
      </c>
      <c r="BG51" s="61">
        <f t="shared" si="12"/>
        <v>0</v>
      </c>
      <c r="BH51" s="61">
        <f t="shared" si="12"/>
        <v>0</v>
      </c>
      <c r="BI51" s="61">
        <f t="shared" si="12"/>
        <v>0</v>
      </c>
      <c r="BJ51" s="61">
        <f t="shared" si="12"/>
        <v>0</v>
      </c>
      <c r="BK51" s="61">
        <f t="shared" si="12"/>
        <v>0</v>
      </c>
      <c r="BL51" s="61">
        <f t="shared" si="12"/>
        <v>0</v>
      </c>
      <c r="BM51" s="61">
        <f t="shared" si="12"/>
        <v>0</v>
      </c>
      <c r="BN51" s="61">
        <f t="shared" si="12"/>
        <v>0</v>
      </c>
      <c r="BO51" s="61">
        <f t="shared" si="12"/>
        <v>0</v>
      </c>
      <c r="BP51" s="61">
        <f t="shared" si="12"/>
        <v>0</v>
      </c>
      <c r="BQ51" s="61">
        <f t="shared" si="12"/>
        <v>0</v>
      </c>
      <c r="BR51" s="61">
        <f t="shared" si="12"/>
        <v>0</v>
      </c>
      <c r="BS51" s="61">
        <f t="shared" si="13"/>
        <v>0</v>
      </c>
      <c r="BT51" s="61">
        <f t="shared" si="13"/>
        <v>0</v>
      </c>
      <c r="BU51" s="61">
        <f t="shared" si="13"/>
        <v>0</v>
      </c>
      <c r="BV51" s="61">
        <f t="shared" si="13"/>
        <v>0</v>
      </c>
      <c r="BW51" s="61">
        <f t="shared" si="13"/>
        <v>0</v>
      </c>
      <c r="BX51" s="61">
        <f t="shared" si="13"/>
        <v>0</v>
      </c>
      <c r="BY51" s="61">
        <f t="shared" si="13"/>
        <v>0</v>
      </c>
      <c r="BZ51" s="61">
        <f t="shared" si="13"/>
        <v>0</v>
      </c>
      <c r="CA51" s="61">
        <f t="shared" si="13"/>
        <v>0</v>
      </c>
      <c r="CB51" s="61">
        <f t="shared" si="5"/>
        <v>0</v>
      </c>
      <c r="CD51" s="200">
        <f>(SUMIF(Fonctionnement[Affectation matrice],$AB$3,Fonctionnement[TVA acquittée])+SUMIF(Invest[Affectation matrice],$AB$3,Invest[TVA acquittée]))*BC51</f>
        <v>0</v>
      </c>
      <c r="CE51" s="200">
        <f>(SUMIF(Fonctionnement[Affectation matrice],$AB$3,Fonctionnement[TVA acquittée])+SUMIF(Invest[Affectation matrice],$AB$3,Invest[TVA acquittée]))*BD51</f>
        <v>0</v>
      </c>
      <c r="CF51" s="200">
        <f>(SUMIF(Fonctionnement[Affectation matrice],$AB$3,Fonctionnement[TVA acquittée])+SUMIF(Invest[Affectation matrice],$AB$3,Invest[TVA acquittée]))*BE51</f>
        <v>0</v>
      </c>
      <c r="CG51" s="200">
        <f>(SUMIF(Fonctionnement[Affectation matrice],$AB$3,Fonctionnement[TVA acquittée])+SUMIF(Invest[Affectation matrice],$AB$3,Invest[TVA acquittée]))*BF51</f>
        <v>0</v>
      </c>
      <c r="CH51" s="200">
        <f>(SUMIF(Fonctionnement[Affectation matrice],$AB$3,Fonctionnement[TVA acquittée])+SUMIF(Invest[Affectation matrice],$AB$3,Invest[TVA acquittée]))*BG51</f>
        <v>0</v>
      </c>
      <c r="CI51" s="200">
        <f>(SUMIF(Fonctionnement[Affectation matrice],$AB$3,Fonctionnement[TVA acquittée])+SUMIF(Invest[Affectation matrice],$AB$3,Invest[TVA acquittée]))*BH51</f>
        <v>0</v>
      </c>
      <c r="CJ51" s="200">
        <f>(SUMIF(Fonctionnement[Affectation matrice],$AB$3,Fonctionnement[TVA acquittée])+SUMIF(Invest[Affectation matrice],$AB$3,Invest[TVA acquittée]))*BI51</f>
        <v>0</v>
      </c>
      <c r="CK51" s="200">
        <f>(SUMIF(Fonctionnement[Affectation matrice],$AB$3,Fonctionnement[TVA acquittée])+SUMIF(Invest[Affectation matrice],$AB$3,Invest[TVA acquittée]))*BJ51</f>
        <v>0</v>
      </c>
      <c r="CL51" s="200">
        <f>(SUMIF(Fonctionnement[Affectation matrice],$AB$3,Fonctionnement[TVA acquittée])+SUMIF(Invest[Affectation matrice],$AB$3,Invest[TVA acquittée]))*BK51</f>
        <v>0</v>
      </c>
      <c r="CM51" s="200">
        <f>(SUMIF(Fonctionnement[Affectation matrice],$AB$3,Fonctionnement[TVA acquittée])+SUMIF(Invest[Affectation matrice],$AB$3,Invest[TVA acquittée]))*BL51</f>
        <v>0</v>
      </c>
      <c r="CN51" s="200">
        <f>(SUMIF(Fonctionnement[Affectation matrice],$AB$3,Fonctionnement[TVA acquittée])+SUMIF(Invest[Affectation matrice],$AB$3,Invest[TVA acquittée]))*BM51</f>
        <v>0</v>
      </c>
      <c r="CO51" s="200">
        <f>(SUMIF(Fonctionnement[Affectation matrice],$AB$3,Fonctionnement[TVA acquittée])+SUMIF(Invest[Affectation matrice],$AB$3,Invest[TVA acquittée]))*BN51</f>
        <v>0</v>
      </c>
      <c r="CP51" s="200">
        <f>(SUMIF(Fonctionnement[Affectation matrice],$AB$3,Fonctionnement[TVA acquittée])+SUMIF(Invest[Affectation matrice],$AB$3,Invest[TVA acquittée]))*BO51</f>
        <v>0</v>
      </c>
      <c r="CQ51" s="200">
        <f>(SUMIF(Fonctionnement[Affectation matrice],$AB$3,Fonctionnement[TVA acquittée])+SUMIF(Invest[Affectation matrice],$AB$3,Invest[TVA acquittée]))*BP51</f>
        <v>0</v>
      </c>
      <c r="CR51" s="200">
        <f>(SUMIF(Fonctionnement[Affectation matrice],$AB$3,Fonctionnement[TVA acquittée])+SUMIF(Invest[Affectation matrice],$AB$3,Invest[TVA acquittée]))*BQ51</f>
        <v>0</v>
      </c>
      <c r="CS51" s="200">
        <f>(SUMIF(Fonctionnement[Affectation matrice],$AB$3,Fonctionnement[TVA acquittée])+SUMIF(Invest[Affectation matrice],$AB$3,Invest[TVA acquittée]))*BR51</f>
        <v>0</v>
      </c>
      <c r="CT51" s="200">
        <f>(SUMIF(Fonctionnement[Affectation matrice],$AB$3,Fonctionnement[TVA acquittée])+SUMIF(Invest[Affectation matrice],$AB$3,Invest[TVA acquittée]))*BS51</f>
        <v>0</v>
      </c>
      <c r="CU51" s="200">
        <f>(SUMIF(Fonctionnement[Affectation matrice],$AB$3,Fonctionnement[TVA acquittée])+SUMIF(Invest[Affectation matrice],$AB$3,Invest[TVA acquittée]))*BT51</f>
        <v>0</v>
      </c>
      <c r="CV51" s="200">
        <f>(SUMIF(Fonctionnement[Affectation matrice],$AB$3,Fonctionnement[TVA acquittée])+SUMIF(Invest[Affectation matrice],$AB$3,Invest[TVA acquittée]))*BU51</f>
        <v>0</v>
      </c>
      <c r="CW51" s="200">
        <f>(SUMIF(Fonctionnement[Affectation matrice],$AB$3,Fonctionnement[TVA acquittée])+SUMIF(Invest[Affectation matrice],$AB$3,Invest[TVA acquittée]))*BV51</f>
        <v>0</v>
      </c>
      <c r="CX51" s="200">
        <f>(SUMIF(Fonctionnement[Affectation matrice],$AB$3,Fonctionnement[TVA acquittée])+SUMIF(Invest[Affectation matrice],$AB$3,Invest[TVA acquittée]))*BW51</f>
        <v>0</v>
      </c>
      <c r="CY51" s="200">
        <f>(SUMIF(Fonctionnement[Affectation matrice],$AB$3,Fonctionnement[TVA acquittée])+SUMIF(Invest[Affectation matrice],$AB$3,Invest[TVA acquittée]))*BX51</f>
        <v>0</v>
      </c>
      <c r="CZ51" s="200">
        <f>(SUMIF(Fonctionnement[Affectation matrice],$AB$3,Fonctionnement[TVA acquittée])+SUMIF(Invest[Affectation matrice],$AB$3,Invest[TVA acquittée]))*BY51</f>
        <v>0</v>
      </c>
      <c r="DA51" s="200">
        <f>(SUMIF(Fonctionnement[Affectation matrice],$AB$3,Fonctionnement[TVA acquittée])+SUMIF(Invest[Affectation matrice],$AB$3,Invest[TVA acquittée]))*BZ51</f>
        <v>0</v>
      </c>
      <c r="DB51" s="200">
        <f>(SUMIF(Fonctionnement[Affectation matrice],$AB$3,Fonctionnement[TVA acquittée])+SUMIF(Invest[Affectation matrice],$AB$3,Invest[TVA acquittée]))*CA51</f>
        <v>0</v>
      </c>
    </row>
    <row r="52" spans="1:107" hidden="1" x14ac:dyDescent="0.25">
      <c r="A52" s="42">
        <f>Matrice[[#This Row],[Ligne de la matrice]]</f>
        <v>0</v>
      </c>
      <c r="B52" s="276">
        <f>(SUMIF(Fonctionnement[Affectation matrice],$AB$3,Fonctionnement[Montant (€HT)])+SUMIF(Invest[Affectation matrice],$AB$3,Invest[Amortissement HT + intérêts]))*BC52</f>
        <v>0</v>
      </c>
      <c r="C52" s="276">
        <f>(SUMIF(Fonctionnement[Affectation matrice],$AB$3,Fonctionnement[Montant (€HT)])+SUMIF(Invest[Affectation matrice],$AB$3,Invest[Amortissement HT + intérêts]))*BD52</f>
        <v>0</v>
      </c>
      <c r="D52" s="276">
        <f>(SUMIF(Fonctionnement[Affectation matrice],$AB$3,Fonctionnement[Montant (€HT)])+SUMIF(Invest[Affectation matrice],$AB$3,Invest[Amortissement HT + intérêts]))*BE52</f>
        <v>0</v>
      </c>
      <c r="E52" s="276">
        <f>(SUMIF(Fonctionnement[Affectation matrice],$AB$3,Fonctionnement[Montant (€HT)])+SUMIF(Invest[Affectation matrice],$AB$3,Invest[Amortissement HT + intérêts]))*BF52</f>
        <v>0</v>
      </c>
      <c r="F52" s="276">
        <f>(SUMIF(Fonctionnement[Affectation matrice],$AB$3,Fonctionnement[Montant (€HT)])+SUMIF(Invest[Affectation matrice],$AB$3,Invest[Amortissement HT + intérêts]))*BG52</f>
        <v>0</v>
      </c>
      <c r="G52" s="276">
        <f>(SUMIF(Fonctionnement[Affectation matrice],$AB$3,Fonctionnement[Montant (€HT)])+SUMIF(Invest[Affectation matrice],$AB$3,Invest[Amortissement HT + intérêts]))*BH52</f>
        <v>0</v>
      </c>
      <c r="H52" s="276">
        <f>(SUMIF(Fonctionnement[Affectation matrice],$AB$3,Fonctionnement[Montant (€HT)])+SUMIF(Invest[Affectation matrice],$AB$3,Invest[Amortissement HT + intérêts]))*BI52</f>
        <v>0</v>
      </c>
      <c r="I52" s="276">
        <f>(SUMIF(Fonctionnement[Affectation matrice],$AB$3,Fonctionnement[Montant (€HT)])+SUMIF(Invest[Affectation matrice],$AB$3,Invest[Amortissement HT + intérêts]))*BJ52</f>
        <v>0</v>
      </c>
      <c r="J52" s="276">
        <f>(SUMIF(Fonctionnement[Affectation matrice],$AB$3,Fonctionnement[Montant (€HT)])+SUMIF(Invest[Affectation matrice],$AB$3,Invest[Amortissement HT + intérêts]))*BK52</f>
        <v>0</v>
      </c>
      <c r="K52" s="276">
        <f>(SUMIF(Fonctionnement[Affectation matrice],$AB$3,Fonctionnement[Montant (€HT)])+SUMIF(Invest[Affectation matrice],$AB$3,Invest[Amortissement HT + intérêts]))*BL52</f>
        <v>0</v>
      </c>
      <c r="L52" s="276">
        <f>(SUMIF(Fonctionnement[Affectation matrice],$AB$3,Fonctionnement[Montant (€HT)])+SUMIF(Invest[Affectation matrice],$AB$3,Invest[Amortissement HT + intérêts]))*BM52</f>
        <v>0</v>
      </c>
      <c r="M52" s="276">
        <f>(SUMIF(Fonctionnement[Affectation matrice],$AB$3,Fonctionnement[Montant (€HT)])+SUMIF(Invest[Affectation matrice],$AB$3,Invest[Amortissement HT + intérêts]))*BN52</f>
        <v>0</v>
      </c>
      <c r="N52" s="276">
        <f>(SUMIF(Fonctionnement[Affectation matrice],$AB$3,Fonctionnement[Montant (€HT)])+SUMIF(Invest[Affectation matrice],$AB$3,Invest[Amortissement HT + intérêts]))*BO52</f>
        <v>0</v>
      </c>
      <c r="O52" s="276">
        <f>(SUMIF(Fonctionnement[Affectation matrice],$AB$3,Fonctionnement[Montant (€HT)])+SUMIF(Invest[Affectation matrice],$AB$3,Invest[Amortissement HT + intérêts]))*BP52</f>
        <v>0</v>
      </c>
      <c r="P52" s="276">
        <f>(SUMIF(Fonctionnement[Affectation matrice],$AB$3,Fonctionnement[Montant (€HT)])+SUMIF(Invest[Affectation matrice],$AB$3,Invest[Amortissement HT + intérêts]))*BQ52</f>
        <v>0</v>
      </c>
      <c r="Q52" s="276">
        <f>(SUMIF(Fonctionnement[Affectation matrice],$AB$3,Fonctionnement[Montant (€HT)])+SUMIF(Invest[Affectation matrice],$AB$3,Invest[Amortissement HT + intérêts]))*BR52</f>
        <v>0</v>
      </c>
      <c r="R52" s="276">
        <f>(SUMIF(Fonctionnement[Affectation matrice],$AB$3,Fonctionnement[Montant (€HT)])+SUMIF(Invest[Affectation matrice],$AB$3,Invest[Amortissement HT + intérêts]))*BS52</f>
        <v>0</v>
      </c>
      <c r="S52" s="276">
        <f>(SUMIF(Fonctionnement[Affectation matrice],$AB$3,Fonctionnement[Montant (€HT)])+SUMIF(Invest[Affectation matrice],$AB$3,Invest[Amortissement HT + intérêts]))*BT52</f>
        <v>0</v>
      </c>
      <c r="T52" s="276">
        <f>(SUMIF(Fonctionnement[Affectation matrice],$AB$3,Fonctionnement[Montant (€HT)])+SUMIF(Invest[Affectation matrice],$AB$3,Invest[Amortissement HT + intérêts]))*BU52</f>
        <v>0</v>
      </c>
      <c r="U52" s="276">
        <f>(SUMIF(Fonctionnement[Affectation matrice],$AB$3,Fonctionnement[Montant (€HT)])+SUMIF(Invest[Affectation matrice],$AB$3,Invest[Amortissement HT + intérêts]))*BV52</f>
        <v>0</v>
      </c>
      <c r="V52" s="276">
        <f>(SUMIF(Fonctionnement[Affectation matrice],$AB$3,Fonctionnement[Montant (€HT)])+SUMIF(Invest[Affectation matrice],$AB$3,Invest[Amortissement HT + intérêts]))*BW52</f>
        <v>0</v>
      </c>
      <c r="W52" s="276">
        <f>(SUMIF(Fonctionnement[Affectation matrice],$AB$3,Fonctionnement[Montant (€HT)])+SUMIF(Invest[Affectation matrice],$AB$3,Invest[Amortissement HT + intérêts]))*BX52</f>
        <v>0</v>
      </c>
      <c r="X52" s="276">
        <f>(SUMIF(Fonctionnement[Affectation matrice],$AB$3,Fonctionnement[Montant (€HT)])+SUMIF(Invest[Affectation matrice],$AB$3,Invest[Amortissement HT + intérêts]))*BY52</f>
        <v>0</v>
      </c>
      <c r="Y52" s="276">
        <f>(SUMIF(Fonctionnement[Affectation matrice],$AB$3,Fonctionnement[Montant (€HT)])+SUMIF(Invest[Affectation matrice],$AB$3,Invest[Amortissement HT + intérêts]))*BZ52</f>
        <v>0</v>
      </c>
      <c r="Z52" s="276">
        <f>(SUMIF(Fonctionnement[Affectation matrice],$AB$3,Fonctionnement[Montant (€HT)])+SUMIF(Invest[Affectation matrice],$AB$3,Invest[Amortissement HT + intérêts]))*CA52</f>
        <v>0</v>
      </c>
      <c r="AA52" s="199"/>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283">
        <f t="shared" si="4"/>
        <v>0</v>
      </c>
      <c r="BC52" s="61">
        <f t="shared" si="12"/>
        <v>0</v>
      </c>
      <c r="BD52" s="61">
        <f t="shared" si="12"/>
        <v>0</v>
      </c>
      <c r="BE52" s="61">
        <f t="shared" si="12"/>
        <v>0</v>
      </c>
      <c r="BF52" s="61">
        <f t="shared" si="12"/>
        <v>0</v>
      </c>
      <c r="BG52" s="61">
        <f t="shared" si="12"/>
        <v>0</v>
      </c>
      <c r="BH52" s="61">
        <f t="shared" si="12"/>
        <v>0</v>
      </c>
      <c r="BI52" s="61">
        <f t="shared" si="12"/>
        <v>0</v>
      </c>
      <c r="BJ52" s="61">
        <f t="shared" si="12"/>
        <v>0</v>
      </c>
      <c r="BK52" s="61">
        <f t="shared" si="12"/>
        <v>0</v>
      </c>
      <c r="BL52" s="61">
        <f t="shared" si="12"/>
        <v>0</v>
      </c>
      <c r="BM52" s="61">
        <f t="shared" si="12"/>
        <v>0</v>
      </c>
      <c r="BN52" s="61">
        <f t="shared" si="12"/>
        <v>0</v>
      </c>
      <c r="BO52" s="61">
        <f t="shared" si="12"/>
        <v>0</v>
      </c>
      <c r="BP52" s="61">
        <f t="shared" si="12"/>
        <v>0</v>
      </c>
      <c r="BQ52" s="61">
        <f t="shared" si="12"/>
        <v>0</v>
      </c>
      <c r="BR52" s="61">
        <f t="shared" si="12"/>
        <v>0</v>
      </c>
      <c r="BS52" s="61">
        <f t="shared" si="13"/>
        <v>0</v>
      </c>
      <c r="BT52" s="61">
        <f t="shared" si="13"/>
        <v>0</v>
      </c>
      <c r="BU52" s="61">
        <f t="shared" si="13"/>
        <v>0</v>
      </c>
      <c r="BV52" s="61">
        <f t="shared" si="13"/>
        <v>0</v>
      </c>
      <c r="BW52" s="61">
        <f t="shared" si="13"/>
        <v>0</v>
      </c>
      <c r="BX52" s="61">
        <f t="shared" si="13"/>
        <v>0</v>
      </c>
      <c r="BY52" s="61">
        <f t="shared" si="13"/>
        <v>0</v>
      </c>
      <c r="BZ52" s="61">
        <f t="shared" si="13"/>
        <v>0</v>
      </c>
      <c r="CA52" s="61">
        <f t="shared" si="13"/>
        <v>0</v>
      </c>
      <c r="CB52" s="61">
        <f t="shared" si="5"/>
        <v>0</v>
      </c>
      <c r="CD52" s="200">
        <f>(SUMIF(Fonctionnement[Affectation matrice],$AB$3,Fonctionnement[TVA acquittée])+SUMIF(Invest[Affectation matrice],$AB$3,Invest[TVA acquittée]))*BC52</f>
        <v>0</v>
      </c>
      <c r="CE52" s="200">
        <f>(SUMIF(Fonctionnement[Affectation matrice],$AB$3,Fonctionnement[TVA acquittée])+SUMIF(Invest[Affectation matrice],$AB$3,Invest[TVA acquittée]))*BD52</f>
        <v>0</v>
      </c>
      <c r="CF52" s="200">
        <f>(SUMIF(Fonctionnement[Affectation matrice],$AB$3,Fonctionnement[TVA acquittée])+SUMIF(Invest[Affectation matrice],$AB$3,Invest[TVA acquittée]))*BE52</f>
        <v>0</v>
      </c>
      <c r="CG52" s="200">
        <f>(SUMIF(Fonctionnement[Affectation matrice],$AB$3,Fonctionnement[TVA acquittée])+SUMIF(Invest[Affectation matrice],$AB$3,Invest[TVA acquittée]))*BF52</f>
        <v>0</v>
      </c>
      <c r="CH52" s="200">
        <f>(SUMIF(Fonctionnement[Affectation matrice],$AB$3,Fonctionnement[TVA acquittée])+SUMIF(Invest[Affectation matrice],$AB$3,Invest[TVA acquittée]))*BG52</f>
        <v>0</v>
      </c>
      <c r="CI52" s="200">
        <f>(SUMIF(Fonctionnement[Affectation matrice],$AB$3,Fonctionnement[TVA acquittée])+SUMIF(Invest[Affectation matrice],$AB$3,Invest[TVA acquittée]))*BH52</f>
        <v>0</v>
      </c>
      <c r="CJ52" s="200">
        <f>(SUMIF(Fonctionnement[Affectation matrice],$AB$3,Fonctionnement[TVA acquittée])+SUMIF(Invest[Affectation matrice],$AB$3,Invest[TVA acquittée]))*BI52</f>
        <v>0</v>
      </c>
      <c r="CK52" s="200">
        <f>(SUMIF(Fonctionnement[Affectation matrice],$AB$3,Fonctionnement[TVA acquittée])+SUMIF(Invest[Affectation matrice],$AB$3,Invest[TVA acquittée]))*BJ52</f>
        <v>0</v>
      </c>
      <c r="CL52" s="200">
        <f>(SUMIF(Fonctionnement[Affectation matrice],$AB$3,Fonctionnement[TVA acquittée])+SUMIF(Invest[Affectation matrice],$AB$3,Invest[TVA acquittée]))*BK52</f>
        <v>0</v>
      </c>
      <c r="CM52" s="200">
        <f>(SUMIF(Fonctionnement[Affectation matrice],$AB$3,Fonctionnement[TVA acquittée])+SUMIF(Invest[Affectation matrice],$AB$3,Invest[TVA acquittée]))*BL52</f>
        <v>0</v>
      </c>
      <c r="CN52" s="200">
        <f>(SUMIF(Fonctionnement[Affectation matrice],$AB$3,Fonctionnement[TVA acquittée])+SUMIF(Invest[Affectation matrice],$AB$3,Invest[TVA acquittée]))*BM52</f>
        <v>0</v>
      </c>
      <c r="CO52" s="200">
        <f>(SUMIF(Fonctionnement[Affectation matrice],$AB$3,Fonctionnement[TVA acquittée])+SUMIF(Invest[Affectation matrice],$AB$3,Invest[TVA acquittée]))*BN52</f>
        <v>0</v>
      </c>
      <c r="CP52" s="200">
        <f>(SUMIF(Fonctionnement[Affectation matrice],$AB$3,Fonctionnement[TVA acquittée])+SUMIF(Invest[Affectation matrice],$AB$3,Invest[TVA acquittée]))*BO52</f>
        <v>0</v>
      </c>
      <c r="CQ52" s="200">
        <f>(SUMIF(Fonctionnement[Affectation matrice],$AB$3,Fonctionnement[TVA acquittée])+SUMIF(Invest[Affectation matrice],$AB$3,Invest[TVA acquittée]))*BP52</f>
        <v>0</v>
      </c>
      <c r="CR52" s="200">
        <f>(SUMIF(Fonctionnement[Affectation matrice],$AB$3,Fonctionnement[TVA acquittée])+SUMIF(Invest[Affectation matrice],$AB$3,Invest[TVA acquittée]))*BQ52</f>
        <v>0</v>
      </c>
      <c r="CS52" s="200">
        <f>(SUMIF(Fonctionnement[Affectation matrice],$AB$3,Fonctionnement[TVA acquittée])+SUMIF(Invest[Affectation matrice],$AB$3,Invest[TVA acquittée]))*BR52</f>
        <v>0</v>
      </c>
      <c r="CT52" s="200">
        <f>(SUMIF(Fonctionnement[Affectation matrice],$AB$3,Fonctionnement[TVA acquittée])+SUMIF(Invest[Affectation matrice],$AB$3,Invest[TVA acquittée]))*BS52</f>
        <v>0</v>
      </c>
      <c r="CU52" s="200">
        <f>(SUMIF(Fonctionnement[Affectation matrice],$AB$3,Fonctionnement[TVA acquittée])+SUMIF(Invest[Affectation matrice],$AB$3,Invest[TVA acquittée]))*BT52</f>
        <v>0</v>
      </c>
      <c r="CV52" s="200">
        <f>(SUMIF(Fonctionnement[Affectation matrice],$AB$3,Fonctionnement[TVA acquittée])+SUMIF(Invest[Affectation matrice],$AB$3,Invest[TVA acquittée]))*BU52</f>
        <v>0</v>
      </c>
      <c r="CW52" s="200">
        <f>(SUMIF(Fonctionnement[Affectation matrice],$AB$3,Fonctionnement[TVA acquittée])+SUMIF(Invest[Affectation matrice],$AB$3,Invest[TVA acquittée]))*BV52</f>
        <v>0</v>
      </c>
      <c r="CX52" s="200">
        <f>(SUMIF(Fonctionnement[Affectation matrice],$AB$3,Fonctionnement[TVA acquittée])+SUMIF(Invest[Affectation matrice],$AB$3,Invest[TVA acquittée]))*BW52</f>
        <v>0</v>
      </c>
      <c r="CY52" s="200">
        <f>(SUMIF(Fonctionnement[Affectation matrice],$AB$3,Fonctionnement[TVA acquittée])+SUMIF(Invest[Affectation matrice],$AB$3,Invest[TVA acquittée]))*BX52</f>
        <v>0</v>
      </c>
      <c r="CZ52" s="200">
        <f>(SUMIF(Fonctionnement[Affectation matrice],$AB$3,Fonctionnement[TVA acquittée])+SUMIF(Invest[Affectation matrice],$AB$3,Invest[TVA acquittée]))*BY52</f>
        <v>0</v>
      </c>
      <c r="DA52" s="200">
        <f>(SUMIF(Fonctionnement[Affectation matrice],$AB$3,Fonctionnement[TVA acquittée])+SUMIF(Invest[Affectation matrice],$AB$3,Invest[TVA acquittée]))*BZ52</f>
        <v>0</v>
      </c>
      <c r="DB52" s="200">
        <f>(SUMIF(Fonctionnement[Affectation matrice],$AB$3,Fonctionnement[TVA acquittée])+SUMIF(Invest[Affectation matrice],$AB$3,Invest[TVA acquittée]))*CA52</f>
        <v>0</v>
      </c>
    </row>
    <row r="53" spans="1:107" x14ac:dyDescent="0.25">
      <c r="A53" s="206" t="s">
        <v>1101</v>
      </c>
      <c r="B53" s="279">
        <f>SUM(B5:B52)</f>
        <v>0</v>
      </c>
      <c r="C53" s="279">
        <f t="shared" ref="C53:Z53" si="14">SUM(C5:C52)</f>
        <v>0</v>
      </c>
      <c r="D53" s="279">
        <f t="shared" si="14"/>
        <v>0</v>
      </c>
      <c r="E53" s="279">
        <f t="shared" si="14"/>
        <v>0</v>
      </c>
      <c r="F53" s="279">
        <f t="shared" si="14"/>
        <v>0</v>
      </c>
      <c r="G53" s="279">
        <f t="shared" si="14"/>
        <v>0</v>
      </c>
      <c r="H53" s="279">
        <f t="shared" si="14"/>
        <v>0</v>
      </c>
      <c r="I53" s="279">
        <f t="shared" si="14"/>
        <v>0</v>
      </c>
      <c r="J53" s="279">
        <f t="shared" si="14"/>
        <v>0</v>
      </c>
      <c r="K53" s="279">
        <f t="shared" si="14"/>
        <v>0</v>
      </c>
      <c r="L53" s="279">
        <f t="shared" si="14"/>
        <v>0</v>
      </c>
      <c r="M53" s="279">
        <f t="shared" si="14"/>
        <v>0</v>
      </c>
      <c r="N53" s="279">
        <f t="shared" si="14"/>
        <v>0</v>
      </c>
      <c r="O53" s="279">
        <f t="shared" si="14"/>
        <v>0</v>
      </c>
      <c r="P53" s="279">
        <f t="shared" si="14"/>
        <v>0</v>
      </c>
      <c r="Q53" s="279">
        <f t="shared" si="14"/>
        <v>0</v>
      </c>
      <c r="R53" s="279">
        <f t="shared" si="14"/>
        <v>0</v>
      </c>
      <c r="S53" s="279">
        <f t="shared" si="14"/>
        <v>0</v>
      </c>
      <c r="T53" s="279">
        <f t="shared" si="14"/>
        <v>0</v>
      </c>
      <c r="U53" s="279">
        <f t="shared" si="14"/>
        <v>0</v>
      </c>
      <c r="V53" s="279">
        <f t="shared" si="14"/>
        <v>0</v>
      </c>
      <c r="W53" s="279">
        <f t="shared" si="14"/>
        <v>0</v>
      </c>
      <c r="X53" s="279">
        <f t="shared" si="14"/>
        <v>0</v>
      </c>
      <c r="Y53" s="279">
        <f t="shared" si="14"/>
        <v>0</v>
      </c>
      <c r="Z53" s="279">
        <f t="shared" si="14"/>
        <v>0</v>
      </c>
      <c r="AA53" s="199"/>
      <c r="AB53" s="61">
        <f>SUM(AB5:AB52)</f>
        <v>0</v>
      </c>
      <c r="AC53" s="61">
        <f t="shared" ref="AC53:BA53" si="15">SUM(AC5:AC52)</f>
        <v>0</v>
      </c>
      <c r="AD53" s="61">
        <f t="shared" si="15"/>
        <v>0</v>
      </c>
      <c r="AE53" s="61">
        <f t="shared" si="15"/>
        <v>0</v>
      </c>
      <c r="AF53" s="61">
        <f t="shared" si="15"/>
        <v>0</v>
      </c>
      <c r="AG53" s="61">
        <f t="shared" si="15"/>
        <v>0</v>
      </c>
      <c r="AH53" s="61">
        <f t="shared" si="15"/>
        <v>0</v>
      </c>
      <c r="AI53" s="61">
        <f t="shared" si="15"/>
        <v>0</v>
      </c>
      <c r="AJ53" s="61">
        <f t="shared" si="15"/>
        <v>0</v>
      </c>
      <c r="AK53" s="61">
        <f t="shared" si="15"/>
        <v>0</v>
      </c>
      <c r="AL53" s="61">
        <f t="shared" si="15"/>
        <v>0</v>
      </c>
      <c r="AM53" s="61">
        <f t="shared" si="15"/>
        <v>0</v>
      </c>
      <c r="AN53" s="61">
        <f t="shared" si="15"/>
        <v>0</v>
      </c>
      <c r="AO53" s="61">
        <f t="shared" si="15"/>
        <v>0</v>
      </c>
      <c r="AP53" s="61">
        <f t="shared" si="15"/>
        <v>0</v>
      </c>
      <c r="AQ53" s="61">
        <f t="shared" si="15"/>
        <v>0</v>
      </c>
      <c r="AR53" s="61">
        <f t="shared" si="15"/>
        <v>0</v>
      </c>
      <c r="AS53" s="61">
        <f t="shared" si="15"/>
        <v>0</v>
      </c>
      <c r="AT53" s="61">
        <f t="shared" si="15"/>
        <v>0</v>
      </c>
      <c r="AU53" s="61">
        <f t="shared" si="15"/>
        <v>0</v>
      </c>
      <c r="AV53" s="61">
        <f t="shared" si="15"/>
        <v>0</v>
      </c>
      <c r="AW53" s="61">
        <f t="shared" si="15"/>
        <v>0</v>
      </c>
      <c r="AX53" s="61">
        <f t="shared" si="15"/>
        <v>0</v>
      </c>
      <c r="AY53" s="61">
        <f t="shared" si="15"/>
        <v>0</v>
      </c>
      <c r="AZ53" s="61">
        <f t="shared" si="15"/>
        <v>0</v>
      </c>
      <c r="BA53" s="61">
        <f t="shared" si="15"/>
        <v>0</v>
      </c>
      <c r="BC53" s="61">
        <f t="shared" ref="BC53:CB53" si="16">SUM(BC5:BC52)</f>
        <v>0</v>
      </c>
      <c r="BD53" s="61">
        <f t="shared" si="16"/>
        <v>0</v>
      </c>
      <c r="BE53" s="61">
        <f t="shared" si="16"/>
        <v>0</v>
      </c>
      <c r="BF53" s="61">
        <f t="shared" si="16"/>
        <v>0</v>
      </c>
      <c r="BG53" s="61">
        <f t="shared" si="16"/>
        <v>0</v>
      </c>
      <c r="BH53" s="61">
        <f t="shared" si="16"/>
        <v>0</v>
      </c>
      <c r="BI53" s="61">
        <f t="shared" si="16"/>
        <v>0</v>
      </c>
      <c r="BJ53" s="61">
        <f t="shared" si="16"/>
        <v>0</v>
      </c>
      <c r="BK53" s="61">
        <f t="shared" si="16"/>
        <v>0</v>
      </c>
      <c r="BL53" s="61">
        <f t="shared" si="16"/>
        <v>0</v>
      </c>
      <c r="BM53" s="61">
        <f t="shared" si="16"/>
        <v>0</v>
      </c>
      <c r="BN53" s="61">
        <f t="shared" si="16"/>
        <v>0</v>
      </c>
      <c r="BO53" s="61">
        <f t="shared" si="16"/>
        <v>0</v>
      </c>
      <c r="BP53" s="61">
        <f t="shared" si="16"/>
        <v>0</v>
      </c>
      <c r="BQ53" s="61">
        <f t="shared" si="16"/>
        <v>0</v>
      </c>
      <c r="BR53" s="61">
        <f t="shared" si="16"/>
        <v>0</v>
      </c>
      <c r="BS53" s="61">
        <f t="shared" si="16"/>
        <v>0</v>
      </c>
      <c r="BT53" s="61">
        <f t="shared" si="16"/>
        <v>0</v>
      </c>
      <c r="BU53" s="61">
        <f t="shared" si="16"/>
        <v>0</v>
      </c>
      <c r="BV53" s="61">
        <f t="shared" si="16"/>
        <v>0</v>
      </c>
      <c r="BW53" s="61">
        <f t="shared" si="16"/>
        <v>0</v>
      </c>
      <c r="BX53" s="61">
        <f t="shared" si="16"/>
        <v>0</v>
      </c>
      <c r="BY53" s="61">
        <f t="shared" si="16"/>
        <v>0</v>
      </c>
      <c r="BZ53" s="61">
        <f t="shared" si="16"/>
        <v>0</v>
      </c>
      <c r="CA53" s="61">
        <f t="shared" si="16"/>
        <v>0</v>
      </c>
      <c r="CB53" s="207">
        <f t="shared" si="16"/>
        <v>0</v>
      </c>
      <c r="CD53" s="208">
        <f>(SUMIF(Fonctionnement[Affectation matrice],$AB$3,Fonctionnement[TVA acquittée])+SUMIF(Invest[Affectation matrice],$AB$3,Invest[TVA acquittée]))*BC53</f>
        <v>0</v>
      </c>
      <c r="CE53" s="208">
        <f>(SUMIF(Fonctionnement[Affectation matrice],$AB$3,Fonctionnement[TVA acquittée])+SUMIF(Invest[Affectation matrice],$AB$3,Invest[TVA acquittée]))*BD53</f>
        <v>0</v>
      </c>
      <c r="CF53" s="208">
        <f>(SUMIF(Fonctionnement[Affectation matrice],$AB$3,Fonctionnement[TVA acquittée])+SUMIF(Invest[Affectation matrice],$AB$3,Invest[TVA acquittée]))*BE53</f>
        <v>0</v>
      </c>
      <c r="CG53" s="208">
        <f>(SUMIF(Fonctionnement[Affectation matrice],$AB$3,Fonctionnement[TVA acquittée])+SUMIF(Invest[Affectation matrice],$AB$3,Invest[TVA acquittée]))*BF53</f>
        <v>0</v>
      </c>
      <c r="CH53" s="208">
        <f>(SUMIF(Fonctionnement[Affectation matrice],$AB$3,Fonctionnement[TVA acquittée])+SUMIF(Invest[Affectation matrice],$AB$3,Invest[TVA acquittée]))*BG53</f>
        <v>0</v>
      </c>
      <c r="CI53" s="208">
        <f>(SUMIF(Fonctionnement[Affectation matrice],$AB$3,Fonctionnement[TVA acquittée])+SUMIF(Invest[Affectation matrice],$AB$3,Invest[TVA acquittée]))*BH53</f>
        <v>0</v>
      </c>
      <c r="CJ53" s="208">
        <f>(SUMIF(Fonctionnement[Affectation matrice],$AB$3,Fonctionnement[TVA acquittée])+SUMIF(Invest[Affectation matrice],$AB$3,Invest[TVA acquittée]))*BI53</f>
        <v>0</v>
      </c>
      <c r="CK53" s="208">
        <f>(SUMIF(Fonctionnement[Affectation matrice],$AB$3,Fonctionnement[TVA acquittée])+SUMIF(Invest[Affectation matrice],$AB$3,Invest[TVA acquittée]))*BJ53</f>
        <v>0</v>
      </c>
      <c r="CL53" s="208">
        <f>(SUMIF(Fonctionnement[Affectation matrice],$AB$3,Fonctionnement[TVA acquittée])+SUMIF(Invest[Affectation matrice],$AB$3,Invest[TVA acquittée]))*BK53</f>
        <v>0</v>
      </c>
      <c r="CM53" s="208">
        <f>(SUMIF(Fonctionnement[Affectation matrice],$AB$3,Fonctionnement[TVA acquittée])+SUMIF(Invest[Affectation matrice],$AB$3,Invest[TVA acquittée]))*BL53</f>
        <v>0</v>
      </c>
      <c r="CN53" s="208">
        <f>(SUMIF(Fonctionnement[Affectation matrice],$AB$3,Fonctionnement[TVA acquittée])+SUMIF(Invest[Affectation matrice],$AB$3,Invest[TVA acquittée]))*BM53</f>
        <v>0</v>
      </c>
      <c r="CO53" s="208">
        <f>(SUMIF(Fonctionnement[Affectation matrice],$AB$3,Fonctionnement[TVA acquittée])+SUMIF(Invest[Affectation matrice],$AB$3,Invest[TVA acquittée]))*BN53</f>
        <v>0</v>
      </c>
      <c r="CP53" s="208">
        <f>(SUMIF(Fonctionnement[Affectation matrice],$AB$3,Fonctionnement[TVA acquittée])+SUMIF(Invest[Affectation matrice],$AB$3,Invest[TVA acquittée]))*BO53</f>
        <v>0</v>
      </c>
      <c r="CQ53" s="208">
        <f>(SUMIF(Fonctionnement[Affectation matrice],$AB$3,Fonctionnement[TVA acquittée])+SUMIF(Invest[Affectation matrice],$AB$3,Invest[TVA acquittée]))*BP53</f>
        <v>0</v>
      </c>
      <c r="CR53" s="208">
        <f>(SUMIF(Fonctionnement[Affectation matrice],$AB$3,Fonctionnement[TVA acquittée])+SUMIF(Invest[Affectation matrice],$AB$3,Invest[TVA acquittée]))*BQ53</f>
        <v>0</v>
      </c>
      <c r="CS53" s="208">
        <f>(SUMIF(Fonctionnement[Affectation matrice],$AB$3,Fonctionnement[TVA acquittée])+SUMIF(Invest[Affectation matrice],$AB$3,Invest[TVA acquittée]))*BR53</f>
        <v>0</v>
      </c>
      <c r="CT53" s="208">
        <f>(SUMIF(Fonctionnement[Affectation matrice],$AB$3,Fonctionnement[TVA acquittée])+SUMIF(Invest[Affectation matrice],$AB$3,Invest[TVA acquittée]))*BS53</f>
        <v>0</v>
      </c>
      <c r="CU53" s="208">
        <f>(SUMIF(Fonctionnement[Affectation matrice],$AB$3,Fonctionnement[TVA acquittée])+SUMIF(Invest[Affectation matrice],$AB$3,Invest[TVA acquittée]))*BT53</f>
        <v>0</v>
      </c>
      <c r="CV53" s="208">
        <f>(SUMIF(Fonctionnement[Affectation matrice],$AB$3,Fonctionnement[TVA acquittée])+SUMIF(Invest[Affectation matrice],$AB$3,Invest[TVA acquittée]))*BU53</f>
        <v>0</v>
      </c>
      <c r="CW53" s="208">
        <f>(SUMIF(Fonctionnement[Affectation matrice],$AB$3,Fonctionnement[TVA acquittée])+SUMIF(Invest[Affectation matrice],$AB$3,Invest[TVA acquittée]))*BV53</f>
        <v>0</v>
      </c>
      <c r="CX53" s="208">
        <f>(SUMIF(Fonctionnement[Affectation matrice],$AB$3,Fonctionnement[TVA acquittée])+SUMIF(Invest[Affectation matrice],$AB$3,Invest[TVA acquittée]))*BW53</f>
        <v>0</v>
      </c>
      <c r="CY53" s="208">
        <f>(SUMIF(Fonctionnement[Affectation matrice],$AB$3,Fonctionnement[TVA acquittée])+SUMIF(Invest[Affectation matrice],$AB$3,Invest[TVA acquittée]))*BX53</f>
        <v>0</v>
      </c>
      <c r="CZ53" s="208">
        <f>(SUMIF(Fonctionnement[Affectation matrice],$AB$3,Fonctionnement[TVA acquittée])+SUMIF(Invest[Affectation matrice],$AB$3,Invest[TVA acquittée]))*BY53</f>
        <v>0</v>
      </c>
      <c r="DA53" s="208">
        <f>(SUMIF(Fonctionnement[Affectation matrice],$AB$3,Fonctionnement[TVA acquittée])+SUMIF(Invest[Affectation matrice],$AB$3,Invest[TVA acquittée]))*BZ53</f>
        <v>0</v>
      </c>
      <c r="DB53" s="208">
        <f>(SUMIF(Fonctionnement[Affectation matrice],$AB$3,Fonctionnement[TVA acquittée])+SUMIF(Invest[Affectation matrice],$AB$3,Invest[TVA acquittée]))*CA53</f>
        <v>0</v>
      </c>
    </row>
    <row r="55" spans="1:107" x14ac:dyDescent="0.25">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C55" s="209"/>
      <c r="BD55" s="209"/>
      <c r="BE55" s="209"/>
      <c r="BF55" s="209"/>
      <c r="BG55" s="209"/>
      <c r="BH55" s="209"/>
      <c r="BI55" s="209"/>
      <c r="BJ55" s="209"/>
      <c r="BK55" s="209"/>
      <c r="BL55" s="209"/>
      <c r="BM55" s="209"/>
      <c r="BN55" s="209"/>
      <c r="BO55" s="209"/>
      <c r="BP55" s="209"/>
      <c r="BQ55" s="209"/>
      <c r="BR55" s="209"/>
      <c r="BS55" s="209"/>
      <c r="BT55" s="209"/>
      <c r="BU55" s="209"/>
      <c r="BV55" s="209"/>
      <c r="BW55" s="209"/>
      <c r="BX55" s="209"/>
      <c r="BY55" s="209"/>
      <c r="BZ55" s="209"/>
      <c r="CA55" s="209"/>
      <c r="CB55" s="209"/>
    </row>
    <row r="56" spans="1:107" ht="21" x14ac:dyDescent="0.4">
      <c r="A56" s="257" t="s">
        <v>1102</v>
      </c>
    </row>
    <row r="58" spans="1:107" x14ac:dyDescent="0.25">
      <c r="A58" s="301"/>
      <c r="B58"/>
      <c r="C58"/>
      <c r="D58"/>
      <c r="E58"/>
      <c r="F58"/>
      <c r="G58"/>
      <c r="H58"/>
      <c r="I58"/>
      <c r="J58"/>
      <c r="K58"/>
      <c r="L58"/>
      <c r="M58"/>
      <c r="N58"/>
      <c r="O58"/>
      <c r="P58"/>
      <c r="Q58"/>
      <c r="R58"/>
      <c r="S58"/>
      <c r="T58"/>
      <c r="U58"/>
      <c r="V58"/>
      <c r="W58"/>
      <c r="X58"/>
      <c r="Y58"/>
      <c r="Z58"/>
      <c r="AA58"/>
      <c r="AB58" s="61">
        <f>SUMIF(CODE,$A58,'4 - Codes matrice'!CF$4:CF$99)</f>
        <v>0</v>
      </c>
      <c r="AC58" s="61">
        <f>SUMIF(CODE,$A58,'4 - Codes matrice'!CG$4:CG$99)</f>
        <v>0</v>
      </c>
      <c r="AD58" s="61">
        <f>SUMIF(CODE,$A58,'4 - Codes matrice'!CH$4:CH$99)</f>
        <v>0</v>
      </c>
      <c r="AE58" s="61">
        <f>SUMIF(CODE,$A58,'4 - Codes matrice'!CI$4:CI$99)</f>
        <v>0</v>
      </c>
      <c r="AF58" s="61">
        <f>SUMIF(CODE,$A58,'4 - Codes matrice'!CJ$4:CJ$99)</f>
        <v>0</v>
      </c>
      <c r="AG58" s="61">
        <f>SUMIF(CODE,$A58,'4 - Codes matrice'!CK$4:CK$99)</f>
        <v>0</v>
      </c>
      <c r="AH58" s="61">
        <f>SUMIF(CODE,$A58,'4 - Codes matrice'!CL$4:CL$99)</f>
        <v>0</v>
      </c>
      <c r="AI58" s="61">
        <f>SUMIF(CODE,$A58,'4 - Codes matrice'!CM$4:CM$99)</f>
        <v>0</v>
      </c>
      <c r="AJ58" s="61">
        <f>SUMIF(CODE,$A58,'4 - Codes matrice'!CN$4:CN$99)</f>
        <v>0</v>
      </c>
      <c r="AK58" s="61">
        <f>SUMIF(CODE,$A58,'4 - Codes matrice'!CO$4:CO$99)</f>
        <v>0</v>
      </c>
      <c r="AL58" s="61">
        <f>SUMIF(CODE,$A58,'4 - Codes matrice'!CP$4:CP$99)</f>
        <v>0</v>
      </c>
      <c r="AM58" s="61">
        <f>SUMIF(CODE,$A58,'4 - Codes matrice'!CQ$4:CQ$99)</f>
        <v>0</v>
      </c>
      <c r="AN58" s="61">
        <f>SUMIF(CODE,$A58,'4 - Codes matrice'!CR$4:CR$99)</f>
        <v>0</v>
      </c>
      <c r="AO58" s="61">
        <f>SUMIF(CODE,$A58,'4 - Codes matrice'!CS$4:CS$99)</f>
        <v>0</v>
      </c>
      <c r="AP58" s="61">
        <f>SUMIF(CODE,$A58,'4 - Codes matrice'!CT$4:CT$99)</f>
        <v>0</v>
      </c>
      <c r="AQ58" s="61">
        <f>SUMIF(CODE,$A58,'4 - Codes matrice'!CU$4:CU$99)</f>
        <v>0</v>
      </c>
      <c r="AR58" s="61">
        <f>SUMIF(CODE,$A58,'4 - Codes matrice'!CV$4:CV$99)</f>
        <v>0</v>
      </c>
      <c r="AS58" s="61">
        <f>SUMIF(CODE,$A58,'4 - Codes matrice'!CW$4:CW$99)</f>
        <v>0</v>
      </c>
      <c r="AT58" s="61">
        <f>SUMIF(CODE,$A58,'4 - Codes matrice'!CX$4:CX$99)</f>
        <v>0</v>
      </c>
      <c r="AU58" s="61">
        <f>SUMIF(CODE,$A58,'4 - Codes matrice'!CY$4:CY$99)</f>
        <v>0</v>
      </c>
      <c r="AV58" s="61">
        <f>SUMIF(CODE,$A58,'4 - Codes matrice'!CZ$4:CZ$99)</f>
        <v>0</v>
      </c>
      <c r="AW58" s="61">
        <f>SUMIF(CODE,$A58,'4 - Codes matrice'!DA$4:DA$99)</f>
        <v>0</v>
      </c>
      <c r="AX58" s="61">
        <f>SUMIF(CODE,$A58,'4 - Codes matrice'!DB$4:DB$99)</f>
        <v>0</v>
      </c>
      <c r="AY58" s="61">
        <f>SUMIF(CODE,$A58,'4 - Codes matrice'!DC$4:DC$99)</f>
        <v>0</v>
      </c>
      <c r="AZ58" s="61">
        <f>SUMIF(CODE,$A58,'4 - Codes matrice'!DD$4:DD$99)</f>
        <v>0</v>
      </c>
      <c r="BA58" s="284">
        <f>SUM(AB58:AZ58)</f>
        <v>0</v>
      </c>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row>
    <row r="59" spans="1:107" x14ac:dyDescent="0.25">
      <c r="A59" s="301"/>
      <c r="B59"/>
      <c r="C59"/>
      <c r="D59"/>
      <c r="E59"/>
      <c r="F59"/>
      <c r="G59"/>
      <c r="H59"/>
      <c r="I59"/>
      <c r="J59"/>
      <c r="K59"/>
      <c r="L59"/>
      <c r="M59"/>
      <c r="N59"/>
      <c r="O59"/>
      <c r="P59"/>
      <c r="Q59"/>
      <c r="R59"/>
      <c r="S59"/>
      <c r="T59"/>
      <c r="U59"/>
      <c r="V59"/>
      <c r="W59"/>
      <c r="X59"/>
      <c r="Y59"/>
      <c r="Z59"/>
      <c r="AA59"/>
      <c r="AB59" s="61">
        <f>SUMIF(CODE,$A59,'4 - Codes matrice'!CF$4:CF$99)</f>
        <v>0</v>
      </c>
      <c r="AC59" s="61">
        <f>SUMIF(CODE,$A59,'4 - Codes matrice'!CG$4:CG$99)</f>
        <v>0</v>
      </c>
      <c r="AD59" s="61">
        <f>SUMIF(CODE,$A59,'4 - Codes matrice'!CH$4:CH$99)</f>
        <v>0</v>
      </c>
      <c r="AE59" s="61">
        <f>SUMIF(CODE,$A59,'4 - Codes matrice'!CI$4:CI$99)</f>
        <v>0</v>
      </c>
      <c r="AF59" s="61">
        <f>SUMIF(CODE,$A59,'4 - Codes matrice'!CJ$4:CJ$99)</f>
        <v>0</v>
      </c>
      <c r="AG59" s="61">
        <f>SUMIF(CODE,$A59,'4 - Codes matrice'!CK$4:CK$99)</f>
        <v>0</v>
      </c>
      <c r="AH59" s="61">
        <f>SUMIF(CODE,$A59,'4 - Codes matrice'!CL$4:CL$99)</f>
        <v>0</v>
      </c>
      <c r="AI59" s="61">
        <f>SUMIF(CODE,$A59,'4 - Codes matrice'!CM$4:CM$99)</f>
        <v>0</v>
      </c>
      <c r="AJ59" s="61">
        <f>SUMIF(CODE,$A59,'4 - Codes matrice'!CN$4:CN$99)</f>
        <v>0</v>
      </c>
      <c r="AK59" s="61">
        <f>SUMIF(CODE,$A59,'4 - Codes matrice'!CO$4:CO$99)</f>
        <v>0</v>
      </c>
      <c r="AL59" s="61">
        <f>SUMIF(CODE,$A59,'4 - Codes matrice'!CP$4:CP$99)</f>
        <v>0</v>
      </c>
      <c r="AM59" s="61">
        <f>SUMIF(CODE,$A59,'4 - Codes matrice'!CQ$4:CQ$99)</f>
        <v>0</v>
      </c>
      <c r="AN59" s="61">
        <f>SUMIF(CODE,$A59,'4 - Codes matrice'!CR$4:CR$99)</f>
        <v>0</v>
      </c>
      <c r="AO59" s="61">
        <f>SUMIF(CODE,$A59,'4 - Codes matrice'!CS$4:CS$99)</f>
        <v>0</v>
      </c>
      <c r="AP59" s="61">
        <f>SUMIF(CODE,$A59,'4 - Codes matrice'!CT$4:CT$99)</f>
        <v>0</v>
      </c>
      <c r="AQ59" s="61">
        <f>SUMIF(CODE,$A59,'4 - Codes matrice'!CU$4:CU$99)</f>
        <v>0</v>
      </c>
      <c r="AR59" s="61">
        <f>SUMIF(CODE,$A59,'4 - Codes matrice'!CV$4:CV$99)</f>
        <v>0</v>
      </c>
      <c r="AS59" s="61">
        <f>SUMIF(CODE,$A59,'4 - Codes matrice'!CW$4:CW$99)</f>
        <v>0</v>
      </c>
      <c r="AT59" s="61">
        <f>SUMIF(CODE,$A59,'4 - Codes matrice'!CX$4:CX$99)</f>
        <v>0</v>
      </c>
      <c r="AU59" s="61">
        <f>SUMIF(CODE,$A59,'4 - Codes matrice'!CY$4:CY$99)</f>
        <v>0</v>
      </c>
      <c r="AV59" s="61">
        <f>SUMIF(CODE,$A59,'4 - Codes matrice'!CZ$4:CZ$99)</f>
        <v>0</v>
      </c>
      <c r="AW59" s="61">
        <f>SUMIF(CODE,$A59,'4 - Codes matrice'!DA$4:DA$99)</f>
        <v>0</v>
      </c>
      <c r="AX59" s="61">
        <f>SUMIF(CODE,$A59,'4 - Codes matrice'!DB$4:DB$99)</f>
        <v>0</v>
      </c>
      <c r="AY59" s="61">
        <f>SUMIF(CODE,$A59,'4 - Codes matrice'!DC$4:DC$99)</f>
        <v>0</v>
      </c>
      <c r="AZ59" s="61">
        <f>SUMIF(CODE,$A59,'4 - Codes matrice'!DD$4:DD$99)</f>
        <v>0</v>
      </c>
      <c r="BA59" s="284">
        <f t="shared" ref="BA59:BA64" si="17">SUM(AB59:AZ59)</f>
        <v>0</v>
      </c>
    </row>
    <row r="60" spans="1:107" x14ac:dyDescent="0.25">
      <c r="A60" s="301"/>
      <c r="B60"/>
      <c r="C60"/>
      <c r="D60"/>
      <c r="E60"/>
      <c r="F60"/>
      <c r="G60"/>
      <c r="H60"/>
      <c r="I60"/>
      <c r="J60"/>
      <c r="K60"/>
      <c r="L60"/>
      <c r="M60"/>
      <c r="N60"/>
      <c r="O60"/>
      <c r="P60"/>
      <c r="Q60"/>
      <c r="R60"/>
      <c r="S60"/>
      <c r="T60"/>
      <c r="U60"/>
      <c r="V60"/>
      <c r="W60"/>
      <c r="X60"/>
      <c r="Y60"/>
      <c r="Z60"/>
      <c r="AA60"/>
      <c r="AB60" s="61">
        <f>SUMIF(CODE,$A60,'4 - Codes matrice'!CF$4:CF$99)</f>
        <v>0</v>
      </c>
      <c r="AC60" s="61">
        <f>SUMIF(CODE,$A60,'4 - Codes matrice'!CG$4:CG$99)</f>
        <v>0</v>
      </c>
      <c r="AD60" s="61">
        <f>SUMIF(CODE,$A60,'4 - Codes matrice'!CH$4:CH$99)</f>
        <v>0</v>
      </c>
      <c r="AE60" s="61">
        <f>SUMIF(CODE,$A60,'4 - Codes matrice'!CI$4:CI$99)</f>
        <v>0</v>
      </c>
      <c r="AF60" s="61">
        <f>SUMIF(CODE,$A60,'4 - Codes matrice'!CJ$4:CJ$99)</f>
        <v>0</v>
      </c>
      <c r="AG60" s="61">
        <f>SUMIF(CODE,$A60,'4 - Codes matrice'!CK$4:CK$99)</f>
        <v>0</v>
      </c>
      <c r="AH60" s="61">
        <f>SUMIF(CODE,$A60,'4 - Codes matrice'!CL$4:CL$99)</f>
        <v>0</v>
      </c>
      <c r="AI60" s="61">
        <f>SUMIF(CODE,$A60,'4 - Codes matrice'!CM$4:CM$99)</f>
        <v>0</v>
      </c>
      <c r="AJ60" s="61">
        <f>SUMIF(CODE,$A60,'4 - Codes matrice'!CN$4:CN$99)</f>
        <v>0</v>
      </c>
      <c r="AK60" s="61">
        <f>SUMIF(CODE,$A60,'4 - Codes matrice'!CO$4:CO$99)</f>
        <v>0</v>
      </c>
      <c r="AL60" s="61">
        <f>SUMIF(CODE,$A60,'4 - Codes matrice'!CP$4:CP$99)</f>
        <v>0</v>
      </c>
      <c r="AM60" s="61">
        <f>SUMIF(CODE,$A60,'4 - Codes matrice'!CQ$4:CQ$99)</f>
        <v>0</v>
      </c>
      <c r="AN60" s="61">
        <f>SUMIF(CODE,$A60,'4 - Codes matrice'!CR$4:CR$99)</f>
        <v>0</v>
      </c>
      <c r="AO60" s="61">
        <f>SUMIF(CODE,$A60,'4 - Codes matrice'!CS$4:CS$99)</f>
        <v>0</v>
      </c>
      <c r="AP60" s="61">
        <f>SUMIF(CODE,$A60,'4 - Codes matrice'!CT$4:CT$99)</f>
        <v>0</v>
      </c>
      <c r="AQ60" s="61">
        <f>SUMIF(CODE,$A60,'4 - Codes matrice'!CU$4:CU$99)</f>
        <v>0</v>
      </c>
      <c r="AR60" s="61">
        <f>SUMIF(CODE,$A60,'4 - Codes matrice'!CV$4:CV$99)</f>
        <v>0</v>
      </c>
      <c r="AS60" s="61">
        <f>SUMIF(CODE,$A60,'4 - Codes matrice'!CW$4:CW$99)</f>
        <v>0</v>
      </c>
      <c r="AT60" s="61">
        <f>SUMIF(CODE,$A60,'4 - Codes matrice'!CX$4:CX$99)</f>
        <v>0</v>
      </c>
      <c r="AU60" s="61">
        <f>SUMIF(CODE,$A60,'4 - Codes matrice'!CY$4:CY$99)</f>
        <v>0</v>
      </c>
      <c r="AV60" s="61">
        <f>SUMIF(CODE,$A60,'4 - Codes matrice'!CZ$4:CZ$99)</f>
        <v>0</v>
      </c>
      <c r="AW60" s="61">
        <f>SUMIF(CODE,$A60,'4 - Codes matrice'!DA$4:DA$99)</f>
        <v>0</v>
      </c>
      <c r="AX60" s="61">
        <f>SUMIF(CODE,$A60,'4 - Codes matrice'!DB$4:DB$99)</f>
        <v>0</v>
      </c>
      <c r="AY60" s="61">
        <f>SUMIF(CODE,$A60,'4 - Codes matrice'!DC$4:DC$99)</f>
        <v>0</v>
      </c>
      <c r="AZ60" s="61">
        <f>SUMIF(CODE,$A60,'4 - Codes matrice'!DD$4:DD$99)</f>
        <v>0</v>
      </c>
      <c r="BA60" s="284">
        <f t="shared" si="17"/>
        <v>0</v>
      </c>
    </row>
    <row r="61" spans="1:107" x14ac:dyDescent="0.25">
      <c r="A61" s="301"/>
      <c r="B61"/>
      <c r="C61"/>
      <c r="D61"/>
      <c r="E61"/>
      <c r="F61"/>
      <c r="G61"/>
      <c r="H61"/>
      <c r="I61"/>
      <c r="J61"/>
      <c r="K61"/>
      <c r="L61"/>
      <c r="M61"/>
      <c r="N61"/>
      <c r="O61"/>
      <c r="P61"/>
      <c r="Q61"/>
      <c r="R61"/>
      <c r="S61"/>
      <c r="T61"/>
      <c r="U61"/>
      <c r="V61"/>
      <c r="W61"/>
      <c r="X61"/>
      <c r="Y61"/>
      <c r="Z61"/>
      <c r="AA61"/>
      <c r="AB61" s="61">
        <f>SUMIF(CODE,$A61,'4 - Codes matrice'!CF$4:CF$99)</f>
        <v>0</v>
      </c>
      <c r="AC61" s="61">
        <f>SUMIF(CODE,$A61,'4 - Codes matrice'!CG$4:CG$99)</f>
        <v>0</v>
      </c>
      <c r="AD61" s="61">
        <f>SUMIF(CODE,$A61,'4 - Codes matrice'!CH$4:CH$99)</f>
        <v>0</v>
      </c>
      <c r="AE61" s="61">
        <f>SUMIF(CODE,$A61,'4 - Codes matrice'!CI$4:CI$99)</f>
        <v>0</v>
      </c>
      <c r="AF61" s="61">
        <f>SUMIF(CODE,$A61,'4 - Codes matrice'!CJ$4:CJ$99)</f>
        <v>0</v>
      </c>
      <c r="AG61" s="61">
        <f>SUMIF(CODE,$A61,'4 - Codes matrice'!CK$4:CK$99)</f>
        <v>0</v>
      </c>
      <c r="AH61" s="61">
        <f>SUMIF(CODE,$A61,'4 - Codes matrice'!CL$4:CL$99)</f>
        <v>0</v>
      </c>
      <c r="AI61" s="61">
        <f>SUMIF(CODE,$A61,'4 - Codes matrice'!CM$4:CM$99)</f>
        <v>0</v>
      </c>
      <c r="AJ61" s="61">
        <f>SUMIF(CODE,$A61,'4 - Codes matrice'!CN$4:CN$99)</f>
        <v>0</v>
      </c>
      <c r="AK61" s="61">
        <f>SUMIF(CODE,$A61,'4 - Codes matrice'!CO$4:CO$99)</f>
        <v>0</v>
      </c>
      <c r="AL61" s="61">
        <f>SUMIF(CODE,$A61,'4 - Codes matrice'!CP$4:CP$99)</f>
        <v>0</v>
      </c>
      <c r="AM61" s="61">
        <f>SUMIF(CODE,$A61,'4 - Codes matrice'!CQ$4:CQ$99)</f>
        <v>0</v>
      </c>
      <c r="AN61" s="61">
        <f>SUMIF(CODE,$A61,'4 - Codes matrice'!CR$4:CR$99)</f>
        <v>0</v>
      </c>
      <c r="AO61" s="61">
        <f>SUMIF(CODE,$A61,'4 - Codes matrice'!CS$4:CS$99)</f>
        <v>0</v>
      </c>
      <c r="AP61" s="61">
        <f>SUMIF(CODE,$A61,'4 - Codes matrice'!CT$4:CT$99)</f>
        <v>0</v>
      </c>
      <c r="AQ61" s="61">
        <f>SUMIF(CODE,$A61,'4 - Codes matrice'!CU$4:CU$99)</f>
        <v>0</v>
      </c>
      <c r="AR61" s="61">
        <f>SUMIF(CODE,$A61,'4 - Codes matrice'!CV$4:CV$99)</f>
        <v>0</v>
      </c>
      <c r="AS61" s="61">
        <f>SUMIF(CODE,$A61,'4 - Codes matrice'!CW$4:CW$99)</f>
        <v>0</v>
      </c>
      <c r="AT61" s="61">
        <f>SUMIF(CODE,$A61,'4 - Codes matrice'!CX$4:CX$99)</f>
        <v>0</v>
      </c>
      <c r="AU61" s="61">
        <f>SUMIF(CODE,$A61,'4 - Codes matrice'!CY$4:CY$99)</f>
        <v>0</v>
      </c>
      <c r="AV61" s="61">
        <f>SUMIF(CODE,$A61,'4 - Codes matrice'!CZ$4:CZ$99)</f>
        <v>0</v>
      </c>
      <c r="AW61" s="61">
        <f>SUMIF(CODE,$A61,'4 - Codes matrice'!DA$4:DA$99)</f>
        <v>0</v>
      </c>
      <c r="AX61" s="61">
        <f>SUMIF(CODE,$A61,'4 - Codes matrice'!DB$4:DB$99)</f>
        <v>0</v>
      </c>
      <c r="AY61" s="61">
        <f>SUMIF(CODE,$A61,'4 - Codes matrice'!DC$4:DC$99)</f>
        <v>0</v>
      </c>
      <c r="AZ61" s="61">
        <f>SUMIF(CODE,$A61,'4 - Codes matrice'!DD$4:DD$99)</f>
        <v>0</v>
      </c>
      <c r="BA61" s="284">
        <f t="shared" si="17"/>
        <v>0</v>
      </c>
    </row>
    <row r="62" spans="1:107" x14ac:dyDescent="0.25">
      <c r="A62" s="301"/>
      <c r="B62"/>
      <c r="C62"/>
      <c r="D62"/>
      <c r="E62"/>
      <c r="F62"/>
      <c r="G62"/>
      <c r="H62"/>
      <c r="I62"/>
      <c r="J62"/>
      <c r="K62"/>
      <c r="L62"/>
      <c r="M62"/>
      <c r="N62"/>
      <c r="O62"/>
      <c r="P62"/>
      <c r="Q62"/>
      <c r="R62"/>
      <c r="S62"/>
      <c r="T62"/>
      <c r="U62"/>
      <c r="V62"/>
      <c r="W62"/>
      <c r="X62"/>
      <c r="Y62"/>
      <c r="Z62"/>
      <c r="AA62"/>
      <c r="AB62" s="61">
        <f>SUMIF(CODE,$A62,'4 - Codes matrice'!CF$4:CF$99)</f>
        <v>0</v>
      </c>
      <c r="AC62" s="61">
        <f>SUMIF(CODE,$A62,'4 - Codes matrice'!CG$4:CG$99)</f>
        <v>0</v>
      </c>
      <c r="AD62" s="61">
        <f>SUMIF(CODE,$A62,'4 - Codes matrice'!CH$4:CH$99)</f>
        <v>0</v>
      </c>
      <c r="AE62" s="61">
        <f>SUMIF(CODE,$A62,'4 - Codes matrice'!CI$4:CI$99)</f>
        <v>0</v>
      </c>
      <c r="AF62" s="61">
        <f>SUMIF(CODE,$A62,'4 - Codes matrice'!CJ$4:CJ$99)</f>
        <v>0</v>
      </c>
      <c r="AG62" s="61">
        <f>SUMIF(CODE,$A62,'4 - Codes matrice'!CK$4:CK$99)</f>
        <v>0</v>
      </c>
      <c r="AH62" s="61">
        <f>SUMIF(CODE,$A62,'4 - Codes matrice'!CL$4:CL$99)</f>
        <v>0</v>
      </c>
      <c r="AI62" s="61">
        <f>SUMIF(CODE,$A62,'4 - Codes matrice'!CM$4:CM$99)</f>
        <v>0</v>
      </c>
      <c r="AJ62" s="61">
        <f>SUMIF(CODE,$A62,'4 - Codes matrice'!CN$4:CN$99)</f>
        <v>0</v>
      </c>
      <c r="AK62" s="61">
        <f>SUMIF(CODE,$A62,'4 - Codes matrice'!CO$4:CO$99)</f>
        <v>0</v>
      </c>
      <c r="AL62" s="61">
        <f>SUMIF(CODE,$A62,'4 - Codes matrice'!CP$4:CP$99)</f>
        <v>0</v>
      </c>
      <c r="AM62" s="61">
        <f>SUMIF(CODE,$A62,'4 - Codes matrice'!CQ$4:CQ$99)</f>
        <v>0</v>
      </c>
      <c r="AN62" s="61">
        <f>SUMIF(CODE,$A62,'4 - Codes matrice'!CR$4:CR$99)</f>
        <v>0</v>
      </c>
      <c r="AO62" s="61">
        <f>SUMIF(CODE,$A62,'4 - Codes matrice'!CS$4:CS$99)</f>
        <v>0</v>
      </c>
      <c r="AP62" s="61">
        <f>SUMIF(CODE,$A62,'4 - Codes matrice'!CT$4:CT$99)</f>
        <v>0</v>
      </c>
      <c r="AQ62" s="61">
        <f>SUMIF(CODE,$A62,'4 - Codes matrice'!CU$4:CU$99)</f>
        <v>0</v>
      </c>
      <c r="AR62" s="61">
        <f>SUMIF(CODE,$A62,'4 - Codes matrice'!CV$4:CV$99)</f>
        <v>0</v>
      </c>
      <c r="AS62" s="61">
        <f>SUMIF(CODE,$A62,'4 - Codes matrice'!CW$4:CW$99)</f>
        <v>0</v>
      </c>
      <c r="AT62" s="61">
        <f>SUMIF(CODE,$A62,'4 - Codes matrice'!CX$4:CX$99)</f>
        <v>0</v>
      </c>
      <c r="AU62" s="61">
        <f>SUMIF(CODE,$A62,'4 - Codes matrice'!CY$4:CY$99)</f>
        <v>0</v>
      </c>
      <c r="AV62" s="61">
        <f>SUMIF(CODE,$A62,'4 - Codes matrice'!CZ$4:CZ$99)</f>
        <v>0</v>
      </c>
      <c r="AW62" s="61">
        <f>SUMIF(CODE,$A62,'4 - Codes matrice'!DA$4:DA$99)</f>
        <v>0</v>
      </c>
      <c r="AX62" s="61">
        <f>SUMIF(CODE,$A62,'4 - Codes matrice'!DB$4:DB$99)</f>
        <v>0</v>
      </c>
      <c r="AY62" s="61">
        <f>SUMIF(CODE,$A62,'4 - Codes matrice'!DC$4:DC$99)</f>
        <v>0</v>
      </c>
      <c r="AZ62" s="61">
        <f>SUMIF(CODE,$A62,'4 - Codes matrice'!DD$4:DD$99)</f>
        <v>0</v>
      </c>
      <c r="BA62" s="284">
        <f t="shared" si="17"/>
        <v>0</v>
      </c>
    </row>
    <row r="63" spans="1:107" x14ac:dyDescent="0.25">
      <c r="A63" s="301"/>
      <c r="B63"/>
      <c r="C63"/>
      <c r="D63"/>
      <c r="E63"/>
      <c r="F63"/>
      <c r="G63"/>
      <c r="H63"/>
      <c r="I63"/>
      <c r="J63"/>
      <c r="K63"/>
      <c r="L63"/>
      <c r="M63"/>
      <c r="N63"/>
      <c r="O63"/>
      <c r="P63"/>
      <c r="Q63"/>
      <c r="R63"/>
      <c r="S63"/>
      <c r="T63"/>
      <c r="U63"/>
      <c r="V63"/>
      <c r="W63"/>
      <c r="X63"/>
      <c r="Y63"/>
      <c r="Z63"/>
      <c r="AA63"/>
      <c r="AB63" s="61">
        <f>SUMIF(CODE,$A63,'4 - Codes matrice'!CF$4:CF$99)</f>
        <v>0</v>
      </c>
      <c r="AC63" s="61">
        <f>SUMIF(CODE,$A63,'4 - Codes matrice'!CG$4:CG$99)</f>
        <v>0</v>
      </c>
      <c r="AD63" s="61">
        <f>SUMIF(CODE,$A63,'4 - Codes matrice'!CH$4:CH$99)</f>
        <v>0</v>
      </c>
      <c r="AE63" s="61">
        <f>SUMIF(CODE,$A63,'4 - Codes matrice'!CI$4:CI$99)</f>
        <v>0</v>
      </c>
      <c r="AF63" s="61">
        <f>SUMIF(CODE,$A63,'4 - Codes matrice'!CJ$4:CJ$99)</f>
        <v>0</v>
      </c>
      <c r="AG63" s="61">
        <f>SUMIF(CODE,$A63,'4 - Codes matrice'!CK$4:CK$99)</f>
        <v>0</v>
      </c>
      <c r="AH63" s="61">
        <f>SUMIF(CODE,$A63,'4 - Codes matrice'!CL$4:CL$99)</f>
        <v>0</v>
      </c>
      <c r="AI63" s="61">
        <f>SUMIF(CODE,$A63,'4 - Codes matrice'!CM$4:CM$99)</f>
        <v>0</v>
      </c>
      <c r="AJ63" s="61">
        <f>SUMIF(CODE,$A63,'4 - Codes matrice'!CN$4:CN$99)</f>
        <v>0</v>
      </c>
      <c r="AK63" s="61">
        <f>SUMIF(CODE,$A63,'4 - Codes matrice'!CO$4:CO$99)</f>
        <v>0</v>
      </c>
      <c r="AL63" s="61">
        <f>SUMIF(CODE,$A63,'4 - Codes matrice'!CP$4:CP$99)</f>
        <v>0</v>
      </c>
      <c r="AM63" s="61">
        <f>SUMIF(CODE,$A63,'4 - Codes matrice'!CQ$4:CQ$99)</f>
        <v>0</v>
      </c>
      <c r="AN63" s="61">
        <f>SUMIF(CODE,$A63,'4 - Codes matrice'!CR$4:CR$99)</f>
        <v>0</v>
      </c>
      <c r="AO63" s="61">
        <f>SUMIF(CODE,$A63,'4 - Codes matrice'!CS$4:CS$99)</f>
        <v>0</v>
      </c>
      <c r="AP63" s="61">
        <f>SUMIF(CODE,$A63,'4 - Codes matrice'!CT$4:CT$99)</f>
        <v>0</v>
      </c>
      <c r="AQ63" s="61">
        <f>SUMIF(CODE,$A63,'4 - Codes matrice'!CU$4:CU$99)</f>
        <v>0</v>
      </c>
      <c r="AR63" s="61">
        <f>SUMIF(CODE,$A63,'4 - Codes matrice'!CV$4:CV$99)</f>
        <v>0</v>
      </c>
      <c r="AS63" s="61">
        <f>SUMIF(CODE,$A63,'4 - Codes matrice'!CW$4:CW$99)</f>
        <v>0</v>
      </c>
      <c r="AT63" s="61">
        <f>SUMIF(CODE,$A63,'4 - Codes matrice'!CX$4:CX$99)</f>
        <v>0</v>
      </c>
      <c r="AU63" s="61">
        <f>SUMIF(CODE,$A63,'4 - Codes matrice'!CY$4:CY$99)</f>
        <v>0</v>
      </c>
      <c r="AV63" s="61">
        <f>SUMIF(CODE,$A63,'4 - Codes matrice'!CZ$4:CZ$99)</f>
        <v>0</v>
      </c>
      <c r="AW63" s="61">
        <f>SUMIF(CODE,$A63,'4 - Codes matrice'!DA$4:DA$99)</f>
        <v>0</v>
      </c>
      <c r="AX63" s="61">
        <f>SUMIF(CODE,$A63,'4 - Codes matrice'!DB$4:DB$99)</f>
        <v>0</v>
      </c>
      <c r="AY63" s="61">
        <f>SUMIF(CODE,$A63,'4 - Codes matrice'!DC$4:DC$99)</f>
        <v>0</v>
      </c>
      <c r="AZ63" s="61">
        <f>SUMIF(CODE,$A63,'4 - Codes matrice'!DD$4:DD$99)</f>
        <v>0</v>
      </c>
      <c r="BA63" s="284">
        <f t="shared" si="17"/>
        <v>0</v>
      </c>
    </row>
    <row r="64" spans="1:107" x14ac:dyDescent="0.25">
      <c r="A64" s="301"/>
      <c r="B64"/>
      <c r="C64"/>
      <c r="D64"/>
      <c r="E64"/>
      <c r="F64"/>
      <c r="G64"/>
      <c r="H64"/>
      <c r="I64"/>
      <c r="J64"/>
      <c r="K64"/>
      <c r="L64"/>
      <c r="M64"/>
      <c r="N64"/>
      <c r="O64"/>
      <c r="P64"/>
      <c r="Q64"/>
      <c r="R64"/>
      <c r="S64"/>
      <c r="T64"/>
      <c r="U64"/>
      <c r="V64"/>
      <c r="W64"/>
      <c r="X64"/>
      <c r="Y64"/>
      <c r="Z64"/>
      <c r="AA64"/>
      <c r="AB64" s="61">
        <f>SUMIF(CODE,$A64,'4 - Codes matrice'!CF$4:CF$99)</f>
        <v>0</v>
      </c>
      <c r="AC64" s="61">
        <f>SUMIF(CODE,$A64,'4 - Codes matrice'!CG$4:CG$99)</f>
        <v>0</v>
      </c>
      <c r="AD64" s="61">
        <f>SUMIF(CODE,$A64,'4 - Codes matrice'!CH$4:CH$99)</f>
        <v>0</v>
      </c>
      <c r="AE64" s="61">
        <f>SUMIF(CODE,$A64,'4 - Codes matrice'!CI$4:CI$99)</f>
        <v>0</v>
      </c>
      <c r="AF64" s="61">
        <f>SUMIF(CODE,$A64,'4 - Codes matrice'!CJ$4:CJ$99)</f>
        <v>0</v>
      </c>
      <c r="AG64" s="61">
        <f>SUMIF(CODE,$A64,'4 - Codes matrice'!CK$4:CK$99)</f>
        <v>0</v>
      </c>
      <c r="AH64" s="61">
        <f>SUMIF(CODE,$A64,'4 - Codes matrice'!CL$4:CL$99)</f>
        <v>0</v>
      </c>
      <c r="AI64" s="61">
        <f>SUMIF(CODE,$A64,'4 - Codes matrice'!CM$4:CM$99)</f>
        <v>0</v>
      </c>
      <c r="AJ64" s="61">
        <f>SUMIF(CODE,$A64,'4 - Codes matrice'!CN$4:CN$99)</f>
        <v>0</v>
      </c>
      <c r="AK64" s="61">
        <f>SUMIF(CODE,$A64,'4 - Codes matrice'!CO$4:CO$99)</f>
        <v>0</v>
      </c>
      <c r="AL64" s="61">
        <f>SUMIF(CODE,$A64,'4 - Codes matrice'!CP$4:CP$99)</f>
        <v>0</v>
      </c>
      <c r="AM64" s="61">
        <f>SUMIF(CODE,$A64,'4 - Codes matrice'!CQ$4:CQ$99)</f>
        <v>0</v>
      </c>
      <c r="AN64" s="61">
        <f>SUMIF(CODE,$A64,'4 - Codes matrice'!CR$4:CR$99)</f>
        <v>0</v>
      </c>
      <c r="AO64" s="61">
        <f>SUMIF(CODE,$A64,'4 - Codes matrice'!CS$4:CS$99)</f>
        <v>0</v>
      </c>
      <c r="AP64" s="61">
        <f>SUMIF(CODE,$A64,'4 - Codes matrice'!CT$4:CT$99)</f>
        <v>0</v>
      </c>
      <c r="AQ64" s="61">
        <f>SUMIF(CODE,$A64,'4 - Codes matrice'!CU$4:CU$99)</f>
        <v>0</v>
      </c>
      <c r="AR64" s="61">
        <f>SUMIF(CODE,$A64,'4 - Codes matrice'!CV$4:CV$99)</f>
        <v>0</v>
      </c>
      <c r="AS64" s="61">
        <f>SUMIF(CODE,$A64,'4 - Codes matrice'!CW$4:CW$99)</f>
        <v>0</v>
      </c>
      <c r="AT64" s="61">
        <f>SUMIF(CODE,$A64,'4 - Codes matrice'!CX$4:CX$99)</f>
        <v>0</v>
      </c>
      <c r="AU64" s="61">
        <f>SUMIF(CODE,$A64,'4 - Codes matrice'!CY$4:CY$99)</f>
        <v>0</v>
      </c>
      <c r="AV64" s="61">
        <f>SUMIF(CODE,$A64,'4 - Codes matrice'!CZ$4:CZ$99)</f>
        <v>0</v>
      </c>
      <c r="AW64" s="61">
        <f>SUMIF(CODE,$A64,'4 - Codes matrice'!DA$4:DA$99)</f>
        <v>0</v>
      </c>
      <c r="AX64" s="61">
        <f>SUMIF(CODE,$A64,'4 - Codes matrice'!DB$4:DB$99)</f>
        <v>0</v>
      </c>
      <c r="AY64" s="61">
        <f>SUMIF(CODE,$A64,'4 - Codes matrice'!DC$4:DC$99)</f>
        <v>0</v>
      </c>
      <c r="AZ64" s="61">
        <f>SUMIF(CODE,$A64,'4 - Codes matrice'!DD$4:DD$99)</f>
        <v>0</v>
      </c>
      <c r="BA64" s="284">
        <f t="shared" si="17"/>
        <v>0</v>
      </c>
    </row>
    <row r="66" spans="1:107" ht="21" x14ac:dyDescent="0.4">
      <c r="A66" s="257" t="s">
        <v>1103</v>
      </c>
    </row>
    <row r="68" spans="1:107" x14ac:dyDescent="0.25">
      <c r="A68" s="253" t="s">
        <v>219</v>
      </c>
      <c r="B68"/>
      <c r="C68"/>
      <c r="D68"/>
      <c r="E68"/>
      <c r="F68"/>
      <c r="G68"/>
      <c r="H68"/>
      <c r="I68"/>
      <c r="J68"/>
      <c r="K68"/>
      <c r="L68"/>
      <c r="M68"/>
      <c r="N68"/>
      <c r="O68"/>
      <c r="P68"/>
      <c r="Q68"/>
      <c r="R68"/>
      <c r="S68"/>
      <c r="T68"/>
      <c r="U68"/>
      <c r="V68"/>
      <c r="W68"/>
      <c r="X68"/>
      <c r="Y68"/>
      <c r="Z68"/>
      <c r="AA68"/>
      <c r="AB68" s="282">
        <f>'2 - Matrice finale'!B58</f>
        <v>0</v>
      </c>
      <c r="AC68" s="282">
        <f>'2 - Matrice finale'!C58</f>
        <v>0</v>
      </c>
      <c r="AD68" s="282">
        <f>'2 - Matrice finale'!D58</f>
        <v>0</v>
      </c>
      <c r="AE68" s="282">
        <f>'2 - Matrice finale'!E58</f>
        <v>0</v>
      </c>
      <c r="AF68" s="282">
        <f>'2 - Matrice finale'!F58</f>
        <v>0</v>
      </c>
      <c r="AG68" s="282">
        <f>'2 - Matrice finale'!G58</f>
        <v>0</v>
      </c>
      <c r="AH68" s="282">
        <f>'2 - Matrice finale'!H58</f>
        <v>0</v>
      </c>
      <c r="AI68" s="282">
        <f>'2 - Matrice finale'!I58</f>
        <v>0</v>
      </c>
      <c r="AJ68" s="282">
        <f>'2 - Matrice finale'!J58</f>
        <v>0</v>
      </c>
      <c r="AK68" s="282">
        <f>'2 - Matrice finale'!K58</f>
        <v>0</v>
      </c>
      <c r="AL68" s="282">
        <f>'2 - Matrice finale'!L58</f>
        <v>0</v>
      </c>
      <c r="AM68" s="282">
        <f>'2 - Matrice finale'!M58</f>
        <v>0</v>
      </c>
      <c r="AN68" s="282">
        <f>'2 - Matrice finale'!N58</f>
        <v>0</v>
      </c>
      <c r="AO68" s="282">
        <f>'2 - Matrice finale'!O58</f>
        <v>0</v>
      </c>
      <c r="AP68" s="282">
        <f>'2 - Matrice finale'!P58</f>
        <v>0</v>
      </c>
      <c r="AQ68" s="282">
        <f>'2 - Matrice finale'!Q58</f>
        <v>0</v>
      </c>
      <c r="AR68" s="282">
        <f>'2 - Matrice finale'!R58</f>
        <v>0</v>
      </c>
      <c r="AS68" s="282">
        <f>'2 - Matrice finale'!S58</f>
        <v>0</v>
      </c>
      <c r="AT68" s="282">
        <f>'2 - Matrice finale'!T58</f>
        <v>0</v>
      </c>
      <c r="AU68" s="282">
        <f>'2 - Matrice finale'!U58</f>
        <v>0</v>
      </c>
      <c r="AV68" s="282">
        <f>'2 - Matrice finale'!V58</f>
        <v>0</v>
      </c>
      <c r="AW68" s="282">
        <f>'2 - Matrice finale'!W58</f>
        <v>0</v>
      </c>
      <c r="AX68" s="282">
        <f>'2 - Matrice finale'!X58</f>
        <v>0</v>
      </c>
      <c r="AY68" s="282">
        <f>'2 - Matrice finale'!Y58</f>
        <v>0</v>
      </c>
      <c r="AZ68" s="282">
        <f>'2 - Matrice finale'!Z58</f>
        <v>0</v>
      </c>
      <c r="BA68" s="285"/>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row>
  </sheetData>
  <sheetProtection sheet="1" objects="1" scenarios="1" formatCells="0" formatColumns="0" formatRows="0"/>
  <mergeCells count="7">
    <mergeCell ref="CD3:DB3"/>
    <mergeCell ref="AC2:AE2"/>
    <mergeCell ref="B3:Z3"/>
    <mergeCell ref="AC3:AZ3"/>
    <mergeCell ref="BA3:BA4"/>
    <mergeCell ref="BC3:CA3"/>
    <mergeCell ref="CB3:CB4"/>
  </mergeCells>
  <conditionalFormatting sqref="A58:A64">
    <cfRule type="expression" dxfId="53" priority="2">
      <formula>OR(XFD58="Amortissement extra-comptable",XFD58="Reprise extra-comptable",XFD58="Non incorporable")</formula>
    </cfRule>
    <cfRule type="expression" dxfId="52" priority="3">
      <formula>AND(A58=0,OR(XFD58="Incorporable",XFD58="Supplétif",XFD58="Reprise",XFD58="Amortissement",XFD58="Atténuation de produit",XFD58="atténuation de charge"))</formula>
    </cfRule>
  </conditionalFormatting>
  <conditionalFormatting sqref="A68">
    <cfRule type="duplicateValues" dxfId="51" priority="1"/>
  </conditionalFormatting>
  <dataValidations count="1">
    <dataValidation type="list" showInputMessage="1" showErrorMessage="1" sqref="AB3 A58:A64" xr:uid="{00000000-0002-0000-1100-000000000000}">
      <formula1>OFFSET(CODE_1,0,0,COUNTA(CODE),1)</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389DB-D3F7-4138-8426-72ADC50BEF7F}">
  <dimension ref="A1:B1"/>
  <sheetViews>
    <sheetView workbookViewId="0">
      <selection activeCell="B2" sqref="B2"/>
    </sheetView>
  </sheetViews>
  <sheetFormatPr baseColWidth="10" defaultRowHeight="13.2" x14ac:dyDescent="0.25"/>
  <cols>
    <col min="1" max="1" width="14.33203125" bestFit="1" customWidth="1"/>
  </cols>
  <sheetData>
    <row r="1" spans="1:2" x14ac:dyDescent="0.25">
      <c r="A1" s="1" t="s">
        <v>1249</v>
      </c>
      <c r="B1" s="1" t="s">
        <v>1250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1">
    <tabColor rgb="FFFFFF00"/>
  </sheetPr>
  <dimension ref="A1:DC93"/>
  <sheetViews>
    <sheetView showGridLines="0" zoomScaleNormal="100" workbookViewId="0">
      <pane xSplit="27" ySplit="4" topLeftCell="AB6" activePane="bottomRight" state="frozen"/>
      <selection pane="topRight" activeCell="AB55" sqref="AB55"/>
      <selection pane="bottomLeft" activeCell="AB55" sqref="AB55"/>
      <selection pane="bottomRight" activeCell="AB8" sqref="AB8"/>
    </sheetView>
  </sheetViews>
  <sheetFormatPr baseColWidth="10" defaultColWidth="11.44140625" defaultRowHeight="13.2" x14ac:dyDescent="0.25"/>
  <cols>
    <col min="1" max="1" width="36" style="20" customWidth="1"/>
    <col min="2" max="2" width="12.44140625" style="20" hidden="1" customWidth="1"/>
    <col min="3" max="26" width="8.5546875" style="20" hidden="1" customWidth="1"/>
    <col min="27" max="27" width="3.6640625" style="7" hidden="1" customWidth="1"/>
    <col min="28" max="31" width="13.44140625" style="7" customWidth="1"/>
    <col min="32" max="32" width="14.33203125" style="7" customWidth="1"/>
    <col min="33" max="52" width="14.33203125" style="7" hidden="1" customWidth="1"/>
    <col min="53" max="53" width="12.88671875" style="7" customWidth="1"/>
    <col min="54" max="54" width="2.44140625" style="7" customWidth="1"/>
    <col min="55" max="62" width="13.44140625" style="7" hidden="1" customWidth="1"/>
    <col min="63" max="79" width="2.44140625" style="7" hidden="1" customWidth="1"/>
    <col min="80" max="80" width="12.88671875" style="7" hidden="1" customWidth="1"/>
    <col min="81" max="81" width="2.44140625" style="7" hidden="1" customWidth="1"/>
    <col min="82" max="106" width="11.44140625" style="7" hidden="1" customWidth="1"/>
    <col min="107" max="107" width="18.33203125" style="7" bestFit="1" customWidth="1"/>
    <col min="108" max="16384" width="11.44140625" style="7"/>
  </cols>
  <sheetData>
    <row r="1" spans="1:106" ht="21" x14ac:dyDescent="0.4">
      <c r="A1" s="19" t="s">
        <v>1107</v>
      </c>
    </row>
    <row r="2" spans="1:106" ht="16.2" thickBot="1" x14ac:dyDescent="0.35">
      <c r="A2" s="7"/>
      <c r="AA2" s="196"/>
      <c r="AC2" s="740" t="s">
        <v>245</v>
      </c>
      <c r="AD2" s="741"/>
      <c r="AE2" s="741"/>
      <c r="BA2" s="53" t="str">
        <f ca="1">IF(AND(CELL("format",BA53)="%0",BA53&lt;&gt;1,BA53&gt;0),"Le total ne fait pas 100%","")</f>
        <v/>
      </c>
      <c r="BC2" s="196"/>
      <c r="BD2" s="196"/>
      <c r="BE2" s="196"/>
      <c r="BF2" s="196"/>
      <c r="BG2" s="196"/>
      <c r="BH2" s="196"/>
      <c r="BI2" s="196"/>
      <c r="BJ2" s="196"/>
      <c r="BK2" s="196"/>
      <c r="BL2" s="196"/>
      <c r="BM2" s="196"/>
      <c r="BN2" s="196"/>
      <c r="BO2" s="196"/>
      <c r="BP2" s="196"/>
      <c r="BQ2" s="196"/>
      <c r="BR2" s="196"/>
      <c r="BS2" s="196"/>
      <c r="BT2" s="196"/>
      <c r="BU2" s="196"/>
      <c r="BV2" s="196"/>
      <c r="BW2" s="196"/>
      <c r="BX2" s="196"/>
      <c r="BY2" s="196"/>
      <c r="BZ2" s="196"/>
      <c r="CA2" s="196"/>
      <c r="CB2" s="196"/>
    </row>
    <row r="3" spans="1:106" ht="39" customHeight="1" thickBot="1" x14ac:dyDescent="0.3">
      <c r="A3" s="184"/>
      <c r="B3" s="742" t="s">
        <v>1098</v>
      </c>
      <c r="C3" s="743"/>
      <c r="D3" s="743"/>
      <c r="E3" s="743"/>
      <c r="F3" s="743"/>
      <c r="G3" s="743"/>
      <c r="H3" s="743"/>
      <c r="I3" s="743"/>
      <c r="J3" s="743"/>
      <c r="K3" s="743"/>
      <c r="L3" s="743"/>
      <c r="M3" s="743"/>
      <c r="N3" s="743"/>
      <c r="O3" s="743"/>
      <c r="P3" s="743"/>
      <c r="Q3" s="743"/>
      <c r="R3" s="743"/>
      <c r="S3" s="743"/>
      <c r="T3" s="743"/>
      <c r="U3" s="743"/>
      <c r="V3" s="743"/>
      <c r="W3" s="743"/>
      <c r="X3" s="743"/>
      <c r="Y3" s="743"/>
      <c r="Z3" s="744"/>
      <c r="AB3" s="189"/>
      <c r="AC3" s="745"/>
      <c r="AD3" s="746"/>
      <c r="AE3" s="746"/>
      <c r="AF3" s="746"/>
      <c r="AG3" s="746"/>
      <c r="AH3" s="746"/>
      <c r="AI3" s="746"/>
      <c r="AJ3" s="746"/>
      <c r="AK3" s="746"/>
      <c r="AL3" s="746"/>
      <c r="AM3" s="746"/>
      <c r="AN3" s="746"/>
      <c r="AO3" s="746"/>
      <c r="AP3" s="746"/>
      <c r="AQ3" s="746"/>
      <c r="AR3" s="746"/>
      <c r="AS3" s="746"/>
      <c r="AT3" s="746"/>
      <c r="AU3" s="746"/>
      <c r="AV3" s="746"/>
      <c r="AW3" s="746"/>
      <c r="AX3" s="746"/>
      <c r="AY3" s="746"/>
      <c r="AZ3" s="747"/>
      <c r="BA3" s="748" t="s">
        <v>172</v>
      </c>
      <c r="BC3" s="674" t="s">
        <v>1099</v>
      </c>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t="s">
        <v>172</v>
      </c>
      <c r="CD3" s="737" t="s">
        <v>1100</v>
      </c>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9"/>
    </row>
    <row r="4" spans="1:106" ht="42" customHeight="1" x14ac:dyDescent="0.25">
      <c r="A4" s="44" t="s">
        <v>173</v>
      </c>
      <c r="B4" s="640" t="str">
        <f>Matrice[[#Headers],[OMR]]</f>
        <v>OMR</v>
      </c>
      <c r="C4" s="640" t="str">
        <f>Matrice[[#Headers],[Verre]]</f>
        <v>Verre</v>
      </c>
      <c r="D4" s="640" t="str">
        <f>Matrice[[#Headers],[RSOM hors verre]]</f>
        <v>RSOM hors verre</v>
      </c>
      <c r="E4" s="640" t="str">
        <f>Matrice[[#Headers],[Déchets des déchèteries]]</f>
        <v>Déchets des déchèteries</v>
      </c>
      <c r="F4" s="640" t="str">
        <f>Matrice[[#Headers],[Flux 5]]</f>
        <v>Flux 5</v>
      </c>
      <c r="G4" s="640" t="str">
        <f>Matrice[[#Headers],[Flux 6]]</f>
        <v>Flux 6</v>
      </c>
      <c r="H4" s="640" t="str">
        <f>Matrice[[#Headers],[Flux 7]]</f>
        <v>Flux 7</v>
      </c>
      <c r="I4" s="640" t="str">
        <f>Matrice[[#Headers],[Flux 8]]</f>
        <v>Flux 8</v>
      </c>
      <c r="J4" s="640" t="str">
        <f>Matrice[[#Headers],[Flux 9]]</f>
        <v>Flux 9</v>
      </c>
      <c r="K4" s="640" t="str">
        <f>Matrice[[#Headers],[Flux 10]]</f>
        <v>Flux 10</v>
      </c>
      <c r="L4" s="640" t="str">
        <f>Matrice[[#Headers],[Flux 11]]</f>
        <v>Flux 11</v>
      </c>
      <c r="M4" s="640" t="str">
        <f>Matrice[[#Headers],[Flux 12]]</f>
        <v>Flux 12</v>
      </c>
      <c r="N4" s="640" t="str">
        <f>Matrice[[#Headers],[Flux 13]]</f>
        <v>Flux 13</v>
      </c>
      <c r="O4" s="640" t="str">
        <f>Matrice[[#Headers],[Flux 14]]</f>
        <v>Flux 14</v>
      </c>
      <c r="P4" s="640" t="str">
        <f>Matrice[[#Headers],[Flux 15]]</f>
        <v>Flux 15</v>
      </c>
      <c r="Q4" s="640" t="str">
        <f>Matrice[[#Headers],[Flux 16]]</f>
        <v>Flux 16</v>
      </c>
      <c r="R4" s="640" t="str">
        <f>Matrice[[#Headers],[Flux 17]]</f>
        <v>Flux 17</v>
      </c>
      <c r="S4" s="640" t="str">
        <f>Matrice[[#Headers],[Flux 18]]</f>
        <v>Flux 18</v>
      </c>
      <c r="T4" s="640" t="str">
        <f>Matrice[[#Headers],[Flux 19]]</f>
        <v>Flux 19</v>
      </c>
      <c r="U4" s="640" t="str">
        <f>Matrice[[#Headers],[Flux 20]]</f>
        <v>Flux 20</v>
      </c>
      <c r="V4" s="640" t="str">
        <f>Matrice[[#Headers],[Flux 21]]</f>
        <v>Flux 21</v>
      </c>
      <c r="W4" s="640" t="str">
        <f>Matrice[[#Headers],[Flux 22]]</f>
        <v>Flux 22</v>
      </c>
      <c r="X4" s="640" t="str">
        <f>Matrice[[#Headers],[Flux 23]]</f>
        <v>Flux 23</v>
      </c>
      <c r="Y4" s="640" t="str">
        <f>Matrice[[#Headers],[Flux 24]]</f>
        <v>Flux 24</v>
      </c>
      <c r="Z4" s="640" t="str">
        <f>Matrice[[#Headers],[Flux 25]]</f>
        <v>Flux 25</v>
      </c>
      <c r="AA4" s="197"/>
      <c r="AB4" s="640" t="str">
        <f t="shared" ref="AB4:AZ4" si="0">B4</f>
        <v>OMR</v>
      </c>
      <c r="AC4" s="187" t="str">
        <f t="shared" si="0"/>
        <v>Verre</v>
      </c>
      <c r="AD4" s="187" t="str">
        <f t="shared" si="0"/>
        <v>RSOM hors verre</v>
      </c>
      <c r="AE4" s="187" t="str">
        <f t="shared" si="0"/>
        <v>Déchets des déchèteries</v>
      </c>
      <c r="AF4" s="187" t="str">
        <f t="shared" si="0"/>
        <v>Flux 5</v>
      </c>
      <c r="AG4" s="187" t="str">
        <f t="shared" si="0"/>
        <v>Flux 6</v>
      </c>
      <c r="AH4" s="187" t="str">
        <f t="shared" si="0"/>
        <v>Flux 7</v>
      </c>
      <c r="AI4" s="187" t="str">
        <f t="shared" si="0"/>
        <v>Flux 8</v>
      </c>
      <c r="AJ4" s="187" t="str">
        <f t="shared" si="0"/>
        <v>Flux 9</v>
      </c>
      <c r="AK4" s="187" t="str">
        <f t="shared" si="0"/>
        <v>Flux 10</v>
      </c>
      <c r="AL4" s="187" t="str">
        <f t="shared" si="0"/>
        <v>Flux 11</v>
      </c>
      <c r="AM4" s="187" t="str">
        <f t="shared" si="0"/>
        <v>Flux 12</v>
      </c>
      <c r="AN4" s="187" t="str">
        <f t="shared" si="0"/>
        <v>Flux 13</v>
      </c>
      <c r="AO4" s="187" t="str">
        <f t="shared" si="0"/>
        <v>Flux 14</v>
      </c>
      <c r="AP4" s="187" t="str">
        <f t="shared" si="0"/>
        <v>Flux 15</v>
      </c>
      <c r="AQ4" s="187" t="str">
        <f t="shared" si="0"/>
        <v>Flux 16</v>
      </c>
      <c r="AR4" s="187" t="str">
        <f t="shared" si="0"/>
        <v>Flux 17</v>
      </c>
      <c r="AS4" s="187" t="str">
        <f t="shared" si="0"/>
        <v>Flux 18</v>
      </c>
      <c r="AT4" s="187" t="str">
        <f t="shared" si="0"/>
        <v>Flux 19</v>
      </c>
      <c r="AU4" s="187" t="str">
        <f t="shared" si="0"/>
        <v>Flux 20</v>
      </c>
      <c r="AV4" s="187" t="str">
        <f t="shared" si="0"/>
        <v>Flux 21</v>
      </c>
      <c r="AW4" s="187" t="str">
        <f t="shared" si="0"/>
        <v>Flux 22</v>
      </c>
      <c r="AX4" s="187" t="str">
        <f t="shared" si="0"/>
        <v>Flux 23</v>
      </c>
      <c r="AY4" s="187" t="str">
        <f t="shared" si="0"/>
        <v>Flux 24</v>
      </c>
      <c r="AZ4" s="188" t="str">
        <f t="shared" si="0"/>
        <v>Flux 25</v>
      </c>
      <c r="BA4" s="675"/>
      <c r="BC4" s="640" t="str">
        <f>AB4</f>
        <v>OMR</v>
      </c>
      <c r="BD4" s="640" t="str">
        <f t="shared" ref="BD4" si="1">AC4</f>
        <v>Verre</v>
      </c>
      <c r="BE4" s="640" t="str">
        <f t="shared" ref="BE4" si="2">AD4</f>
        <v>RSOM hors verre</v>
      </c>
      <c r="BF4" s="640" t="str">
        <f t="shared" ref="BF4" si="3">AE4</f>
        <v>Déchets des déchèteries</v>
      </c>
      <c r="BG4" s="640" t="str">
        <f t="shared" ref="BG4" si="4">AF4</f>
        <v>Flux 5</v>
      </c>
      <c r="BH4" s="640" t="str">
        <f t="shared" ref="BH4" si="5">AG4</f>
        <v>Flux 6</v>
      </c>
      <c r="BI4" s="640" t="str">
        <f t="shared" ref="BI4" si="6">AH4</f>
        <v>Flux 7</v>
      </c>
      <c r="BJ4" s="640" t="str">
        <f t="shared" ref="BJ4" si="7">AI4</f>
        <v>Flux 8</v>
      </c>
      <c r="BK4" s="640" t="str">
        <f t="shared" ref="BK4" si="8">AJ4</f>
        <v>Flux 9</v>
      </c>
      <c r="BL4" s="640" t="str">
        <f t="shared" ref="BL4" si="9">AK4</f>
        <v>Flux 10</v>
      </c>
      <c r="BM4" s="640" t="str">
        <f t="shared" ref="BM4" si="10">AL4</f>
        <v>Flux 11</v>
      </c>
      <c r="BN4" s="640" t="str">
        <f t="shared" ref="BN4" si="11">AM4</f>
        <v>Flux 12</v>
      </c>
      <c r="BO4" s="640" t="str">
        <f t="shared" ref="BO4" si="12">AN4</f>
        <v>Flux 13</v>
      </c>
      <c r="BP4" s="640" t="str">
        <f t="shared" ref="BP4" si="13">AO4</f>
        <v>Flux 14</v>
      </c>
      <c r="BQ4" s="640" t="str">
        <f t="shared" ref="BQ4" si="14">AP4</f>
        <v>Flux 15</v>
      </c>
      <c r="BR4" s="640" t="str">
        <f t="shared" ref="BR4" si="15">AQ4</f>
        <v>Flux 16</v>
      </c>
      <c r="BS4" s="640" t="str">
        <f t="shared" ref="BS4" si="16">AR4</f>
        <v>Flux 17</v>
      </c>
      <c r="BT4" s="640" t="str">
        <f t="shared" ref="BT4" si="17">AS4</f>
        <v>Flux 18</v>
      </c>
      <c r="BU4" s="640" t="str">
        <f t="shared" ref="BU4" si="18">AT4</f>
        <v>Flux 19</v>
      </c>
      <c r="BV4" s="640" t="str">
        <f t="shared" ref="BV4" si="19">AU4</f>
        <v>Flux 20</v>
      </c>
      <c r="BW4" s="640" t="str">
        <f t="shared" ref="BW4" si="20">AV4</f>
        <v>Flux 21</v>
      </c>
      <c r="BX4" s="640" t="str">
        <f t="shared" ref="BX4" si="21">AW4</f>
        <v>Flux 22</v>
      </c>
      <c r="BY4" s="640" t="str">
        <f t="shared" ref="BY4" si="22">AX4</f>
        <v>Flux 23</v>
      </c>
      <c r="BZ4" s="640" t="str">
        <f t="shared" ref="BZ4" si="23">AY4</f>
        <v>Flux 24</v>
      </c>
      <c r="CA4" s="640" t="str">
        <f t="shared" ref="CA4" si="24">AZ4</f>
        <v>Flux 25</v>
      </c>
      <c r="CB4" s="675"/>
      <c r="CD4" s="185" t="str">
        <f>Matrice[[#Headers],[OMR]]</f>
        <v>OMR</v>
      </c>
      <c r="CE4" s="185" t="str">
        <f>Matrice[[#Headers],[Verre]]</f>
        <v>Verre</v>
      </c>
      <c r="CF4" s="185" t="str">
        <f>Matrice[[#Headers],[RSOM hors verre]]</f>
        <v>RSOM hors verre</v>
      </c>
      <c r="CG4" s="185" t="str">
        <f>Matrice[[#Headers],[Déchets des déchèteries]]</f>
        <v>Déchets des déchèteries</v>
      </c>
      <c r="CH4" s="185" t="str">
        <f>Matrice[[#Headers],[Flux 5]]</f>
        <v>Flux 5</v>
      </c>
      <c r="CI4" s="185" t="str">
        <f>Matrice[[#Headers],[Flux 6]]</f>
        <v>Flux 6</v>
      </c>
      <c r="CJ4" s="185" t="str">
        <f>Matrice[[#Headers],[Flux 7]]</f>
        <v>Flux 7</v>
      </c>
      <c r="CK4" s="185" t="str">
        <f>Matrice[[#Headers],[Flux 8]]</f>
        <v>Flux 8</v>
      </c>
      <c r="CL4" s="185" t="str">
        <f>Matrice[[#Headers],[Flux 9]]</f>
        <v>Flux 9</v>
      </c>
      <c r="CM4" s="185" t="str">
        <f>Matrice[[#Headers],[Flux 10]]</f>
        <v>Flux 10</v>
      </c>
      <c r="CN4" s="185" t="str">
        <f>Matrice[[#Headers],[Flux 11]]</f>
        <v>Flux 11</v>
      </c>
      <c r="CO4" s="185" t="str">
        <f>Matrice[[#Headers],[Flux 12]]</f>
        <v>Flux 12</v>
      </c>
      <c r="CP4" s="185" t="str">
        <f>Matrice[[#Headers],[Flux 13]]</f>
        <v>Flux 13</v>
      </c>
      <c r="CQ4" s="185" t="str">
        <f>Matrice[[#Headers],[Flux 14]]</f>
        <v>Flux 14</v>
      </c>
      <c r="CR4" s="185" t="str">
        <f>Matrice[[#Headers],[Flux 15]]</f>
        <v>Flux 15</v>
      </c>
      <c r="CS4" s="185" t="str">
        <f>Matrice[[#Headers],[Flux 16]]</f>
        <v>Flux 16</v>
      </c>
      <c r="CT4" s="185" t="str">
        <f>Matrice[[#Headers],[Flux 17]]</f>
        <v>Flux 17</v>
      </c>
      <c r="CU4" s="185" t="str">
        <f>Matrice[[#Headers],[Flux 18]]</f>
        <v>Flux 18</v>
      </c>
      <c r="CV4" s="185" t="str">
        <f>Matrice[[#Headers],[Flux 19]]</f>
        <v>Flux 19</v>
      </c>
      <c r="CW4" s="185" t="str">
        <f>Matrice[[#Headers],[Flux 20]]</f>
        <v>Flux 20</v>
      </c>
      <c r="CX4" s="185" t="str">
        <f>Matrice[[#Headers],[Flux 21]]</f>
        <v>Flux 21</v>
      </c>
      <c r="CY4" s="185" t="str">
        <f>Matrice[[#Headers],[Flux 22]]</f>
        <v>Flux 22</v>
      </c>
      <c r="CZ4" s="185" t="str">
        <f>Matrice[[#Headers],[Flux 23]]</f>
        <v>Flux 23</v>
      </c>
      <c r="DA4" s="185" t="str">
        <f>Matrice[[#Headers],[Flux 24]]</f>
        <v>Flux 24</v>
      </c>
      <c r="DB4" s="185" t="str">
        <f>Matrice[[#Headers],[Flux 25]]</f>
        <v>Flux 25</v>
      </c>
    </row>
    <row r="5" spans="1:106" x14ac:dyDescent="0.25">
      <c r="A5" s="42" t="str">
        <f>Matrice[[#This Row],[Ligne de la matrice]]</f>
        <v>Charges de structure</v>
      </c>
      <c r="B5" s="276">
        <f>(SUMIF(Fonctionnement[Affectation matrice],$AB$3,Fonctionnement[Montant (€HT)])+SUMIF(Invest[Affectation matrice],$AB$3,Invest[Amortissement HT + intérêts]))*BC5</f>
        <v>0</v>
      </c>
      <c r="C5" s="276">
        <f>(SUMIF(Fonctionnement[Affectation matrice],$AB$3,Fonctionnement[Montant (€HT)])+SUMIF(Invest[Affectation matrice],$AB$3,Invest[Amortissement HT + intérêts]))*BD5</f>
        <v>0</v>
      </c>
      <c r="D5" s="276">
        <f>(SUMIF(Fonctionnement[Affectation matrice],$AB$3,Fonctionnement[Montant (€HT)])+SUMIF(Invest[Affectation matrice],$AB$3,Invest[Amortissement HT + intérêts]))*BE5</f>
        <v>0</v>
      </c>
      <c r="E5" s="276">
        <f>(SUMIF(Fonctionnement[Affectation matrice],$AB$3,Fonctionnement[Montant (€HT)])+SUMIF(Invest[Affectation matrice],$AB$3,Invest[Amortissement HT + intérêts]))*BF5</f>
        <v>0</v>
      </c>
      <c r="F5" s="276">
        <f>(SUMIF(Fonctionnement[Affectation matrice],$AB$3,Fonctionnement[Montant (€HT)])+SUMIF(Invest[Affectation matrice],$AB$3,Invest[Amortissement HT + intérêts]))*BG5</f>
        <v>0</v>
      </c>
      <c r="G5" s="276">
        <f>(SUMIF(Fonctionnement[Affectation matrice],$AB$3,Fonctionnement[Montant (€HT)])+SUMIF(Invest[Affectation matrice],$AB$3,Invest[Amortissement HT + intérêts]))*BH5</f>
        <v>0</v>
      </c>
      <c r="H5" s="276">
        <f>(SUMIF(Fonctionnement[Affectation matrice],$AB$3,Fonctionnement[Montant (€HT)])+SUMIF(Invest[Affectation matrice],$AB$3,Invest[Amortissement HT + intérêts]))*BI5</f>
        <v>0</v>
      </c>
      <c r="I5" s="276">
        <f>(SUMIF(Fonctionnement[Affectation matrice],$AB$3,Fonctionnement[Montant (€HT)])+SUMIF(Invest[Affectation matrice],$AB$3,Invest[Amortissement HT + intérêts]))*BJ5</f>
        <v>0</v>
      </c>
      <c r="J5" s="276">
        <f>(SUMIF(Fonctionnement[Affectation matrice],$AB$3,Fonctionnement[Montant (€HT)])+SUMIF(Invest[Affectation matrice],$AB$3,Invest[Amortissement HT + intérêts]))*BK5</f>
        <v>0</v>
      </c>
      <c r="K5" s="276">
        <f>(SUMIF(Fonctionnement[Affectation matrice],$AB$3,Fonctionnement[Montant (€HT)])+SUMIF(Invest[Affectation matrice],$AB$3,Invest[Amortissement HT + intérêts]))*BL5</f>
        <v>0</v>
      </c>
      <c r="L5" s="276">
        <f>(SUMIF(Fonctionnement[Affectation matrice],$AB$3,Fonctionnement[Montant (€HT)])+SUMIF(Invest[Affectation matrice],$AB$3,Invest[Amortissement HT + intérêts]))*BM5</f>
        <v>0</v>
      </c>
      <c r="M5" s="276">
        <f>(SUMIF(Fonctionnement[Affectation matrice],$AB$3,Fonctionnement[Montant (€HT)])+SUMIF(Invest[Affectation matrice],$AB$3,Invest[Amortissement HT + intérêts]))*BN5</f>
        <v>0</v>
      </c>
      <c r="N5" s="276">
        <f>(SUMIF(Fonctionnement[Affectation matrice],$AB$3,Fonctionnement[Montant (€HT)])+SUMIF(Invest[Affectation matrice],$AB$3,Invest[Amortissement HT + intérêts]))*BO5</f>
        <v>0</v>
      </c>
      <c r="O5" s="276">
        <f>(SUMIF(Fonctionnement[Affectation matrice],$AB$3,Fonctionnement[Montant (€HT)])+SUMIF(Invest[Affectation matrice],$AB$3,Invest[Amortissement HT + intérêts]))*BP5</f>
        <v>0</v>
      </c>
      <c r="P5" s="276">
        <f>(SUMIF(Fonctionnement[Affectation matrice],$AB$3,Fonctionnement[Montant (€HT)])+SUMIF(Invest[Affectation matrice],$AB$3,Invest[Amortissement HT + intérêts]))*BQ5</f>
        <v>0</v>
      </c>
      <c r="Q5" s="276">
        <f>(SUMIF(Fonctionnement[Affectation matrice],$AB$3,Fonctionnement[Montant (€HT)])+SUMIF(Invest[Affectation matrice],$AB$3,Invest[Amortissement HT + intérêts]))*BR5</f>
        <v>0</v>
      </c>
      <c r="R5" s="276">
        <f>(SUMIF(Fonctionnement[Affectation matrice],$AB$3,Fonctionnement[Montant (€HT)])+SUMIF(Invest[Affectation matrice],$AB$3,Invest[Amortissement HT + intérêts]))*BS5</f>
        <v>0</v>
      </c>
      <c r="S5" s="276">
        <f>(SUMIF(Fonctionnement[Affectation matrice],$AB$3,Fonctionnement[Montant (€HT)])+SUMIF(Invest[Affectation matrice],$AB$3,Invest[Amortissement HT + intérêts]))*BT5</f>
        <v>0</v>
      </c>
      <c r="T5" s="276">
        <f>(SUMIF(Fonctionnement[Affectation matrice],$AB$3,Fonctionnement[Montant (€HT)])+SUMIF(Invest[Affectation matrice],$AB$3,Invest[Amortissement HT + intérêts]))*BU5</f>
        <v>0</v>
      </c>
      <c r="U5" s="276">
        <f>(SUMIF(Fonctionnement[Affectation matrice],$AB$3,Fonctionnement[Montant (€HT)])+SUMIF(Invest[Affectation matrice],$AB$3,Invest[Amortissement HT + intérêts]))*BV5</f>
        <v>0</v>
      </c>
      <c r="V5" s="276">
        <f>(SUMIF(Fonctionnement[Affectation matrice],$AB$3,Fonctionnement[Montant (€HT)])+SUMIF(Invest[Affectation matrice],$AB$3,Invest[Amortissement HT + intérêts]))*BW5</f>
        <v>0</v>
      </c>
      <c r="W5" s="276">
        <f>(SUMIF(Fonctionnement[Affectation matrice],$AB$3,Fonctionnement[Montant (€HT)])+SUMIF(Invest[Affectation matrice],$AB$3,Invest[Amortissement HT + intérêts]))*BX5</f>
        <v>0</v>
      </c>
      <c r="X5" s="276">
        <f>(SUMIF(Fonctionnement[Affectation matrice],$AB$3,Fonctionnement[Montant (€HT)])+SUMIF(Invest[Affectation matrice],$AB$3,Invest[Amortissement HT + intérêts]))*BY5</f>
        <v>0</v>
      </c>
      <c r="Y5" s="276">
        <f>(SUMIF(Fonctionnement[Affectation matrice],$AB$3,Fonctionnement[Montant (€HT)])+SUMIF(Invest[Affectation matrice],$AB$3,Invest[Amortissement HT + intérêts]))*BZ5</f>
        <v>0</v>
      </c>
      <c r="Z5" s="276">
        <f>(SUMIF(Fonctionnement[Affectation matrice],$AB$3,Fonctionnement[Montant (€HT)])+SUMIF(Invest[Affectation matrice],$AB$3,Invest[Amortissement HT + intérêts]))*CA5</f>
        <v>0</v>
      </c>
      <c r="AA5" s="199"/>
      <c r="AB5" s="302" t="str">
        <f t="shared" ref="AB5:AK14" si="25">IFERROR(SUMIF($DC$56:$DC$76,$A5,AB$56:AB$76)/Total,"")</f>
        <v/>
      </c>
      <c r="AC5" s="302" t="str">
        <f t="shared" si="25"/>
        <v/>
      </c>
      <c r="AD5" s="302" t="str">
        <f t="shared" si="25"/>
        <v/>
      </c>
      <c r="AE5" s="302" t="str">
        <f t="shared" si="25"/>
        <v/>
      </c>
      <c r="AF5" s="302" t="str">
        <f t="shared" si="25"/>
        <v/>
      </c>
      <c r="AG5" s="302" t="str">
        <f t="shared" si="25"/>
        <v/>
      </c>
      <c r="AH5" s="302" t="str">
        <f t="shared" si="25"/>
        <v/>
      </c>
      <c r="AI5" s="302" t="str">
        <f t="shared" si="25"/>
        <v/>
      </c>
      <c r="AJ5" s="302" t="str">
        <f t="shared" si="25"/>
        <v/>
      </c>
      <c r="AK5" s="302" t="str">
        <f t="shared" si="25"/>
        <v/>
      </c>
      <c r="AL5" s="302" t="str">
        <f t="shared" ref="AL5:BA20" si="26">IFERROR(SUMIF($DC$56:$DC$76,$A5,AL$56:AL$76)/Total,"")</f>
        <v/>
      </c>
      <c r="AM5" s="302" t="str">
        <f t="shared" si="26"/>
        <v/>
      </c>
      <c r="AN5" s="302" t="str">
        <f t="shared" si="26"/>
        <v/>
      </c>
      <c r="AO5" s="302" t="str">
        <f t="shared" si="26"/>
        <v/>
      </c>
      <c r="AP5" s="302" t="str">
        <f t="shared" si="26"/>
        <v/>
      </c>
      <c r="AQ5" s="302" t="str">
        <f t="shared" si="26"/>
        <v/>
      </c>
      <c r="AR5" s="302" t="str">
        <f t="shared" si="26"/>
        <v/>
      </c>
      <c r="AS5" s="302" t="str">
        <f t="shared" si="26"/>
        <v/>
      </c>
      <c r="AT5" s="302" t="str">
        <f t="shared" si="26"/>
        <v/>
      </c>
      <c r="AU5" s="302" t="str">
        <f t="shared" si="26"/>
        <v/>
      </c>
      <c r="AV5" s="302" t="str">
        <f t="shared" si="26"/>
        <v/>
      </c>
      <c r="AW5" s="302" t="str">
        <f t="shared" si="26"/>
        <v/>
      </c>
      <c r="AX5" s="302" t="str">
        <f t="shared" si="26"/>
        <v/>
      </c>
      <c r="AY5" s="302" t="str">
        <f t="shared" si="26"/>
        <v/>
      </c>
      <c r="AZ5" s="302" t="str">
        <f t="shared" si="26"/>
        <v/>
      </c>
      <c r="BA5" s="283" t="str">
        <f t="shared" si="26"/>
        <v/>
      </c>
      <c r="BC5" s="61">
        <f t="shared" ref="BC5:BC22" si="27">IF($BA$53=0,0,AB5/$BA$53)</f>
        <v>0</v>
      </c>
      <c r="BD5" s="61">
        <f t="shared" ref="BD5:BD22" si="28">IF($BA$53=0,0,AC5/$BA$53)</f>
        <v>0</v>
      </c>
      <c r="BE5" s="61">
        <f t="shared" ref="BE5:BE22" si="29">IF($BA$53=0,0,AD5/$BA$53)</f>
        <v>0</v>
      </c>
      <c r="BF5" s="61">
        <f t="shared" ref="BF5:BF22" si="30">IF($BA$53=0,0,AE5/$BA$53)</f>
        <v>0</v>
      </c>
      <c r="BG5" s="61">
        <f t="shared" ref="BG5:BG22" si="31">IF($BA$53=0,0,AF5/$BA$53)</f>
        <v>0</v>
      </c>
      <c r="BH5" s="61">
        <f t="shared" ref="BH5:BH22" si="32">IF($BA$53=0,0,AG5/$BA$53)</f>
        <v>0</v>
      </c>
      <c r="BI5" s="61">
        <f t="shared" ref="BI5:BI22" si="33">IF($BA$53=0,0,AH5/$BA$53)</f>
        <v>0</v>
      </c>
      <c r="BJ5" s="61">
        <f t="shared" ref="BJ5:BJ22" si="34">IF($BA$53=0,0,AI5/$BA$53)</f>
        <v>0</v>
      </c>
      <c r="BK5" s="61">
        <f t="shared" ref="BK5:BK22" si="35">IF($BA$53=0,0,AJ5/$BA$53)</f>
        <v>0</v>
      </c>
      <c r="BL5" s="61">
        <f t="shared" ref="BL5:BL22" si="36">IF($BA$53=0,0,AK5/$BA$53)</f>
        <v>0</v>
      </c>
      <c r="BM5" s="61">
        <f t="shared" ref="BM5:BM22" si="37">IF($BA$53=0,0,AL5/$BA$53)</f>
        <v>0</v>
      </c>
      <c r="BN5" s="61">
        <f t="shared" ref="BN5:BN22" si="38">IF($BA$53=0,0,AM5/$BA$53)</f>
        <v>0</v>
      </c>
      <c r="BO5" s="61">
        <f t="shared" ref="BO5:BO22" si="39">IF($BA$53=0,0,AN5/$BA$53)</f>
        <v>0</v>
      </c>
      <c r="BP5" s="61">
        <f t="shared" ref="BP5:BP22" si="40">IF($BA$53=0,0,AO5/$BA$53)</f>
        <v>0</v>
      </c>
      <c r="BQ5" s="61">
        <f t="shared" ref="BQ5:BQ22" si="41">IF($BA$53=0,0,AP5/$BA$53)</f>
        <v>0</v>
      </c>
      <c r="BR5" s="61">
        <f t="shared" ref="BR5:BR22" si="42">IF($BA$53=0,0,AQ5/$BA$53)</f>
        <v>0</v>
      </c>
      <c r="BS5" s="61">
        <f t="shared" ref="BS5:BS22" si="43">IF($BA$53=0,0,AR5/$BA$53)</f>
        <v>0</v>
      </c>
      <c r="BT5" s="61">
        <f t="shared" ref="BT5:BT22" si="44">IF($BA$53=0,0,AS5/$BA$53)</f>
        <v>0</v>
      </c>
      <c r="BU5" s="61">
        <f t="shared" ref="BU5:BU22" si="45">IF($BA$53=0,0,AT5/$BA$53)</f>
        <v>0</v>
      </c>
      <c r="BV5" s="61">
        <f t="shared" ref="BV5:BV22" si="46">IF($BA$53=0,0,AU5/$BA$53)</f>
        <v>0</v>
      </c>
      <c r="BW5" s="61">
        <f t="shared" ref="BW5:BW22" si="47">IF($BA$53=0,0,AV5/$BA$53)</f>
        <v>0</v>
      </c>
      <c r="BX5" s="61">
        <f t="shared" ref="BX5:BX22" si="48">IF($BA$53=0,0,AW5/$BA$53)</f>
        <v>0</v>
      </c>
      <c r="BY5" s="61">
        <f t="shared" ref="BY5:BY22" si="49">IF($BA$53=0,0,AX5/$BA$53)</f>
        <v>0</v>
      </c>
      <c r="BZ5" s="61">
        <f t="shared" ref="BZ5:BZ22" si="50">IF($BA$53=0,0,AY5/$BA$53)</f>
        <v>0</v>
      </c>
      <c r="CA5" s="61">
        <f t="shared" ref="CA5:CA22" si="51">IF($BA$53=0,0,AZ5/$BA$53)</f>
        <v>0</v>
      </c>
      <c r="CB5" s="61">
        <f>SUM(BC5:CA5)</f>
        <v>0</v>
      </c>
      <c r="CD5" s="200">
        <f>(SUMIF(Fonctionnement[Affectation matrice],$AB$3,Fonctionnement[TVA acquittée])+SUMIF(Invest[Affectation matrice],$AB$3,Invest[TVA acquittée]))*BC5</f>
        <v>0</v>
      </c>
      <c r="CE5" s="200">
        <f>(SUMIF(Fonctionnement[Affectation matrice],$AB$3,Fonctionnement[TVA acquittée])+SUMIF(Invest[Affectation matrice],$AB$3,Invest[TVA acquittée]))*BD5</f>
        <v>0</v>
      </c>
      <c r="CF5" s="200">
        <f>(SUMIF(Fonctionnement[Affectation matrice],$AB$3,Fonctionnement[TVA acquittée])+SUMIF(Invest[Affectation matrice],$AB$3,Invest[TVA acquittée]))*BE5</f>
        <v>0</v>
      </c>
      <c r="CG5" s="200">
        <f>(SUMIF(Fonctionnement[Affectation matrice],$AB$3,Fonctionnement[TVA acquittée])+SUMIF(Invest[Affectation matrice],$AB$3,Invest[TVA acquittée]))*BF5</f>
        <v>0</v>
      </c>
      <c r="CH5" s="200">
        <f>(SUMIF(Fonctionnement[Affectation matrice],$AB$3,Fonctionnement[TVA acquittée])+SUMIF(Invest[Affectation matrice],$AB$3,Invest[TVA acquittée]))*BG5</f>
        <v>0</v>
      </c>
      <c r="CI5" s="200">
        <f>(SUMIF(Fonctionnement[Affectation matrice],$AB$3,Fonctionnement[TVA acquittée])+SUMIF(Invest[Affectation matrice],$AB$3,Invest[TVA acquittée]))*BH5</f>
        <v>0</v>
      </c>
      <c r="CJ5" s="200">
        <f>(SUMIF(Fonctionnement[Affectation matrice],$AB$3,Fonctionnement[TVA acquittée])+SUMIF(Invest[Affectation matrice],$AB$3,Invest[TVA acquittée]))*BI5</f>
        <v>0</v>
      </c>
      <c r="CK5" s="200">
        <f>(SUMIF(Fonctionnement[Affectation matrice],$AB$3,Fonctionnement[TVA acquittée])+SUMIF(Invest[Affectation matrice],$AB$3,Invest[TVA acquittée]))*BJ5</f>
        <v>0</v>
      </c>
      <c r="CL5" s="200">
        <f>(SUMIF(Fonctionnement[Affectation matrice],$AB$3,Fonctionnement[TVA acquittée])+SUMIF(Invest[Affectation matrice],$AB$3,Invest[TVA acquittée]))*BK5</f>
        <v>0</v>
      </c>
      <c r="CM5" s="200">
        <f>(SUMIF(Fonctionnement[Affectation matrice],$AB$3,Fonctionnement[TVA acquittée])+SUMIF(Invest[Affectation matrice],$AB$3,Invest[TVA acquittée]))*BL5</f>
        <v>0</v>
      </c>
      <c r="CN5" s="200">
        <f>(SUMIF(Fonctionnement[Affectation matrice],$AB$3,Fonctionnement[TVA acquittée])+SUMIF(Invest[Affectation matrice],$AB$3,Invest[TVA acquittée]))*BM5</f>
        <v>0</v>
      </c>
      <c r="CO5" s="200">
        <f>(SUMIF(Fonctionnement[Affectation matrice],$AB$3,Fonctionnement[TVA acquittée])+SUMIF(Invest[Affectation matrice],$AB$3,Invest[TVA acquittée]))*BN5</f>
        <v>0</v>
      </c>
      <c r="CP5" s="200">
        <f>(SUMIF(Fonctionnement[Affectation matrice],$AB$3,Fonctionnement[TVA acquittée])+SUMIF(Invest[Affectation matrice],$AB$3,Invest[TVA acquittée]))*BO5</f>
        <v>0</v>
      </c>
      <c r="CQ5" s="200">
        <f>(SUMIF(Fonctionnement[Affectation matrice],$AB$3,Fonctionnement[TVA acquittée])+SUMIF(Invest[Affectation matrice],$AB$3,Invest[TVA acquittée]))*BP5</f>
        <v>0</v>
      </c>
      <c r="CR5" s="200">
        <f>(SUMIF(Fonctionnement[Affectation matrice],$AB$3,Fonctionnement[TVA acquittée])+SUMIF(Invest[Affectation matrice],$AB$3,Invest[TVA acquittée]))*BQ5</f>
        <v>0</v>
      </c>
      <c r="CS5" s="200">
        <f>(SUMIF(Fonctionnement[Affectation matrice],$AB$3,Fonctionnement[TVA acquittée])+SUMIF(Invest[Affectation matrice],$AB$3,Invest[TVA acquittée]))*BR5</f>
        <v>0</v>
      </c>
      <c r="CT5" s="200">
        <f>(SUMIF(Fonctionnement[Affectation matrice],$AB$3,Fonctionnement[TVA acquittée])+SUMIF(Invest[Affectation matrice],$AB$3,Invest[TVA acquittée]))*BS5</f>
        <v>0</v>
      </c>
      <c r="CU5" s="200">
        <f>(SUMIF(Fonctionnement[Affectation matrice],$AB$3,Fonctionnement[TVA acquittée])+SUMIF(Invest[Affectation matrice],$AB$3,Invest[TVA acquittée]))*BT5</f>
        <v>0</v>
      </c>
      <c r="CV5" s="200">
        <f>(SUMIF(Fonctionnement[Affectation matrice],$AB$3,Fonctionnement[TVA acquittée])+SUMIF(Invest[Affectation matrice],$AB$3,Invest[TVA acquittée]))*BU5</f>
        <v>0</v>
      </c>
      <c r="CW5" s="200">
        <f>(SUMIF(Fonctionnement[Affectation matrice],$AB$3,Fonctionnement[TVA acquittée])+SUMIF(Invest[Affectation matrice],$AB$3,Invest[TVA acquittée]))*BV5</f>
        <v>0</v>
      </c>
      <c r="CX5" s="200">
        <f>(SUMIF(Fonctionnement[Affectation matrice],$AB$3,Fonctionnement[TVA acquittée])+SUMIF(Invest[Affectation matrice],$AB$3,Invest[TVA acquittée]))*BW5</f>
        <v>0</v>
      </c>
      <c r="CY5" s="200">
        <f>(SUMIF(Fonctionnement[Affectation matrice],$AB$3,Fonctionnement[TVA acquittée])+SUMIF(Invest[Affectation matrice],$AB$3,Invest[TVA acquittée]))*BX5</f>
        <v>0</v>
      </c>
      <c r="CZ5" s="200">
        <f>(SUMIF(Fonctionnement[Affectation matrice],$AB$3,Fonctionnement[TVA acquittée])+SUMIF(Invest[Affectation matrice],$AB$3,Invest[TVA acquittée]))*BY5</f>
        <v>0</v>
      </c>
      <c r="DA5" s="200">
        <f>(SUMIF(Fonctionnement[Affectation matrice],$AB$3,Fonctionnement[TVA acquittée])+SUMIF(Invest[Affectation matrice],$AB$3,Invest[TVA acquittée]))*BZ5</f>
        <v>0</v>
      </c>
      <c r="DB5" s="200">
        <f>(SUMIF(Fonctionnement[Affectation matrice],$AB$3,Fonctionnement[TVA acquittée])+SUMIF(Invest[Affectation matrice],$AB$3,Invest[TVA acquittée]))*CA5</f>
        <v>0</v>
      </c>
    </row>
    <row r="6" spans="1:106" ht="15" customHeight="1" x14ac:dyDescent="0.25">
      <c r="A6" s="42" t="str">
        <f>Matrice[[#This Row],[Ligne de la matrice]]</f>
        <v>Communication</v>
      </c>
      <c r="B6" s="276">
        <f>(SUMIF(Fonctionnement[Affectation matrice],$AB$3,Fonctionnement[Montant (€HT)])+SUMIF(Invest[Affectation matrice],$AB$3,Invest[Amortissement HT + intérêts]))*BC6</f>
        <v>0</v>
      </c>
      <c r="C6" s="276">
        <f>(SUMIF(Fonctionnement[Affectation matrice],$AB$3,Fonctionnement[Montant (€HT)])+SUMIF(Invest[Affectation matrice],$AB$3,Invest[Amortissement HT + intérêts]))*BD6</f>
        <v>0</v>
      </c>
      <c r="D6" s="276">
        <f>(SUMIF(Fonctionnement[Affectation matrice],$AB$3,Fonctionnement[Montant (€HT)])+SUMIF(Invest[Affectation matrice],$AB$3,Invest[Amortissement HT + intérêts]))*BE6</f>
        <v>0</v>
      </c>
      <c r="E6" s="276">
        <f>(SUMIF(Fonctionnement[Affectation matrice],$AB$3,Fonctionnement[Montant (€HT)])+SUMIF(Invest[Affectation matrice],$AB$3,Invest[Amortissement HT + intérêts]))*BF6</f>
        <v>0</v>
      </c>
      <c r="F6" s="276">
        <f>(SUMIF(Fonctionnement[Affectation matrice],$AB$3,Fonctionnement[Montant (€HT)])+SUMIF(Invest[Affectation matrice],$AB$3,Invest[Amortissement HT + intérêts]))*BG6</f>
        <v>0</v>
      </c>
      <c r="G6" s="276">
        <f>(SUMIF(Fonctionnement[Affectation matrice],$AB$3,Fonctionnement[Montant (€HT)])+SUMIF(Invest[Affectation matrice],$AB$3,Invest[Amortissement HT + intérêts]))*BH6</f>
        <v>0</v>
      </c>
      <c r="H6" s="276">
        <f>(SUMIF(Fonctionnement[Affectation matrice],$AB$3,Fonctionnement[Montant (€HT)])+SUMIF(Invest[Affectation matrice],$AB$3,Invest[Amortissement HT + intérêts]))*BI6</f>
        <v>0</v>
      </c>
      <c r="I6" s="276">
        <f>(SUMIF(Fonctionnement[Affectation matrice],$AB$3,Fonctionnement[Montant (€HT)])+SUMIF(Invest[Affectation matrice],$AB$3,Invest[Amortissement HT + intérêts]))*BJ6</f>
        <v>0</v>
      </c>
      <c r="J6" s="276">
        <f>(SUMIF(Fonctionnement[Affectation matrice],$AB$3,Fonctionnement[Montant (€HT)])+SUMIF(Invest[Affectation matrice],$AB$3,Invest[Amortissement HT + intérêts]))*BK6</f>
        <v>0</v>
      </c>
      <c r="K6" s="276">
        <f>(SUMIF(Fonctionnement[Affectation matrice],$AB$3,Fonctionnement[Montant (€HT)])+SUMIF(Invest[Affectation matrice],$AB$3,Invest[Amortissement HT + intérêts]))*BL6</f>
        <v>0</v>
      </c>
      <c r="L6" s="276">
        <f>(SUMIF(Fonctionnement[Affectation matrice],$AB$3,Fonctionnement[Montant (€HT)])+SUMIF(Invest[Affectation matrice],$AB$3,Invest[Amortissement HT + intérêts]))*BM6</f>
        <v>0</v>
      </c>
      <c r="M6" s="276">
        <f>(SUMIF(Fonctionnement[Affectation matrice],$AB$3,Fonctionnement[Montant (€HT)])+SUMIF(Invest[Affectation matrice],$AB$3,Invest[Amortissement HT + intérêts]))*BN6</f>
        <v>0</v>
      </c>
      <c r="N6" s="276">
        <f>(SUMIF(Fonctionnement[Affectation matrice],$AB$3,Fonctionnement[Montant (€HT)])+SUMIF(Invest[Affectation matrice],$AB$3,Invest[Amortissement HT + intérêts]))*BO6</f>
        <v>0</v>
      </c>
      <c r="O6" s="276">
        <f>(SUMIF(Fonctionnement[Affectation matrice],$AB$3,Fonctionnement[Montant (€HT)])+SUMIF(Invest[Affectation matrice],$AB$3,Invest[Amortissement HT + intérêts]))*BP6</f>
        <v>0</v>
      </c>
      <c r="P6" s="276">
        <f>(SUMIF(Fonctionnement[Affectation matrice],$AB$3,Fonctionnement[Montant (€HT)])+SUMIF(Invest[Affectation matrice],$AB$3,Invest[Amortissement HT + intérêts]))*BQ6</f>
        <v>0</v>
      </c>
      <c r="Q6" s="276">
        <f>(SUMIF(Fonctionnement[Affectation matrice],$AB$3,Fonctionnement[Montant (€HT)])+SUMIF(Invest[Affectation matrice],$AB$3,Invest[Amortissement HT + intérêts]))*BR6</f>
        <v>0</v>
      </c>
      <c r="R6" s="276">
        <f>(SUMIF(Fonctionnement[Affectation matrice],$AB$3,Fonctionnement[Montant (€HT)])+SUMIF(Invest[Affectation matrice],$AB$3,Invest[Amortissement HT + intérêts]))*BS6</f>
        <v>0</v>
      </c>
      <c r="S6" s="276">
        <f>(SUMIF(Fonctionnement[Affectation matrice],$AB$3,Fonctionnement[Montant (€HT)])+SUMIF(Invest[Affectation matrice],$AB$3,Invest[Amortissement HT + intérêts]))*BT6</f>
        <v>0</v>
      </c>
      <c r="T6" s="276">
        <f>(SUMIF(Fonctionnement[Affectation matrice],$AB$3,Fonctionnement[Montant (€HT)])+SUMIF(Invest[Affectation matrice],$AB$3,Invest[Amortissement HT + intérêts]))*BU6</f>
        <v>0</v>
      </c>
      <c r="U6" s="276">
        <f>(SUMIF(Fonctionnement[Affectation matrice],$AB$3,Fonctionnement[Montant (€HT)])+SUMIF(Invest[Affectation matrice],$AB$3,Invest[Amortissement HT + intérêts]))*BV6</f>
        <v>0</v>
      </c>
      <c r="V6" s="276">
        <f>(SUMIF(Fonctionnement[Affectation matrice],$AB$3,Fonctionnement[Montant (€HT)])+SUMIF(Invest[Affectation matrice],$AB$3,Invest[Amortissement HT + intérêts]))*BW6</f>
        <v>0</v>
      </c>
      <c r="W6" s="276">
        <f>(SUMIF(Fonctionnement[Affectation matrice],$AB$3,Fonctionnement[Montant (€HT)])+SUMIF(Invest[Affectation matrice],$AB$3,Invest[Amortissement HT + intérêts]))*BX6</f>
        <v>0</v>
      </c>
      <c r="X6" s="276">
        <f>(SUMIF(Fonctionnement[Affectation matrice],$AB$3,Fonctionnement[Montant (€HT)])+SUMIF(Invest[Affectation matrice],$AB$3,Invest[Amortissement HT + intérêts]))*BY6</f>
        <v>0</v>
      </c>
      <c r="Y6" s="276">
        <f>(SUMIF(Fonctionnement[Affectation matrice],$AB$3,Fonctionnement[Montant (€HT)])+SUMIF(Invest[Affectation matrice],$AB$3,Invest[Amortissement HT + intérêts]))*BZ6</f>
        <v>0</v>
      </c>
      <c r="Z6" s="276">
        <f>(SUMIF(Fonctionnement[Affectation matrice],$AB$3,Fonctionnement[Montant (€HT)])+SUMIF(Invest[Affectation matrice],$AB$3,Invest[Amortissement HT + intérêts]))*CA6</f>
        <v>0</v>
      </c>
      <c r="AA6" s="199"/>
      <c r="AB6" s="302" t="str">
        <f t="shared" si="25"/>
        <v/>
      </c>
      <c r="AC6" s="302" t="str">
        <f t="shared" si="25"/>
        <v/>
      </c>
      <c r="AD6" s="302" t="str">
        <f t="shared" si="25"/>
        <v/>
      </c>
      <c r="AE6" s="302" t="str">
        <f t="shared" si="25"/>
        <v/>
      </c>
      <c r="AF6" s="302" t="str">
        <f t="shared" si="25"/>
        <v/>
      </c>
      <c r="AG6" s="302" t="str">
        <f t="shared" si="25"/>
        <v/>
      </c>
      <c r="AH6" s="302" t="str">
        <f t="shared" si="25"/>
        <v/>
      </c>
      <c r="AI6" s="302" t="str">
        <f t="shared" si="25"/>
        <v/>
      </c>
      <c r="AJ6" s="302" t="str">
        <f t="shared" si="25"/>
        <v/>
      </c>
      <c r="AK6" s="302" t="str">
        <f t="shared" si="25"/>
        <v/>
      </c>
      <c r="AL6" s="302" t="str">
        <f t="shared" si="26"/>
        <v/>
      </c>
      <c r="AM6" s="302" t="str">
        <f t="shared" si="26"/>
        <v/>
      </c>
      <c r="AN6" s="302" t="str">
        <f t="shared" si="26"/>
        <v/>
      </c>
      <c r="AO6" s="302" t="str">
        <f t="shared" si="26"/>
        <v/>
      </c>
      <c r="AP6" s="302" t="str">
        <f t="shared" si="26"/>
        <v/>
      </c>
      <c r="AQ6" s="302" t="str">
        <f t="shared" si="26"/>
        <v/>
      </c>
      <c r="AR6" s="302" t="str">
        <f t="shared" si="26"/>
        <v/>
      </c>
      <c r="AS6" s="302" t="str">
        <f t="shared" si="26"/>
        <v/>
      </c>
      <c r="AT6" s="302" t="str">
        <f t="shared" si="26"/>
        <v/>
      </c>
      <c r="AU6" s="302" t="str">
        <f t="shared" si="26"/>
        <v/>
      </c>
      <c r="AV6" s="302" t="str">
        <f t="shared" si="26"/>
        <v/>
      </c>
      <c r="AW6" s="302" t="str">
        <f t="shared" si="26"/>
        <v/>
      </c>
      <c r="AX6" s="302" t="str">
        <f t="shared" si="26"/>
        <v/>
      </c>
      <c r="AY6" s="302" t="str">
        <f t="shared" si="26"/>
        <v/>
      </c>
      <c r="AZ6" s="302" t="str">
        <f t="shared" si="26"/>
        <v/>
      </c>
      <c r="BA6" s="283" t="str">
        <f t="shared" si="26"/>
        <v/>
      </c>
      <c r="BC6" s="61">
        <f t="shared" si="27"/>
        <v>0</v>
      </c>
      <c r="BD6" s="61">
        <f t="shared" si="28"/>
        <v>0</v>
      </c>
      <c r="BE6" s="61">
        <f t="shared" si="29"/>
        <v>0</v>
      </c>
      <c r="BF6" s="61">
        <f t="shared" si="30"/>
        <v>0</v>
      </c>
      <c r="BG6" s="61">
        <f t="shared" si="31"/>
        <v>0</v>
      </c>
      <c r="BH6" s="61">
        <f t="shared" si="32"/>
        <v>0</v>
      </c>
      <c r="BI6" s="61">
        <f t="shared" si="33"/>
        <v>0</v>
      </c>
      <c r="BJ6" s="61">
        <f t="shared" si="34"/>
        <v>0</v>
      </c>
      <c r="BK6" s="61">
        <f t="shared" si="35"/>
        <v>0</v>
      </c>
      <c r="BL6" s="61">
        <f t="shared" si="36"/>
        <v>0</v>
      </c>
      <c r="BM6" s="61">
        <f t="shared" si="37"/>
        <v>0</v>
      </c>
      <c r="BN6" s="61">
        <f t="shared" si="38"/>
        <v>0</v>
      </c>
      <c r="BO6" s="61">
        <f t="shared" si="39"/>
        <v>0</v>
      </c>
      <c r="BP6" s="61">
        <f t="shared" si="40"/>
        <v>0</v>
      </c>
      <c r="BQ6" s="61">
        <f t="shared" si="41"/>
        <v>0</v>
      </c>
      <c r="BR6" s="61">
        <f t="shared" si="42"/>
        <v>0</v>
      </c>
      <c r="BS6" s="61">
        <f t="shared" si="43"/>
        <v>0</v>
      </c>
      <c r="BT6" s="61">
        <f t="shared" si="44"/>
        <v>0</v>
      </c>
      <c r="BU6" s="61">
        <f t="shared" si="45"/>
        <v>0</v>
      </c>
      <c r="BV6" s="61">
        <f t="shared" si="46"/>
        <v>0</v>
      </c>
      <c r="BW6" s="61">
        <f t="shared" si="47"/>
        <v>0</v>
      </c>
      <c r="BX6" s="61">
        <f t="shared" si="48"/>
        <v>0</v>
      </c>
      <c r="BY6" s="61">
        <f t="shared" si="49"/>
        <v>0</v>
      </c>
      <c r="BZ6" s="61">
        <f t="shared" si="50"/>
        <v>0</v>
      </c>
      <c r="CA6" s="61">
        <f t="shared" si="51"/>
        <v>0</v>
      </c>
      <c r="CB6" s="61">
        <f>SUM(BC6:CA6)</f>
        <v>0</v>
      </c>
      <c r="CD6" s="200">
        <f>(SUMIF(Fonctionnement[Affectation matrice],$AB$3,Fonctionnement[TVA acquittée])+SUMIF(Invest[Affectation matrice],$AB$3,Invest[TVA acquittée]))*BC6</f>
        <v>0</v>
      </c>
      <c r="CE6" s="200">
        <f>(SUMIF(Fonctionnement[Affectation matrice],$AB$3,Fonctionnement[TVA acquittée])+SUMIF(Invest[Affectation matrice],$AB$3,Invest[TVA acquittée]))*BD6</f>
        <v>0</v>
      </c>
      <c r="CF6" s="200">
        <f>(SUMIF(Fonctionnement[Affectation matrice],$AB$3,Fonctionnement[TVA acquittée])+SUMIF(Invest[Affectation matrice],$AB$3,Invest[TVA acquittée]))*BE6</f>
        <v>0</v>
      </c>
      <c r="CG6" s="200">
        <f>(SUMIF(Fonctionnement[Affectation matrice],$AB$3,Fonctionnement[TVA acquittée])+SUMIF(Invest[Affectation matrice],$AB$3,Invest[TVA acquittée]))*BF6</f>
        <v>0</v>
      </c>
      <c r="CH6" s="200">
        <f>(SUMIF(Fonctionnement[Affectation matrice],$AB$3,Fonctionnement[TVA acquittée])+SUMIF(Invest[Affectation matrice],$AB$3,Invest[TVA acquittée]))*BG6</f>
        <v>0</v>
      </c>
      <c r="CI6" s="200">
        <f>(SUMIF(Fonctionnement[Affectation matrice],$AB$3,Fonctionnement[TVA acquittée])+SUMIF(Invest[Affectation matrice],$AB$3,Invest[TVA acquittée]))*BH6</f>
        <v>0</v>
      </c>
      <c r="CJ6" s="200">
        <f>(SUMIF(Fonctionnement[Affectation matrice],$AB$3,Fonctionnement[TVA acquittée])+SUMIF(Invest[Affectation matrice],$AB$3,Invest[TVA acquittée]))*BI6</f>
        <v>0</v>
      </c>
      <c r="CK6" s="200">
        <f>(SUMIF(Fonctionnement[Affectation matrice],$AB$3,Fonctionnement[TVA acquittée])+SUMIF(Invest[Affectation matrice],$AB$3,Invest[TVA acquittée]))*BJ6</f>
        <v>0</v>
      </c>
      <c r="CL6" s="200">
        <f>(SUMIF(Fonctionnement[Affectation matrice],$AB$3,Fonctionnement[TVA acquittée])+SUMIF(Invest[Affectation matrice],$AB$3,Invest[TVA acquittée]))*BK6</f>
        <v>0</v>
      </c>
      <c r="CM6" s="200">
        <f>(SUMIF(Fonctionnement[Affectation matrice],$AB$3,Fonctionnement[TVA acquittée])+SUMIF(Invest[Affectation matrice],$AB$3,Invest[TVA acquittée]))*BL6</f>
        <v>0</v>
      </c>
      <c r="CN6" s="200">
        <f>(SUMIF(Fonctionnement[Affectation matrice],$AB$3,Fonctionnement[TVA acquittée])+SUMIF(Invest[Affectation matrice],$AB$3,Invest[TVA acquittée]))*BM6</f>
        <v>0</v>
      </c>
      <c r="CO6" s="200">
        <f>(SUMIF(Fonctionnement[Affectation matrice],$AB$3,Fonctionnement[TVA acquittée])+SUMIF(Invest[Affectation matrice],$AB$3,Invest[TVA acquittée]))*BN6</f>
        <v>0</v>
      </c>
      <c r="CP6" s="200">
        <f>(SUMIF(Fonctionnement[Affectation matrice],$AB$3,Fonctionnement[TVA acquittée])+SUMIF(Invest[Affectation matrice],$AB$3,Invest[TVA acquittée]))*BO6</f>
        <v>0</v>
      </c>
      <c r="CQ6" s="200">
        <f>(SUMIF(Fonctionnement[Affectation matrice],$AB$3,Fonctionnement[TVA acquittée])+SUMIF(Invest[Affectation matrice],$AB$3,Invest[TVA acquittée]))*BP6</f>
        <v>0</v>
      </c>
      <c r="CR6" s="200">
        <f>(SUMIF(Fonctionnement[Affectation matrice],$AB$3,Fonctionnement[TVA acquittée])+SUMIF(Invest[Affectation matrice],$AB$3,Invest[TVA acquittée]))*BQ6</f>
        <v>0</v>
      </c>
      <c r="CS6" s="200">
        <f>(SUMIF(Fonctionnement[Affectation matrice],$AB$3,Fonctionnement[TVA acquittée])+SUMIF(Invest[Affectation matrice],$AB$3,Invest[TVA acquittée]))*BR6</f>
        <v>0</v>
      </c>
      <c r="CT6" s="200">
        <f>(SUMIF(Fonctionnement[Affectation matrice],$AB$3,Fonctionnement[TVA acquittée])+SUMIF(Invest[Affectation matrice],$AB$3,Invest[TVA acquittée]))*BS6</f>
        <v>0</v>
      </c>
      <c r="CU6" s="200">
        <f>(SUMIF(Fonctionnement[Affectation matrice],$AB$3,Fonctionnement[TVA acquittée])+SUMIF(Invest[Affectation matrice],$AB$3,Invest[TVA acquittée]))*BT6</f>
        <v>0</v>
      </c>
      <c r="CV6" s="200">
        <f>(SUMIF(Fonctionnement[Affectation matrice],$AB$3,Fonctionnement[TVA acquittée])+SUMIF(Invest[Affectation matrice],$AB$3,Invest[TVA acquittée]))*BU6</f>
        <v>0</v>
      </c>
      <c r="CW6" s="200">
        <f>(SUMIF(Fonctionnement[Affectation matrice],$AB$3,Fonctionnement[TVA acquittée])+SUMIF(Invest[Affectation matrice],$AB$3,Invest[TVA acquittée]))*BV6</f>
        <v>0</v>
      </c>
      <c r="CX6" s="200">
        <f>(SUMIF(Fonctionnement[Affectation matrice],$AB$3,Fonctionnement[TVA acquittée])+SUMIF(Invest[Affectation matrice],$AB$3,Invest[TVA acquittée]))*BW6</f>
        <v>0</v>
      </c>
      <c r="CY6" s="200">
        <f>(SUMIF(Fonctionnement[Affectation matrice],$AB$3,Fonctionnement[TVA acquittée])+SUMIF(Invest[Affectation matrice],$AB$3,Invest[TVA acquittée]))*BX6</f>
        <v>0</v>
      </c>
      <c r="CZ6" s="200">
        <f>(SUMIF(Fonctionnement[Affectation matrice],$AB$3,Fonctionnement[TVA acquittée])+SUMIF(Invest[Affectation matrice],$AB$3,Invest[TVA acquittée]))*BY6</f>
        <v>0</v>
      </c>
      <c r="DA6" s="200">
        <f>(SUMIF(Fonctionnement[Affectation matrice],$AB$3,Fonctionnement[TVA acquittée])+SUMIF(Invest[Affectation matrice],$AB$3,Invest[TVA acquittée]))*BZ6</f>
        <v>0</v>
      </c>
      <c r="DB6" s="200">
        <f>(SUMIF(Fonctionnement[Affectation matrice],$AB$3,Fonctionnement[TVA acquittée])+SUMIF(Invest[Affectation matrice],$AB$3,Invest[TVA acquittée]))*CA6</f>
        <v>0</v>
      </c>
    </row>
    <row r="7" spans="1:106" ht="15" customHeight="1" x14ac:dyDescent="0.25">
      <c r="A7" s="42" t="str">
        <f>Matrice[[#This Row],[Ligne de la matrice]]</f>
        <v>Prévention</v>
      </c>
      <c r="B7" s="276">
        <f>(SUMIF(Fonctionnement[Affectation matrice],$AB$3,Fonctionnement[Montant (€HT)])+SUMIF(Invest[Affectation matrice],$AB$3,Invest[Amortissement HT + intérêts]))*BC7</f>
        <v>0</v>
      </c>
      <c r="C7" s="276">
        <f>(SUMIF(Fonctionnement[Affectation matrice],$AB$3,Fonctionnement[Montant (€HT)])+SUMIF(Invest[Affectation matrice],$AB$3,Invest[Amortissement HT + intérêts]))*BD7</f>
        <v>0</v>
      </c>
      <c r="D7" s="276">
        <f>(SUMIF(Fonctionnement[Affectation matrice],$AB$3,Fonctionnement[Montant (€HT)])+SUMIF(Invest[Affectation matrice],$AB$3,Invest[Amortissement HT + intérêts]))*BE7</f>
        <v>0</v>
      </c>
      <c r="E7" s="276">
        <f>(SUMIF(Fonctionnement[Affectation matrice],$AB$3,Fonctionnement[Montant (€HT)])+SUMIF(Invest[Affectation matrice],$AB$3,Invest[Amortissement HT + intérêts]))*BF7</f>
        <v>0</v>
      </c>
      <c r="F7" s="276">
        <f>(SUMIF(Fonctionnement[Affectation matrice],$AB$3,Fonctionnement[Montant (€HT)])+SUMIF(Invest[Affectation matrice],$AB$3,Invest[Amortissement HT + intérêts]))*BG7</f>
        <v>0</v>
      </c>
      <c r="G7" s="276">
        <f>(SUMIF(Fonctionnement[Affectation matrice],$AB$3,Fonctionnement[Montant (€HT)])+SUMIF(Invest[Affectation matrice],$AB$3,Invest[Amortissement HT + intérêts]))*BH7</f>
        <v>0</v>
      </c>
      <c r="H7" s="276">
        <f>(SUMIF(Fonctionnement[Affectation matrice],$AB$3,Fonctionnement[Montant (€HT)])+SUMIF(Invest[Affectation matrice],$AB$3,Invest[Amortissement HT + intérêts]))*BI7</f>
        <v>0</v>
      </c>
      <c r="I7" s="276">
        <f>(SUMIF(Fonctionnement[Affectation matrice],$AB$3,Fonctionnement[Montant (€HT)])+SUMIF(Invest[Affectation matrice],$AB$3,Invest[Amortissement HT + intérêts]))*BJ7</f>
        <v>0</v>
      </c>
      <c r="J7" s="276">
        <f>(SUMIF(Fonctionnement[Affectation matrice],$AB$3,Fonctionnement[Montant (€HT)])+SUMIF(Invest[Affectation matrice],$AB$3,Invest[Amortissement HT + intérêts]))*BK7</f>
        <v>0</v>
      </c>
      <c r="K7" s="276">
        <f>(SUMIF(Fonctionnement[Affectation matrice],$AB$3,Fonctionnement[Montant (€HT)])+SUMIF(Invest[Affectation matrice],$AB$3,Invest[Amortissement HT + intérêts]))*BL7</f>
        <v>0</v>
      </c>
      <c r="L7" s="276">
        <f>(SUMIF(Fonctionnement[Affectation matrice],$AB$3,Fonctionnement[Montant (€HT)])+SUMIF(Invest[Affectation matrice],$AB$3,Invest[Amortissement HT + intérêts]))*BM7</f>
        <v>0</v>
      </c>
      <c r="M7" s="276">
        <f>(SUMIF(Fonctionnement[Affectation matrice],$AB$3,Fonctionnement[Montant (€HT)])+SUMIF(Invest[Affectation matrice],$AB$3,Invest[Amortissement HT + intérêts]))*BN7</f>
        <v>0</v>
      </c>
      <c r="N7" s="276">
        <f>(SUMIF(Fonctionnement[Affectation matrice],$AB$3,Fonctionnement[Montant (€HT)])+SUMIF(Invest[Affectation matrice],$AB$3,Invest[Amortissement HT + intérêts]))*BO7</f>
        <v>0</v>
      </c>
      <c r="O7" s="276">
        <f>(SUMIF(Fonctionnement[Affectation matrice],$AB$3,Fonctionnement[Montant (€HT)])+SUMIF(Invest[Affectation matrice],$AB$3,Invest[Amortissement HT + intérêts]))*BP7</f>
        <v>0</v>
      </c>
      <c r="P7" s="276">
        <f>(SUMIF(Fonctionnement[Affectation matrice],$AB$3,Fonctionnement[Montant (€HT)])+SUMIF(Invest[Affectation matrice],$AB$3,Invest[Amortissement HT + intérêts]))*BQ7</f>
        <v>0</v>
      </c>
      <c r="Q7" s="276">
        <f>(SUMIF(Fonctionnement[Affectation matrice],$AB$3,Fonctionnement[Montant (€HT)])+SUMIF(Invest[Affectation matrice],$AB$3,Invest[Amortissement HT + intérêts]))*BR7</f>
        <v>0</v>
      </c>
      <c r="R7" s="276">
        <f>(SUMIF(Fonctionnement[Affectation matrice],$AB$3,Fonctionnement[Montant (€HT)])+SUMIF(Invest[Affectation matrice],$AB$3,Invest[Amortissement HT + intérêts]))*BS7</f>
        <v>0</v>
      </c>
      <c r="S7" s="276">
        <f>(SUMIF(Fonctionnement[Affectation matrice],$AB$3,Fonctionnement[Montant (€HT)])+SUMIF(Invest[Affectation matrice],$AB$3,Invest[Amortissement HT + intérêts]))*BT7</f>
        <v>0</v>
      </c>
      <c r="T7" s="276">
        <f>(SUMIF(Fonctionnement[Affectation matrice],$AB$3,Fonctionnement[Montant (€HT)])+SUMIF(Invest[Affectation matrice],$AB$3,Invest[Amortissement HT + intérêts]))*BU7</f>
        <v>0</v>
      </c>
      <c r="U7" s="276">
        <f>(SUMIF(Fonctionnement[Affectation matrice],$AB$3,Fonctionnement[Montant (€HT)])+SUMIF(Invest[Affectation matrice],$AB$3,Invest[Amortissement HT + intérêts]))*BV7</f>
        <v>0</v>
      </c>
      <c r="V7" s="276">
        <f>(SUMIF(Fonctionnement[Affectation matrice],$AB$3,Fonctionnement[Montant (€HT)])+SUMIF(Invest[Affectation matrice],$AB$3,Invest[Amortissement HT + intérêts]))*BW7</f>
        <v>0</v>
      </c>
      <c r="W7" s="276">
        <f>(SUMIF(Fonctionnement[Affectation matrice],$AB$3,Fonctionnement[Montant (€HT)])+SUMIF(Invest[Affectation matrice],$AB$3,Invest[Amortissement HT + intérêts]))*BX7</f>
        <v>0</v>
      </c>
      <c r="X7" s="276">
        <f>(SUMIF(Fonctionnement[Affectation matrice],$AB$3,Fonctionnement[Montant (€HT)])+SUMIF(Invest[Affectation matrice],$AB$3,Invest[Amortissement HT + intérêts]))*BY7</f>
        <v>0</v>
      </c>
      <c r="Y7" s="276">
        <f>(SUMIF(Fonctionnement[Affectation matrice],$AB$3,Fonctionnement[Montant (€HT)])+SUMIF(Invest[Affectation matrice],$AB$3,Invest[Amortissement HT + intérêts]))*BZ7</f>
        <v>0</v>
      </c>
      <c r="Z7" s="276">
        <f>(SUMIF(Fonctionnement[Affectation matrice],$AB$3,Fonctionnement[Montant (€HT)])+SUMIF(Invest[Affectation matrice],$AB$3,Invest[Amortissement HT + intérêts]))*CA7</f>
        <v>0</v>
      </c>
      <c r="AA7" s="199"/>
      <c r="AB7" s="302" t="str">
        <f t="shared" si="25"/>
        <v/>
      </c>
      <c r="AC7" s="302" t="str">
        <f t="shared" si="25"/>
        <v/>
      </c>
      <c r="AD7" s="302" t="str">
        <f t="shared" si="25"/>
        <v/>
      </c>
      <c r="AE7" s="302" t="str">
        <f t="shared" si="25"/>
        <v/>
      </c>
      <c r="AF7" s="302" t="str">
        <f t="shared" si="25"/>
        <v/>
      </c>
      <c r="AG7" s="302" t="str">
        <f t="shared" si="25"/>
        <v/>
      </c>
      <c r="AH7" s="302" t="str">
        <f t="shared" si="25"/>
        <v/>
      </c>
      <c r="AI7" s="302" t="str">
        <f t="shared" si="25"/>
        <v/>
      </c>
      <c r="AJ7" s="302" t="str">
        <f t="shared" si="25"/>
        <v/>
      </c>
      <c r="AK7" s="302" t="str">
        <f t="shared" si="25"/>
        <v/>
      </c>
      <c r="AL7" s="302" t="str">
        <f t="shared" si="26"/>
        <v/>
      </c>
      <c r="AM7" s="302" t="str">
        <f t="shared" si="26"/>
        <v/>
      </c>
      <c r="AN7" s="302" t="str">
        <f t="shared" si="26"/>
        <v/>
      </c>
      <c r="AO7" s="302" t="str">
        <f t="shared" si="26"/>
        <v/>
      </c>
      <c r="AP7" s="302" t="str">
        <f t="shared" si="26"/>
        <v/>
      </c>
      <c r="AQ7" s="302" t="str">
        <f t="shared" si="26"/>
        <v/>
      </c>
      <c r="AR7" s="302" t="str">
        <f t="shared" si="26"/>
        <v/>
      </c>
      <c r="AS7" s="302" t="str">
        <f t="shared" si="26"/>
        <v/>
      </c>
      <c r="AT7" s="302" t="str">
        <f t="shared" si="26"/>
        <v/>
      </c>
      <c r="AU7" s="302" t="str">
        <f t="shared" si="26"/>
        <v/>
      </c>
      <c r="AV7" s="302" t="str">
        <f t="shared" si="26"/>
        <v/>
      </c>
      <c r="AW7" s="302" t="str">
        <f t="shared" si="26"/>
        <v/>
      </c>
      <c r="AX7" s="302" t="str">
        <f t="shared" si="26"/>
        <v/>
      </c>
      <c r="AY7" s="302" t="str">
        <f t="shared" si="26"/>
        <v/>
      </c>
      <c r="AZ7" s="302" t="str">
        <f t="shared" si="26"/>
        <v/>
      </c>
      <c r="BA7" s="283" t="str">
        <f t="shared" si="26"/>
        <v/>
      </c>
      <c r="BC7" s="61">
        <f t="shared" si="27"/>
        <v>0</v>
      </c>
      <c r="BD7" s="61">
        <f t="shared" si="28"/>
        <v>0</v>
      </c>
      <c r="BE7" s="61">
        <f t="shared" si="29"/>
        <v>0</v>
      </c>
      <c r="BF7" s="61">
        <f t="shared" si="30"/>
        <v>0</v>
      </c>
      <c r="BG7" s="61">
        <f t="shared" si="31"/>
        <v>0</v>
      </c>
      <c r="BH7" s="61">
        <f t="shared" si="32"/>
        <v>0</v>
      </c>
      <c r="BI7" s="61">
        <f t="shared" si="33"/>
        <v>0</v>
      </c>
      <c r="BJ7" s="61">
        <f t="shared" si="34"/>
        <v>0</v>
      </c>
      <c r="BK7" s="61">
        <f t="shared" si="35"/>
        <v>0</v>
      </c>
      <c r="BL7" s="61">
        <f t="shared" si="36"/>
        <v>0</v>
      </c>
      <c r="BM7" s="61">
        <f t="shared" si="37"/>
        <v>0</v>
      </c>
      <c r="BN7" s="61">
        <f t="shared" si="38"/>
        <v>0</v>
      </c>
      <c r="BO7" s="61">
        <f t="shared" si="39"/>
        <v>0</v>
      </c>
      <c r="BP7" s="61">
        <f t="shared" si="40"/>
        <v>0</v>
      </c>
      <c r="BQ7" s="61">
        <f t="shared" si="41"/>
        <v>0</v>
      </c>
      <c r="BR7" s="61">
        <f t="shared" si="42"/>
        <v>0</v>
      </c>
      <c r="BS7" s="61">
        <f t="shared" si="43"/>
        <v>0</v>
      </c>
      <c r="BT7" s="61">
        <f t="shared" si="44"/>
        <v>0</v>
      </c>
      <c r="BU7" s="61">
        <f t="shared" si="45"/>
        <v>0</v>
      </c>
      <c r="BV7" s="61">
        <f t="shared" si="46"/>
        <v>0</v>
      </c>
      <c r="BW7" s="61">
        <f t="shared" si="47"/>
        <v>0</v>
      </c>
      <c r="BX7" s="61">
        <f t="shared" si="48"/>
        <v>0</v>
      </c>
      <c r="BY7" s="61">
        <f t="shared" si="49"/>
        <v>0</v>
      </c>
      <c r="BZ7" s="61">
        <f t="shared" si="50"/>
        <v>0</v>
      </c>
      <c r="CA7" s="61">
        <f t="shared" si="51"/>
        <v>0</v>
      </c>
      <c r="CB7" s="61">
        <f t="shared" ref="CB7:CB52" si="52">SUM(BC7:CA7)</f>
        <v>0</v>
      </c>
      <c r="CD7" s="200">
        <f>(SUMIF(Fonctionnement[Affectation matrice],$AB$3,Fonctionnement[TVA acquittée])+SUMIF(Invest[Affectation matrice],$AB$3,Invest[TVA acquittée]))*BC7</f>
        <v>0</v>
      </c>
      <c r="CE7" s="200">
        <f>(SUMIF(Fonctionnement[Affectation matrice],$AB$3,Fonctionnement[TVA acquittée])+SUMIF(Invest[Affectation matrice],$AB$3,Invest[TVA acquittée]))*BD7</f>
        <v>0</v>
      </c>
      <c r="CF7" s="200">
        <f>(SUMIF(Fonctionnement[Affectation matrice],$AB$3,Fonctionnement[TVA acquittée])+SUMIF(Invest[Affectation matrice],$AB$3,Invest[TVA acquittée]))*BE7</f>
        <v>0</v>
      </c>
      <c r="CG7" s="200">
        <f>(SUMIF(Fonctionnement[Affectation matrice],$AB$3,Fonctionnement[TVA acquittée])+SUMIF(Invest[Affectation matrice],$AB$3,Invest[TVA acquittée]))*BF7</f>
        <v>0</v>
      </c>
      <c r="CH7" s="200">
        <f>(SUMIF(Fonctionnement[Affectation matrice],$AB$3,Fonctionnement[TVA acquittée])+SUMIF(Invest[Affectation matrice],$AB$3,Invest[TVA acquittée]))*BG7</f>
        <v>0</v>
      </c>
      <c r="CI7" s="200">
        <f>(SUMIF(Fonctionnement[Affectation matrice],$AB$3,Fonctionnement[TVA acquittée])+SUMIF(Invest[Affectation matrice],$AB$3,Invest[TVA acquittée]))*BH7</f>
        <v>0</v>
      </c>
      <c r="CJ7" s="200">
        <f>(SUMIF(Fonctionnement[Affectation matrice],$AB$3,Fonctionnement[TVA acquittée])+SUMIF(Invest[Affectation matrice],$AB$3,Invest[TVA acquittée]))*BI7</f>
        <v>0</v>
      </c>
      <c r="CK7" s="200">
        <f>(SUMIF(Fonctionnement[Affectation matrice],$AB$3,Fonctionnement[TVA acquittée])+SUMIF(Invest[Affectation matrice],$AB$3,Invest[TVA acquittée]))*BJ7</f>
        <v>0</v>
      </c>
      <c r="CL7" s="200">
        <f>(SUMIF(Fonctionnement[Affectation matrice],$AB$3,Fonctionnement[TVA acquittée])+SUMIF(Invest[Affectation matrice],$AB$3,Invest[TVA acquittée]))*BK7</f>
        <v>0</v>
      </c>
      <c r="CM7" s="200">
        <f>(SUMIF(Fonctionnement[Affectation matrice],$AB$3,Fonctionnement[TVA acquittée])+SUMIF(Invest[Affectation matrice],$AB$3,Invest[TVA acquittée]))*BL7</f>
        <v>0</v>
      </c>
      <c r="CN7" s="200">
        <f>(SUMIF(Fonctionnement[Affectation matrice],$AB$3,Fonctionnement[TVA acquittée])+SUMIF(Invest[Affectation matrice],$AB$3,Invest[TVA acquittée]))*BM7</f>
        <v>0</v>
      </c>
      <c r="CO7" s="200">
        <f>(SUMIF(Fonctionnement[Affectation matrice],$AB$3,Fonctionnement[TVA acquittée])+SUMIF(Invest[Affectation matrice],$AB$3,Invest[TVA acquittée]))*BN7</f>
        <v>0</v>
      </c>
      <c r="CP7" s="200">
        <f>(SUMIF(Fonctionnement[Affectation matrice],$AB$3,Fonctionnement[TVA acquittée])+SUMIF(Invest[Affectation matrice],$AB$3,Invest[TVA acquittée]))*BO7</f>
        <v>0</v>
      </c>
      <c r="CQ7" s="200">
        <f>(SUMIF(Fonctionnement[Affectation matrice],$AB$3,Fonctionnement[TVA acquittée])+SUMIF(Invest[Affectation matrice],$AB$3,Invest[TVA acquittée]))*BP7</f>
        <v>0</v>
      </c>
      <c r="CR7" s="200">
        <f>(SUMIF(Fonctionnement[Affectation matrice],$AB$3,Fonctionnement[TVA acquittée])+SUMIF(Invest[Affectation matrice],$AB$3,Invest[TVA acquittée]))*BQ7</f>
        <v>0</v>
      </c>
      <c r="CS7" s="200">
        <f>(SUMIF(Fonctionnement[Affectation matrice],$AB$3,Fonctionnement[TVA acquittée])+SUMIF(Invest[Affectation matrice],$AB$3,Invest[TVA acquittée]))*BR7</f>
        <v>0</v>
      </c>
      <c r="CT7" s="200">
        <f>(SUMIF(Fonctionnement[Affectation matrice],$AB$3,Fonctionnement[TVA acquittée])+SUMIF(Invest[Affectation matrice],$AB$3,Invest[TVA acquittée]))*BS7</f>
        <v>0</v>
      </c>
      <c r="CU7" s="200">
        <f>(SUMIF(Fonctionnement[Affectation matrice],$AB$3,Fonctionnement[TVA acquittée])+SUMIF(Invest[Affectation matrice],$AB$3,Invest[TVA acquittée]))*BT7</f>
        <v>0</v>
      </c>
      <c r="CV7" s="200">
        <f>(SUMIF(Fonctionnement[Affectation matrice],$AB$3,Fonctionnement[TVA acquittée])+SUMIF(Invest[Affectation matrice],$AB$3,Invest[TVA acquittée]))*BU7</f>
        <v>0</v>
      </c>
      <c r="CW7" s="200">
        <f>(SUMIF(Fonctionnement[Affectation matrice],$AB$3,Fonctionnement[TVA acquittée])+SUMIF(Invest[Affectation matrice],$AB$3,Invest[TVA acquittée]))*BV7</f>
        <v>0</v>
      </c>
      <c r="CX7" s="200">
        <f>(SUMIF(Fonctionnement[Affectation matrice],$AB$3,Fonctionnement[TVA acquittée])+SUMIF(Invest[Affectation matrice],$AB$3,Invest[TVA acquittée]))*BW7</f>
        <v>0</v>
      </c>
      <c r="CY7" s="200">
        <f>(SUMIF(Fonctionnement[Affectation matrice],$AB$3,Fonctionnement[TVA acquittée])+SUMIF(Invest[Affectation matrice],$AB$3,Invest[TVA acquittée]))*BX7</f>
        <v>0</v>
      </c>
      <c r="CZ7" s="200">
        <f>(SUMIF(Fonctionnement[Affectation matrice],$AB$3,Fonctionnement[TVA acquittée])+SUMIF(Invest[Affectation matrice],$AB$3,Invest[TVA acquittée]))*BY7</f>
        <v>0</v>
      </c>
      <c r="DA7" s="200">
        <f>(SUMIF(Fonctionnement[Affectation matrice],$AB$3,Fonctionnement[TVA acquittée])+SUMIF(Invest[Affectation matrice],$AB$3,Invest[TVA acquittée]))*BZ7</f>
        <v>0</v>
      </c>
      <c r="DB7" s="200">
        <f>(SUMIF(Fonctionnement[Affectation matrice],$AB$3,Fonctionnement[TVA acquittée])+SUMIF(Invest[Affectation matrice],$AB$3,Invest[TVA acquittée]))*CA7</f>
        <v>0</v>
      </c>
    </row>
    <row r="8" spans="1:106" ht="12.75" customHeight="1" x14ac:dyDescent="0.25">
      <c r="A8" s="42" t="str">
        <f>Matrice[[#This Row],[Ligne de la matrice]]</f>
        <v>Pré-collecte</v>
      </c>
      <c r="B8" s="276">
        <f>(SUMIF(Fonctionnement[Affectation matrice],$AB$3,Fonctionnement[Montant (€HT)])+SUMIF(Invest[Affectation matrice],$AB$3,Invest[Amortissement HT + intérêts]))*BC8</f>
        <v>0</v>
      </c>
      <c r="C8" s="276">
        <f>(SUMIF(Fonctionnement[Affectation matrice],$AB$3,Fonctionnement[Montant (€HT)])+SUMIF(Invest[Affectation matrice],$AB$3,Invest[Amortissement HT + intérêts]))*BD8</f>
        <v>0</v>
      </c>
      <c r="D8" s="276">
        <f>(SUMIF(Fonctionnement[Affectation matrice],$AB$3,Fonctionnement[Montant (€HT)])+SUMIF(Invest[Affectation matrice],$AB$3,Invest[Amortissement HT + intérêts]))*BE8</f>
        <v>0</v>
      </c>
      <c r="E8" s="276">
        <f>(SUMIF(Fonctionnement[Affectation matrice],$AB$3,Fonctionnement[Montant (€HT)])+SUMIF(Invest[Affectation matrice],$AB$3,Invest[Amortissement HT + intérêts]))*BF8</f>
        <v>0</v>
      </c>
      <c r="F8" s="276">
        <f>(SUMIF(Fonctionnement[Affectation matrice],$AB$3,Fonctionnement[Montant (€HT)])+SUMIF(Invest[Affectation matrice],$AB$3,Invest[Amortissement HT + intérêts]))*BG8</f>
        <v>0</v>
      </c>
      <c r="G8" s="276">
        <f>(SUMIF(Fonctionnement[Affectation matrice],$AB$3,Fonctionnement[Montant (€HT)])+SUMIF(Invest[Affectation matrice],$AB$3,Invest[Amortissement HT + intérêts]))*BH8</f>
        <v>0</v>
      </c>
      <c r="H8" s="276">
        <f>(SUMIF(Fonctionnement[Affectation matrice],$AB$3,Fonctionnement[Montant (€HT)])+SUMIF(Invest[Affectation matrice],$AB$3,Invest[Amortissement HT + intérêts]))*BI8</f>
        <v>0</v>
      </c>
      <c r="I8" s="276">
        <f>(SUMIF(Fonctionnement[Affectation matrice],$AB$3,Fonctionnement[Montant (€HT)])+SUMIF(Invest[Affectation matrice],$AB$3,Invest[Amortissement HT + intérêts]))*BJ8</f>
        <v>0</v>
      </c>
      <c r="J8" s="276">
        <f>(SUMIF(Fonctionnement[Affectation matrice],$AB$3,Fonctionnement[Montant (€HT)])+SUMIF(Invest[Affectation matrice],$AB$3,Invest[Amortissement HT + intérêts]))*BK8</f>
        <v>0</v>
      </c>
      <c r="K8" s="276">
        <f>(SUMIF(Fonctionnement[Affectation matrice],$AB$3,Fonctionnement[Montant (€HT)])+SUMIF(Invest[Affectation matrice],$AB$3,Invest[Amortissement HT + intérêts]))*BL8</f>
        <v>0</v>
      </c>
      <c r="L8" s="276">
        <f>(SUMIF(Fonctionnement[Affectation matrice],$AB$3,Fonctionnement[Montant (€HT)])+SUMIF(Invest[Affectation matrice],$AB$3,Invest[Amortissement HT + intérêts]))*BM8</f>
        <v>0</v>
      </c>
      <c r="M8" s="276">
        <f>(SUMIF(Fonctionnement[Affectation matrice],$AB$3,Fonctionnement[Montant (€HT)])+SUMIF(Invest[Affectation matrice],$AB$3,Invest[Amortissement HT + intérêts]))*BN8</f>
        <v>0</v>
      </c>
      <c r="N8" s="276">
        <f>(SUMIF(Fonctionnement[Affectation matrice],$AB$3,Fonctionnement[Montant (€HT)])+SUMIF(Invest[Affectation matrice],$AB$3,Invest[Amortissement HT + intérêts]))*BO8</f>
        <v>0</v>
      </c>
      <c r="O8" s="276">
        <f>(SUMIF(Fonctionnement[Affectation matrice],$AB$3,Fonctionnement[Montant (€HT)])+SUMIF(Invest[Affectation matrice],$AB$3,Invest[Amortissement HT + intérêts]))*BP8</f>
        <v>0</v>
      </c>
      <c r="P8" s="276">
        <f>(SUMIF(Fonctionnement[Affectation matrice],$AB$3,Fonctionnement[Montant (€HT)])+SUMIF(Invest[Affectation matrice],$AB$3,Invest[Amortissement HT + intérêts]))*BQ8</f>
        <v>0</v>
      </c>
      <c r="Q8" s="276">
        <f>(SUMIF(Fonctionnement[Affectation matrice],$AB$3,Fonctionnement[Montant (€HT)])+SUMIF(Invest[Affectation matrice],$AB$3,Invest[Amortissement HT + intérêts]))*BR8</f>
        <v>0</v>
      </c>
      <c r="R8" s="276">
        <f>(SUMIF(Fonctionnement[Affectation matrice],$AB$3,Fonctionnement[Montant (€HT)])+SUMIF(Invest[Affectation matrice],$AB$3,Invest[Amortissement HT + intérêts]))*BS8</f>
        <v>0</v>
      </c>
      <c r="S8" s="276">
        <f>(SUMIF(Fonctionnement[Affectation matrice],$AB$3,Fonctionnement[Montant (€HT)])+SUMIF(Invest[Affectation matrice],$AB$3,Invest[Amortissement HT + intérêts]))*BT8</f>
        <v>0</v>
      </c>
      <c r="T8" s="276">
        <f>(SUMIF(Fonctionnement[Affectation matrice],$AB$3,Fonctionnement[Montant (€HT)])+SUMIF(Invest[Affectation matrice],$AB$3,Invest[Amortissement HT + intérêts]))*BU8</f>
        <v>0</v>
      </c>
      <c r="U8" s="276">
        <f>(SUMIF(Fonctionnement[Affectation matrice],$AB$3,Fonctionnement[Montant (€HT)])+SUMIF(Invest[Affectation matrice],$AB$3,Invest[Amortissement HT + intérêts]))*BV8</f>
        <v>0</v>
      </c>
      <c r="V8" s="276">
        <f>(SUMIF(Fonctionnement[Affectation matrice],$AB$3,Fonctionnement[Montant (€HT)])+SUMIF(Invest[Affectation matrice],$AB$3,Invest[Amortissement HT + intérêts]))*BW8</f>
        <v>0</v>
      </c>
      <c r="W8" s="276">
        <f>(SUMIF(Fonctionnement[Affectation matrice],$AB$3,Fonctionnement[Montant (€HT)])+SUMIF(Invest[Affectation matrice],$AB$3,Invest[Amortissement HT + intérêts]))*BX8</f>
        <v>0</v>
      </c>
      <c r="X8" s="276">
        <f>(SUMIF(Fonctionnement[Affectation matrice],$AB$3,Fonctionnement[Montant (€HT)])+SUMIF(Invest[Affectation matrice],$AB$3,Invest[Amortissement HT + intérêts]))*BY8</f>
        <v>0</v>
      </c>
      <c r="Y8" s="276">
        <f>(SUMIF(Fonctionnement[Affectation matrice],$AB$3,Fonctionnement[Montant (€HT)])+SUMIF(Invest[Affectation matrice],$AB$3,Invest[Amortissement HT + intérêts]))*BZ8</f>
        <v>0</v>
      </c>
      <c r="Z8" s="276">
        <f>(SUMIF(Fonctionnement[Affectation matrice],$AB$3,Fonctionnement[Montant (€HT)])+SUMIF(Invest[Affectation matrice],$AB$3,Invest[Amortissement HT + intérêts]))*CA8</f>
        <v>0</v>
      </c>
      <c r="AA8" s="199"/>
      <c r="AB8" s="302" t="str">
        <f t="shared" si="25"/>
        <v/>
      </c>
      <c r="AC8" s="302" t="str">
        <f t="shared" si="25"/>
        <v/>
      </c>
      <c r="AD8" s="302" t="str">
        <f t="shared" si="25"/>
        <v/>
      </c>
      <c r="AE8" s="302" t="str">
        <f t="shared" si="25"/>
        <v/>
      </c>
      <c r="AF8" s="302" t="str">
        <f t="shared" si="25"/>
        <v/>
      </c>
      <c r="AG8" s="302" t="str">
        <f t="shared" si="25"/>
        <v/>
      </c>
      <c r="AH8" s="302" t="str">
        <f t="shared" si="25"/>
        <v/>
      </c>
      <c r="AI8" s="302" t="str">
        <f t="shared" si="25"/>
        <v/>
      </c>
      <c r="AJ8" s="302" t="str">
        <f t="shared" si="25"/>
        <v/>
      </c>
      <c r="AK8" s="302" t="str">
        <f t="shared" si="25"/>
        <v/>
      </c>
      <c r="AL8" s="302" t="str">
        <f t="shared" si="26"/>
        <v/>
      </c>
      <c r="AM8" s="302" t="str">
        <f t="shared" si="26"/>
        <v/>
      </c>
      <c r="AN8" s="302" t="str">
        <f t="shared" si="26"/>
        <v/>
      </c>
      <c r="AO8" s="302" t="str">
        <f t="shared" si="26"/>
        <v/>
      </c>
      <c r="AP8" s="302" t="str">
        <f t="shared" si="26"/>
        <v/>
      </c>
      <c r="AQ8" s="302" t="str">
        <f t="shared" si="26"/>
        <v/>
      </c>
      <c r="AR8" s="302" t="str">
        <f t="shared" si="26"/>
        <v/>
      </c>
      <c r="AS8" s="302" t="str">
        <f t="shared" si="26"/>
        <v/>
      </c>
      <c r="AT8" s="302" t="str">
        <f t="shared" si="26"/>
        <v/>
      </c>
      <c r="AU8" s="302" t="str">
        <f t="shared" si="26"/>
        <v/>
      </c>
      <c r="AV8" s="302" t="str">
        <f t="shared" si="26"/>
        <v/>
      </c>
      <c r="AW8" s="302" t="str">
        <f t="shared" si="26"/>
        <v/>
      </c>
      <c r="AX8" s="302" t="str">
        <f t="shared" si="26"/>
        <v/>
      </c>
      <c r="AY8" s="302" t="str">
        <f t="shared" si="26"/>
        <v/>
      </c>
      <c r="AZ8" s="302" t="str">
        <f t="shared" si="26"/>
        <v/>
      </c>
      <c r="BA8" s="283" t="str">
        <f t="shared" si="26"/>
        <v/>
      </c>
      <c r="BC8" s="61">
        <f t="shared" si="27"/>
        <v>0</v>
      </c>
      <c r="BD8" s="61">
        <f t="shared" si="28"/>
        <v>0</v>
      </c>
      <c r="BE8" s="61">
        <f t="shared" si="29"/>
        <v>0</v>
      </c>
      <c r="BF8" s="61">
        <f t="shared" si="30"/>
        <v>0</v>
      </c>
      <c r="BG8" s="61">
        <f t="shared" si="31"/>
        <v>0</v>
      </c>
      <c r="BH8" s="61">
        <f t="shared" si="32"/>
        <v>0</v>
      </c>
      <c r="BI8" s="61">
        <f t="shared" si="33"/>
        <v>0</v>
      </c>
      <c r="BJ8" s="61">
        <f t="shared" si="34"/>
        <v>0</v>
      </c>
      <c r="BK8" s="61">
        <f t="shared" si="35"/>
        <v>0</v>
      </c>
      <c r="BL8" s="61">
        <f t="shared" si="36"/>
        <v>0</v>
      </c>
      <c r="BM8" s="61">
        <f t="shared" si="37"/>
        <v>0</v>
      </c>
      <c r="BN8" s="61">
        <f t="shared" si="38"/>
        <v>0</v>
      </c>
      <c r="BO8" s="61">
        <f t="shared" si="39"/>
        <v>0</v>
      </c>
      <c r="BP8" s="61">
        <f t="shared" si="40"/>
        <v>0</v>
      </c>
      <c r="BQ8" s="61">
        <f t="shared" si="41"/>
        <v>0</v>
      </c>
      <c r="BR8" s="61">
        <f t="shared" si="42"/>
        <v>0</v>
      </c>
      <c r="BS8" s="61">
        <f t="shared" si="43"/>
        <v>0</v>
      </c>
      <c r="BT8" s="61">
        <f t="shared" si="44"/>
        <v>0</v>
      </c>
      <c r="BU8" s="61">
        <f t="shared" si="45"/>
        <v>0</v>
      </c>
      <c r="BV8" s="61">
        <f t="shared" si="46"/>
        <v>0</v>
      </c>
      <c r="BW8" s="61">
        <f t="shared" si="47"/>
        <v>0</v>
      </c>
      <c r="BX8" s="61">
        <f t="shared" si="48"/>
        <v>0</v>
      </c>
      <c r="BY8" s="61">
        <f t="shared" si="49"/>
        <v>0</v>
      </c>
      <c r="BZ8" s="61">
        <f t="shared" si="50"/>
        <v>0</v>
      </c>
      <c r="CA8" s="61">
        <f t="shared" si="51"/>
        <v>0</v>
      </c>
      <c r="CB8" s="61">
        <f t="shared" si="52"/>
        <v>0</v>
      </c>
      <c r="CD8" s="200">
        <f>(SUMIF(Fonctionnement[Affectation matrice],$AB$3,Fonctionnement[TVA acquittée])+SUMIF(Invest[Affectation matrice],$AB$3,Invest[TVA acquittée]))*BC8</f>
        <v>0</v>
      </c>
      <c r="CE8" s="200">
        <f>(SUMIF(Fonctionnement[Affectation matrice],$AB$3,Fonctionnement[TVA acquittée])+SUMIF(Invest[Affectation matrice],$AB$3,Invest[TVA acquittée]))*BD8</f>
        <v>0</v>
      </c>
      <c r="CF8" s="200">
        <f>(SUMIF(Fonctionnement[Affectation matrice],$AB$3,Fonctionnement[TVA acquittée])+SUMIF(Invest[Affectation matrice],$AB$3,Invest[TVA acquittée]))*BE8</f>
        <v>0</v>
      </c>
      <c r="CG8" s="200">
        <f>(SUMIF(Fonctionnement[Affectation matrice],$AB$3,Fonctionnement[TVA acquittée])+SUMIF(Invest[Affectation matrice],$AB$3,Invest[TVA acquittée]))*BF8</f>
        <v>0</v>
      </c>
      <c r="CH8" s="200">
        <f>(SUMIF(Fonctionnement[Affectation matrice],$AB$3,Fonctionnement[TVA acquittée])+SUMIF(Invest[Affectation matrice],$AB$3,Invest[TVA acquittée]))*BG8</f>
        <v>0</v>
      </c>
      <c r="CI8" s="200">
        <f>(SUMIF(Fonctionnement[Affectation matrice],$AB$3,Fonctionnement[TVA acquittée])+SUMIF(Invest[Affectation matrice],$AB$3,Invest[TVA acquittée]))*BH8</f>
        <v>0</v>
      </c>
      <c r="CJ8" s="200">
        <f>(SUMIF(Fonctionnement[Affectation matrice],$AB$3,Fonctionnement[TVA acquittée])+SUMIF(Invest[Affectation matrice],$AB$3,Invest[TVA acquittée]))*BI8</f>
        <v>0</v>
      </c>
      <c r="CK8" s="200">
        <f>(SUMIF(Fonctionnement[Affectation matrice],$AB$3,Fonctionnement[TVA acquittée])+SUMIF(Invest[Affectation matrice],$AB$3,Invest[TVA acquittée]))*BJ8</f>
        <v>0</v>
      </c>
      <c r="CL8" s="200">
        <f>(SUMIF(Fonctionnement[Affectation matrice],$AB$3,Fonctionnement[TVA acquittée])+SUMIF(Invest[Affectation matrice],$AB$3,Invest[TVA acquittée]))*BK8</f>
        <v>0</v>
      </c>
      <c r="CM8" s="200">
        <f>(SUMIF(Fonctionnement[Affectation matrice],$AB$3,Fonctionnement[TVA acquittée])+SUMIF(Invest[Affectation matrice],$AB$3,Invest[TVA acquittée]))*BL8</f>
        <v>0</v>
      </c>
      <c r="CN8" s="200">
        <f>(SUMIF(Fonctionnement[Affectation matrice],$AB$3,Fonctionnement[TVA acquittée])+SUMIF(Invest[Affectation matrice],$AB$3,Invest[TVA acquittée]))*BM8</f>
        <v>0</v>
      </c>
      <c r="CO8" s="200">
        <f>(SUMIF(Fonctionnement[Affectation matrice],$AB$3,Fonctionnement[TVA acquittée])+SUMIF(Invest[Affectation matrice],$AB$3,Invest[TVA acquittée]))*BN8</f>
        <v>0</v>
      </c>
      <c r="CP8" s="200">
        <f>(SUMIF(Fonctionnement[Affectation matrice],$AB$3,Fonctionnement[TVA acquittée])+SUMIF(Invest[Affectation matrice],$AB$3,Invest[TVA acquittée]))*BO8</f>
        <v>0</v>
      </c>
      <c r="CQ8" s="200">
        <f>(SUMIF(Fonctionnement[Affectation matrice],$AB$3,Fonctionnement[TVA acquittée])+SUMIF(Invest[Affectation matrice],$AB$3,Invest[TVA acquittée]))*BP8</f>
        <v>0</v>
      </c>
      <c r="CR8" s="200">
        <f>(SUMIF(Fonctionnement[Affectation matrice],$AB$3,Fonctionnement[TVA acquittée])+SUMIF(Invest[Affectation matrice],$AB$3,Invest[TVA acquittée]))*BQ8</f>
        <v>0</v>
      </c>
      <c r="CS8" s="200">
        <f>(SUMIF(Fonctionnement[Affectation matrice],$AB$3,Fonctionnement[TVA acquittée])+SUMIF(Invest[Affectation matrice],$AB$3,Invest[TVA acquittée]))*BR8</f>
        <v>0</v>
      </c>
      <c r="CT8" s="200">
        <f>(SUMIF(Fonctionnement[Affectation matrice],$AB$3,Fonctionnement[TVA acquittée])+SUMIF(Invest[Affectation matrice],$AB$3,Invest[TVA acquittée]))*BS8</f>
        <v>0</v>
      </c>
      <c r="CU8" s="200">
        <f>(SUMIF(Fonctionnement[Affectation matrice],$AB$3,Fonctionnement[TVA acquittée])+SUMIF(Invest[Affectation matrice],$AB$3,Invest[TVA acquittée]))*BT8</f>
        <v>0</v>
      </c>
      <c r="CV8" s="200">
        <f>(SUMIF(Fonctionnement[Affectation matrice],$AB$3,Fonctionnement[TVA acquittée])+SUMIF(Invest[Affectation matrice],$AB$3,Invest[TVA acquittée]))*BU8</f>
        <v>0</v>
      </c>
      <c r="CW8" s="200">
        <f>(SUMIF(Fonctionnement[Affectation matrice],$AB$3,Fonctionnement[TVA acquittée])+SUMIF(Invest[Affectation matrice],$AB$3,Invest[TVA acquittée]))*BV8</f>
        <v>0</v>
      </c>
      <c r="CX8" s="200">
        <f>(SUMIF(Fonctionnement[Affectation matrice],$AB$3,Fonctionnement[TVA acquittée])+SUMIF(Invest[Affectation matrice],$AB$3,Invest[TVA acquittée]))*BW8</f>
        <v>0</v>
      </c>
      <c r="CY8" s="200">
        <f>(SUMIF(Fonctionnement[Affectation matrice],$AB$3,Fonctionnement[TVA acquittée])+SUMIF(Invest[Affectation matrice],$AB$3,Invest[TVA acquittée]))*BX8</f>
        <v>0</v>
      </c>
      <c r="CZ8" s="200">
        <f>(SUMIF(Fonctionnement[Affectation matrice],$AB$3,Fonctionnement[TVA acquittée])+SUMIF(Invest[Affectation matrice],$AB$3,Invest[TVA acquittée]))*BY8</f>
        <v>0</v>
      </c>
      <c r="DA8" s="200">
        <f>(SUMIF(Fonctionnement[Affectation matrice],$AB$3,Fonctionnement[TVA acquittée])+SUMIF(Invest[Affectation matrice],$AB$3,Invest[TVA acquittée]))*BZ8</f>
        <v>0</v>
      </c>
      <c r="DB8" s="200">
        <f>(SUMIF(Fonctionnement[Affectation matrice],$AB$3,Fonctionnement[TVA acquittée])+SUMIF(Invest[Affectation matrice],$AB$3,Invest[TVA acquittée]))*CA8</f>
        <v>0</v>
      </c>
    </row>
    <row r="9" spans="1:106" s="22" customFormat="1" ht="12.75" customHeight="1" x14ac:dyDescent="0.25">
      <c r="A9" s="42" t="str">
        <f>Matrice[[#This Row],[Ligne de la matrice]]</f>
        <v>Collecte</v>
      </c>
      <c r="B9" s="276">
        <f>(SUMIF(Fonctionnement[Affectation matrice],$AB$3,Fonctionnement[Montant (€HT)])+SUMIF(Invest[Affectation matrice],$AB$3,Invest[Amortissement HT + intérêts]))*BC9</f>
        <v>0</v>
      </c>
      <c r="C9" s="276">
        <f>(SUMIF(Fonctionnement[Affectation matrice],$AB$3,Fonctionnement[Montant (€HT)])+SUMIF(Invest[Affectation matrice],$AB$3,Invest[Amortissement HT + intérêts]))*BD9</f>
        <v>0</v>
      </c>
      <c r="D9" s="276">
        <f>(SUMIF(Fonctionnement[Affectation matrice],$AB$3,Fonctionnement[Montant (€HT)])+SUMIF(Invest[Affectation matrice],$AB$3,Invest[Amortissement HT + intérêts]))*BE9</f>
        <v>0</v>
      </c>
      <c r="E9" s="276">
        <f>(SUMIF(Fonctionnement[Affectation matrice],$AB$3,Fonctionnement[Montant (€HT)])+SUMIF(Invest[Affectation matrice],$AB$3,Invest[Amortissement HT + intérêts]))*BF9</f>
        <v>0</v>
      </c>
      <c r="F9" s="276">
        <f>(SUMIF(Fonctionnement[Affectation matrice],$AB$3,Fonctionnement[Montant (€HT)])+SUMIF(Invest[Affectation matrice],$AB$3,Invest[Amortissement HT + intérêts]))*BG9</f>
        <v>0</v>
      </c>
      <c r="G9" s="276">
        <f>(SUMIF(Fonctionnement[Affectation matrice],$AB$3,Fonctionnement[Montant (€HT)])+SUMIF(Invest[Affectation matrice],$AB$3,Invest[Amortissement HT + intérêts]))*BH9</f>
        <v>0</v>
      </c>
      <c r="H9" s="276">
        <f>(SUMIF(Fonctionnement[Affectation matrice],$AB$3,Fonctionnement[Montant (€HT)])+SUMIF(Invest[Affectation matrice],$AB$3,Invest[Amortissement HT + intérêts]))*BI9</f>
        <v>0</v>
      </c>
      <c r="I9" s="276">
        <f>(SUMIF(Fonctionnement[Affectation matrice],$AB$3,Fonctionnement[Montant (€HT)])+SUMIF(Invest[Affectation matrice],$AB$3,Invest[Amortissement HT + intérêts]))*BJ9</f>
        <v>0</v>
      </c>
      <c r="J9" s="276">
        <f>(SUMIF(Fonctionnement[Affectation matrice],$AB$3,Fonctionnement[Montant (€HT)])+SUMIF(Invest[Affectation matrice],$AB$3,Invest[Amortissement HT + intérêts]))*BK9</f>
        <v>0</v>
      </c>
      <c r="K9" s="276">
        <f>(SUMIF(Fonctionnement[Affectation matrice],$AB$3,Fonctionnement[Montant (€HT)])+SUMIF(Invest[Affectation matrice],$AB$3,Invest[Amortissement HT + intérêts]))*BL9</f>
        <v>0</v>
      </c>
      <c r="L9" s="276">
        <f>(SUMIF(Fonctionnement[Affectation matrice],$AB$3,Fonctionnement[Montant (€HT)])+SUMIF(Invest[Affectation matrice],$AB$3,Invest[Amortissement HT + intérêts]))*BM9</f>
        <v>0</v>
      </c>
      <c r="M9" s="276">
        <f>(SUMIF(Fonctionnement[Affectation matrice],$AB$3,Fonctionnement[Montant (€HT)])+SUMIF(Invest[Affectation matrice],$AB$3,Invest[Amortissement HT + intérêts]))*BN9</f>
        <v>0</v>
      </c>
      <c r="N9" s="276">
        <f>(SUMIF(Fonctionnement[Affectation matrice],$AB$3,Fonctionnement[Montant (€HT)])+SUMIF(Invest[Affectation matrice],$AB$3,Invest[Amortissement HT + intérêts]))*BO9</f>
        <v>0</v>
      </c>
      <c r="O9" s="276">
        <f>(SUMIF(Fonctionnement[Affectation matrice],$AB$3,Fonctionnement[Montant (€HT)])+SUMIF(Invest[Affectation matrice],$AB$3,Invest[Amortissement HT + intérêts]))*BP9</f>
        <v>0</v>
      </c>
      <c r="P9" s="276">
        <f>(SUMIF(Fonctionnement[Affectation matrice],$AB$3,Fonctionnement[Montant (€HT)])+SUMIF(Invest[Affectation matrice],$AB$3,Invest[Amortissement HT + intérêts]))*BQ9</f>
        <v>0</v>
      </c>
      <c r="Q9" s="276">
        <f>(SUMIF(Fonctionnement[Affectation matrice],$AB$3,Fonctionnement[Montant (€HT)])+SUMIF(Invest[Affectation matrice],$AB$3,Invest[Amortissement HT + intérêts]))*BR9</f>
        <v>0</v>
      </c>
      <c r="R9" s="276">
        <f>(SUMIF(Fonctionnement[Affectation matrice],$AB$3,Fonctionnement[Montant (€HT)])+SUMIF(Invest[Affectation matrice],$AB$3,Invest[Amortissement HT + intérêts]))*BS9</f>
        <v>0</v>
      </c>
      <c r="S9" s="276">
        <f>(SUMIF(Fonctionnement[Affectation matrice],$AB$3,Fonctionnement[Montant (€HT)])+SUMIF(Invest[Affectation matrice],$AB$3,Invest[Amortissement HT + intérêts]))*BT9</f>
        <v>0</v>
      </c>
      <c r="T9" s="276">
        <f>(SUMIF(Fonctionnement[Affectation matrice],$AB$3,Fonctionnement[Montant (€HT)])+SUMIF(Invest[Affectation matrice],$AB$3,Invest[Amortissement HT + intérêts]))*BU9</f>
        <v>0</v>
      </c>
      <c r="U9" s="276">
        <f>(SUMIF(Fonctionnement[Affectation matrice],$AB$3,Fonctionnement[Montant (€HT)])+SUMIF(Invest[Affectation matrice],$AB$3,Invest[Amortissement HT + intérêts]))*BV9</f>
        <v>0</v>
      </c>
      <c r="V9" s="276">
        <f>(SUMIF(Fonctionnement[Affectation matrice],$AB$3,Fonctionnement[Montant (€HT)])+SUMIF(Invest[Affectation matrice],$AB$3,Invest[Amortissement HT + intérêts]))*BW9</f>
        <v>0</v>
      </c>
      <c r="W9" s="276">
        <f>(SUMIF(Fonctionnement[Affectation matrice],$AB$3,Fonctionnement[Montant (€HT)])+SUMIF(Invest[Affectation matrice],$AB$3,Invest[Amortissement HT + intérêts]))*BX9</f>
        <v>0</v>
      </c>
      <c r="X9" s="276">
        <f>(SUMIF(Fonctionnement[Affectation matrice],$AB$3,Fonctionnement[Montant (€HT)])+SUMIF(Invest[Affectation matrice],$AB$3,Invest[Amortissement HT + intérêts]))*BY9</f>
        <v>0</v>
      </c>
      <c r="Y9" s="276">
        <f>(SUMIF(Fonctionnement[Affectation matrice],$AB$3,Fonctionnement[Montant (€HT)])+SUMIF(Invest[Affectation matrice],$AB$3,Invest[Amortissement HT + intérêts]))*BZ9</f>
        <v>0</v>
      </c>
      <c r="Z9" s="276">
        <f>(SUMIF(Fonctionnement[Affectation matrice],$AB$3,Fonctionnement[Montant (€HT)])+SUMIF(Invest[Affectation matrice],$AB$3,Invest[Amortissement HT + intérêts]))*CA9</f>
        <v>0</v>
      </c>
      <c r="AA9" s="199"/>
      <c r="AB9" s="302" t="str">
        <f t="shared" si="25"/>
        <v/>
      </c>
      <c r="AC9" s="302" t="str">
        <f t="shared" si="25"/>
        <v/>
      </c>
      <c r="AD9" s="302" t="str">
        <f t="shared" si="25"/>
        <v/>
      </c>
      <c r="AE9" s="302" t="str">
        <f t="shared" si="25"/>
        <v/>
      </c>
      <c r="AF9" s="302" t="str">
        <f t="shared" si="25"/>
        <v/>
      </c>
      <c r="AG9" s="302" t="str">
        <f t="shared" si="25"/>
        <v/>
      </c>
      <c r="AH9" s="302" t="str">
        <f t="shared" si="25"/>
        <v/>
      </c>
      <c r="AI9" s="302" t="str">
        <f t="shared" si="25"/>
        <v/>
      </c>
      <c r="AJ9" s="302" t="str">
        <f t="shared" si="25"/>
        <v/>
      </c>
      <c r="AK9" s="302" t="str">
        <f t="shared" si="25"/>
        <v/>
      </c>
      <c r="AL9" s="302" t="str">
        <f t="shared" si="26"/>
        <v/>
      </c>
      <c r="AM9" s="302" t="str">
        <f t="shared" si="26"/>
        <v/>
      </c>
      <c r="AN9" s="302" t="str">
        <f t="shared" si="26"/>
        <v/>
      </c>
      <c r="AO9" s="302" t="str">
        <f t="shared" si="26"/>
        <v/>
      </c>
      <c r="AP9" s="302" t="str">
        <f t="shared" si="26"/>
        <v/>
      </c>
      <c r="AQ9" s="302" t="str">
        <f t="shared" si="26"/>
        <v/>
      </c>
      <c r="AR9" s="302" t="str">
        <f t="shared" si="26"/>
        <v/>
      </c>
      <c r="AS9" s="302" t="str">
        <f t="shared" si="26"/>
        <v/>
      </c>
      <c r="AT9" s="302" t="str">
        <f t="shared" si="26"/>
        <v/>
      </c>
      <c r="AU9" s="302" t="str">
        <f t="shared" si="26"/>
        <v/>
      </c>
      <c r="AV9" s="302" t="str">
        <f t="shared" si="26"/>
        <v/>
      </c>
      <c r="AW9" s="302" t="str">
        <f t="shared" si="26"/>
        <v/>
      </c>
      <c r="AX9" s="302" t="str">
        <f t="shared" si="26"/>
        <v/>
      </c>
      <c r="AY9" s="302" t="str">
        <f t="shared" si="26"/>
        <v/>
      </c>
      <c r="AZ9" s="302" t="str">
        <f t="shared" si="26"/>
        <v/>
      </c>
      <c r="BA9" s="283" t="str">
        <f t="shared" si="26"/>
        <v/>
      </c>
      <c r="BB9" s="7"/>
      <c r="BC9" s="61">
        <f t="shared" si="27"/>
        <v>0</v>
      </c>
      <c r="BD9" s="61">
        <f t="shared" si="28"/>
        <v>0</v>
      </c>
      <c r="BE9" s="61">
        <f t="shared" si="29"/>
        <v>0</v>
      </c>
      <c r="BF9" s="61">
        <f t="shared" si="30"/>
        <v>0</v>
      </c>
      <c r="BG9" s="61">
        <f t="shared" si="31"/>
        <v>0</v>
      </c>
      <c r="BH9" s="61">
        <f t="shared" si="32"/>
        <v>0</v>
      </c>
      <c r="BI9" s="61">
        <f t="shared" si="33"/>
        <v>0</v>
      </c>
      <c r="BJ9" s="61">
        <f t="shared" si="34"/>
        <v>0</v>
      </c>
      <c r="BK9" s="61">
        <f t="shared" si="35"/>
        <v>0</v>
      </c>
      <c r="BL9" s="61">
        <f t="shared" si="36"/>
        <v>0</v>
      </c>
      <c r="BM9" s="61">
        <f t="shared" si="37"/>
        <v>0</v>
      </c>
      <c r="BN9" s="61">
        <f t="shared" si="38"/>
        <v>0</v>
      </c>
      <c r="BO9" s="61">
        <f t="shared" si="39"/>
        <v>0</v>
      </c>
      <c r="BP9" s="61">
        <f t="shared" si="40"/>
        <v>0</v>
      </c>
      <c r="BQ9" s="61">
        <f t="shared" si="41"/>
        <v>0</v>
      </c>
      <c r="BR9" s="61">
        <f t="shared" si="42"/>
        <v>0</v>
      </c>
      <c r="BS9" s="61">
        <f t="shared" si="43"/>
        <v>0</v>
      </c>
      <c r="BT9" s="61">
        <f t="shared" si="44"/>
        <v>0</v>
      </c>
      <c r="BU9" s="61">
        <f t="shared" si="45"/>
        <v>0</v>
      </c>
      <c r="BV9" s="61">
        <f t="shared" si="46"/>
        <v>0</v>
      </c>
      <c r="BW9" s="61">
        <f t="shared" si="47"/>
        <v>0</v>
      </c>
      <c r="BX9" s="61">
        <f t="shared" si="48"/>
        <v>0</v>
      </c>
      <c r="BY9" s="61">
        <f t="shared" si="49"/>
        <v>0</v>
      </c>
      <c r="BZ9" s="61">
        <f t="shared" si="50"/>
        <v>0</v>
      </c>
      <c r="CA9" s="61">
        <f t="shared" si="51"/>
        <v>0</v>
      </c>
      <c r="CB9" s="61">
        <f t="shared" si="52"/>
        <v>0</v>
      </c>
      <c r="CD9" s="200">
        <f>(SUMIF(Fonctionnement[Affectation matrice],$AB$3,Fonctionnement[TVA acquittée])+SUMIF(Invest[Affectation matrice],$AB$3,Invest[TVA acquittée]))*BC9</f>
        <v>0</v>
      </c>
      <c r="CE9" s="200">
        <f>(SUMIF(Fonctionnement[Affectation matrice],$AB$3,Fonctionnement[TVA acquittée])+SUMIF(Invest[Affectation matrice],$AB$3,Invest[TVA acquittée]))*BD9</f>
        <v>0</v>
      </c>
      <c r="CF9" s="200">
        <f>(SUMIF(Fonctionnement[Affectation matrice],$AB$3,Fonctionnement[TVA acquittée])+SUMIF(Invest[Affectation matrice],$AB$3,Invest[TVA acquittée]))*BE9</f>
        <v>0</v>
      </c>
      <c r="CG9" s="200">
        <f>(SUMIF(Fonctionnement[Affectation matrice],$AB$3,Fonctionnement[TVA acquittée])+SUMIF(Invest[Affectation matrice],$AB$3,Invest[TVA acquittée]))*BF9</f>
        <v>0</v>
      </c>
      <c r="CH9" s="200">
        <f>(SUMIF(Fonctionnement[Affectation matrice],$AB$3,Fonctionnement[TVA acquittée])+SUMIF(Invest[Affectation matrice],$AB$3,Invest[TVA acquittée]))*BG9</f>
        <v>0</v>
      </c>
      <c r="CI9" s="200">
        <f>(SUMIF(Fonctionnement[Affectation matrice],$AB$3,Fonctionnement[TVA acquittée])+SUMIF(Invest[Affectation matrice],$AB$3,Invest[TVA acquittée]))*BH9</f>
        <v>0</v>
      </c>
      <c r="CJ9" s="200">
        <f>(SUMIF(Fonctionnement[Affectation matrice],$AB$3,Fonctionnement[TVA acquittée])+SUMIF(Invest[Affectation matrice],$AB$3,Invest[TVA acquittée]))*BI9</f>
        <v>0</v>
      </c>
      <c r="CK9" s="200">
        <f>(SUMIF(Fonctionnement[Affectation matrice],$AB$3,Fonctionnement[TVA acquittée])+SUMIF(Invest[Affectation matrice],$AB$3,Invest[TVA acquittée]))*BJ9</f>
        <v>0</v>
      </c>
      <c r="CL9" s="200">
        <f>(SUMIF(Fonctionnement[Affectation matrice],$AB$3,Fonctionnement[TVA acquittée])+SUMIF(Invest[Affectation matrice],$AB$3,Invest[TVA acquittée]))*BK9</f>
        <v>0</v>
      </c>
      <c r="CM9" s="200">
        <f>(SUMIF(Fonctionnement[Affectation matrice],$AB$3,Fonctionnement[TVA acquittée])+SUMIF(Invest[Affectation matrice],$AB$3,Invest[TVA acquittée]))*BL9</f>
        <v>0</v>
      </c>
      <c r="CN9" s="200">
        <f>(SUMIF(Fonctionnement[Affectation matrice],$AB$3,Fonctionnement[TVA acquittée])+SUMIF(Invest[Affectation matrice],$AB$3,Invest[TVA acquittée]))*BM9</f>
        <v>0</v>
      </c>
      <c r="CO9" s="200">
        <f>(SUMIF(Fonctionnement[Affectation matrice],$AB$3,Fonctionnement[TVA acquittée])+SUMIF(Invest[Affectation matrice],$AB$3,Invest[TVA acquittée]))*BN9</f>
        <v>0</v>
      </c>
      <c r="CP9" s="200">
        <f>(SUMIF(Fonctionnement[Affectation matrice],$AB$3,Fonctionnement[TVA acquittée])+SUMIF(Invest[Affectation matrice],$AB$3,Invest[TVA acquittée]))*BO9</f>
        <v>0</v>
      </c>
      <c r="CQ9" s="200">
        <f>(SUMIF(Fonctionnement[Affectation matrice],$AB$3,Fonctionnement[TVA acquittée])+SUMIF(Invest[Affectation matrice],$AB$3,Invest[TVA acquittée]))*BP9</f>
        <v>0</v>
      </c>
      <c r="CR9" s="200">
        <f>(SUMIF(Fonctionnement[Affectation matrice],$AB$3,Fonctionnement[TVA acquittée])+SUMIF(Invest[Affectation matrice],$AB$3,Invest[TVA acquittée]))*BQ9</f>
        <v>0</v>
      </c>
      <c r="CS9" s="200">
        <f>(SUMIF(Fonctionnement[Affectation matrice],$AB$3,Fonctionnement[TVA acquittée])+SUMIF(Invest[Affectation matrice],$AB$3,Invest[TVA acquittée]))*BR9</f>
        <v>0</v>
      </c>
      <c r="CT9" s="200">
        <f>(SUMIF(Fonctionnement[Affectation matrice],$AB$3,Fonctionnement[TVA acquittée])+SUMIF(Invest[Affectation matrice],$AB$3,Invest[TVA acquittée]))*BS9</f>
        <v>0</v>
      </c>
      <c r="CU9" s="200">
        <f>(SUMIF(Fonctionnement[Affectation matrice],$AB$3,Fonctionnement[TVA acquittée])+SUMIF(Invest[Affectation matrice],$AB$3,Invest[TVA acquittée]))*BT9</f>
        <v>0</v>
      </c>
      <c r="CV9" s="200">
        <f>(SUMIF(Fonctionnement[Affectation matrice],$AB$3,Fonctionnement[TVA acquittée])+SUMIF(Invest[Affectation matrice],$AB$3,Invest[TVA acquittée]))*BU9</f>
        <v>0</v>
      </c>
      <c r="CW9" s="200">
        <f>(SUMIF(Fonctionnement[Affectation matrice],$AB$3,Fonctionnement[TVA acquittée])+SUMIF(Invest[Affectation matrice],$AB$3,Invest[TVA acquittée]))*BV9</f>
        <v>0</v>
      </c>
      <c r="CX9" s="200">
        <f>(SUMIF(Fonctionnement[Affectation matrice],$AB$3,Fonctionnement[TVA acquittée])+SUMIF(Invest[Affectation matrice],$AB$3,Invest[TVA acquittée]))*BW9</f>
        <v>0</v>
      </c>
      <c r="CY9" s="200">
        <f>(SUMIF(Fonctionnement[Affectation matrice],$AB$3,Fonctionnement[TVA acquittée])+SUMIF(Invest[Affectation matrice],$AB$3,Invest[TVA acquittée]))*BX9</f>
        <v>0</v>
      </c>
      <c r="CZ9" s="200">
        <f>(SUMIF(Fonctionnement[Affectation matrice],$AB$3,Fonctionnement[TVA acquittée])+SUMIF(Invest[Affectation matrice],$AB$3,Invest[TVA acquittée]))*BY9</f>
        <v>0</v>
      </c>
      <c r="DA9" s="200">
        <f>(SUMIF(Fonctionnement[Affectation matrice],$AB$3,Fonctionnement[TVA acquittée])+SUMIF(Invest[Affectation matrice],$AB$3,Invest[TVA acquittée]))*BZ9</f>
        <v>0</v>
      </c>
      <c r="DB9" s="200">
        <f>(SUMIF(Fonctionnement[Affectation matrice],$AB$3,Fonctionnement[TVA acquittée])+SUMIF(Invest[Affectation matrice],$AB$3,Invest[TVA acquittée]))*CA9</f>
        <v>0</v>
      </c>
    </row>
    <row r="10" spans="1:106" s="22" customFormat="1" ht="12.75" customHeight="1" x14ac:dyDescent="0.25">
      <c r="A10" s="42" t="str">
        <f>Matrice[[#This Row],[Ligne de la matrice]]</f>
        <v>Transfert/Transport</v>
      </c>
      <c r="B10" s="276">
        <f>(SUMIF(Fonctionnement[Affectation matrice],$AB$3,Fonctionnement[Montant (€HT)])+SUMIF(Invest[Affectation matrice],$AB$3,Invest[Amortissement HT + intérêts]))*BC10</f>
        <v>0</v>
      </c>
      <c r="C10" s="276">
        <f>(SUMIF(Fonctionnement[Affectation matrice],$AB$3,Fonctionnement[Montant (€HT)])+SUMIF(Invest[Affectation matrice],$AB$3,Invest[Amortissement HT + intérêts]))*BD10</f>
        <v>0</v>
      </c>
      <c r="D10" s="276">
        <f>(SUMIF(Fonctionnement[Affectation matrice],$AB$3,Fonctionnement[Montant (€HT)])+SUMIF(Invest[Affectation matrice],$AB$3,Invest[Amortissement HT + intérêts]))*BE10</f>
        <v>0</v>
      </c>
      <c r="E10" s="276">
        <f>(SUMIF(Fonctionnement[Affectation matrice],$AB$3,Fonctionnement[Montant (€HT)])+SUMIF(Invest[Affectation matrice],$AB$3,Invest[Amortissement HT + intérêts]))*BF10</f>
        <v>0</v>
      </c>
      <c r="F10" s="276">
        <f>(SUMIF(Fonctionnement[Affectation matrice],$AB$3,Fonctionnement[Montant (€HT)])+SUMIF(Invest[Affectation matrice],$AB$3,Invest[Amortissement HT + intérêts]))*BG10</f>
        <v>0</v>
      </c>
      <c r="G10" s="276">
        <f>(SUMIF(Fonctionnement[Affectation matrice],$AB$3,Fonctionnement[Montant (€HT)])+SUMIF(Invest[Affectation matrice],$AB$3,Invest[Amortissement HT + intérêts]))*BH10</f>
        <v>0</v>
      </c>
      <c r="H10" s="276">
        <f>(SUMIF(Fonctionnement[Affectation matrice],$AB$3,Fonctionnement[Montant (€HT)])+SUMIF(Invest[Affectation matrice],$AB$3,Invest[Amortissement HT + intérêts]))*BI10</f>
        <v>0</v>
      </c>
      <c r="I10" s="276">
        <f>(SUMIF(Fonctionnement[Affectation matrice],$AB$3,Fonctionnement[Montant (€HT)])+SUMIF(Invest[Affectation matrice],$AB$3,Invest[Amortissement HT + intérêts]))*BJ10</f>
        <v>0</v>
      </c>
      <c r="J10" s="276">
        <f>(SUMIF(Fonctionnement[Affectation matrice],$AB$3,Fonctionnement[Montant (€HT)])+SUMIF(Invest[Affectation matrice],$AB$3,Invest[Amortissement HT + intérêts]))*BK10</f>
        <v>0</v>
      </c>
      <c r="K10" s="276">
        <f>(SUMIF(Fonctionnement[Affectation matrice],$AB$3,Fonctionnement[Montant (€HT)])+SUMIF(Invest[Affectation matrice],$AB$3,Invest[Amortissement HT + intérêts]))*BL10</f>
        <v>0</v>
      </c>
      <c r="L10" s="276">
        <f>(SUMIF(Fonctionnement[Affectation matrice],$AB$3,Fonctionnement[Montant (€HT)])+SUMIF(Invest[Affectation matrice],$AB$3,Invest[Amortissement HT + intérêts]))*BM10</f>
        <v>0</v>
      </c>
      <c r="M10" s="276">
        <f>(SUMIF(Fonctionnement[Affectation matrice],$AB$3,Fonctionnement[Montant (€HT)])+SUMIF(Invest[Affectation matrice],$AB$3,Invest[Amortissement HT + intérêts]))*BN10</f>
        <v>0</v>
      </c>
      <c r="N10" s="276">
        <f>(SUMIF(Fonctionnement[Affectation matrice],$AB$3,Fonctionnement[Montant (€HT)])+SUMIF(Invest[Affectation matrice],$AB$3,Invest[Amortissement HT + intérêts]))*BO10</f>
        <v>0</v>
      </c>
      <c r="O10" s="276">
        <f>(SUMIF(Fonctionnement[Affectation matrice],$AB$3,Fonctionnement[Montant (€HT)])+SUMIF(Invest[Affectation matrice],$AB$3,Invest[Amortissement HT + intérêts]))*BP10</f>
        <v>0</v>
      </c>
      <c r="P10" s="276">
        <f>(SUMIF(Fonctionnement[Affectation matrice],$AB$3,Fonctionnement[Montant (€HT)])+SUMIF(Invest[Affectation matrice],$AB$3,Invest[Amortissement HT + intérêts]))*BQ10</f>
        <v>0</v>
      </c>
      <c r="Q10" s="276">
        <f>(SUMIF(Fonctionnement[Affectation matrice],$AB$3,Fonctionnement[Montant (€HT)])+SUMIF(Invest[Affectation matrice],$AB$3,Invest[Amortissement HT + intérêts]))*BR10</f>
        <v>0</v>
      </c>
      <c r="R10" s="276">
        <f>(SUMIF(Fonctionnement[Affectation matrice],$AB$3,Fonctionnement[Montant (€HT)])+SUMIF(Invest[Affectation matrice],$AB$3,Invest[Amortissement HT + intérêts]))*BS10</f>
        <v>0</v>
      </c>
      <c r="S10" s="276">
        <f>(SUMIF(Fonctionnement[Affectation matrice],$AB$3,Fonctionnement[Montant (€HT)])+SUMIF(Invest[Affectation matrice],$AB$3,Invest[Amortissement HT + intérêts]))*BT10</f>
        <v>0</v>
      </c>
      <c r="T10" s="276">
        <f>(SUMIF(Fonctionnement[Affectation matrice],$AB$3,Fonctionnement[Montant (€HT)])+SUMIF(Invest[Affectation matrice],$AB$3,Invest[Amortissement HT + intérêts]))*BU10</f>
        <v>0</v>
      </c>
      <c r="U10" s="276">
        <f>(SUMIF(Fonctionnement[Affectation matrice],$AB$3,Fonctionnement[Montant (€HT)])+SUMIF(Invest[Affectation matrice],$AB$3,Invest[Amortissement HT + intérêts]))*BV10</f>
        <v>0</v>
      </c>
      <c r="V10" s="276">
        <f>(SUMIF(Fonctionnement[Affectation matrice],$AB$3,Fonctionnement[Montant (€HT)])+SUMIF(Invest[Affectation matrice],$AB$3,Invest[Amortissement HT + intérêts]))*BW10</f>
        <v>0</v>
      </c>
      <c r="W10" s="276">
        <f>(SUMIF(Fonctionnement[Affectation matrice],$AB$3,Fonctionnement[Montant (€HT)])+SUMIF(Invest[Affectation matrice],$AB$3,Invest[Amortissement HT + intérêts]))*BX10</f>
        <v>0</v>
      </c>
      <c r="X10" s="276">
        <f>(SUMIF(Fonctionnement[Affectation matrice],$AB$3,Fonctionnement[Montant (€HT)])+SUMIF(Invest[Affectation matrice],$AB$3,Invest[Amortissement HT + intérêts]))*BY10</f>
        <v>0</v>
      </c>
      <c r="Y10" s="276">
        <f>(SUMIF(Fonctionnement[Affectation matrice],$AB$3,Fonctionnement[Montant (€HT)])+SUMIF(Invest[Affectation matrice],$AB$3,Invest[Amortissement HT + intérêts]))*BZ10</f>
        <v>0</v>
      </c>
      <c r="Z10" s="276">
        <f>(SUMIF(Fonctionnement[Affectation matrice],$AB$3,Fonctionnement[Montant (€HT)])+SUMIF(Invest[Affectation matrice],$AB$3,Invest[Amortissement HT + intérêts]))*CA10</f>
        <v>0</v>
      </c>
      <c r="AA10" s="199"/>
      <c r="AB10" s="302" t="str">
        <f t="shared" si="25"/>
        <v/>
      </c>
      <c r="AC10" s="302" t="str">
        <f t="shared" si="25"/>
        <v/>
      </c>
      <c r="AD10" s="302" t="str">
        <f t="shared" si="25"/>
        <v/>
      </c>
      <c r="AE10" s="302" t="str">
        <f t="shared" si="25"/>
        <v/>
      </c>
      <c r="AF10" s="302" t="str">
        <f t="shared" si="25"/>
        <v/>
      </c>
      <c r="AG10" s="302" t="str">
        <f t="shared" si="25"/>
        <v/>
      </c>
      <c r="AH10" s="302" t="str">
        <f t="shared" si="25"/>
        <v/>
      </c>
      <c r="AI10" s="302" t="str">
        <f t="shared" si="25"/>
        <v/>
      </c>
      <c r="AJ10" s="302" t="str">
        <f t="shared" si="25"/>
        <v/>
      </c>
      <c r="AK10" s="302" t="str">
        <f t="shared" si="25"/>
        <v/>
      </c>
      <c r="AL10" s="302" t="str">
        <f t="shared" si="26"/>
        <v/>
      </c>
      <c r="AM10" s="302" t="str">
        <f t="shared" si="26"/>
        <v/>
      </c>
      <c r="AN10" s="302" t="str">
        <f t="shared" si="26"/>
        <v/>
      </c>
      <c r="AO10" s="302" t="str">
        <f t="shared" si="26"/>
        <v/>
      </c>
      <c r="AP10" s="302" t="str">
        <f t="shared" si="26"/>
        <v/>
      </c>
      <c r="AQ10" s="302" t="str">
        <f t="shared" si="26"/>
        <v/>
      </c>
      <c r="AR10" s="302" t="str">
        <f t="shared" si="26"/>
        <v/>
      </c>
      <c r="AS10" s="302" t="str">
        <f t="shared" si="26"/>
        <v/>
      </c>
      <c r="AT10" s="302" t="str">
        <f t="shared" si="26"/>
        <v/>
      </c>
      <c r="AU10" s="302" t="str">
        <f t="shared" si="26"/>
        <v/>
      </c>
      <c r="AV10" s="302" t="str">
        <f t="shared" si="26"/>
        <v/>
      </c>
      <c r="AW10" s="302" t="str">
        <f t="shared" si="26"/>
        <v/>
      </c>
      <c r="AX10" s="302" t="str">
        <f t="shared" si="26"/>
        <v/>
      </c>
      <c r="AY10" s="302" t="str">
        <f t="shared" si="26"/>
        <v/>
      </c>
      <c r="AZ10" s="302" t="str">
        <f t="shared" si="26"/>
        <v/>
      </c>
      <c r="BA10" s="283" t="str">
        <f t="shared" si="26"/>
        <v/>
      </c>
      <c r="BB10" s="7"/>
      <c r="BC10" s="61">
        <f t="shared" si="27"/>
        <v>0</v>
      </c>
      <c r="BD10" s="61">
        <f t="shared" si="28"/>
        <v>0</v>
      </c>
      <c r="BE10" s="61">
        <f t="shared" si="29"/>
        <v>0</v>
      </c>
      <c r="BF10" s="61">
        <f t="shared" si="30"/>
        <v>0</v>
      </c>
      <c r="BG10" s="61">
        <f t="shared" si="31"/>
        <v>0</v>
      </c>
      <c r="BH10" s="61">
        <f t="shared" si="32"/>
        <v>0</v>
      </c>
      <c r="BI10" s="61">
        <f t="shared" si="33"/>
        <v>0</v>
      </c>
      <c r="BJ10" s="61">
        <f t="shared" si="34"/>
        <v>0</v>
      </c>
      <c r="BK10" s="61">
        <f t="shared" si="35"/>
        <v>0</v>
      </c>
      <c r="BL10" s="61">
        <f t="shared" si="36"/>
        <v>0</v>
      </c>
      <c r="BM10" s="61">
        <f t="shared" si="37"/>
        <v>0</v>
      </c>
      <c r="BN10" s="61">
        <f t="shared" si="38"/>
        <v>0</v>
      </c>
      <c r="BO10" s="61">
        <f t="shared" si="39"/>
        <v>0</v>
      </c>
      <c r="BP10" s="61">
        <f t="shared" si="40"/>
        <v>0</v>
      </c>
      <c r="BQ10" s="61">
        <f t="shared" si="41"/>
        <v>0</v>
      </c>
      <c r="BR10" s="61">
        <f t="shared" si="42"/>
        <v>0</v>
      </c>
      <c r="BS10" s="61">
        <f t="shared" si="43"/>
        <v>0</v>
      </c>
      <c r="BT10" s="61">
        <f t="shared" si="44"/>
        <v>0</v>
      </c>
      <c r="BU10" s="61">
        <f t="shared" si="45"/>
        <v>0</v>
      </c>
      <c r="BV10" s="61">
        <f t="shared" si="46"/>
        <v>0</v>
      </c>
      <c r="BW10" s="61">
        <f t="shared" si="47"/>
        <v>0</v>
      </c>
      <c r="BX10" s="61">
        <f t="shared" si="48"/>
        <v>0</v>
      </c>
      <c r="BY10" s="61">
        <f t="shared" si="49"/>
        <v>0</v>
      </c>
      <c r="BZ10" s="61">
        <f t="shared" si="50"/>
        <v>0</v>
      </c>
      <c r="CA10" s="61">
        <f t="shared" si="51"/>
        <v>0</v>
      </c>
      <c r="CB10" s="61">
        <f t="shared" si="52"/>
        <v>0</v>
      </c>
      <c r="CD10" s="200">
        <f>(SUMIF(Fonctionnement[Affectation matrice],$AB$3,Fonctionnement[TVA acquittée])+SUMIF(Invest[Affectation matrice],$AB$3,Invest[TVA acquittée]))*BC10</f>
        <v>0</v>
      </c>
      <c r="CE10" s="200">
        <f>(SUMIF(Fonctionnement[Affectation matrice],$AB$3,Fonctionnement[TVA acquittée])+SUMIF(Invest[Affectation matrice],$AB$3,Invest[TVA acquittée]))*BD10</f>
        <v>0</v>
      </c>
      <c r="CF10" s="200">
        <f>(SUMIF(Fonctionnement[Affectation matrice],$AB$3,Fonctionnement[TVA acquittée])+SUMIF(Invest[Affectation matrice],$AB$3,Invest[TVA acquittée]))*BE10</f>
        <v>0</v>
      </c>
      <c r="CG10" s="200">
        <f>(SUMIF(Fonctionnement[Affectation matrice],$AB$3,Fonctionnement[TVA acquittée])+SUMIF(Invest[Affectation matrice],$AB$3,Invest[TVA acquittée]))*BF10</f>
        <v>0</v>
      </c>
      <c r="CH10" s="200">
        <f>(SUMIF(Fonctionnement[Affectation matrice],$AB$3,Fonctionnement[TVA acquittée])+SUMIF(Invest[Affectation matrice],$AB$3,Invest[TVA acquittée]))*BG10</f>
        <v>0</v>
      </c>
      <c r="CI10" s="200">
        <f>(SUMIF(Fonctionnement[Affectation matrice],$AB$3,Fonctionnement[TVA acquittée])+SUMIF(Invest[Affectation matrice],$AB$3,Invest[TVA acquittée]))*BH10</f>
        <v>0</v>
      </c>
      <c r="CJ10" s="200">
        <f>(SUMIF(Fonctionnement[Affectation matrice],$AB$3,Fonctionnement[TVA acquittée])+SUMIF(Invest[Affectation matrice],$AB$3,Invest[TVA acquittée]))*BI10</f>
        <v>0</v>
      </c>
      <c r="CK10" s="200">
        <f>(SUMIF(Fonctionnement[Affectation matrice],$AB$3,Fonctionnement[TVA acquittée])+SUMIF(Invest[Affectation matrice],$AB$3,Invest[TVA acquittée]))*BJ10</f>
        <v>0</v>
      </c>
      <c r="CL10" s="200">
        <f>(SUMIF(Fonctionnement[Affectation matrice],$AB$3,Fonctionnement[TVA acquittée])+SUMIF(Invest[Affectation matrice],$AB$3,Invest[TVA acquittée]))*BK10</f>
        <v>0</v>
      </c>
      <c r="CM10" s="200">
        <f>(SUMIF(Fonctionnement[Affectation matrice],$AB$3,Fonctionnement[TVA acquittée])+SUMIF(Invest[Affectation matrice],$AB$3,Invest[TVA acquittée]))*BL10</f>
        <v>0</v>
      </c>
      <c r="CN10" s="200">
        <f>(SUMIF(Fonctionnement[Affectation matrice],$AB$3,Fonctionnement[TVA acquittée])+SUMIF(Invest[Affectation matrice],$AB$3,Invest[TVA acquittée]))*BM10</f>
        <v>0</v>
      </c>
      <c r="CO10" s="200">
        <f>(SUMIF(Fonctionnement[Affectation matrice],$AB$3,Fonctionnement[TVA acquittée])+SUMIF(Invest[Affectation matrice],$AB$3,Invest[TVA acquittée]))*BN10</f>
        <v>0</v>
      </c>
      <c r="CP10" s="200">
        <f>(SUMIF(Fonctionnement[Affectation matrice],$AB$3,Fonctionnement[TVA acquittée])+SUMIF(Invest[Affectation matrice],$AB$3,Invest[TVA acquittée]))*BO10</f>
        <v>0</v>
      </c>
      <c r="CQ10" s="200">
        <f>(SUMIF(Fonctionnement[Affectation matrice],$AB$3,Fonctionnement[TVA acquittée])+SUMIF(Invest[Affectation matrice],$AB$3,Invest[TVA acquittée]))*BP10</f>
        <v>0</v>
      </c>
      <c r="CR10" s="200">
        <f>(SUMIF(Fonctionnement[Affectation matrice],$AB$3,Fonctionnement[TVA acquittée])+SUMIF(Invest[Affectation matrice],$AB$3,Invest[TVA acquittée]))*BQ10</f>
        <v>0</v>
      </c>
      <c r="CS10" s="200">
        <f>(SUMIF(Fonctionnement[Affectation matrice],$AB$3,Fonctionnement[TVA acquittée])+SUMIF(Invest[Affectation matrice],$AB$3,Invest[TVA acquittée]))*BR10</f>
        <v>0</v>
      </c>
      <c r="CT10" s="200">
        <f>(SUMIF(Fonctionnement[Affectation matrice],$AB$3,Fonctionnement[TVA acquittée])+SUMIF(Invest[Affectation matrice],$AB$3,Invest[TVA acquittée]))*BS10</f>
        <v>0</v>
      </c>
      <c r="CU10" s="200">
        <f>(SUMIF(Fonctionnement[Affectation matrice],$AB$3,Fonctionnement[TVA acquittée])+SUMIF(Invest[Affectation matrice],$AB$3,Invest[TVA acquittée]))*BT10</f>
        <v>0</v>
      </c>
      <c r="CV10" s="200">
        <f>(SUMIF(Fonctionnement[Affectation matrice],$AB$3,Fonctionnement[TVA acquittée])+SUMIF(Invest[Affectation matrice],$AB$3,Invest[TVA acquittée]))*BU10</f>
        <v>0</v>
      </c>
      <c r="CW10" s="200">
        <f>(SUMIF(Fonctionnement[Affectation matrice],$AB$3,Fonctionnement[TVA acquittée])+SUMIF(Invest[Affectation matrice],$AB$3,Invest[TVA acquittée]))*BV10</f>
        <v>0</v>
      </c>
      <c r="CX10" s="200">
        <f>(SUMIF(Fonctionnement[Affectation matrice],$AB$3,Fonctionnement[TVA acquittée])+SUMIF(Invest[Affectation matrice],$AB$3,Invest[TVA acquittée]))*BW10</f>
        <v>0</v>
      </c>
      <c r="CY10" s="200">
        <f>(SUMIF(Fonctionnement[Affectation matrice],$AB$3,Fonctionnement[TVA acquittée])+SUMIF(Invest[Affectation matrice],$AB$3,Invest[TVA acquittée]))*BX10</f>
        <v>0</v>
      </c>
      <c r="CZ10" s="200">
        <f>(SUMIF(Fonctionnement[Affectation matrice],$AB$3,Fonctionnement[TVA acquittée])+SUMIF(Invest[Affectation matrice],$AB$3,Invest[TVA acquittée]))*BY10</f>
        <v>0</v>
      </c>
      <c r="DA10" s="200">
        <f>(SUMIF(Fonctionnement[Affectation matrice],$AB$3,Fonctionnement[TVA acquittée])+SUMIF(Invest[Affectation matrice],$AB$3,Invest[TVA acquittée]))*BZ10</f>
        <v>0</v>
      </c>
      <c r="DB10" s="200">
        <f>(SUMIF(Fonctionnement[Affectation matrice],$AB$3,Fonctionnement[TVA acquittée])+SUMIF(Invest[Affectation matrice],$AB$3,Invest[TVA acquittée]))*CA10</f>
        <v>0</v>
      </c>
    </row>
    <row r="11" spans="1:106" s="22" customFormat="1" ht="12.75" customHeight="1" x14ac:dyDescent="0.25">
      <c r="A11" s="42" t="str">
        <f>Matrice[[#This Row],[Ligne de la matrice]]</f>
        <v>Traitement des déchets non dangereux</v>
      </c>
      <c r="B11" s="276">
        <f>(SUMIF(Fonctionnement[Affectation matrice],$AB$3,Fonctionnement[Montant (€HT)])+SUMIF(Invest[Affectation matrice],$AB$3,Invest[Amortissement HT + intérêts]))*BC11</f>
        <v>0</v>
      </c>
      <c r="C11" s="276">
        <f>(SUMIF(Fonctionnement[Affectation matrice],$AB$3,Fonctionnement[Montant (€HT)])+SUMIF(Invest[Affectation matrice],$AB$3,Invest[Amortissement HT + intérêts]))*BD11</f>
        <v>0</v>
      </c>
      <c r="D11" s="276">
        <f>(SUMIF(Fonctionnement[Affectation matrice],$AB$3,Fonctionnement[Montant (€HT)])+SUMIF(Invest[Affectation matrice],$AB$3,Invest[Amortissement HT + intérêts]))*BE11</f>
        <v>0</v>
      </c>
      <c r="E11" s="276">
        <f>(SUMIF(Fonctionnement[Affectation matrice],$AB$3,Fonctionnement[Montant (€HT)])+SUMIF(Invest[Affectation matrice],$AB$3,Invest[Amortissement HT + intérêts]))*BF11</f>
        <v>0</v>
      </c>
      <c r="F11" s="276">
        <f>(SUMIF(Fonctionnement[Affectation matrice],$AB$3,Fonctionnement[Montant (€HT)])+SUMIF(Invest[Affectation matrice],$AB$3,Invest[Amortissement HT + intérêts]))*BG11</f>
        <v>0</v>
      </c>
      <c r="G11" s="276">
        <f>(SUMIF(Fonctionnement[Affectation matrice],$AB$3,Fonctionnement[Montant (€HT)])+SUMIF(Invest[Affectation matrice],$AB$3,Invest[Amortissement HT + intérêts]))*BH11</f>
        <v>0</v>
      </c>
      <c r="H11" s="276">
        <f>(SUMIF(Fonctionnement[Affectation matrice],$AB$3,Fonctionnement[Montant (€HT)])+SUMIF(Invest[Affectation matrice],$AB$3,Invest[Amortissement HT + intérêts]))*BI11</f>
        <v>0</v>
      </c>
      <c r="I11" s="276">
        <f>(SUMIF(Fonctionnement[Affectation matrice],$AB$3,Fonctionnement[Montant (€HT)])+SUMIF(Invest[Affectation matrice],$AB$3,Invest[Amortissement HT + intérêts]))*BJ11</f>
        <v>0</v>
      </c>
      <c r="J11" s="276">
        <f>(SUMIF(Fonctionnement[Affectation matrice],$AB$3,Fonctionnement[Montant (€HT)])+SUMIF(Invest[Affectation matrice],$AB$3,Invest[Amortissement HT + intérêts]))*BK11</f>
        <v>0</v>
      </c>
      <c r="K11" s="276">
        <f>(SUMIF(Fonctionnement[Affectation matrice],$AB$3,Fonctionnement[Montant (€HT)])+SUMIF(Invest[Affectation matrice],$AB$3,Invest[Amortissement HT + intérêts]))*BL11</f>
        <v>0</v>
      </c>
      <c r="L11" s="276">
        <f>(SUMIF(Fonctionnement[Affectation matrice],$AB$3,Fonctionnement[Montant (€HT)])+SUMIF(Invest[Affectation matrice],$AB$3,Invest[Amortissement HT + intérêts]))*BM11</f>
        <v>0</v>
      </c>
      <c r="M11" s="276">
        <f>(SUMIF(Fonctionnement[Affectation matrice],$AB$3,Fonctionnement[Montant (€HT)])+SUMIF(Invest[Affectation matrice],$AB$3,Invest[Amortissement HT + intérêts]))*BN11</f>
        <v>0</v>
      </c>
      <c r="N11" s="276">
        <f>(SUMIF(Fonctionnement[Affectation matrice],$AB$3,Fonctionnement[Montant (€HT)])+SUMIF(Invest[Affectation matrice],$AB$3,Invest[Amortissement HT + intérêts]))*BO11</f>
        <v>0</v>
      </c>
      <c r="O11" s="276">
        <f>(SUMIF(Fonctionnement[Affectation matrice],$AB$3,Fonctionnement[Montant (€HT)])+SUMIF(Invest[Affectation matrice],$AB$3,Invest[Amortissement HT + intérêts]))*BP11</f>
        <v>0</v>
      </c>
      <c r="P11" s="276">
        <f>(SUMIF(Fonctionnement[Affectation matrice],$AB$3,Fonctionnement[Montant (€HT)])+SUMIF(Invest[Affectation matrice],$AB$3,Invest[Amortissement HT + intérêts]))*BQ11</f>
        <v>0</v>
      </c>
      <c r="Q11" s="276">
        <f>(SUMIF(Fonctionnement[Affectation matrice],$AB$3,Fonctionnement[Montant (€HT)])+SUMIF(Invest[Affectation matrice],$AB$3,Invest[Amortissement HT + intérêts]))*BR11</f>
        <v>0</v>
      </c>
      <c r="R11" s="276">
        <f>(SUMIF(Fonctionnement[Affectation matrice],$AB$3,Fonctionnement[Montant (€HT)])+SUMIF(Invest[Affectation matrice],$AB$3,Invest[Amortissement HT + intérêts]))*BS11</f>
        <v>0</v>
      </c>
      <c r="S11" s="276">
        <f>(SUMIF(Fonctionnement[Affectation matrice],$AB$3,Fonctionnement[Montant (€HT)])+SUMIF(Invest[Affectation matrice],$AB$3,Invest[Amortissement HT + intérêts]))*BT11</f>
        <v>0</v>
      </c>
      <c r="T11" s="276">
        <f>(SUMIF(Fonctionnement[Affectation matrice],$AB$3,Fonctionnement[Montant (€HT)])+SUMIF(Invest[Affectation matrice],$AB$3,Invest[Amortissement HT + intérêts]))*BU11</f>
        <v>0</v>
      </c>
      <c r="U11" s="276">
        <f>(SUMIF(Fonctionnement[Affectation matrice],$AB$3,Fonctionnement[Montant (€HT)])+SUMIF(Invest[Affectation matrice],$AB$3,Invest[Amortissement HT + intérêts]))*BV11</f>
        <v>0</v>
      </c>
      <c r="V11" s="276">
        <f>(SUMIF(Fonctionnement[Affectation matrice],$AB$3,Fonctionnement[Montant (€HT)])+SUMIF(Invest[Affectation matrice],$AB$3,Invest[Amortissement HT + intérêts]))*BW11</f>
        <v>0</v>
      </c>
      <c r="W11" s="276">
        <f>(SUMIF(Fonctionnement[Affectation matrice],$AB$3,Fonctionnement[Montant (€HT)])+SUMIF(Invest[Affectation matrice],$AB$3,Invest[Amortissement HT + intérêts]))*BX11</f>
        <v>0</v>
      </c>
      <c r="X11" s="276">
        <f>(SUMIF(Fonctionnement[Affectation matrice],$AB$3,Fonctionnement[Montant (€HT)])+SUMIF(Invest[Affectation matrice],$AB$3,Invest[Amortissement HT + intérêts]))*BY11</f>
        <v>0</v>
      </c>
      <c r="Y11" s="276">
        <f>(SUMIF(Fonctionnement[Affectation matrice],$AB$3,Fonctionnement[Montant (€HT)])+SUMIF(Invest[Affectation matrice],$AB$3,Invest[Amortissement HT + intérêts]))*BZ11</f>
        <v>0</v>
      </c>
      <c r="Z11" s="276">
        <f>(SUMIF(Fonctionnement[Affectation matrice],$AB$3,Fonctionnement[Montant (€HT)])+SUMIF(Invest[Affectation matrice],$AB$3,Invest[Amortissement HT + intérêts]))*CA11</f>
        <v>0</v>
      </c>
      <c r="AA11" s="199"/>
      <c r="AB11" s="302" t="str">
        <f t="shared" si="25"/>
        <v/>
      </c>
      <c r="AC11" s="302" t="str">
        <f t="shared" si="25"/>
        <v/>
      </c>
      <c r="AD11" s="302" t="str">
        <f t="shared" si="25"/>
        <v/>
      </c>
      <c r="AE11" s="302" t="str">
        <f t="shared" si="25"/>
        <v/>
      </c>
      <c r="AF11" s="302" t="str">
        <f t="shared" si="25"/>
        <v/>
      </c>
      <c r="AG11" s="302" t="str">
        <f t="shared" si="25"/>
        <v/>
      </c>
      <c r="AH11" s="302" t="str">
        <f t="shared" si="25"/>
        <v/>
      </c>
      <c r="AI11" s="302" t="str">
        <f t="shared" si="25"/>
        <v/>
      </c>
      <c r="AJ11" s="302" t="str">
        <f t="shared" si="25"/>
        <v/>
      </c>
      <c r="AK11" s="302" t="str">
        <f t="shared" si="25"/>
        <v/>
      </c>
      <c r="AL11" s="302" t="str">
        <f t="shared" si="26"/>
        <v/>
      </c>
      <c r="AM11" s="302" t="str">
        <f t="shared" si="26"/>
        <v/>
      </c>
      <c r="AN11" s="302" t="str">
        <f t="shared" si="26"/>
        <v/>
      </c>
      <c r="AO11" s="302" t="str">
        <f t="shared" si="26"/>
        <v/>
      </c>
      <c r="AP11" s="302" t="str">
        <f t="shared" si="26"/>
        <v/>
      </c>
      <c r="AQ11" s="302" t="str">
        <f t="shared" si="26"/>
        <v/>
      </c>
      <c r="AR11" s="302" t="str">
        <f t="shared" si="26"/>
        <v/>
      </c>
      <c r="AS11" s="302" t="str">
        <f t="shared" si="26"/>
        <v/>
      </c>
      <c r="AT11" s="302" t="str">
        <f t="shared" si="26"/>
        <v/>
      </c>
      <c r="AU11" s="302" t="str">
        <f t="shared" si="26"/>
        <v/>
      </c>
      <c r="AV11" s="302" t="str">
        <f t="shared" si="26"/>
        <v/>
      </c>
      <c r="AW11" s="302" t="str">
        <f t="shared" si="26"/>
        <v/>
      </c>
      <c r="AX11" s="302" t="str">
        <f t="shared" si="26"/>
        <v/>
      </c>
      <c r="AY11" s="302" t="str">
        <f t="shared" si="26"/>
        <v/>
      </c>
      <c r="AZ11" s="302" t="str">
        <f t="shared" si="26"/>
        <v/>
      </c>
      <c r="BA11" s="283" t="str">
        <f t="shared" si="26"/>
        <v/>
      </c>
      <c r="BB11" s="7"/>
      <c r="BC11" s="61">
        <f t="shared" si="27"/>
        <v>0</v>
      </c>
      <c r="BD11" s="61">
        <f t="shared" si="28"/>
        <v>0</v>
      </c>
      <c r="BE11" s="61">
        <f t="shared" si="29"/>
        <v>0</v>
      </c>
      <c r="BF11" s="61">
        <f t="shared" si="30"/>
        <v>0</v>
      </c>
      <c r="BG11" s="61">
        <f t="shared" si="31"/>
        <v>0</v>
      </c>
      <c r="BH11" s="61">
        <f t="shared" si="32"/>
        <v>0</v>
      </c>
      <c r="BI11" s="61">
        <f t="shared" si="33"/>
        <v>0</v>
      </c>
      <c r="BJ11" s="61">
        <f t="shared" si="34"/>
        <v>0</v>
      </c>
      <c r="BK11" s="61">
        <f t="shared" si="35"/>
        <v>0</v>
      </c>
      <c r="BL11" s="61">
        <f t="shared" si="36"/>
        <v>0</v>
      </c>
      <c r="BM11" s="61">
        <f t="shared" si="37"/>
        <v>0</v>
      </c>
      <c r="BN11" s="61">
        <f t="shared" si="38"/>
        <v>0</v>
      </c>
      <c r="BO11" s="61">
        <f t="shared" si="39"/>
        <v>0</v>
      </c>
      <c r="BP11" s="61">
        <f t="shared" si="40"/>
        <v>0</v>
      </c>
      <c r="BQ11" s="61">
        <f t="shared" si="41"/>
        <v>0</v>
      </c>
      <c r="BR11" s="61">
        <f t="shared" si="42"/>
        <v>0</v>
      </c>
      <c r="BS11" s="61">
        <f t="shared" si="43"/>
        <v>0</v>
      </c>
      <c r="BT11" s="61">
        <f t="shared" si="44"/>
        <v>0</v>
      </c>
      <c r="BU11" s="61">
        <f t="shared" si="45"/>
        <v>0</v>
      </c>
      <c r="BV11" s="61">
        <f t="shared" si="46"/>
        <v>0</v>
      </c>
      <c r="BW11" s="61">
        <f t="shared" si="47"/>
        <v>0</v>
      </c>
      <c r="BX11" s="61">
        <f t="shared" si="48"/>
        <v>0</v>
      </c>
      <c r="BY11" s="61">
        <f t="shared" si="49"/>
        <v>0</v>
      </c>
      <c r="BZ11" s="61">
        <f t="shared" si="50"/>
        <v>0</v>
      </c>
      <c r="CA11" s="61">
        <f t="shared" si="51"/>
        <v>0</v>
      </c>
      <c r="CB11" s="61">
        <f t="shared" si="52"/>
        <v>0</v>
      </c>
      <c r="CD11" s="200">
        <f>(SUMIF(Fonctionnement[Affectation matrice],$AB$3,Fonctionnement[TVA acquittée])+SUMIF(Invest[Affectation matrice],$AB$3,Invest[TVA acquittée]))*BC11</f>
        <v>0</v>
      </c>
      <c r="CE11" s="200">
        <f>(SUMIF(Fonctionnement[Affectation matrice],$AB$3,Fonctionnement[TVA acquittée])+SUMIF(Invest[Affectation matrice],$AB$3,Invest[TVA acquittée]))*BD11</f>
        <v>0</v>
      </c>
      <c r="CF11" s="200">
        <f>(SUMIF(Fonctionnement[Affectation matrice],$AB$3,Fonctionnement[TVA acquittée])+SUMIF(Invest[Affectation matrice],$AB$3,Invest[TVA acquittée]))*BE11</f>
        <v>0</v>
      </c>
      <c r="CG11" s="200">
        <f>(SUMIF(Fonctionnement[Affectation matrice],$AB$3,Fonctionnement[TVA acquittée])+SUMIF(Invest[Affectation matrice],$AB$3,Invest[TVA acquittée]))*BF11</f>
        <v>0</v>
      </c>
      <c r="CH11" s="200">
        <f>(SUMIF(Fonctionnement[Affectation matrice],$AB$3,Fonctionnement[TVA acquittée])+SUMIF(Invest[Affectation matrice],$AB$3,Invest[TVA acquittée]))*BG11</f>
        <v>0</v>
      </c>
      <c r="CI11" s="200">
        <f>(SUMIF(Fonctionnement[Affectation matrice],$AB$3,Fonctionnement[TVA acquittée])+SUMIF(Invest[Affectation matrice],$AB$3,Invest[TVA acquittée]))*BH11</f>
        <v>0</v>
      </c>
      <c r="CJ11" s="200">
        <f>(SUMIF(Fonctionnement[Affectation matrice],$AB$3,Fonctionnement[TVA acquittée])+SUMIF(Invest[Affectation matrice],$AB$3,Invest[TVA acquittée]))*BI11</f>
        <v>0</v>
      </c>
      <c r="CK11" s="200">
        <f>(SUMIF(Fonctionnement[Affectation matrice],$AB$3,Fonctionnement[TVA acquittée])+SUMIF(Invest[Affectation matrice],$AB$3,Invest[TVA acquittée]))*BJ11</f>
        <v>0</v>
      </c>
      <c r="CL11" s="200">
        <f>(SUMIF(Fonctionnement[Affectation matrice],$AB$3,Fonctionnement[TVA acquittée])+SUMIF(Invest[Affectation matrice],$AB$3,Invest[TVA acquittée]))*BK11</f>
        <v>0</v>
      </c>
      <c r="CM11" s="200">
        <f>(SUMIF(Fonctionnement[Affectation matrice],$AB$3,Fonctionnement[TVA acquittée])+SUMIF(Invest[Affectation matrice],$AB$3,Invest[TVA acquittée]))*BL11</f>
        <v>0</v>
      </c>
      <c r="CN11" s="200">
        <f>(SUMIF(Fonctionnement[Affectation matrice],$AB$3,Fonctionnement[TVA acquittée])+SUMIF(Invest[Affectation matrice],$AB$3,Invest[TVA acquittée]))*BM11</f>
        <v>0</v>
      </c>
      <c r="CO11" s="200">
        <f>(SUMIF(Fonctionnement[Affectation matrice],$AB$3,Fonctionnement[TVA acquittée])+SUMIF(Invest[Affectation matrice],$AB$3,Invest[TVA acquittée]))*BN11</f>
        <v>0</v>
      </c>
      <c r="CP11" s="200">
        <f>(SUMIF(Fonctionnement[Affectation matrice],$AB$3,Fonctionnement[TVA acquittée])+SUMIF(Invest[Affectation matrice],$AB$3,Invest[TVA acquittée]))*BO11</f>
        <v>0</v>
      </c>
      <c r="CQ11" s="200">
        <f>(SUMIF(Fonctionnement[Affectation matrice],$AB$3,Fonctionnement[TVA acquittée])+SUMIF(Invest[Affectation matrice],$AB$3,Invest[TVA acquittée]))*BP11</f>
        <v>0</v>
      </c>
      <c r="CR11" s="200">
        <f>(SUMIF(Fonctionnement[Affectation matrice],$AB$3,Fonctionnement[TVA acquittée])+SUMIF(Invest[Affectation matrice],$AB$3,Invest[TVA acquittée]))*BQ11</f>
        <v>0</v>
      </c>
      <c r="CS11" s="200">
        <f>(SUMIF(Fonctionnement[Affectation matrice],$AB$3,Fonctionnement[TVA acquittée])+SUMIF(Invest[Affectation matrice],$AB$3,Invest[TVA acquittée]))*BR11</f>
        <v>0</v>
      </c>
      <c r="CT11" s="200">
        <f>(SUMIF(Fonctionnement[Affectation matrice],$AB$3,Fonctionnement[TVA acquittée])+SUMIF(Invest[Affectation matrice],$AB$3,Invest[TVA acquittée]))*BS11</f>
        <v>0</v>
      </c>
      <c r="CU11" s="200">
        <f>(SUMIF(Fonctionnement[Affectation matrice],$AB$3,Fonctionnement[TVA acquittée])+SUMIF(Invest[Affectation matrice],$AB$3,Invest[TVA acquittée]))*BT11</f>
        <v>0</v>
      </c>
      <c r="CV11" s="200">
        <f>(SUMIF(Fonctionnement[Affectation matrice],$AB$3,Fonctionnement[TVA acquittée])+SUMIF(Invest[Affectation matrice],$AB$3,Invest[TVA acquittée]))*BU11</f>
        <v>0</v>
      </c>
      <c r="CW11" s="200">
        <f>(SUMIF(Fonctionnement[Affectation matrice],$AB$3,Fonctionnement[TVA acquittée])+SUMIF(Invest[Affectation matrice],$AB$3,Invest[TVA acquittée]))*BV11</f>
        <v>0</v>
      </c>
      <c r="CX11" s="200">
        <f>(SUMIF(Fonctionnement[Affectation matrice],$AB$3,Fonctionnement[TVA acquittée])+SUMIF(Invest[Affectation matrice],$AB$3,Invest[TVA acquittée]))*BW11</f>
        <v>0</v>
      </c>
      <c r="CY11" s="200">
        <f>(SUMIF(Fonctionnement[Affectation matrice],$AB$3,Fonctionnement[TVA acquittée])+SUMIF(Invest[Affectation matrice],$AB$3,Invest[TVA acquittée]))*BX11</f>
        <v>0</v>
      </c>
      <c r="CZ11" s="200">
        <f>(SUMIF(Fonctionnement[Affectation matrice],$AB$3,Fonctionnement[TVA acquittée])+SUMIF(Invest[Affectation matrice],$AB$3,Invest[TVA acquittée]))*BY11</f>
        <v>0</v>
      </c>
      <c r="DA11" s="200">
        <f>(SUMIF(Fonctionnement[Affectation matrice],$AB$3,Fonctionnement[TVA acquittée])+SUMIF(Invest[Affectation matrice],$AB$3,Invest[TVA acquittée]))*BZ11</f>
        <v>0</v>
      </c>
      <c r="DB11" s="200">
        <f>(SUMIF(Fonctionnement[Affectation matrice],$AB$3,Fonctionnement[TVA acquittée])+SUMIF(Invest[Affectation matrice],$AB$3,Invest[TVA acquittée]))*CA11</f>
        <v>0</v>
      </c>
    </row>
    <row r="12" spans="1:106" s="22" customFormat="1" ht="12.75" customHeight="1" x14ac:dyDescent="0.25">
      <c r="A12" s="42" t="str">
        <f>Matrice[[#This Row],[Ligne de la matrice]]</f>
        <v>Enlèvement et traitement des déchets dangereux</v>
      </c>
      <c r="B12" s="276">
        <f>(SUMIF(Fonctionnement[Affectation matrice],$AB$3,Fonctionnement[Montant (€HT)])+SUMIF(Invest[Affectation matrice],$AB$3,Invest[Amortissement HT + intérêts]))*BC12</f>
        <v>0</v>
      </c>
      <c r="C12" s="276">
        <f>(SUMIF(Fonctionnement[Affectation matrice],$AB$3,Fonctionnement[Montant (€HT)])+SUMIF(Invest[Affectation matrice],$AB$3,Invest[Amortissement HT + intérêts]))*BD12</f>
        <v>0</v>
      </c>
      <c r="D12" s="276">
        <f>(SUMIF(Fonctionnement[Affectation matrice],$AB$3,Fonctionnement[Montant (€HT)])+SUMIF(Invest[Affectation matrice],$AB$3,Invest[Amortissement HT + intérêts]))*BE12</f>
        <v>0</v>
      </c>
      <c r="E12" s="276">
        <f>(SUMIF(Fonctionnement[Affectation matrice],$AB$3,Fonctionnement[Montant (€HT)])+SUMIF(Invest[Affectation matrice],$AB$3,Invest[Amortissement HT + intérêts]))*BF12</f>
        <v>0</v>
      </c>
      <c r="F12" s="276">
        <f>(SUMIF(Fonctionnement[Affectation matrice],$AB$3,Fonctionnement[Montant (€HT)])+SUMIF(Invest[Affectation matrice],$AB$3,Invest[Amortissement HT + intérêts]))*BG12</f>
        <v>0</v>
      </c>
      <c r="G12" s="276">
        <f>(SUMIF(Fonctionnement[Affectation matrice],$AB$3,Fonctionnement[Montant (€HT)])+SUMIF(Invest[Affectation matrice],$AB$3,Invest[Amortissement HT + intérêts]))*BH12</f>
        <v>0</v>
      </c>
      <c r="H12" s="276">
        <f>(SUMIF(Fonctionnement[Affectation matrice],$AB$3,Fonctionnement[Montant (€HT)])+SUMIF(Invest[Affectation matrice],$AB$3,Invest[Amortissement HT + intérêts]))*BI12</f>
        <v>0</v>
      </c>
      <c r="I12" s="276">
        <f>(SUMIF(Fonctionnement[Affectation matrice],$AB$3,Fonctionnement[Montant (€HT)])+SUMIF(Invest[Affectation matrice],$AB$3,Invest[Amortissement HT + intérêts]))*BJ12</f>
        <v>0</v>
      </c>
      <c r="J12" s="276">
        <f>(SUMIF(Fonctionnement[Affectation matrice],$AB$3,Fonctionnement[Montant (€HT)])+SUMIF(Invest[Affectation matrice],$AB$3,Invest[Amortissement HT + intérêts]))*BK12</f>
        <v>0</v>
      </c>
      <c r="K12" s="276">
        <f>(SUMIF(Fonctionnement[Affectation matrice],$AB$3,Fonctionnement[Montant (€HT)])+SUMIF(Invest[Affectation matrice],$AB$3,Invest[Amortissement HT + intérêts]))*BL12</f>
        <v>0</v>
      </c>
      <c r="L12" s="276">
        <f>(SUMIF(Fonctionnement[Affectation matrice],$AB$3,Fonctionnement[Montant (€HT)])+SUMIF(Invest[Affectation matrice],$AB$3,Invest[Amortissement HT + intérêts]))*BM12</f>
        <v>0</v>
      </c>
      <c r="M12" s="276">
        <f>(SUMIF(Fonctionnement[Affectation matrice],$AB$3,Fonctionnement[Montant (€HT)])+SUMIF(Invest[Affectation matrice],$AB$3,Invest[Amortissement HT + intérêts]))*BN12</f>
        <v>0</v>
      </c>
      <c r="N12" s="276">
        <f>(SUMIF(Fonctionnement[Affectation matrice],$AB$3,Fonctionnement[Montant (€HT)])+SUMIF(Invest[Affectation matrice],$AB$3,Invest[Amortissement HT + intérêts]))*BO12</f>
        <v>0</v>
      </c>
      <c r="O12" s="276">
        <f>(SUMIF(Fonctionnement[Affectation matrice],$AB$3,Fonctionnement[Montant (€HT)])+SUMIF(Invest[Affectation matrice],$AB$3,Invest[Amortissement HT + intérêts]))*BP12</f>
        <v>0</v>
      </c>
      <c r="P12" s="276">
        <f>(SUMIF(Fonctionnement[Affectation matrice],$AB$3,Fonctionnement[Montant (€HT)])+SUMIF(Invest[Affectation matrice],$AB$3,Invest[Amortissement HT + intérêts]))*BQ12</f>
        <v>0</v>
      </c>
      <c r="Q12" s="276">
        <f>(SUMIF(Fonctionnement[Affectation matrice],$AB$3,Fonctionnement[Montant (€HT)])+SUMIF(Invest[Affectation matrice],$AB$3,Invest[Amortissement HT + intérêts]))*BR12</f>
        <v>0</v>
      </c>
      <c r="R12" s="276">
        <f>(SUMIF(Fonctionnement[Affectation matrice],$AB$3,Fonctionnement[Montant (€HT)])+SUMIF(Invest[Affectation matrice],$AB$3,Invest[Amortissement HT + intérêts]))*BS12</f>
        <v>0</v>
      </c>
      <c r="S12" s="276">
        <f>(SUMIF(Fonctionnement[Affectation matrice],$AB$3,Fonctionnement[Montant (€HT)])+SUMIF(Invest[Affectation matrice],$AB$3,Invest[Amortissement HT + intérêts]))*BT12</f>
        <v>0</v>
      </c>
      <c r="T12" s="276">
        <f>(SUMIF(Fonctionnement[Affectation matrice],$AB$3,Fonctionnement[Montant (€HT)])+SUMIF(Invest[Affectation matrice],$AB$3,Invest[Amortissement HT + intérêts]))*BU12</f>
        <v>0</v>
      </c>
      <c r="U12" s="276">
        <f>(SUMIF(Fonctionnement[Affectation matrice],$AB$3,Fonctionnement[Montant (€HT)])+SUMIF(Invest[Affectation matrice],$AB$3,Invest[Amortissement HT + intérêts]))*BV12</f>
        <v>0</v>
      </c>
      <c r="V12" s="276">
        <f>(SUMIF(Fonctionnement[Affectation matrice],$AB$3,Fonctionnement[Montant (€HT)])+SUMIF(Invest[Affectation matrice],$AB$3,Invest[Amortissement HT + intérêts]))*BW12</f>
        <v>0</v>
      </c>
      <c r="W12" s="276">
        <f>(SUMIF(Fonctionnement[Affectation matrice],$AB$3,Fonctionnement[Montant (€HT)])+SUMIF(Invest[Affectation matrice],$AB$3,Invest[Amortissement HT + intérêts]))*BX12</f>
        <v>0</v>
      </c>
      <c r="X12" s="276">
        <f>(SUMIF(Fonctionnement[Affectation matrice],$AB$3,Fonctionnement[Montant (€HT)])+SUMIF(Invest[Affectation matrice],$AB$3,Invest[Amortissement HT + intérêts]))*BY12</f>
        <v>0</v>
      </c>
      <c r="Y12" s="276">
        <f>(SUMIF(Fonctionnement[Affectation matrice],$AB$3,Fonctionnement[Montant (€HT)])+SUMIF(Invest[Affectation matrice],$AB$3,Invest[Amortissement HT + intérêts]))*BZ12</f>
        <v>0</v>
      </c>
      <c r="Z12" s="276">
        <f>(SUMIF(Fonctionnement[Affectation matrice],$AB$3,Fonctionnement[Montant (€HT)])+SUMIF(Invest[Affectation matrice],$AB$3,Invest[Amortissement HT + intérêts]))*CA12</f>
        <v>0</v>
      </c>
      <c r="AA12" s="199"/>
      <c r="AB12" s="302" t="str">
        <f t="shared" si="25"/>
        <v/>
      </c>
      <c r="AC12" s="302" t="str">
        <f t="shared" si="25"/>
        <v/>
      </c>
      <c r="AD12" s="302" t="str">
        <f t="shared" si="25"/>
        <v/>
      </c>
      <c r="AE12" s="302" t="str">
        <f t="shared" si="25"/>
        <v/>
      </c>
      <c r="AF12" s="302" t="str">
        <f t="shared" si="25"/>
        <v/>
      </c>
      <c r="AG12" s="302" t="str">
        <f t="shared" si="25"/>
        <v/>
      </c>
      <c r="AH12" s="302" t="str">
        <f t="shared" si="25"/>
        <v/>
      </c>
      <c r="AI12" s="302" t="str">
        <f t="shared" si="25"/>
        <v/>
      </c>
      <c r="AJ12" s="302" t="str">
        <f t="shared" si="25"/>
        <v/>
      </c>
      <c r="AK12" s="302" t="str">
        <f t="shared" si="25"/>
        <v/>
      </c>
      <c r="AL12" s="302" t="str">
        <f t="shared" si="26"/>
        <v/>
      </c>
      <c r="AM12" s="302" t="str">
        <f t="shared" si="26"/>
        <v/>
      </c>
      <c r="AN12" s="302" t="str">
        <f t="shared" si="26"/>
        <v/>
      </c>
      <c r="AO12" s="302" t="str">
        <f t="shared" si="26"/>
        <v/>
      </c>
      <c r="AP12" s="302" t="str">
        <f t="shared" si="26"/>
        <v/>
      </c>
      <c r="AQ12" s="302" t="str">
        <f t="shared" si="26"/>
        <v/>
      </c>
      <c r="AR12" s="302" t="str">
        <f t="shared" si="26"/>
        <v/>
      </c>
      <c r="AS12" s="302" t="str">
        <f t="shared" si="26"/>
        <v/>
      </c>
      <c r="AT12" s="302" t="str">
        <f t="shared" si="26"/>
        <v/>
      </c>
      <c r="AU12" s="302" t="str">
        <f t="shared" si="26"/>
        <v/>
      </c>
      <c r="AV12" s="302" t="str">
        <f t="shared" si="26"/>
        <v/>
      </c>
      <c r="AW12" s="302" t="str">
        <f t="shared" si="26"/>
        <v/>
      </c>
      <c r="AX12" s="302" t="str">
        <f t="shared" si="26"/>
        <v/>
      </c>
      <c r="AY12" s="302" t="str">
        <f t="shared" si="26"/>
        <v/>
      </c>
      <c r="AZ12" s="302" t="str">
        <f t="shared" si="26"/>
        <v/>
      </c>
      <c r="BA12" s="283" t="str">
        <f t="shared" si="26"/>
        <v/>
      </c>
      <c r="BB12" s="7"/>
      <c r="BC12" s="61">
        <f t="shared" si="27"/>
        <v>0</v>
      </c>
      <c r="BD12" s="61">
        <f t="shared" si="28"/>
        <v>0</v>
      </c>
      <c r="BE12" s="61">
        <f t="shared" si="29"/>
        <v>0</v>
      </c>
      <c r="BF12" s="61">
        <f t="shared" si="30"/>
        <v>0</v>
      </c>
      <c r="BG12" s="61">
        <f t="shared" si="31"/>
        <v>0</v>
      </c>
      <c r="BH12" s="61">
        <f t="shared" si="32"/>
        <v>0</v>
      </c>
      <c r="BI12" s="61">
        <f t="shared" si="33"/>
        <v>0</v>
      </c>
      <c r="BJ12" s="61">
        <f t="shared" si="34"/>
        <v>0</v>
      </c>
      <c r="BK12" s="61">
        <f t="shared" si="35"/>
        <v>0</v>
      </c>
      <c r="BL12" s="61">
        <f t="shared" si="36"/>
        <v>0</v>
      </c>
      <c r="BM12" s="61">
        <f t="shared" si="37"/>
        <v>0</v>
      </c>
      <c r="BN12" s="61">
        <f t="shared" si="38"/>
        <v>0</v>
      </c>
      <c r="BO12" s="61">
        <f t="shared" si="39"/>
        <v>0</v>
      </c>
      <c r="BP12" s="61">
        <f t="shared" si="40"/>
        <v>0</v>
      </c>
      <c r="BQ12" s="61">
        <f t="shared" si="41"/>
        <v>0</v>
      </c>
      <c r="BR12" s="61">
        <f t="shared" si="42"/>
        <v>0</v>
      </c>
      <c r="BS12" s="61">
        <f t="shared" si="43"/>
        <v>0</v>
      </c>
      <c r="BT12" s="61">
        <f t="shared" si="44"/>
        <v>0</v>
      </c>
      <c r="BU12" s="61">
        <f t="shared" si="45"/>
        <v>0</v>
      </c>
      <c r="BV12" s="61">
        <f t="shared" si="46"/>
        <v>0</v>
      </c>
      <c r="BW12" s="61">
        <f t="shared" si="47"/>
        <v>0</v>
      </c>
      <c r="BX12" s="61">
        <f t="shared" si="48"/>
        <v>0</v>
      </c>
      <c r="BY12" s="61">
        <f t="shared" si="49"/>
        <v>0</v>
      </c>
      <c r="BZ12" s="61">
        <f t="shared" si="50"/>
        <v>0</v>
      </c>
      <c r="CA12" s="61">
        <f t="shared" si="51"/>
        <v>0</v>
      </c>
      <c r="CB12" s="61">
        <f t="shared" si="52"/>
        <v>0</v>
      </c>
      <c r="CD12" s="200">
        <f>(SUMIF(Fonctionnement[Affectation matrice],$AB$3,Fonctionnement[TVA acquittée])+SUMIF(Invest[Affectation matrice],$AB$3,Invest[TVA acquittée]))*BC12</f>
        <v>0</v>
      </c>
      <c r="CE12" s="200">
        <f>(SUMIF(Fonctionnement[Affectation matrice],$AB$3,Fonctionnement[TVA acquittée])+SUMIF(Invest[Affectation matrice],$AB$3,Invest[TVA acquittée]))*BD12</f>
        <v>0</v>
      </c>
      <c r="CF12" s="200">
        <f>(SUMIF(Fonctionnement[Affectation matrice],$AB$3,Fonctionnement[TVA acquittée])+SUMIF(Invest[Affectation matrice],$AB$3,Invest[TVA acquittée]))*BE12</f>
        <v>0</v>
      </c>
      <c r="CG12" s="200">
        <f>(SUMIF(Fonctionnement[Affectation matrice],$AB$3,Fonctionnement[TVA acquittée])+SUMIF(Invest[Affectation matrice],$AB$3,Invest[TVA acquittée]))*BF12</f>
        <v>0</v>
      </c>
      <c r="CH12" s="200">
        <f>(SUMIF(Fonctionnement[Affectation matrice],$AB$3,Fonctionnement[TVA acquittée])+SUMIF(Invest[Affectation matrice],$AB$3,Invest[TVA acquittée]))*BG12</f>
        <v>0</v>
      </c>
      <c r="CI12" s="200">
        <f>(SUMIF(Fonctionnement[Affectation matrice],$AB$3,Fonctionnement[TVA acquittée])+SUMIF(Invest[Affectation matrice],$AB$3,Invest[TVA acquittée]))*BH12</f>
        <v>0</v>
      </c>
      <c r="CJ12" s="200">
        <f>(SUMIF(Fonctionnement[Affectation matrice],$AB$3,Fonctionnement[TVA acquittée])+SUMIF(Invest[Affectation matrice],$AB$3,Invest[TVA acquittée]))*BI12</f>
        <v>0</v>
      </c>
      <c r="CK12" s="200">
        <f>(SUMIF(Fonctionnement[Affectation matrice],$AB$3,Fonctionnement[TVA acquittée])+SUMIF(Invest[Affectation matrice],$AB$3,Invest[TVA acquittée]))*BJ12</f>
        <v>0</v>
      </c>
      <c r="CL12" s="200">
        <f>(SUMIF(Fonctionnement[Affectation matrice],$AB$3,Fonctionnement[TVA acquittée])+SUMIF(Invest[Affectation matrice],$AB$3,Invest[TVA acquittée]))*BK12</f>
        <v>0</v>
      </c>
      <c r="CM12" s="200">
        <f>(SUMIF(Fonctionnement[Affectation matrice],$AB$3,Fonctionnement[TVA acquittée])+SUMIF(Invest[Affectation matrice],$AB$3,Invest[TVA acquittée]))*BL12</f>
        <v>0</v>
      </c>
      <c r="CN12" s="200">
        <f>(SUMIF(Fonctionnement[Affectation matrice],$AB$3,Fonctionnement[TVA acquittée])+SUMIF(Invest[Affectation matrice],$AB$3,Invest[TVA acquittée]))*BM12</f>
        <v>0</v>
      </c>
      <c r="CO12" s="200">
        <f>(SUMIF(Fonctionnement[Affectation matrice],$AB$3,Fonctionnement[TVA acquittée])+SUMIF(Invest[Affectation matrice],$AB$3,Invest[TVA acquittée]))*BN12</f>
        <v>0</v>
      </c>
      <c r="CP12" s="200">
        <f>(SUMIF(Fonctionnement[Affectation matrice],$AB$3,Fonctionnement[TVA acquittée])+SUMIF(Invest[Affectation matrice],$AB$3,Invest[TVA acquittée]))*BO12</f>
        <v>0</v>
      </c>
      <c r="CQ12" s="200">
        <f>(SUMIF(Fonctionnement[Affectation matrice],$AB$3,Fonctionnement[TVA acquittée])+SUMIF(Invest[Affectation matrice],$AB$3,Invest[TVA acquittée]))*BP12</f>
        <v>0</v>
      </c>
      <c r="CR12" s="200">
        <f>(SUMIF(Fonctionnement[Affectation matrice],$AB$3,Fonctionnement[TVA acquittée])+SUMIF(Invest[Affectation matrice],$AB$3,Invest[TVA acquittée]))*BQ12</f>
        <v>0</v>
      </c>
      <c r="CS12" s="200">
        <f>(SUMIF(Fonctionnement[Affectation matrice],$AB$3,Fonctionnement[TVA acquittée])+SUMIF(Invest[Affectation matrice],$AB$3,Invest[TVA acquittée]))*BR12</f>
        <v>0</v>
      </c>
      <c r="CT12" s="200">
        <f>(SUMIF(Fonctionnement[Affectation matrice],$AB$3,Fonctionnement[TVA acquittée])+SUMIF(Invest[Affectation matrice],$AB$3,Invest[TVA acquittée]))*BS12</f>
        <v>0</v>
      </c>
      <c r="CU12" s="200">
        <f>(SUMIF(Fonctionnement[Affectation matrice],$AB$3,Fonctionnement[TVA acquittée])+SUMIF(Invest[Affectation matrice],$AB$3,Invest[TVA acquittée]))*BT12</f>
        <v>0</v>
      </c>
      <c r="CV12" s="200">
        <f>(SUMIF(Fonctionnement[Affectation matrice],$AB$3,Fonctionnement[TVA acquittée])+SUMIF(Invest[Affectation matrice],$AB$3,Invest[TVA acquittée]))*BU12</f>
        <v>0</v>
      </c>
      <c r="CW12" s="200">
        <f>(SUMIF(Fonctionnement[Affectation matrice],$AB$3,Fonctionnement[TVA acquittée])+SUMIF(Invest[Affectation matrice],$AB$3,Invest[TVA acquittée]))*BV12</f>
        <v>0</v>
      </c>
      <c r="CX12" s="200">
        <f>(SUMIF(Fonctionnement[Affectation matrice],$AB$3,Fonctionnement[TVA acquittée])+SUMIF(Invest[Affectation matrice],$AB$3,Invest[TVA acquittée]))*BW12</f>
        <v>0</v>
      </c>
      <c r="CY12" s="200">
        <f>(SUMIF(Fonctionnement[Affectation matrice],$AB$3,Fonctionnement[TVA acquittée])+SUMIF(Invest[Affectation matrice],$AB$3,Invest[TVA acquittée]))*BX12</f>
        <v>0</v>
      </c>
      <c r="CZ12" s="200">
        <f>(SUMIF(Fonctionnement[Affectation matrice],$AB$3,Fonctionnement[TVA acquittée])+SUMIF(Invest[Affectation matrice],$AB$3,Invest[TVA acquittée]))*BY12</f>
        <v>0</v>
      </c>
      <c r="DA12" s="200">
        <f>(SUMIF(Fonctionnement[Affectation matrice],$AB$3,Fonctionnement[TVA acquittée])+SUMIF(Invest[Affectation matrice],$AB$3,Invest[TVA acquittée]))*BZ12</f>
        <v>0</v>
      </c>
      <c r="DB12" s="200">
        <f>(SUMIF(Fonctionnement[Affectation matrice],$AB$3,Fonctionnement[TVA acquittée])+SUMIF(Invest[Affectation matrice],$AB$3,Invest[TVA acquittée]))*CA12</f>
        <v>0</v>
      </c>
    </row>
    <row r="13" spans="1:106" s="22" customFormat="1" ht="12.75" hidden="1" customHeight="1" x14ac:dyDescent="0.25">
      <c r="A13" s="42">
        <f>Matrice[[#This Row],[Ligne de la matrice]]</f>
        <v>0</v>
      </c>
      <c r="B13" s="276">
        <f>(SUMIF(Fonctionnement[Affectation matrice],$AB$3,Fonctionnement[Montant (€HT)])+SUMIF(Invest[Affectation matrice],$AB$3,Invest[Amortissement HT + intérêts]))*BC13</f>
        <v>0</v>
      </c>
      <c r="C13" s="276">
        <f>(SUMIF(Fonctionnement[Affectation matrice],$AB$3,Fonctionnement[Montant (€HT)])+SUMIF(Invest[Affectation matrice],$AB$3,Invest[Amortissement HT + intérêts]))*BD13</f>
        <v>0</v>
      </c>
      <c r="D13" s="276">
        <f>(SUMIF(Fonctionnement[Affectation matrice],$AB$3,Fonctionnement[Montant (€HT)])+SUMIF(Invest[Affectation matrice],$AB$3,Invest[Amortissement HT + intérêts]))*BE13</f>
        <v>0</v>
      </c>
      <c r="E13" s="276">
        <f>(SUMIF(Fonctionnement[Affectation matrice],$AB$3,Fonctionnement[Montant (€HT)])+SUMIF(Invest[Affectation matrice],$AB$3,Invest[Amortissement HT + intérêts]))*BF13</f>
        <v>0</v>
      </c>
      <c r="F13" s="276">
        <f>(SUMIF(Fonctionnement[Affectation matrice],$AB$3,Fonctionnement[Montant (€HT)])+SUMIF(Invest[Affectation matrice],$AB$3,Invest[Amortissement HT + intérêts]))*BG13</f>
        <v>0</v>
      </c>
      <c r="G13" s="276">
        <f>(SUMIF(Fonctionnement[Affectation matrice],$AB$3,Fonctionnement[Montant (€HT)])+SUMIF(Invest[Affectation matrice],$AB$3,Invest[Amortissement HT + intérêts]))*BH13</f>
        <v>0</v>
      </c>
      <c r="H13" s="276">
        <f>(SUMIF(Fonctionnement[Affectation matrice],$AB$3,Fonctionnement[Montant (€HT)])+SUMIF(Invest[Affectation matrice],$AB$3,Invest[Amortissement HT + intérêts]))*BI13</f>
        <v>0</v>
      </c>
      <c r="I13" s="276">
        <f>(SUMIF(Fonctionnement[Affectation matrice],$AB$3,Fonctionnement[Montant (€HT)])+SUMIF(Invest[Affectation matrice],$AB$3,Invest[Amortissement HT + intérêts]))*BJ13</f>
        <v>0</v>
      </c>
      <c r="J13" s="276">
        <f>(SUMIF(Fonctionnement[Affectation matrice],$AB$3,Fonctionnement[Montant (€HT)])+SUMIF(Invest[Affectation matrice],$AB$3,Invest[Amortissement HT + intérêts]))*BK13</f>
        <v>0</v>
      </c>
      <c r="K13" s="276">
        <f>(SUMIF(Fonctionnement[Affectation matrice],$AB$3,Fonctionnement[Montant (€HT)])+SUMIF(Invest[Affectation matrice],$AB$3,Invest[Amortissement HT + intérêts]))*BL13</f>
        <v>0</v>
      </c>
      <c r="L13" s="276">
        <f>(SUMIF(Fonctionnement[Affectation matrice],$AB$3,Fonctionnement[Montant (€HT)])+SUMIF(Invest[Affectation matrice],$AB$3,Invest[Amortissement HT + intérêts]))*BM13</f>
        <v>0</v>
      </c>
      <c r="M13" s="276">
        <f>(SUMIF(Fonctionnement[Affectation matrice],$AB$3,Fonctionnement[Montant (€HT)])+SUMIF(Invest[Affectation matrice],$AB$3,Invest[Amortissement HT + intérêts]))*BN13</f>
        <v>0</v>
      </c>
      <c r="N13" s="276">
        <f>(SUMIF(Fonctionnement[Affectation matrice],$AB$3,Fonctionnement[Montant (€HT)])+SUMIF(Invest[Affectation matrice],$AB$3,Invest[Amortissement HT + intérêts]))*BO13</f>
        <v>0</v>
      </c>
      <c r="O13" s="276">
        <f>(SUMIF(Fonctionnement[Affectation matrice],$AB$3,Fonctionnement[Montant (€HT)])+SUMIF(Invest[Affectation matrice],$AB$3,Invest[Amortissement HT + intérêts]))*BP13</f>
        <v>0</v>
      </c>
      <c r="P13" s="276">
        <f>(SUMIF(Fonctionnement[Affectation matrice],$AB$3,Fonctionnement[Montant (€HT)])+SUMIF(Invest[Affectation matrice],$AB$3,Invest[Amortissement HT + intérêts]))*BQ13</f>
        <v>0</v>
      </c>
      <c r="Q13" s="276">
        <f>(SUMIF(Fonctionnement[Affectation matrice],$AB$3,Fonctionnement[Montant (€HT)])+SUMIF(Invest[Affectation matrice],$AB$3,Invest[Amortissement HT + intérêts]))*BR13</f>
        <v>0</v>
      </c>
      <c r="R13" s="276">
        <f>(SUMIF(Fonctionnement[Affectation matrice],$AB$3,Fonctionnement[Montant (€HT)])+SUMIF(Invest[Affectation matrice],$AB$3,Invest[Amortissement HT + intérêts]))*BS13</f>
        <v>0</v>
      </c>
      <c r="S13" s="276">
        <f>(SUMIF(Fonctionnement[Affectation matrice],$AB$3,Fonctionnement[Montant (€HT)])+SUMIF(Invest[Affectation matrice],$AB$3,Invest[Amortissement HT + intérêts]))*BT13</f>
        <v>0</v>
      </c>
      <c r="T13" s="276">
        <f>(SUMIF(Fonctionnement[Affectation matrice],$AB$3,Fonctionnement[Montant (€HT)])+SUMIF(Invest[Affectation matrice],$AB$3,Invest[Amortissement HT + intérêts]))*BU13</f>
        <v>0</v>
      </c>
      <c r="U13" s="276">
        <f>(SUMIF(Fonctionnement[Affectation matrice],$AB$3,Fonctionnement[Montant (€HT)])+SUMIF(Invest[Affectation matrice],$AB$3,Invest[Amortissement HT + intérêts]))*BV13</f>
        <v>0</v>
      </c>
      <c r="V13" s="276">
        <f>(SUMIF(Fonctionnement[Affectation matrice],$AB$3,Fonctionnement[Montant (€HT)])+SUMIF(Invest[Affectation matrice],$AB$3,Invest[Amortissement HT + intérêts]))*BW13</f>
        <v>0</v>
      </c>
      <c r="W13" s="276">
        <f>(SUMIF(Fonctionnement[Affectation matrice],$AB$3,Fonctionnement[Montant (€HT)])+SUMIF(Invest[Affectation matrice],$AB$3,Invest[Amortissement HT + intérêts]))*BX13</f>
        <v>0</v>
      </c>
      <c r="X13" s="276">
        <f>(SUMIF(Fonctionnement[Affectation matrice],$AB$3,Fonctionnement[Montant (€HT)])+SUMIF(Invest[Affectation matrice],$AB$3,Invest[Amortissement HT + intérêts]))*BY13</f>
        <v>0</v>
      </c>
      <c r="Y13" s="276">
        <f>(SUMIF(Fonctionnement[Affectation matrice],$AB$3,Fonctionnement[Montant (€HT)])+SUMIF(Invest[Affectation matrice],$AB$3,Invest[Amortissement HT + intérêts]))*BZ13</f>
        <v>0</v>
      </c>
      <c r="Z13" s="276">
        <f>(SUMIF(Fonctionnement[Affectation matrice],$AB$3,Fonctionnement[Montant (€HT)])+SUMIF(Invest[Affectation matrice],$AB$3,Invest[Amortissement HT + intérêts]))*CA13</f>
        <v>0</v>
      </c>
      <c r="AA13" s="199"/>
      <c r="AB13" s="302" t="str">
        <f t="shared" si="25"/>
        <v/>
      </c>
      <c r="AC13" s="302" t="str">
        <f t="shared" si="25"/>
        <v/>
      </c>
      <c r="AD13" s="302" t="str">
        <f t="shared" si="25"/>
        <v/>
      </c>
      <c r="AE13" s="302" t="str">
        <f t="shared" si="25"/>
        <v/>
      </c>
      <c r="AF13" s="302" t="str">
        <f t="shared" si="25"/>
        <v/>
      </c>
      <c r="AG13" s="302" t="str">
        <f t="shared" si="25"/>
        <v/>
      </c>
      <c r="AH13" s="302" t="str">
        <f t="shared" si="25"/>
        <v/>
      </c>
      <c r="AI13" s="302" t="str">
        <f t="shared" si="25"/>
        <v/>
      </c>
      <c r="AJ13" s="302" t="str">
        <f t="shared" si="25"/>
        <v/>
      </c>
      <c r="AK13" s="302" t="str">
        <f t="shared" si="25"/>
        <v/>
      </c>
      <c r="AL13" s="302" t="str">
        <f t="shared" si="26"/>
        <v/>
      </c>
      <c r="AM13" s="302" t="str">
        <f t="shared" si="26"/>
        <v/>
      </c>
      <c r="AN13" s="302" t="str">
        <f t="shared" si="26"/>
        <v/>
      </c>
      <c r="AO13" s="302" t="str">
        <f t="shared" si="26"/>
        <v/>
      </c>
      <c r="AP13" s="302" t="str">
        <f t="shared" si="26"/>
        <v/>
      </c>
      <c r="AQ13" s="302" t="str">
        <f t="shared" si="26"/>
        <v/>
      </c>
      <c r="AR13" s="302" t="str">
        <f t="shared" si="26"/>
        <v/>
      </c>
      <c r="AS13" s="302" t="str">
        <f t="shared" si="26"/>
        <v/>
      </c>
      <c r="AT13" s="302" t="str">
        <f t="shared" si="26"/>
        <v/>
      </c>
      <c r="AU13" s="302" t="str">
        <f t="shared" si="26"/>
        <v/>
      </c>
      <c r="AV13" s="302" t="str">
        <f t="shared" si="26"/>
        <v/>
      </c>
      <c r="AW13" s="302" t="str">
        <f t="shared" si="26"/>
        <v/>
      </c>
      <c r="AX13" s="302" t="str">
        <f t="shared" si="26"/>
        <v/>
      </c>
      <c r="AY13" s="302" t="str">
        <f t="shared" si="26"/>
        <v/>
      </c>
      <c r="AZ13" s="302" t="str">
        <f t="shared" si="26"/>
        <v/>
      </c>
      <c r="BA13" s="283" t="str">
        <f t="shared" si="26"/>
        <v/>
      </c>
      <c r="BB13" s="7"/>
      <c r="BC13" s="61">
        <f t="shared" si="27"/>
        <v>0</v>
      </c>
      <c r="BD13" s="61">
        <f t="shared" si="28"/>
        <v>0</v>
      </c>
      <c r="BE13" s="61">
        <f t="shared" si="29"/>
        <v>0</v>
      </c>
      <c r="BF13" s="61">
        <f t="shared" si="30"/>
        <v>0</v>
      </c>
      <c r="BG13" s="61">
        <f t="shared" si="31"/>
        <v>0</v>
      </c>
      <c r="BH13" s="61">
        <f t="shared" si="32"/>
        <v>0</v>
      </c>
      <c r="BI13" s="61">
        <f t="shared" si="33"/>
        <v>0</v>
      </c>
      <c r="BJ13" s="61">
        <f t="shared" si="34"/>
        <v>0</v>
      </c>
      <c r="BK13" s="61">
        <f t="shared" si="35"/>
        <v>0</v>
      </c>
      <c r="BL13" s="61">
        <f t="shared" si="36"/>
        <v>0</v>
      </c>
      <c r="BM13" s="61">
        <f t="shared" si="37"/>
        <v>0</v>
      </c>
      <c r="BN13" s="61">
        <f t="shared" si="38"/>
        <v>0</v>
      </c>
      <c r="BO13" s="61">
        <f t="shared" si="39"/>
        <v>0</v>
      </c>
      <c r="BP13" s="61">
        <f t="shared" si="40"/>
        <v>0</v>
      </c>
      <c r="BQ13" s="61">
        <f t="shared" si="41"/>
        <v>0</v>
      </c>
      <c r="BR13" s="61">
        <f t="shared" si="42"/>
        <v>0</v>
      </c>
      <c r="BS13" s="61">
        <f t="shared" si="43"/>
        <v>0</v>
      </c>
      <c r="BT13" s="61">
        <f t="shared" si="44"/>
        <v>0</v>
      </c>
      <c r="BU13" s="61">
        <f t="shared" si="45"/>
        <v>0</v>
      </c>
      <c r="BV13" s="61">
        <f t="shared" si="46"/>
        <v>0</v>
      </c>
      <c r="BW13" s="61">
        <f t="shared" si="47"/>
        <v>0</v>
      </c>
      <c r="BX13" s="61">
        <f t="shared" si="48"/>
        <v>0</v>
      </c>
      <c r="BY13" s="61">
        <f t="shared" si="49"/>
        <v>0</v>
      </c>
      <c r="BZ13" s="61">
        <f t="shared" si="50"/>
        <v>0</v>
      </c>
      <c r="CA13" s="61">
        <f t="shared" si="51"/>
        <v>0</v>
      </c>
      <c r="CB13" s="61">
        <f t="shared" si="52"/>
        <v>0</v>
      </c>
      <c r="CD13" s="200">
        <f>(SUMIF(Fonctionnement[Affectation matrice],$AB$3,Fonctionnement[TVA acquittée])+SUMIF(Invest[Affectation matrice],$AB$3,Invest[TVA acquittée]))*BC13</f>
        <v>0</v>
      </c>
      <c r="CE13" s="200">
        <f>(SUMIF(Fonctionnement[Affectation matrice],$AB$3,Fonctionnement[TVA acquittée])+SUMIF(Invest[Affectation matrice],$AB$3,Invest[TVA acquittée]))*BD13</f>
        <v>0</v>
      </c>
      <c r="CF13" s="200">
        <f>(SUMIF(Fonctionnement[Affectation matrice],$AB$3,Fonctionnement[TVA acquittée])+SUMIF(Invest[Affectation matrice],$AB$3,Invest[TVA acquittée]))*BE13</f>
        <v>0</v>
      </c>
      <c r="CG13" s="200">
        <f>(SUMIF(Fonctionnement[Affectation matrice],$AB$3,Fonctionnement[TVA acquittée])+SUMIF(Invest[Affectation matrice],$AB$3,Invest[TVA acquittée]))*BF13</f>
        <v>0</v>
      </c>
      <c r="CH13" s="200">
        <f>(SUMIF(Fonctionnement[Affectation matrice],$AB$3,Fonctionnement[TVA acquittée])+SUMIF(Invest[Affectation matrice],$AB$3,Invest[TVA acquittée]))*BG13</f>
        <v>0</v>
      </c>
      <c r="CI13" s="200">
        <f>(SUMIF(Fonctionnement[Affectation matrice],$AB$3,Fonctionnement[TVA acquittée])+SUMIF(Invest[Affectation matrice],$AB$3,Invest[TVA acquittée]))*BH13</f>
        <v>0</v>
      </c>
      <c r="CJ13" s="200">
        <f>(SUMIF(Fonctionnement[Affectation matrice],$AB$3,Fonctionnement[TVA acquittée])+SUMIF(Invest[Affectation matrice],$AB$3,Invest[TVA acquittée]))*BI13</f>
        <v>0</v>
      </c>
      <c r="CK13" s="200">
        <f>(SUMIF(Fonctionnement[Affectation matrice],$AB$3,Fonctionnement[TVA acquittée])+SUMIF(Invest[Affectation matrice],$AB$3,Invest[TVA acquittée]))*BJ13</f>
        <v>0</v>
      </c>
      <c r="CL13" s="200">
        <f>(SUMIF(Fonctionnement[Affectation matrice],$AB$3,Fonctionnement[TVA acquittée])+SUMIF(Invest[Affectation matrice],$AB$3,Invest[TVA acquittée]))*BK13</f>
        <v>0</v>
      </c>
      <c r="CM13" s="200">
        <f>(SUMIF(Fonctionnement[Affectation matrice],$AB$3,Fonctionnement[TVA acquittée])+SUMIF(Invest[Affectation matrice],$AB$3,Invest[TVA acquittée]))*BL13</f>
        <v>0</v>
      </c>
      <c r="CN13" s="200">
        <f>(SUMIF(Fonctionnement[Affectation matrice],$AB$3,Fonctionnement[TVA acquittée])+SUMIF(Invest[Affectation matrice],$AB$3,Invest[TVA acquittée]))*BM13</f>
        <v>0</v>
      </c>
      <c r="CO13" s="200">
        <f>(SUMIF(Fonctionnement[Affectation matrice],$AB$3,Fonctionnement[TVA acquittée])+SUMIF(Invest[Affectation matrice],$AB$3,Invest[TVA acquittée]))*BN13</f>
        <v>0</v>
      </c>
      <c r="CP13" s="200">
        <f>(SUMIF(Fonctionnement[Affectation matrice],$AB$3,Fonctionnement[TVA acquittée])+SUMIF(Invest[Affectation matrice],$AB$3,Invest[TVA acquittée]))*BO13</f>
        <v>0</v>
      </c>
      <c r="CQ13" s="200">
        <f>(SUMIF(Fonctionnement[Affectation matrice],$AB$3,Fonctionnement[TVA acquittée])+SUMIF(Invest[Affectation matrice],$AB$3,Invest[TVA acquittée]))*BP13</f>
        <v>0</v>
      </c>
      <c r="CR13" s="200">
        <f>(SUMIF(Fonctionnement[Affectation matrice],$AB$3,Fonctionnement[TVA acquittée])+SUMIF(Invest[Affectation matrice],$AB$3,Invest[TVA acquittée]))*BQ13</f>
        <v>0</v>
      </c>
      <c r="CS13" s="200">
        <f>(SUMIF(Fonctionnement[Affectation matrice],$AB$3,Fonctionnement[TVA acquittée])+SUMIF(Invest[Affectation matrice],$AB$3,Invest[TVA acquittée]))*BR13</f>
        <v>0</v>
      </c>
      <c r="CT13" s="200">
        <f>(SUMIF(Fonctionnement[Affectation matrice],$AB$3,Fonctionnement[TVA acquittée])+SUMIF(Invest[Affectation matrice],$AB$3,Invest[TVA acquittée]))*BS13</f>
        <v>0</v>
      </c>
      <c r="CU13" s="200">
        <f>(SUMIF(Fonctionnement[Affectation matrice],$AB$3,Fonctionnement[TVA acquittée])+SUMIF(Invest[Affectation matrice],$AB$3,Invest[TVA acquittée]))*BT13</f>
        <v>0</v>
      </c>
      <c r="CV13" s="200">
        <f>(SUMIF(Fonctionnement[Affectation matrice],$AB$3,Fonctionnement[TVA acquittée])+SUMIF(Invest[Affectation matrice],$AB$3,Invest[TVA acquittée]))*BU13</f>
        <v>0</v>
      </c>
      <c r="CW13" s="200">
        <f>(SUMIF(Fonctionnement[Affectation matrice],$AB$3,Fonctionnement[TVA acquittée])+SUMIF(Invest[Affectation matrice],$AB$3,Invest[TVA acquittée]))*BV13</f>
        <v>0</v>
      </c>
      <c r="CX13" s="200">
        <f>(SUMIF(Fonctionnement[Affectation matrice],$AB$3,Fonctionnement[TVA acquittée])+SUMIF(Invest[Affectation matrice],$AB$3,Invest[TVA acquittée]))*BW13</f>
        <v>0</v>
      </c>
      <c r="CY13" s="200">
        <f>(SUMIF(Fonctionnement[Affectation matrice],$AB$3,Fonctionnement[TVA acquittée])+SUMIF(Invest[Affectation matrice],$AB$3,Invest[TVA acquittée]))*BX13</f>
        <v>0</v>
      </c>
      <c r="CZ13" s="200">
        <f>(SUMIF(Fonctionnement[Affectation matrice],$AB$3,Fonctionnement[TVA acquittée])+SUMIF(Invest[Affectation matrice],$AB$3,Invest[TVA acquittée]))*BY13</f>
        <v>0</v>
      </c>
      <c r="DA13" s="200">
        <f>(SUMIF(Fonctionnement[Affectation matrice],$AB$3,Fonctionnement[TVA acquittée])+SUMIF(Invest[Affectation matrice],$AB$3,Invest[TVA acquittée]))*BZ13</f>
        <v>0</v>
      </c>
      <c r="DB13" s="200">
        <f>(SUMIF(Fonctionnement[Affectation matrice],$AB$3,Fonctionnement[TVA acquittée])+SUMIF(Invest[Affectation matrice],$AB$3,Invest[TVA acquittée]))*CA13</f>
        <v>0</v>
      </c>
    </row>
    <row r="14" spans="1:106" s="22" customFormat="1" ht="12.75" hidden="1" customHeight="1" x14ac:dyDescent="0.25">
      <c r="A14" s="42">
        <f>Matrice[[#This Row],[Ligne de la matrice]]</f>
        <v>0</v>
      </c>
      <c r="B14" s="276">
        <f>(SUMIF(Fonctionnement[Affectation matrice],$AB$3,Fonctionnement[Montant (€HT)])+SUMIF(Invest[Affectation matrice],$AB$3,Invest[Amortissement HT + intérêts]))*BC14</f>
        <v>0</v>
      </c>
      <c r="C14" s="276">
        <f>(SUMIF(Fonctionnement[Affectation matrice],$AB$3,Fonctionnement[Montant (€HT)])+SUMIF(Invest[Affectation matrice],$AB$3,Invest[Amortissement HT + intérêts]))*BD14</f>
        <v>0</v>
      </c>
      <c r="D14" s="276">
        <f>(SUMIF(Fonctionnement[Affectation matrice],$AB$3,Fonctionnement[Montant (€HT)])+SUMIF(Invest[Affectation matrice],$AB$3,Invest[Amortissement HT + intérêts]))*BE14</f>
        <v>0</v>
      </c>
      <c r="E14" s="276">
        <f>(SUMIF(Fonctionnement[Affectation matrice],$AB$3,Fonctionnement[Montant (€HT)])+SUMIF(Invest[Affectation matrice],$AB$3,Invest[Amortissement HT + intérêts]))*BF14</f>
        <v>0</v>
      </c>
      <c r="F14" s="276">
        <f>(SUMIF(Fonctionnement[Affectation matrice],$AB$3,Fonctionnement[Montant (€HT)])+SUMIF(Invest[Affectation matrice],$AB$3,Invest[Amortissement HT + intérêts]))*BG14</f>
        <v>0</v>
      </c>
      <c r="G14" s="276">
        <f>(SUMIF(Fonctionnement[Affectation matrice],$AB$3,Fonctionnement[Montant (€HT)])+SUMIF(Invest[Affectation matrice],$AB$3,Invest[Amortissement HT + intérêts]))*BH14</f>
        <v>0</v>
      </c>
      <c r="H14" s="276">
        <f>(SUMIF(Fonctionnement[Affectation matrice],$AB$3,Fonctionnement[Montant (€HT)])+SUMIF(Invest[Affectation matrice],$AB$3,Invest[Amortissement HT + intérêts]))*BI14</f>
        <v>0</v>
      </c>
      <c r="I14" s="276">
        <f>(SUMIF(Fonctionnement[Affectation matrice],$AB$3,Fonctionnement[Montant (€HT)])+SUMIF(Invest[Affectation matrice],$AB$3,Invest[Amortissement HT + intérêts]))*BJ14</f>
        <v>0</v>
      </c>
      <c r="J14" s="276">
        <f>(SUMIF(Fonctionnement[Affectation matrice],$AB$3,Fonctionnement[Montant (€HT)])+SUMIF(Invest[Affectation matrice],$AB$3,Invest[Amortissement HT + intérêts]))*BK14</f>
        <v>0</v>
      </c>
      <c r="K14" s="276">
        <f>(SUMIF(Fonctionnement[Affectation matrice],$AB$3,Fonctionnement[Montant (€HT)])+SUMIF(Invest[Affectation matrice],$AB$3,Invest[Amortissement HT + intérêts]))*BL14</f>
        <v>0</v>
      </c>
      <c r="L14" s="276">
        <f>(SUMIF(Fonctionnement[Affectation matrice],$AB$3,Fonctionnement[Montant (€HT)])+SUMIF(Invest[Affectation matrice],$AB$3,Invest[Amortissement HT + intérêts]))*BM14</f>
        <v>0</v>
      </c>
      <c r="M14" s="276">
        <f>(SUMIF(Fonctionnement[Affectation matrice],$AB$3,Fonctionnement[Montant (€HT)])+SUMIF(Invest[Affectation matrice],$AB$3,Invest[Amortissement HT + intérêts]))*BN14</f>
        <v>0</v>
      </c>
      <c r="N14" s="276">
        <f>(SUMIF(Fonctionnement[Affectation matrice],$AB$3,Fonctionnement[Montant (€HT)])+SUMIF(Invest[Affectation matrice],$AB$3,Invest[Amortissement HT + intérêts]))*BO14</f>
        <v>0</v>
      </c>
      <c r="O14" s="276">
        <f>(SUMIF(Fonctionnement[Affectation matrice],$AB$3,Fonctionnement[Montant (€HT)])+SUMIF(Invest[Affectation matrice],$AB$3,Invest[Amortissement HT + intérêts]))*BP14</f>
        <v>0</v>
      </c>
      <c r="P14" s="276">
        <f>(SUMIF(Fonctionnement[Affectation matrice],$AB$3,Fonctionnement[Montant (€HT)])+SUMIF(Invest[Affectation matrice],$AB$3,Invest[Amortissement HT + intérêts]))*BQ14</f>
        <v>0</v>
      </c>
      <c r="Q14" s="276">
        <f>(SUMIF(Fonctionnement[Affectation matrice],$AB$3,Fonctionnement[Montant (€HT)])+SUMIF(Invest[Affectation matrice],$AB$3,Invest[Amortissement HT + intérêts]))*BR14</f>
        <v>0</v>
      </c>
      <c r="R14" s="276">
        <f>(SUMIF(Fonctionnement[Affectation matrice],$AB$3,Fonctionnement[Montant (€HT)])+SUMIF(Invest[Affectation matrice],$AB$3,Invest[Amortissement HT + intérêts]))*BS14</f>
        <v>0</v>
      </c>
      <c r="S14" s="276">
        <f>(SUMIF(Fonctionnement[Affectation matrice],$AB$3,Fonctionnement[Montant (€HT)])+SUMIF(Invest[Affectation matrice],$AB$3,Invest[Amortissement HT + intérêts]))*BT14</f>
        <v>0</v>
      </c>
      <c r="T14" s="276">
        <f>(SUMIF(Fonctionnement[Affectation matrice],$AB$3,Fonctionnement[Montant (€HT)])+SUMIF(Invest[Affectation matrice],$AB$3,Invest[Amortissement HT + intérêts]))*BU14</f>
        <v>0</v>
      </c>
      <c r="U14" s="276">
        <f>(SUMIF(Fonctionnement[Affectation matrice],$AB$3,Fonctionnement[Montant (€HT)])+SUMIF(Invest[Affectation matrice],$AB$3,Invest[Amortissement HT + intérêts]))*BV14</f>
        <v>0</v>
      </c>
      <c r="V14" s="276">
        <f>(SUMIF(Fonctionnement[Affectation matrice],$AB$3,Fonctionnement[Montant (€HT)])+SUMIF(Invest[Affectation matrice],$AB$3,Invest[Amortissement HT + intérêts]))*BW14</f>
        <v>0</v>
      </c>
      <c r="W14" s="276">
        <f>(SUMIF(Fonctionnement[Affectation matrice],$AB$3,Fonctionnement[Montant (€HT)])+SUMIF(Invest[Affectation matrice],$AB$3,Invest[Amortissement HT + intérêts]))*BX14</f>
        <v>0</v>
      </c>
      <c r="X14" s="276">
        <f>(SUMIF(Fonctionnement[Affectation matrice],$AB$3,Fonctionnement[Montant (€HT)])+SUMIF(Invest[Affectation matrice],$AB$3,Invest[Amortissement HT + intérêts]))*BY14</f>
        <v>0</v>
      </c>
      <c r="Y14" s="276">
        <f>(SUMIF(Fonctionnement[Affectation matrice],$AB$3,Fonctionnement[Montant (€HT)])+SUMIF(Invest[Affectation matrice],$AB$3,Invest[Amortissement HT + intérêts]))*BZ14</f>
        <v>0</v>
      </c>
      <c r="Z14" s="276">
        <f>(SUMIF(Fonctionnement[Affectation matrice],$AB$3,Fonctionnement[Montant (€HT)])+SUMIF(Invest[Affectation matrice],$AB$3,Invest[Amortissement HT + intérêts]))*CA14</f>
        <v>0</v>
      </c>
      <c r="AA14" s="199"/>
      <c r="AB14" s="302" t="str">
        <f t="shared" si="25"/>
        <v/>
      </c>
      <c r="AC14" s="302" t="str">
        <f t="shared" si="25"/>
        <v/>
      </c>
      <c r="AD14" s="302" t="str">
        <f t="shared" si="25"/>
        <v/>
      </c>
      <c r="AE14" s="302" t="str">
        <f t="shared" si="25"/>
        <v/>
      </c>
      <c r="AF14" s="302" t="str">
        <f t="shared" si="25"/>
        <v/>
      </c>
      <c r="AG14" s="302" t="str">
        <f t="shared" si="25"/>
        <v/>
      </c>
      <c r="AH14" s="302" t="str">
        <f t="shared" si="25"/>
        <v/>
      </c>
      <c r="AI14" s="302" t="str">
        <f t="shared" si="25"/>
        <v/>
      </c>
      <c r="AJ14" s="302" t="str">
        <f t="shared" si="25"/>
        <v/>
      </c>
      <c r="AK14" s="302" t="str">
        <f t="shared" si="25"/>
        <v/>
      </c>
      <c r="AL14" s="302" t="str">
        <f t="shared" si="26"/>
        <v/>
      </c>
      <c r="AM14" s="302" t="str">
        <f t="shared" si="26"/>
        <v/>
      </c>
      <c r="AN14" s="302" t="str">
        <f t="shared" si="26"/>
        <v/>
      </c>
      <c r="AO14" s="302" t="str">
        <f t="shared" si="26"/>
        <v/>
      </c>
      <c r="AP14" s="302" t="str">
        <f t="shared" si="26"/>
        <v/>
      </c>
      <c r="AQ14" s="302" t="str">
        <f t="shared" si="26"/>
        <v/>
      </c>
      <c r="AR14" s="302" t="str">
        <f t="shared" si="26"/>
        <v/>
      </c>
      <c r="AS14" s="302" t="str">
        <f t="shared" si="26"/>
        <v/>
      </c>
      <c r="AT14" s="302" t="str">
        <f t="shared" si="26"/>
        <v/>
      </c>
      <c r="AU14" s="302" t="str">
        <f t="shared" si="26"/>
        <v/>
      </c>
      <c r="AV14" s="302" t="str">
        <f t="shared" si="26"/>
        <v/>
      </c>
      <c r="AW14" s="302" t="str">
        <f t="shared" si="26"/>
        <v/>
      </c>
      <c r="AX14" s="302" t="str">
        <f t="shared" si="26"/>
        <v/>
      </c>
      <c r="AY14" s="302" t="str">
        <f t="shared" si="26"/>
        <v/>
      </c>
      <c r="AZ14" s="302" t="str">
        <f t="shared" si="26"/>
        <v/>
      </c>
      <c r="BA14" s="283" t="str">
        <f t="shared" si="26"/>
        <v/>
      </c>
      <c r="BB14" s="7"/>
      <c r="BC14" s="61">
        <f t="shared" si="27"/>
        <v>0</v>
      </c>
      <c r="BD14" s="61">
        <f t="shared" si="28"/>
        <v>0</v>
      </c>
      <c r="BE14" s="61">
        <f t="shared" si="29"/>
        <v>0</v>
      </c>
      <c r="BF14" s="61">
        <f t="shared" si="30"/>
        <v>0</v>
      </c>
      <c r="BG14" s="61">
        <f t="shared" si="31"/>
        <v>0</v>
      </c>
      <c r="BH14" s="61">
        <f t="shared" si="32"/>
        <v>0</v>
      </c>
      <c r="BI14" s="61">
        <f t="shared" si="33"/>
        <v>0</v>
      </c>
      <c r="BJ14" s="61">
        <f t="shared" si="34"/>
        <v>0</v>
      </c>
      <c r="BK14" s="61">
        <f t="shared" si="35"/>
        <v>0</v>
      </c>
      <c r="BL14" s="61">
        <f t="shared" si="36"/>
        <v>0</v>
      </c>
      <c r="BM14" s="61">
        <f t="shared" si="37"/>
        <v>0</v>
      </c>
      <c r="BN14" s="61">
        <f t="shared" si="38"/>
        <v>0</v>
      </c>
      <c r="BO14" s="61">
        <f t="shared" si="39"/>
        <v>0</v>
      </c>
      <c r="BP14" s="61">
        <f t="shared" si="40"/>
        <v>0</v>
      </c>
      <c r="BQ14" s="61">
        <f t="shared" si="41"/>
        <v>0</v>
      </c>
      <c r="BR14" s="61">
        <f t="shared" si="42"/>
        <v>0</v>
      </c>
      <c r="BS14" s="61">
        <f t="shared" si="43"/>
        <v>0</v>
      </c>
      <c r="BT14" s="61">
        <f t="shared" si="44"/>
        <v>0</v>
      </c>
      <c r="BU14" s="61">
        <f t="shared" si="45"/>
        <v>0</v>
      </c>
      <c r="BV14" s="61">
        <f t="shared" si="46"/>
        <v>0</v>
      </c>
      <c r="BW14" s="61">
        <f t="shared" si="47"/>
        <v>0</v>
      </c>
      <c r="BX14" s="61">
        <f t="shared" si="48"/>
        <v>0</v>
      </c>
      <c r="BY14" s="61">
        <f t="shared" si="49"/>
        <v>0</v>
      </c>
      <c r="BZ14" s="61">
        <f t="shared" si="50"/>
        <v>0</v>
      </c>
      <c r="CA14" s="61">
        <f t="shared" si="51"/>
        <v>0</v>
      </c>
      <c r="CB14" s="61">
        <f t="shared" si="52"/>
        <v>0</v>
      </c>
      <c r="CD14" s="200">
        <f>(SUMIF(Fonctionnement[Affectation matrice],$AB$3,Fonctionnement[TVA acquittée])+SUMIF(Invest[Affectation matrice],$AB$3,Invest[TVA acquittée]))*BC14</f>
        <v>0</v>
      </c>
      <c r="CE14" s="200">
        <f>(SUMIF(Fonctionnement[Affectation matrice],$AB$3,Fonctionnement[TVA acquittée])+SUMIF(Invest[Affectation matrice],$AB$3,Invest[TVA acquittée]))*BD14</f>
        <v>0</v>
      </c>
      <c r="CF14" s="200">
        <f>(SUMIF(Fonctionnement[Affectation matrice],$AB$3,Fonctionnement[TVA acquittée])+SUMIF(Invest[Affectation matrice],$AB$3,Invest[TVA acquittée]))*BE14</f>
        <v>0</v>
      </c>
      <c r="CG14" s="200">
        <f>(SUMIF(Fonctionnement[Affectation matrice],$AB$3,Fonctionnement[TVA acquittée])+SUMIF(Invest[Affectation matrice],$AB$3,Invest[TVA acquittée]))*BF14</f>
        <v>0</v>
      </c>
      <c r="CH14" s="200">
        <f>(SUMIF(Fonctionnement[Affectation matrice],$AB$3,Fonctionnement[TVA acquittée])+SUMIF(Invest[Affectation matrice],$AB$3,Invest[TVA acquittée]))*BG14</f>
        <v>0</v>
      </c>
      <c r="CI14" s="200">
        <f>(SUMIF(Fonctionnement[Affectation matrice],$AB$3,Fonctionnement[TVA acquittée])+SUMIF(Invest[Affectation matrice],$AB$3,Invest[TVA acquittée]))*BH14</f>
        <v>0</v>
      </c>
      <c r="CJ14" s="200">
        <f>(SUMIF(Fonctionnement[Affectation matrice],$AB$3,Fonctionnement[TVA acquittée])+SUMIF(Invest[Affectation matrice],$AB$3,Invest[TVA acquittée]))*BI14</f>
        <v>0</v>
      </c>
      <c r="CK14" s="200">
        <f>(SUMIF(Fonctionnement[Affectation matrice],$AB$3,Fonctionnement[TVA acquittée])+SUMIF(Invest[Affectation matrice],$AB$3,Invest[TVA acquittée]))*BJ14</f>
        <v>0</v>
      </c>
      <c r="CL14" s="200">
        <f>(SUMIF(Fonctionnement[Affectation matrice],$AB$3,Fonctionnement[TVA acquittée])+SUMIF(Invest[Affectation matrice],$AB$3,Invest[TVA acquittée]))*BK14</f>
        <v>0</v>
      </c>
      <c r="CM14" s="200">
        <f>(SUMIF(Fonctionnement[Affectation matrice],$AB$3,Fonctionnement[TVA acquittée])+SUMIF(Invest[Affectation matrice],$AB$3,Invest[TVA acquittée]))*BL14</f>
        <v>0</v>
      </c>
      <c r="CN14" s="200">
        <f>(SUMIF(Fonctionnement[Affectation matrice],$AB$3,Fonctionnement[TVA acquittée])+SUMIF(Invest[Affectation matrice],$AB$3,Invest[TVA acquittée]))*BM14</f>
        <v>0</v>
      </c>
      <c r="CO14" s="200">
        <f>(SUMIF(Fonctionnement[Affectation matrice],$AB$3,Fonctionnement[TVA acquittée])+SUMIF(Invest[Affectation matrice],$AB$3,Invest[TVA acquittée]))*BN14</f>
        <v>0</v>
      </c>
      <c r="CP14" s="200">
        <f>(SUMIF(Fonctionnement[Affectation matrice],$AB$3,Fonctionnement[TVA acquittée])+SUMIF(Invest[Affectation matrice],$AB$3,Invest[TVA acquittée]))*BO14</f>
        <v>0</v>
      </c>
      <c r="CQ14" s="200">
        <f>(SUMIF(Fonctionnement[Affectation matrice],$AB$3,Fonctionnement[TVA acquittée])+SUMIF(Invest[Affectation matrice],$AB$3,Invest[TVA acquittée]))*BP14</f>
        <v>0</v>
      </c>
      <c r="CR14" s="200">
        <f>(SUMIF(Fonctionnement[Affectation matrice],$AB$3,Fonctionnement[TVA acquittée])+SUMIF(Invest[Affectation matrice],$AB$3,Invest[TVA acquittée]))*BQ14</f>
        <v>0</v>
      </c>
      <c r="CS14" s="200">
        <f>(SUMIF(Fonctionnement[Affectation matrice],$AB$3,Fonctionnement[TVA acquittée])+SUMIF(Invest[Affectation matrice],$AB$3,Invest[TVA acquittée]))*BR14</f>
        <v>0</v>
      </c>
      <c r="CT14" s="200">
        <f>(SUMIF(Fonctionnement[Affectation matrice],$AB$3,Fonctionnement[TVA acquittée])+SUMIF(Invest[Affectation matrice],$AB$3,Invest[TVA acquittée]))*BS14</f>
        <v>0</v>
      </c>
      <c r="CU14" s="200">
        <f>(SUMIF(Fonctionnement[Affectation matrice],$AB$3,Fonctionnement[TVA acquittée])+SUMIF(Invest[Affectation matrice],$AB$3,Invest[TVA acquittée]))*BT14</f>
        <v>0</v>
      </c>
      <c r="CV14" s="200">
        <f>(SUMIF(Fonctionnement[Affectation matrice],$AB$3,Fonctionnement[TVA acquittée])+SUMIF(Invest[Affectation matrice],$AB$3,Invest[TVA acquittée]))*BU14</f>
        <v>0</v>
      </c>
      <c r="CW14" s="200">
        <f>(SUMIF(Fonctionnement[Affectation matrice],$AB$3,Fonctionnement[TVA acquittée])+SUMIF(Invest[Affectation matrice],$AB$3,Invest[TVA acquittée]))*BV14</f>
        <v>0</v>
      </c>
      <c r="CX14" s="200">
        <f>(SUMIF(Fonctionnement[Affectation matrice],$AB$3,Fonctionnement[TVA acquittée])+SUMIF(Invest[Affectation matrice],$AB$3,Invest[TVA acquittée]))*BW14</f>
        <v>0</v>
      </c>
      <c r="CY14" s="200">
        <f>(SUMIF(Fonctionnement[Affectation matrice],$AB$3,Fonctionnement[TVA acquittée])+SUMIF(Invest[Affectation matrice],$AB$3,Invest[TVA acquittée]))*BX14</f>
        <v>0</v>
      </c>
      <c r="CZ14" s="200">
        <f>(SUMIF(Fonctionnement[Affectation matrice],$AB$3,Fonctionnement[TVA acquittée])+SUMIF(Invest[Affectation matrice],$AB$3,Invest[TVA acquittée]))*BY14</f>
        <v>0</v>
      </c>
      <c r="DA14" s="200">
        <f>(SUMIF(Fonctionnement[Affectation matrice],$AB$3,Fonctionnement[TVA acquittée])+SUMIF(Invest[Affectation matrice],$AB$3,Invest[TVA acquittée]))*BZ14</f>
        <v>0</v>
      </c>
      <c r="DB14" s="200">
        <f>(SUMIF(Fonctionnement[Affectation matrice],$AB$3,Fonctionnement[TVA acquittée])+SUMIF(Invest[Affectation matrice],$AB$3,Invest[TVA acquittée]))*CA14</f>
        <v>0</v>
      </c>
    </row>
    <row r="15" spans="1:106" s="22" customFormat="1" ht="12.75" hidden="1" customHeight="1" x14ac:dyDescent="0.25">
      <c r="A15" s="42">
        <f>Matrice[[#This Row],[Ligne de la matrice]]</f>
        <v>0</v>
      </c>
      <c r="B15" s="276">
        <f>(SUMIF(Fonctionnement[Affectation matrice],$AB$3,Fonctionnement[Montant (€HT)])+SUMIF(Invest[Affectation matrice],$AB$3,Invest[Amortissement HT + intérêts]))*BC15</f>
        <v>0</v>
      </c>
      <c r="C15" s="276">
        <f>(SUMIF(Fonctionnement[Affectation matrice],$AB$3,Fonctionnement[Montant (€HT)])+SUMIF(Invest[Affectation matrice],$AB$3,Invest[Amortissement HT + intérêts]))*BD15</f>
        <v>0</v>
      </c>
      <c r="D15" s="276">
        <f>(SUMIF(Fonctionnement[Affectation matrice],$AB$3,Fonctionnement[Montant (€HT)])+SUMIF(Invest[Affectation matrice],$AB$3,Invest[Amortissement HT + intérêts]))*BE15</f>
        <v>0</v>
      </c>
      <c r="E15" s="276">
        <f>(SUMIF(Fonctionnement[Affectation matrice],$AB$3,Fonctionnement[Montant (€HT)])+SUMIF(Invest[Affectation matrice],$AB$3,Invest[Amortissement HT + intérêts]))*BF15</f>
        <v>0</v>
      </c>
      <c r="F15" s="276">
        <f>(SUMIF(Fonctionnement[Affectation matrice],$AB$3,Fonctionnement[Montant (€HT)])+SUMIF(Invest[Affectation matrice],$AB$3,Invest[Amortissement HT + intérêts]))*BG15</f>
        <v>0</v>
      </c>
      <c r="G15" s="276">
        <f>(SUMIF(Fonctionnement[Affectation matrice],$AB$3,Fonctionnement[Montant (€HT)])+SUMIF(Invest[Affectation matrice],$AB$3,Invest[Amortissement HT + intérêts]))*BH15</f>
        <v>0</v>
      </c>
      <c r="H15" s="276">
        <f>(SUMIF(Fonctionnement[Affectation matrice],$AB$3,Fonctionnement[Montant (€HT)])+SUMIF(Invest[Affectation matrice],$AB$3,Invest[Amortissement HT + intérêts]))*BI15</f>
        <v>0</v>
      </c>
      <c r="I15" s="276">
        <f>(SUMIF(Fonctionnement[Affectation matrice],$AB$3,Fonctionnement[Montant (€HT)])+SUMIF(Invest[Affectation matrice],$AB$3,Invest[Amortissement HT + intérêts]))*BJ15</f>
        <v>0</v>
      </c>
      <c r="J15" s="276">
        <f>(SUMIF(Fonctionnement[Affectation matrice],$AB$3,Fonctionnement[Montant (€HT)])+SUMIF(Invest[Affectation matrice],$AB$3,Invest[Amortissement HT + intérêts]))*BK15</f>
        <v>0</v>
      </c>
      <c r="K15" s="276">
        <f>(SUMIF(Fonctionnement[Affectation matrice],$AB$3,Fonctionnement[Montant (€HT)])+SUMIF(Invest[Affectation matrice],$AB$3,Invest[Amortissement HT + intérêts]))*BL15</f>
        <v>0</v>
      </c>
      <c r="L15" s="276">
        <f>(SUMIF(Fonctionnement[Affectation matrice],$AB$3,Fonctionnement[Montant (€HT)])+SUMIF(Invest[Affectation matrice],$AB$3,Invest[Amortissement HT + intérêts]))*BM15</f>
        <v>0</v>
      </c>
      <c r="M15" s="276">
        <f>(SUMIF(Fonctionnement[Affectation matrice],$AB$3,Fonctionnement[Montant (€HT)])+SUMIF(Invest[Affectation matrice],$AB$3,Invest[Amortissement HT + intérêts]))*BN15</f>
        <v>0</v>
      </c>
      <c r="N15" s="276">
        <f>(SUMIF(Fonctionnement[Affectation matrice],$AB$3,Fonctionnement[Montant (€HT)])+SUMIF(Invest[Affectation matrice],$AB$3,Invest[Amortissement HT + intérêts]))*BO15</f>
        <v>0</v>
      </c>
      <c r="O15" s="276">
        <f>(SUMIF(Fonctionnement[Affectation matrice],$AB$3,Fonctionnement[Montant (€HT)])+SUMIF(Invest[Affectation matrice],$AB$3,Invest[Amortissement HT + intérêts]))*BP15</f>
        <v>0</v>
      </c>
      <c r="P15" s="276">
        <f>(SUMIF(Fonctionnement[Affectation matrice],$AB$3,Fonctionnement[Montant (€HT)])+SUMIF(Invest[Affectation matrice],$AB$3,Invest[Amortissement HT + intérêts]))*BQ15</f>
        <v>0</v>
      </c>
      <c r="Q15" s="276">
        <f>(SUMIF(Fonctionnement[Affectation matrice],$AB$3,Fonctionnement[Montant (€HT)])+SUMIF(Invest[Affectation matrice],$AB$3,Invest[Amortissement HT + intérêts]))*BR15</f>
        <v>0</v>
      </c>
      <c r="R15" s="276">
        <f>(SUMIF(Fonctionnement[Affectation matrice],$AB$3,Fonctionnement[Montant (€HT)])+SUMIF(Invest[Affectation matrice],$AB$3,Invest[Amortissement HT + intérêts]))*BS15</f>
        <v>0</v>
      </c>
      <c r="S15" s="276">
        <f>(SUMIF(Fonctionnement[Affectation matrice],$AB$3,Fonctionnement[Montant (€HT)])+SUMIF(Invest[Affectation matrice],$AB$3,Invest[Amortissement HT + intérêts]))*BT15</f>
        <v>0</v>
      </c>
      <c r="T15" s="276">
        <f>(SUMIF(Fonctionnement[Affectation matrice],$AB$3,Fonctionnement[Montant (€HT)])+SUMIF(Invest[Affectation matrice],$AB$3,Invest[Amortissement HT + intérêts]))*BU15</f>
        <v>0</v>
      </c>
      <c r="U15" s="276">
        <f>(SUMIF(Fonctionnement[Affectation matrice],$AB$3,Fonctionnement[Montant (€HT)])+SUMIF(Invest[Affectation matrice],$AB$3,Invest[Amortissement HT + intérêts]))*BV15</f>
        <v>0</v>
      </c>
      <c r="V15" s="276">
        <f>(SUMIF(Fonctionnement[Affectation matrice],$AB$3,Fonctionnement[Montant (€HT)])+SUMIF(Invest[Affectation matrice],$AB$3,Invest[Amortissement HT + intérêts]))*BW15</f>
        <v>0</v>
      </c>
      <c r="W15" s="276">
        <f>(SUMIF(Fonctionnement[Affectation matrice],$AB$3,Fonctionnement[Montant (€HT)])+SUMIF(Invest[Affectation matrice],$AB$3,Invest[Amortissement HT + intérêts]))*BX15</f>
        <v>0</v>
      </c>
      <c r="X15" s="276">
        <f>(SUMIF(Fonctionnement[Affectation matrice],$AB$3,Fonctionnement[Montant (€HT)])+SUMIF(Invest[Affectation matrice],$AB$3,Invest[Amortissement HT + intérêts]))*BY15</f>
        <v>0</v>
      </c>
      <c r="Y15" s="276">
        <f>(SUMIF(Fonctionnement[Affectation matrice],$AB$3,Fonctionnement[Montant (€HT)])+SUMIF(Invest[Affectation matrice],$AB$3,Invest[Amortissement HT + intérêts]))*BZ15</f>
        <v>0</v>
      </c>
      <c r="Z15" s="276">
        <f>(SUMIF(Fonctionnement[Affectation matrice],$AB$3,Fonctionnement[Montant (€HT)])+SUMIF(Invest[Affectation matrice],$AB$3,Invest[Amortissement HT + intérêts]))*CA15</f>
        <v>0</v>
      </c>
      <c r="AA15" s="199"/>
      <c r="AB15" s="302" t="str">
        <f t="shared" ref="AB15:AK22" si="53">IFERROR(SUMIF($DC$56:$DC$76,$A15,AB$56:AB$76)/Total,"")</f>
        <v/>
      </c>
      <c r="AC15" s="302" t="str">
        <f t="shared" si="53"/>
        <v/>
      </c>
      <c r="AD15" s="302" t="str">
        <f t="shared" si="53"/>
        <v/>
      </c>
      <c r="AE15" s="302" t="str">
        <f t="shared" si="53"/>
        <v/>
      </c>
      <c r="AF15" s="302" t="str">
        <f t="shared" si="53"/>
        <v/>
      </c>
      <c r="AG15" s="302" t="str">
        <f t="shared" si="53"/>
        <v/>
      </c>
      <c r="AH15" s="302" t="str">
        <f t="shared" si="53"/>
        <v/>
      </c>
      <c r="AI15" s="302" t="str">
        <f t="shared" si="53"/>
        <v/>
      </c>
      <c r="AJ15" s="302" t="str">
        <f t="shared" si="53"/>
        <v/>
      </c>
      <c r="AK15" s="302" t="str">
        <f t="shared" si="53"/>
        <v/>
      </c>
      <c r="AL15" s="302" t="str">
        <f t="shared" ref="AL15:BA22" si="54">IFERROR(SUMIF($DC$56:$DC$76,$A15,AL$56:AL$76)/Total,"")</f>
        <v/>
      </c>
      <c r="AM15" s="302" t="str">
        <f t="shared" si="54"/>
        <v/>
      </c>
      <c r="AN15" s="302" t="str">
        <f t="shared" si="54"/>
        <v/>
      </c>
      <c r="AO15" s="302" t="str">
        <f t="shared" si="54"/>
        <v/>
      </c>
      <c r="AP15" s="302" t="str">
        <f t="shared" si="54"/>
        <v/>
      </c>
      <c r="AQ15" s="302" t="str">
        <f t="shared" si="54"/>
        <v/>
      </c>
      <c r="AR15" s="302" t="str">
        <f t="shared" si="54"/>
        <v/>
      </c>
      <c r="AS15" s="302" t="str">
        <f t="shared" si="54"/>
        <v/>
      </c>
      <c r="AT15" s="302" t="str">
        <f t="shared" si="54"/>
        <v/>
      </c>
      <c r="AU15" s="302" t="str">
        <f t="shared" si="54"/>
        <v/>
      </c>
      <c r="AV15" s="302" t="str">
        <f t="shared" si="54"/>
        <v/>
      </c>
      <c r="AW15" s="302" t="str">
        <f t="shared" si="54"/>
        <v/>
      </c>
      <c r="AX15" s="302" t="str">
        <f t="shared" si="54"/>
        <v/>
      </c>
      <c r="AY15" s="302" t="str">
        <f t="shared" si="54"/>
        <v/>
      </c>
      <c r="AZ15" s="302" t="str">
        <f t="shared" si="54"/>
        <v/>
      </c>
      <c r="BA15" s="283" t="str">
        <f t="shared" si="26"/>
        <v/>
      </c>
      <c r="BB15" s="7"/>
      <c r="BC15" s="61">
        <f t="shared" si="27"/>
        <v>0</v>
      </c>
      <c r="BD15" s="61">
        <f t="shared" si="28"/>
        <v>0</v>
      </c>
      <c r="BE15" s="61">
        <f t="shared" si="29"/>
        <v>0</v>
      </c>
      <c r="BF15" s="61">
        <f t="shared" si="30"/>
        <v>0</v>
      </c>
      <c r="BG15" s="61">
        <f t="shared" si="31"/>
        <v>0</v>
      </c>
      <c r="BH15" s="61">
        <f t="shared" si="32"/>
        <v>0</v>
      </c>
      <c r="BI15" s="61">
        <f t="shared" si="33"/>
        <v>0</v>
      </c>
      <c r="BJ15" s="61">
        <f t="shared" si="34"/>
        <v>0</v>
      </c>
      <c r="BK15" s="61">
        <f t="shared" si="35"/>
        <v>0</v>
      </c>
      <c r="BL15" s="61">
        <f t="shared" si="36"/>
        <v>0</v>
      </c>
      <c r="BM15" s="61">
        <f t="shared" si="37"/>
        <v>0</v>
      </c>
      <c r="BN15" s="61">
        <f t="shared" si="38"/>
        <v>0</v>
      </c>
      <c r="BO15" s="61">
        <f t="shared" si="39"/>
        <v>0</v>
      </c>
      <c r="BP15" s="61">
        <f t="shared" si="40"/>
        <v>0</v>
      </c>
      <c r="BQ15" s="61">
        <f t="shared" si="41"/>
        <v>0</v>
      </c>
      <c r="BR15" s="61">
        <f t="shared" si="42"/>
        <v>0</v>
      </c>
      <c r="BS15" s="61">
        <f t="shared" si="43"/>
        <v>0</v>
      </c>
      <c r="BT15" s="61">
        <f t="shared" si="44"/>
        <v>0</v>
      </c>
      <c r="BU15" s="61">
        <f t="shared" si="45"/>
        <v>0</v>
      </c>
      <c r="BV15" s="61">
        <f t="shared" si="46"/>
        <v>0</v>
      </c>
      <c r="BW15" s="61">
        <f t="shared" si="47"/>
        <v>0</v>
      </c>
      <c r="BX15" s="61">
        <f t="shared" si="48"/>
        <v>0</v>
      </c>
      <c r="BY15" s="61">
        <f t="shared" si="49"/>
        <v>0</v>
      </c>
      <c r="BZ15" s="61">
        <f t="shared" si="50"/>
        <v>0</v>
      </c>
      <c r="CA15" s="61">
        <f t="shared" si="51"/>
        <v>0</v>
      </c>
      <c r="CB15" s="61">
        <f t="shared" si="52"/>
        <v>0</v>
      </c>
      <c r="CD15" s="200">
        <f>(SUMIF(Fonctionnement[Affectation matrice],$AB$3,Fonctionnement[TVA acquittée])+SUMIF(Invest[Affectation matrice],$AB$3,Invest[TVA acquittée]))*BC15</f>
        <v>0</v>
      </c>
      <c r="CE15" s="200">
        <f>(SUMIF(Fonctionnement[Affectation matrice],$AB$3,Fonctionnement[TVA acquittée])+SUMIF(Invest[Affectation matrice],$AB$3,Invest[TVA acquittée]))*BD15</f>
        <v>0</v>
      </c>
      <c r="CF15" s="200">
        <f>(SUMIF(Fonctionnement[Affectation matrice],$AB$3,Fonctionnement[TVA acquittée])+SUMIF(Invest[Affectation matrice],$AB$3,Invest[TVA acquittée]))*BE15</f>
        <v>0</v>
      </c>
      <c r="CG15" s="200">
        <f>(SUMIF(Fonctionnement[Affectation matrice],$AB$3,Fonctionnement[TVA acquittée])+SUMIF(Invest[Affectation matrice],$AB$3,Invest[TVA acquittée]))*BF15</f>
        <v>0</v>
      </c>
      <c r="CH15" s="200">
        <f>(SUMIF(Fonctionnement[Affectation matrice],$AB$3,Fonctionnement[TVA acquittée])+SUMIF(Invest[Affectation matrice],$AB$3,Invest[TVA acquittée]))*BG15</f>
        <v>0</v>
      </c>
      <c r="CI15" s="200">
        <f>(SUMIF(Fonctionnement[Affectation matrice],$AB$3,Fonctionnement[TVA acquittée])+SUMIF(Invest[Affectation matrice],$AB$3,Invest[TVA acquittée]))*BH15</f>
        <v>0</v>
      </c>
      <c r="CJ15" s="200">
        <f>(SUMIF(Fonctionnement[Affectation matrice],$AB$3,Fonctionnement[TVA acquittée])+SUMIF(Invest[Affectation matrice],$AB$3,Invest[TVA acquittée]))*BI15</f>
        <v>0</v>
      </c>
      <c r="CK15" s="200">
        <f>(SUMIF(Fonctionnement[Affectation matrice],$AB$3,Fonctionnement[TVA acquittée])+SUMIF(Invest[Affectation matrice],$AB$3,Invest[TVA acquittée]))*BJ15</f>
        <v>0</v>
      </c>
      <c r="CL15" s="200">
        <f>(SUMIF(Fonctionnement[Affectation matrice],$AB$3,Fonctionnement[TVA acquittée])+SUMIF(Invest[Affectation matrice],$AB$3,Invest[TVA acquittée]))*BK15</f>
        <v>0</v>
      </c>
      <c r="CM15" s="200">
        <f>(SUMIF(Fonctionnement[Affectation matrice],$AB$3,Fonctionnement[TVA acquittée])+SUMIF(Invest[Affectation matrice],$AB$3,Invest[TVA acquittée]))*BL15</f>
        <v>0</v>
      </c>
      <c r="CN15" s="200">
        <f>(SUMIF(Fonctionnement[Affectation matrice],$AB$3,Fonctionnement[TVA acquittée])+SUMIF(Invest[Affectation matrice],$AB$3,Invest[TVA acquittée]))*BM15</f>
        <v>0</v>
      </c>
      <c r="CO15" s="200">
        <f>(SUMIF(Fonctionnement[Affectation matrice],$AB$3,Fonctionnement[TVA acquittée])+SUMIF(Invest[Affectation matrice],$AB$3,Invest[TVA acquittée]))*BN15</f>
        <v>0</v>
      </c>
      <c r="CP15" s="200">
        <f>(SUMIF(Fonctionnement[Affectation matrice],$AB$3,Fonctionnement[TVA acquittée])+SUMIF(Invest[Affectation matrice],$AB$3,Invest[TVA acquittée]))*BO15</f>
        <v>0</v>
      </c>
      <c r="CQ15" s="200">
        <f>(SUMIF(Fonctionnement[Affectation matrice],$AB$3,Fonctionnement[TVA acquittée])+SUMIF(Invest[Affectation matrice],$AB$3,Invest[TVA acquittée]))*BP15</f>
        <v>0</v>
      </c>
      <c r="CR15" s="200">
        <f>(SUMIF(Fonctionnement[Affectation matrice],$AB$3,Fonctionnement[TVA acquittée])+SUMIF(Invest[Affectation matrice],$AB$3,Invest[TVA acquittée]))*BQ15</f>
        <v>0</v>
      </c>
      <c r="CS15" s="200">
        <f>(SUMIF(Fonctionnement[Affectation matrice],$AB$3,Fonctionnement[TVA acquittée])+SUMIF(Invest[Affectation matrice],$AB$3,Invest[TVA acquittée]))*BR15</f>
        <v>0</v>
      </c>
      <c r="CT15" s="200">
        <f>(SUMIF(Fonctionnement[Affectation matrice],$AB$3,Fonctionnement[TVA acquittée])+SUMIF(Invest[Affectation matrice],$AB$3,Invest[TVA acquittée]))*BS15</f>
        <v>0</v>
      </c>
      <c r="CU15" s="200">
        <f>(SUMIF(Fonctionnement[Affectation matrice],$AB$3,Fonctionnement[TVA acquittée])+SUMIF(Invest[Affectation matrice],$AB$3,Invest[TVA acquittée]))*BT15</f>
        <v>0</v>
      </c>
      <c r="CV15" s="200">
        <f>(SUMIF(Fonctionnement[Affectation matrice],$AB$3,Fonctionnement[TVA acquittée])+SUMIF(Invest[Affectation matrice],$AB$3,Invest[TVA acquittée]))*BU15</f>
        <v>0</v>
      </c>
      <c r="CW15" s="200">
        <f>(SUMIF(Fonctionnement[Affectation matrice],$AB$3,Fonctionnement[TVA acquittée])+SUMIF(Invest[Affectation matrice],$AB$3,Invest[TVA acquittée]))*BV15</f>
        <v>0</v>
      </c>
      <c r="CX15" s="200">
        <f>(SUMIF(Fonctionnement[Affectation matrice],$AB$3,Fonctionnement[TVA acquittée])+SUMIF(Invest[Affectation matrice],$AB$3,Invest[TVA acquittée]))*BW15</f>
        <v>0</v>
      </c>
      <c r="CY15" s="200">
        <f>(SUMIF(Fonctionnement[Affectation matrice],$AB$3,Fonctionnement[TVA acquittée])+SUMIF(Invest[Affectation matrice],$AB$3,Invest[TVA acquittée]))*BX15</f>
        <v>0</v>
      </c>
      <c r="CZ15" s="200">
        <f>(SUMIF(Fonctionnement[Affectation matrice],$AB$3,Fonctionnement[TVA acquittée])+SUMIF(Invest[Affectation matrice],$AB$3,Invest[TVA acquittée]))*BY15</f>
        <v>0</v>
      </c>
      <c r="DA15" s="200">
        <f>(SUMIF(Fonctionnement[Affectation matrice],$AB$3,Fonctionnement[TVA acquittée])+SUMIF(Invest[Affectation matrice],$AB$3,Invest[TVA acquittée]))*BZ15</f>
        <v>0</v>
      </c>
      <c r="DB15" s="200">
        <f>(SUMIF(Fonctionnement[Affectation matrice],$AB$3,Fonctionnement[TVA acquittée])+SUMIF(Invest[Affectation matrice],$AB$3,Invest[TVA acquittée]))*CA15</f>
        <v>0</v>
      </c>
    </row>
    <row r="16" spans="1:106" s="22" customFormat="1" ht="12.75" hidden="1" customHeight="1" x14ac:dyDescent="0.25">
      <c r="A16" s="42">
        <f>Matrice[[#This Row],[Ligne de la matrice]]</f>
        <v>0</v>
      </c>
      <c r="B16" s="276">
        <f>(SUMIF(Fonctionnement[Affectation matrice],$AB$3,Fonctionnement[Montant (€HT)])+SUMIF(Invest[Affectation matrice],$AB$3,Invest[Amortissement HT + intérêts]))*BC16</f>
        <v>0</v>
      </c>
      <c r="C16" s="276">
        <f>(SUMIF(Fonctionnement[Affectation matrice],$AB$3,Fonctionnement[Montant (€HT)])+SUMIF(Invest[Affectation matrice],$AB$3,Invest[Amortissement HT + intérêts]))*BD16</f>
        <v>0</v>
      </c>
      <c r="D16" s="276">
        <f>(SUMIF(Fonctionnement[Affectation matrice],$AB$3,Fonctionnement[Montant (€HT)])+SUMIF(Invest[Affectation matrice],$AB$3,Invest[Amortissement HT + intérêts]))*BE16</f>
        <v>0</v>
      </c>
      <c r="E16" s="276">
        <f>(SUMIF(Fonctionnement[Affectation matrice],$AB$3,Fonctionnement[Montant (€HT)])+SUMIF(Invest[Affectation matrice],$AB$3,Invest[Amortissement HT + intérêts]))*BF16</f>
        <v>0</v>
      </c>
      <c r="F16" s="276">
        <f>(SUMIF(Fonctionnement[Affectation matrice],$AB$3,Fonctionnement[Montant (€HT)])+SUMIF(Invest[Affectation matrice],$AB$3,Invest[Amortissement HT + intérêts]))*BG16</f>
        <v>0</v>
      </c>
      <c r="G16" s="276">
        <f>(SUMIF(Fonctionnement[Affectation matrice],$AB$3,Fonctionnement[Montant (€HT)])+SUMIF(Invest[Affectation matrice],$AB$3,Invest[Amortissement HT + intérêts]))*BH16</f>
        <v>0</v>
      </c>
      <c r="H16" s="276">
        <f>(SUMIF(Fonctionnement[Affectation matrice],$AB$3,Fonctionnement[Montant (€HT)])+SUMIF(Invest[Affectation matrice],$AB$3,Invest[Amortissement HT + intérêts]))*BI16</f>
        <v>0</v>
      </c>
      <c r="I16" s="276">
        <f>(SUMIF(Fonctionnement[Affectation matrice],$AB$3,Fonctionnement[Montant (€HT)])+SUMIF(Invest[Affectation matrice],$AB$3,Invest[Amortissement HT + intérêts]))*BJ16</f>
        <v>0</v>
      </c>
      <c r="J16" s="276">
        <f>(SUMIF(Fonctionnement[Affectation matrice],$AB$3,Fonctionnement[Montant (€HT)])+SUMIF(Invest[Affectation matrice],$AB$3,Invest[Amortissement HT + intérêts]))*BK16</f>
        <v>0</v>
      </c>
      <c r="K16" s="276">
        <f>(SUMIF(Fonctionnement[Affectation matrice],$AB$3,Fonctionnement[Montant (€HT)])+SUMIF(Invest[Affectation matrice],$AB$3,Invest[Amortissement HT + intérêts]))*BL16</f>
        <v>0</v>
      </c>
      <c r="L16" s="276">
        <f>(SUMIF(Fonctionnement[Affectation matrice],$AB$3,Fonctionnement[Montant (€HT)])+SUMIF(Invest[Affectation matrice],$AB$3,Invest[Amortissement HT + intérêts]))*BM16</f>
        <v>0</v>
      </c>
      <c r="M16" s="276">
        <f>(SUMIF(Fonctionnement[Affectation matrice],$AB$3,Fonctionnement[Montant (€HT)])+SUMIF(Invest[Affectation matrice],$AB$3,Invest[Amortissement HT + intérêts]))*BN16</f>
        <v>0</v>
      </c>
      <c r="N16" s="276">
        <f>(SUMIF(Fonctionnement[Affectation matrice],$AB$3,Fonctionnement[Montant (€HT)])+SUMIF(Invest[Affectation matrice],$AB$3,Invest[Amortissement HT + intérêts]))*BO16</f>
        <v>0</v>
      </c>
      <c r="O16" s="276">
        <f>(SUMIF(Fonctionnement[Affectation matrice],$AB$3,Fonctionnement[Montant (€HT)])+SUMIF(Invest[Affectation matrice],$AB$3,Invest[Amortissement HT + intérêts]))*BP16</f>
        <v>0</v>
      </c>
      <c r="P16" s="276">
        <f>(SUMIF(Fonctionnement[Affectation matrice],$AB$3,Fonctionnement[Montant (€HT)])+SUMIF(Invest[Affectation matrice],$AB$3,Invest[Amortissement HT + intérêts]))*BQ16</f>
        <v>0</v>
      </c>
      <c r="Q16" s="276">
        <f>(SUMIF(Fonctionnement[Affectation matrice],$AB$3,Fonctionnement[Montant (€HT)])+SUMIF(Invest[Affectation matrice],$AB$3,Invest[Amortissement HT + intérêts]))*BR16</f>
        <v>0</v>
      </c>
      <c r="R16" s="276">
        <f>(SUMIF(Fonctionnement[Affectation matrice],$AB$3,Fonctionnement[Montant (€HT)])+SUMIF(Invest[Affectation matrice],$AB$3,Invest[Amortissement HT + intérêts]))*BS16</f>
        <v>0</v>
      </c>
      <c r="S16" s="276">
        <f>(SUMIF(Fonctionnement[Affectation matrice],$AB$3,Fonctionnement[Montant (€HT)])+SUMIF(Invest[Affectation matrice],$AB$3,Invest[Amortissement HT + intérêts]))*BT16</f>
        <v>0</v>
      </c>
      <c r="T16" s="276">
        <f>(SUMIF(Fonctionnement[Affectation matrice],$AB$3,Fonctionnement[Montant (€HT)])+SUMIF(Invest[Affectation matrice],$AB$3,Invest[Amortissement HT + intérêts]))*BU16</f>
        <v>0</v>
      </c>
      <c r="U16" s="276">
        <f>(SUMIF(Fonctionnement[Affectation matrice],$AB$3,Fonctionnement[Montant (€HT)])+SUMIF(Invest[Affectation matrice],$AB$3,Invest[Amortissement HT + intérêts]))*BV16</f>
        <v>0</v>
      </c>
      <c r="V16" s="276">
        <f>(SUMIF(Fonctionnement[Affectation matrice],$AB$3,Fonctionnement[Montant (€HT)])+SUMIF(Invest[Affectation matrice],$AB$3,Invest[Amortissement HT + intérêts]))*BW16</f>
        <v>0</v>
      </c>
      <c r="W16" s="276">
        <f>(SUMIF(Fonctionnement[Affectation matrice],$AB$3,Fonctionnement[Montant (€HT)])+SUMIF(Invest[Affectation matrice],$AB$3,Invest[Amortissement HT + intérêts]))*BX16</f>
        <v>0</v>
      </c>
      <c r="X16" s="276">
        <f>(SUMIF(Fonctionnement[Affectation matrice],$AB$3,Fonctionnement[Montant (€HT)])+SUMIF(Invest[Affectation matrice],$AB$3,Invest[Amortissement HT + intérêts]))*BY16</f>
        <v>0</v>
      </c>
      <c r="Y16" s="276">
        <f>(SUMIF(Fonctionnement[Affectation matrice],$AB$3,Fonctionnement[Montant (€HT)])+SUMIF(Invest[Affectation matrice],$AB$3,Invest[Amortissement HT + intérêts]))*BZ16</f>
        <v>0</v>
      </c>
      <c r="Z16" s="276">
        <f>(SUMIF(Fonctionnement[Affectation matrice],$AB$3,Fonctionnement[Montant (€HT)])+SUMIF(Invest[Affectation matrice],$AB$3,Invest[Amortissement HT + intérêts]))*CA16</f>
        <v>0</v>
      </c>
      <c r="AA16" s="199"/>
      <c r="AB16" s="302" t="str">
        <f t="shared" si="53"/>
        <v/>
      </c>
      <c r="AC16" s="302" t="str">
        <f t="shared" si="53"/>
        <v/>
      </c>
      <c r="AD16" s="302" t="str">
        <f t="shared" si="53"/>
        <v/>
      </c>
      <c r="AE16" s="302" t="str">
        <f t="shared" si="53"/>
        <v/>
      </c>
      <c r="AF16" s="302" t="str">
        <f t="shared" si="53"/>
        <v/>
      </c>
      <c r="AG16" s="302" t="str">
        <f t="shared" si="53"/>
        <v/>
      </c>
      <c r="AH16" s="302" t="str">
        <f t="shared" si="53"/>
        <v/>
      </c>
      <c r="AI16" s="302" t="str">
        <f t="shared" si="53"/>
        <v/>
      </c>
      <c r="AJ16" s="302" t="str">
        <f t="shared" si="53"/>
        <v/>
      </c>
      <c r="AK16" s="302" t="str">
        <f t="shared" si="53"/>
        <v/>
      </c>
      <c r="AL16" s="302" t="str">
        <f t="shared" si="54"/>
        <v/>
      </c>
      <c r="AM16" s="302" t="str">
        <f t="shared" si="54"/>
        <v/>
      </c>
      <c r="AN16" s="302" t="str">
        <f t="shared" si="54"/>
        <v/>
      </c>
      <c r="AO16" s="302" t="str">
        <f t="shared" si="54"/>
        <v/>
      </c>
      <c r="AP16" s="302" t="str">
        <f t="shared" si="54"/>
        <v/>
      </c>
      <c r="AQ16" s="302" t="str">
        <f t="shared" si="54"/>
        <v/>
      </c>
      <c r="AR16" s="302" t="str">
        <f t="shared" si="54"/>
        <v/>
      </c>
      <c r="AS16" s="302" t="str">
        <f t="shared" si="54"/>
        <v/>
      </c>
      <c r="AT16" s="302" t="str">
        <f t="shared" si="54"/>
        <v/>
      </c>
      <c r="AU16" s="302" t="str">
        <f t="shared" si="54"/>
        <v/>
      </c>
      <c r="AV16" s="302" t="str">
        <f t="shared" si="54"/>
        <v/>
      </c>
      <c r="AW16" s="302" t="str">
        <f t="shared" si="54"/>
        <v/>
      </c>
      <c r="AX16" s="302" t="str">
        <f t="shared" si="54"/>
        <v/>
      </c>
      <c r="AY16" s="302" t="str">
        <f t="shared" si="54"/>
        <v/>
      </c>
      <c r="AZ16" s="302" t="str">
        <f t="shared" si="54"/>
        <v/>
      </c>
      <c r="BA16" s="283" t="str">
        <f t="shared" si="26"/>
        <v/>
      </c>
      <c r="BB16" s="7"/>
      <c r="BC16" s="61">
        <f t="shared" si="27"/>
        <v>0</v>
      </c>
      <c r="BD16" s="61">
        <f t="shared" si="28"/>
        <v>0</v>
      </c>
      <c r="BE16" s="61">
        <f t="shared" si="29"/>
        <v>0</v>
      </c>
      <c r="BF16" s="61">
        <f t="shared" si="30"/>
        <v>0</v>
      </c>
      <c r="BG16" s="61">
        <f t="shared" si="31"/>
        <v>0</v>
      </c>
      <c r="BH16" s="61">
        <f t="shared" si="32"/>
        <v>0</v>
      </c>
      <c r="BI16" s="61">
        <f t="shared" si="33"/>
        <v>0</v>
      </c>
      <c r="BJ16" s="61">
        <f t="shared" si="34"/>
        <v>0</v>
      </c>
      <c r="BK16" s="61">
        <f t="shared" si="35"/>
        <v>0</v>
      </c>
      <c r="BL16" s="61">
        <f t="shared" si="36"/>
        <v>0</v>
      </c>
      <c r="BM16" s="61">
        <f t="shared" si="37"/>
        <v>0</v>
      </c>
      <c r="BN16" s="61">
        <f t="shared" si="38"/>
        <v>0</v>
      </c>
      <c r="BO16" s="61">
        <f t="shared" si="39"/>
        <v>0</v>
      </c>
      <c r="BP16" s="61">
        <f t="shared" si="40"/>
        <v>0</v>
      </c>
      <c r="BQ16" s="61">
        <f t="shared" si="41"/>
        <v>0</v>
      </c>
      <c r="BR16" s="61">
        <f t="shared" si="42"/>
        <v>0</v>
      </c>
      <c r="BS16" s="61">
        <f t="shared" si="43"/>
        <v>0</v>
      </c>
      <c r="BT16" s="61">
        <f t="shared" si="44"/>
        <v>0</v>
      </c>
      <c r="BU16" s="61">
        <f t="shared" si="45"/>
        <v>0</v>
      </c>
      <c r="BV16" s="61">
        <f t="shared" si="46"/>
        <v>0</v>
      </c>
      <c r="BW16" s="61">
        <f t="shared" si="47"/>
        <v>0</v>
      </c>
      <c r="BX16" s="61">
        <f t="shared" si="48"/>
        <v>0</v>
      </c>
      <c r="BY16" s="61">
        <f t="shared" si="49"/>
        <v>0</v>
      </c>
      <c r="BZ16" s="61">
        <f t="shared" si="50"/>
        <v>0</v>
      </c>
      <c r="CA16" s="61">
        <f t="shared" si="51"/>
        <v>0</v>
      </c>
      <c r="CB16" s="61">
        <f t="shared" si="52"/>
        <v>0</v>
      </c>
      <c r="CD16" s="200">
        <f>(SUMIF(Fonctionnement[Affectation matrice],$AB$3,Fonctionnement[TVA acquittée])+SUMIF(Invest[Affectation matrice],$AB$3,Invest[TVA acquittée]))*BC16</f>
        <v>0</v>
      </c>
      <c r="CE16" s="200">
        <f>(SUMIF(Fonctionnement[Affectation matrice],$AB$3,Fonctionnement[TVA acquittée])+SUMIF(Invest[Affectation matrice],$AB$3,Invest[TVA acquittée]))*BD16</f>
        <v>0</v>
      </c>
      <c r="CF16" s="200">
        <f>(SUMIF(Fonctionnement[Affectation matrice],$AB$3,Fonctionnement[TVA acquittée])+SUMIF(Invest[Affectation matrice],$AB$3,Invest[TVA acquittée]))*BE16</f>
        <v>0</v>
      </c>
      <c r="CG16" s="200">
        <f>(SUMIF(Fonctionnement[Affectation matrice],$AB$3,Fonctionnement[TVA acquittée])+SUMIF(Invest[Affectation matrice],$AB$3,Invest[TVA acquittée]))*BF16</f>
        <v>0</v>
      </c>
      <c r="CH16" s="200">
        <f>(SUMIF(Fonctionnement[Affectation matrice],$AB$3,Fonctionnement[TVA acquittée])+SUMIF(Invest[Affectation matrice],$AB$3,Invest[TVA acquittée]))*BG16</f>
        <v>0</v>
      </c>
      <c r="CI16" s="200">
        <f>(SUMIF(Fonctionnement[Affectation matrice],$AB$3,Fonctionnement[TVA acquittée])+SUMIF(Invest[Affectation matrice],$AB$3,Invest[TVA acquittée]))*BH16</f>
        <v>0</v>
      </c>
      <c r="CJ16" s="200">
        <f>(SUMIF(Fonctionnement[Affectation matrice],$AB$3,Fonctionnement[TVA acquittée])+SUMIF(Invest[Affectation matrice],$AB$3,Invest[TVA acquittée]))*BI16</f>
        <v>0</v>
      </c>
      <c r="CK16" s="200">
        <f>(SUMIF(Fonctionnement[Affectation matrice],$AB$3,Fonctionnement[TVA acquittée])+SUMIF(Invest[Affectation matrice],$AB$3,Invest[TVA acquittée]))*BJ16</f>
        <v>0</v>
      </c>
      <c r="CL16" s="200">
        <f>(SUMIF(Fonctionnement[Affectation matrice],$AB$3,Fonctionnement[TVA acquittée])+SUMIF(Invest[Affectation matrice],$AB$3,Invest[TVA acquittée]))*BK16</f>
        <v>0</v>
      </c>
      <c r="CM16" s="200">
        <f>(SUMIF(Fonctionnement[Affectation matrice],$AB$3,Fonctionnement[TVA acquittée])+SUMIF(Invest[Affectation matrice],$AB$3,Invest[TVA acquittée]))*BL16</f>
        <v>0</v>
      </c>
      <c r="CN16" s="200">
        <f>(SUMIF(Fonctionnement[Affectation matrice],$AB$3,Fonctionnement[TVA acquittée])+SUMIF(Invest[Affectation matrice],$AB$3,Invest[TVA acquittée]))*BM16</f>
        <v>0</v>
      </c>
      <c r="CO16" s="200">
        <f>(SUMIF(Fonctionnement[Affectation matrice],$AB$3,Fonctionnement[TVA acquittée])+SUMIF(Invest[Affectation matrice],$AB$3,Invest[TVA acquittée]))*BN16</f>
        <v>0</v>
      </c>
      <c r="CP16" s="200">
        <f>(SUMIF(Fonctionnement[Affectation matrice],$AB$3,Fonctionnement[TVA acquittée])+SUMIF(Invest[Affectation matrice],$AB$3,Invest[TVA acquittée]))*BO16</f>
        <v>0</v>
      </c>
      <c r="CQ16" s="200">
        <f>(SUMIF(Fonctionnement[Affectation matrice],$AB$3,Fonctionnement[TVA acquittée])+SUMIF(Invest[Affectation matrice],$AB$3,Invest[TVA acquittée]))*BP16</f>
        <v>0</v>
      </c>
      <c r="CR16" s="200">
        <f>(SUMIF(Fonctionnement[Affectation matrice],$AB$3,Fonctionnement[TVA acquittée])+SUMIF(Invest[Affectation matrice],$AB$3,Invest[TVA acquittée]))*BQ16</f>
        <v>0</v>
      </c>
      <c r="CS16" s="200">
        <f>(SUMIF(Fonctionnement[Affectation matrice],$AB$3,Fonctionnement[TVA acquittée])+SUMIF(Invest[Affectation matrice],$AB$3,Invest[TVA acquittée]))*BR16</f>
        <v>0</v>
      </c>
      <c r="CT16" s="200">
        <f>(SUMIF(Fonctionnement[Affectation matrice],$AB$3,Fonctionnement[TVA acquittée])+SUMIF(Invest[Affectation matrice],$AB$3,Invest[TVA acquittée]))*BS16</f>
        <v>0</v>
      </c>
      <c r="CU16" s="200">
        <f>(SUMIF(Fonctionnement[Affectation matrice],$AB$3,Fonctionnement[TVA acquittée])+SUMIF(Invest[Affectation matrice],$AB$3,Invest[TVA acquittée]))*BT16</f>
        <v>0</v>
      </c>
      <c r="CV16" s="200">
        <f>(SUMIF(Fonctionnement[Affectation matrice],$AB$3,Fonctionnement[TVA acquittée])+SUMIF(Invest[Affectation matrice],$AB$3,Invest[TVA acquittée]))*BU16</f>
        <v>0</v>
      </c>
      <c r="CW16" s="200">
        <f>(SUMIF(Fonctionnement[Affectation matrice],$AB$3,Fonctionnement[TVA acquittée])+SUMIF(Invest[Affectation matrice],$AB$3,Invest[TVA acquittée]))*BV16</f>
        <v>0</v>
      </c>
      <c r="CX16" s="200">
        <f>(SUMIF(Fonctionnement[Affectation matrice],$AB$3,Fonctionnement[TVA acquittée])+SUMIF(Invest[Affectation matrice],$AB$3,Invest[TVA acquittée]))*BW16</f>
        <v>0</v>
      </c>
      <c r="CY16" s="200">
        <f>(SUMIF(Fonctionnement[Affectation matrice],$AB$3,Fonctionnement[TVA acquittée])+SUMIF(Invest[Affectation matrice],$AB$3,Invest[TVA acquittée]))*BX16</f>
        <v>0</v>
      </c>
      <c r="CZ16" s="200">
        <f>(SUMIF(Fonctionnement[Affectation matrice],$AB$3,Fonctionnement[TVA acquittée])+SUMIF(Invest[Affectation matrice],$AB$3,Invest[TVA acquittée]))*BY16</f>
        <v>0</v>
      </c>
      <c r="DA16" s="200">
        <f>(SUMIF(Fonctionnement[Affectation matrice],$AB$3,Fonctionnement[TVA acquittée])+SUMIF(Invest[Affectation matrice],$AB$3,Invest[TVA acquittée]))*BZ16</f>
        <v>0</v>
      </c>
      <c r="DB16" s="200">
        <f>(SUMIF(Fonctionnement[Affectation matrice],$AB$3,Fonctionnement[TVA acquittée])+SUMIF(Invest[Affectation matrice],$AB$3,Invest[TVA acquittée]))*CA16</f>
        <v>0</v>
      </c>
    </row>
    <row r="17" spans="1:106" ht="12.75" hidden="1" customHeight="1" x14ac:dyDescent="0.25">
      <c r="A17" s="42">
        <f>Matrice[[#This Row],[Ligne de la matrice]]</f>
        <v>0</v>
      </c>
      <c r="B17" s="276">
        <f>(SUMIF(Fonctionnement[Affectation matrice],$AB$3,Fonctionnement[Montant (€HT)])+SUMIF(Invest[Affectation matrice],$AB$3,Invest[Amortissement HT + intérêts]))*BC17</f>
        <v>0</v>
      </c>
      <c r="C17" s="276">
        <f>(SUMIF(Fonctionnement[Affectation matrice],$AB$3,Fonctionnement[Montant (€HT)])+SUMIF(Invest[Affectation matrice],$AB$3,Invest[Amortissement HT + intérêts]))*BD17</f>
        <v>0</v>
      </c>
      <c r="D17" s="276">
        <f>(SUMIF(Fonctionnement[Affectation matrice],$AB$3,Fonctionnement[Montant (€HT)])+SUMIF(Invest[Affectation matrice],$AB$3,Invest[Amortissement HT + intérêts]))*BE17</f>
        <v>0</v>
      </c>
      <c r="E17" s="276">
        <f>(SUMIF(Fonctionnement[Affectation matrice],$AB$3,Fonctionnement[Montant (€HT)])+SUMIF(Invest[Affectation matrice],$AB$3,Invest[Amortissement HT + intérêts]))*BF17</f>
        <v>0</v>
      </c>
      <c r="F17" s="276">
        <f>(SUMIF(Fonctionnement[Affectation matrice],$AB$3,Fonctionnement[Montant (€HT)])+SUMIF(Invest[Affectation matrice],$AB$3,Invest[Amortissement HT + intérêts]))*BG17</f>
        <v>0</v>
      </c>
      <c r="G17" s="276">
        <f>(SUMIF(Fonctionnement[Affectation matrice],$AB$3,Fonctionnement[Montant (€HT)])+SUMIF(Invest[Affectation matrice],$AB$3,Invest[Amortissement HT + intérêts]))*BH17</f>
        <v>0</v>
      </c>
      <c r="H17" s="276">
        <f>(SUMIF(Fonctionnement[Affectation matrice],$AB$3,Fonctionnement[Montant (€HT)])+SUMIF(Invest[Affectation matrice],$AB$3,Invest[Amortissement HT + intérêts]))*BI17</f>
        <v>0</v>
      </c>
      <c r="I17" s="276">
        <f>(SUMIF(Fonctionnement[Affectation matrice],$AB$3,Fonctionnement[Montant (€HT)])+SUMIF(Invest[Affectation matrice],$AB$3,Invest[Amortissement HT + intérêts]))*BJ17</f>
        <v>0</v>
      </c>
      <c r="J17" s="276">
        <f>(SUMIF(Fonctionnement[Affectation matrice],$AB$3,Fonctionnement[Montant (€HT)])+SUMIF(Invest[Affectation matrice],$AB$3,Invest[Amortissement HT + intérêts]))*BK17</f>
        <v>0</v>
      </c>
      <c r="K17" s="276">
        <f>(SUMIF(Fonctionnement[Affectation matrice],$AB$3,Fonctionnement[Montant (€HT)])+SUMIF(Invest[Affectation matrice],$AB$3,Invest[Amortissement HT + intérêts]))*BL17</f>
        <v>0</v>
      </c>
      <c r="L17" s="276">
        <f>(SUMIF(Fonctionnement[Affectation matrice],$AB$3,Fonctionnement[Montant (€HT)])+SUMIF(Invest[Affectation matrice],$AB$3,Invest[Amortissement HT + intérêts]))*BM17</f>
        <v>0</v>
      </c>
      <c r="M17" s="276">
        <f>(SUMIF(Fonctionnement[Affectation matrice],$AB$3,Fonctionnement[Montant (€HT)])+SUMIF(Invest[Affectation matrice],$AB$3,Invest[Amortissement HT + intérêts]))*BN17</f>
        <v>0</v>
      </c>
      <c r="N17" s="276">
        <f>(SUMIF(Fonctionnement[Affectation matrice],$AB$3,Fonctionnement[Montant (€HT)])+SUMIF(Invest[Affectation matrice],$AB$3,Invest[Amortissement HT + intérêts]))*BO17</f>
        <v>0</v>
      </c>
      <c r="O17" s="276">
        <f>(SUMIF(Fonctionnement[Affectation matrice],$AB$3,Fonctionnement[Montant (€HT)])+SUMIF(Invest[Affectation matrice],$AB$3,Invest[Amortissement HT + intérêts]))*BP17</f>
        <v>0</v>
      </c>
      <c r="P17" s="276">
        <f>(SUMIF(Fonctionnement[Affectation matrice],$AB$3,Fonctionnement[Montant (€HT)])+SUMIF(Invest[Affectation matrice],$AB$3,Invest[Amortissement HT + intérêts]))*BQ17</f>
        <v>0</v>
      </c>
      <c r="Q17" s="276">
        <f>(SUMIF(Fonctionnement[Affectation matrice],$AB$3,Fonctionnement[Montant (€HT)])+SUMIF(Invest[Affectation matrice],$AB$3,Invest[Amortissement HT + intérêts]))*BR17</f>
        <v>0</v>
      </c>
      <c r="R17" s="276">
        <f>(SUMIF(Fonctionnement[Affectation matrice],$AB$3,Fonctionnement[Montant (€HT)])+SUMIF(Invest[Affectation matrice],$AB$3,Invest[Amortissement HT + intérêts]))*BS17</f>
        <v>0</v>
      </c>
      <c r="S17" s="276">
        <f>(SUMIF(Fonctionnement[Affectation matrice],$AB$3,Fonctionnement[Montant (€HT)])+SUMIF(Invest[Affectation matrice],$AB$3,Invest[Amortissement HT + intérêts]))*BT17</f>
        <v>0</v>
      </c>
      <c r="T17" s="276">
        <f>(SUMIF(Fonctionnement[Affectation matrice],$AB$3,Fonctionnement[Montant (€HT)])+SUMIF(Invest[Affectation matrice],$AB$3,Invest[Amortissement HT + intérêts]))*BU17</f>
        <v>0</v>
      </c>
      <c r="U17" s="276">
        <f>(SUMIF(Fonctionnement[Affectation matrice],$AB$3,Fonctionnement[Montant (€HT)])+SUMIF(Invest[Affectation matrice],$AB$3,Invest[Amortissement HT + intérêts]))*BV17</f>
        <v>0</v>
      </c>
      <c r="V17" s="276">
        <f>(SUMIF(Fonctionnement[Affectation matrice],$AB$3,Fonctionnement[Montant (€HT)])+SUMIF(Invest[Affectation matrice],$AB$3,Invest[Amortissement HT + intérêts]))*BW17</f>
        <v>0</v>
      </c>
      <c r="W17" s="276">
        <f>(SUMIF(Fonctionnement[Affectation matrice],$AB$3,Fonctionnement[Montant (€HT)])+SUMIF(Invest[Affectation matrice],$AB$3,Invest[Amortissement HT + intérêts]))*BX17</f>
        <v>0</v>
      </c>
      <c r="X17" s="276">
        <f>(SUMIF(Fonctionnement[Affectation matrice],$AB$3,Fonctionnement[Montant (€HT)])+SUMIF(Invest[Affectation matrice],$AB$3,Invest[Amortissement HT + intérêts]))*BY17</f>
        <v>0</v>
      </c>
      <c r="Y17" s="276">
        <f>(SUMIF(Fonctionnement[Affectation matrice],$AB$3,Fonctionnement[Montant (€HT)])+SUMIF(Invest[Affectation matrice],$AB$3,Invest[Amortissement HT + intérêts]))*BZ17</f>
        <v>0</v>
      </c>
      <c r="Z17" s="276">
        <f>(SUMIF(Fonctionnement[Affectation matrice],$AB$3,Fonctionnement[Montant (€HT)])+SUMIF(Invest[Affectation matrice],$AB$3,Invest[Amortissement HT + intérêts]))*CA17</f>
        <v>0</v>
      </c>
      <c r="AA17" s="199"/>
      <c r="AB17" s="302" t="str">
        <f t="shared" si="53"/>
        <v/>
      </c>
      <c r="AC17" s="302" t="str">
        <f t="shared" si="53"/>
        <v/>
      </c>
      <c r="AD17" s="302" t="str">
        <f t="shared" si="53"/>
        <v/>
      </c>
      <c r="AE17" s="302" t="str">
        <f t="shared" si="53"/>
        <v/>
      </c>
      <c r="AF17" s="302" t="str">
        <f t="shared" si="53"/>
        <v/>
      </c>
      <c r="AG17" s="302" t="str">
        <f t="shared" si="53"/>
        <v/>
      </c>
      <c r="AH17" s="302" t="str">
        <f t="shared" si="53"/>
        <v/>
      </c>
      <c r="AI17" s="302" t="str">
        <f t="shared" si="53"/>
        <v/>
      </c>
      <c r="AJ17" s="302" t="str">
        <f t="shared" si="53"/>
        <v/>
      </c>
      <c r="AK17" s="302" t="str">
        <f t="shared" si="53"/>
        <v/>
      </c>
      <c r="AL17" s="302" t="str">
        <f t="shared" si="54"/>
        <v/>
      </c>
      <c r="AM17" s="302" t="str">
        <f t="shared" si="54"/>
        <v/>
      </c>
      <c r="AN17" s="302" t="str">
        <f t="shared" si="54"/>
        <v/>
      </c>
      <c r="AO17" s="302" t="str">
        <f t="shared" si="54"/>
        <v/>
      </c>
      <c r="AP17" s="302" t="str">
        <f t="shared" si="54"/>
        <v/>
      </c>
      <c r="AQ17" s="302" t="str">
        <f t="shared" si="54"/>
        <v/>
      </c>
      <c r="AR17" s="302" t="str">
        <f t="shared" si="54"/>
        <v/>
      </c>
      <c r="AS17" s="302" t="str">
        <f t="shared" si="54"/>
        <v/>
      </c>
      <c r="AT17" s="302" t="str">
        <f t="shared" si="54"/>
        <v/>
      </c>
      <c r="AU17" s="302" t="str">
        <f t="shared" si="54"/>
        <v/>
      </c>
      <c r="AV17" s="302" t="str">
        <f t="shared" si="54"/>
        <v/>
      </c>
      <c r="AW17" s="302" t="str">
        <f t="shared" si="54"/>
        <v/>
      </c>
      <c r="AX17" s="302" t="str">
        <f t="shared" si="54"/>
        <v/>
      </c>
      <c r="AY17" s="302" t="str">
        <f t="shared" si="54"/>
        <v/>
      </c>
      <c r="AZ17" s="302" t="str">
        <f t="shared" si="54"/>
        <v/>
      </c>
      <c r="BA17" s="283" t="str">
        <f t="shared" si="26"/>
        <v/>
      </c>
      <c r="BC17" s="61">
        <f t="shared" si="27"/>
        <v>0</v>
      </c>
      <c r="BD17" s="61">
        <f t="shared" si="28"/>
        <v>0</v>
      </c>
      <c r="BE17" s="61">
        <f t="shared" si="29"/>
        <v>0</v>
      </c>
      <c r="BF17" s="61">
        <f t="shared" si="30"/>
        <v>0</v>
      </c>
      <c r="BG17" s="61">
        <f t="shared" si="31"/>
        <v>0</v>
      </c>
      <c r="BH17" s="61">
        <f t="shared" si="32"/>
        <v>0</v>
      </c>
      <c r="BI17" s="61">
        <f t="shared" si="33"/>
        <v>0</v>
      </c>
      <c r="BJ17" s="61">
        <f t="shared" si="34"/>
        <v>0</v>
      </c>
      <c r="BK17" s="61">
        <f t="shared" si="35"/>
        <v>0</v>
      </c>
      <c r="BL17" s="61">
        <f t="shared" si="36"/>
        <v>0</v>
      </c>
      <c r="BM17" s="61">
        <f t="shared" si="37"/>
        <v>0</v>
      </c>
      <c r="BN17" s="61">
        <f t="shared" si="38"/>
        <v>0</v>
      </c>
      <c r="BO17" s="61">
        <f t="shared" si="39"/>
        <v>0</v>
      </c>
      <c r="BP17" s="61">
        <f t="shared" si="40"/>
        <v>0</v>
      </c>
      <c r="BQ17" s="61">
        <f t="shared" si="41"/>
        <v>0</v>
      </c>
      <c r="BR17" s="61">
        <f t="shared" si="42"/>
        <v>0</v>
      </c>
      <c r="BS17" s="61">
        <f t="shared" si="43"/>
        <v>0</v>
      </c>
      <c r="BT17" s="61">
        <f t="shared" si="44"/>
        <v>0</v>
      </c>
      <c r="BU17" s="61">
        <f t="shared" si="45"/>
        <v>0</v>
      </c>
      <c r="BV17" s="61">
        <f t="shared" si="46"/>
        <v>0</v>
      </c>
      <c r="BW17" s="61">
        <f t="shared" si="47"/>
        <v>0</v>
      </c>
      <c r="BX17" s="61">
        <f t="shared" si="48"/>
        <v>0</v>
      </c>
      <c r="BY17" s="61">
        <f t="shared" si="49"/>
        <v>0</v>
      </c>
      <c r="BZ17" s="61">
        <f t="shared" si="50"/>
        <v>0</v>
      </c>
      <c r="CA17" s="61">
        <f t="shared" si="51"/>
        <v>0</v>
      </c>
      <c r="CB17" s="61">
        <f t="shared" si="52"/>
        <v>0</v>
      </c>
      <c r="CD17" s="200">
        <f>(SUMIF(Fonctionnement[Affectation matrice],$AB$3,Fonctionnement[TVA acquittée])+SUMIF(Invest[Affectation matrice],$AB$3,Invest[TVA acquittée]))*BC17</f>
        <v>0</v>
      </c>
      <c r="CE17" s="200">
        <f>(SUMIF(Fonctionnement[Affectation matrice],$AB$3,Fonctionnement[TVA acquittée])+SUMIF(Invest[Affectation matrice],$AB$3,Invest[TVA acquittée]))*BD17</f>
        <v>0</v>
      </c>
      <c r="CF17" s="200">
        <f>(SUMIF(Fonctionnement[Affectation matrice],$AB$3,Fonctionnement[TVA acquittée])+SUMIF(Invest[Affectation matrice],$AB$3,Invest[TVA acquittée]))*BE17</f>
        <v>0</v>
      </c>
      <c r="CG17" s="200">
        <f>(SUMIF(Fonctionnement[Affectation matrice],$AB$3,Fonctionnement[TVA acquittée])+SUMIF(Invest[Affectation matrice],$AB$3,Invest[TVA acquittée]))*BF17</f>
        <v>0</v>
      </c>
      <c r="CH17" s="200">
        <f>(SUMIF(Fonctionnement[Affectation matrice],$AB$3,Fonctionnement[TVA acquittée])+SUMIF(Invest[Affectation matrice],$AB$3,Invest[TVA acquittée]))*BG17</f>
        <v>0</v>
      </c>
      <c r="CI17" s="200">
        <f>(SUMIF(Fonctionnement[Affectation matrice],$AB$3,Fonctionnement[TVA acquittée])+SUMIF(Invest[Affectation matrice],$AB$3,Invest[TVA acquittée]))*BH17</f>
        <v>0</v>
      </c>
      <c r="CJ17" s="200">
        <f>(SUMIF(Fonctionnement[Affectation matrice],$AB$3,Fonctionnement[TVA acquittée])+SUMIF(Invest[Affectation matrice],$AB$3,Invest[TVA acquittée]))*BI17</f>
        <v>0</v>
      </c>
      <c r="CK17" s="200">
        <f>(SUMIF(Fonctionnement[Affectation matrice],$AB$3,Fonctionnement[TVA acquittée])+SUMIF(Invest[Affectation matrice],$AB$3,Invest[TVA acquittée]))*BJ17</f>
        <v>0</v>
      </c>
      <c r="CL17" s="200">
        <f>(SUMIF(Fonctionnement[Affectation matrice],$AB$3,Fonctionnement[TVA acquittée])+SUMIF(Invest[Affectation matrice],$AB$3,Invest[TVA acquittée]))*BK17</f>
        <v>0</v>
      </c>
      <c r="CM17" s="200">
        <f>(SUMIF(Fonctionnement[Affectation matrice],$AB$3,Fonctionnement[TVA acquittée])+SUMIF(Invest[Affectation matrice],$AB$3,Invest[TVA acquittée]))*BL17</f>
        <v>0</v>
      </c>
      <c r="CN17" s="200">
        <f>(SUMIF(Fonctionnement[Affectation matrice],$AB$3,Fonctionnement[TVA acquittée])+SUMIF(Invest[Affectation matrice],$AB$3,Invest[TVA acquittée]))*BM17</f>
        <v>0</v>
      </c>
      <c r="CO17" s="200">
        <f>(SUMIF(Fonctionnement[Affectation matrice],$AB$3,Fonctionnement[TVA acquittée])+SUMIF(Invest[Affectation matrice],$AB$3,Invest[TVA acquittée]))*BN17</f>
        <v>0</v>
      </c>
      <c r="CP17" s="200">
        <f>(SUMIF(Fonctionnement[Affectation matrice],$AB$3,Fonctionnement[TVA acquittée])+SUMIF(Invest[Affectation matrice],$AB$3,Invest[TVA acquittée]))*BO17</f>
        <v>0</v>
      </c>
      <c r="CQ17" s="200">
        <f>(SUMIF(Fonctionnement[Affectation matrice],$AB$3,Fonctionnement[TVA acquittée])+SUMIF(Invest[Affectation matrice],$AB$3,Invest[TVA acquittée]))*BP17</f>
        <v>0</v>
      </c>
      <c r="CR17" s="200">
        <f>(SUMIF(Fonctionnement[Affectation matrice],$AB$3,Fonctionnement[TVA acquittée])+SUMIF(Invest[Affectation matrice],$AB$3,Invest[TVA acquittée]))*BQ17</f>
        <v>0</v>
      </c>
      <c r="CS17" s="200">
        <f>(SUMIF(Fonctionnement[Affectation matrice],$AB$3,Fonctionnement[TVA acquittée])+SUMIF(Invest[Affectation matrice],$AB$3,Invest[TVA acquittée]))*BR17</f>
        <v>0</v>
      </c>
      <c r="CT17" s="200">
        <f>(SUMIF(Fonctionnement[Affectation matrice],$AB$3,Fonctionnement[TVA acquittée])+SUMIF(Invest[Affectation matrice],$AB$3,Invest[TVA acquittée]))*BS17</f>
        <v>0</v>
      </c>
      <c r="CU17" s="200">
        <f>(SUMIF(Fonctionnement[Affectation matrice],$AB$3,Fonctionnement[TVA acquittée])+SUMIF(Invest[Affectation matrice],$AB$3,Invest[TVA acquittée]))*BT17</f>
        <v>0</v>
      </c>
      <c r="CV17" s="200">
        <f>(SUMIF(Fonctionnement[Affectation matrice],$AB$3,Fonctionnement[TVA acquittée])+SUMIF(Invest[Affectation matrice],$AB$3,Invest[TVA acquittée]))*BU17</f>
        <v>0</v>
      </c>
      <c r="CW17" s="200">
        <f>(SUMIF(Fonctionnement[Affectation matrice],$AB$3,Fonctionnement[TVA acquittée])+SUMIF(Invest[Affectation matrice],$AB$3,Invest[TVA acquittée]))*BV17</f>
        <v>0</v>
      </c>
      <c r="CX17" s="200">
        <f>(SUMIF(Fonctionnement[Affectation matrice],$AB$3,Fonctionnement[TVA acquittée])+SUMIF(Invest[Affectation matrice],$AB$3,Invest[TVA acquittée]))*BW17</f>
        <v>0</v>
      </c>
      <c r="CY17" s="200">
        <f>(SUMIF(Fonctionnement[Affectation matrice],$AB$3,Fonctionnement[TVA acquittée])+SUMIF(Invest[Affectation matrice],$AB$3,Invest[TVA acquittée]))*BX17</f>
        <v>0</v>
      </c>
      <c r="CZ17" s="200">
        <f>(SUMIF(Fonctionnement[Affectation matrice],$AB$3,Fonctionnement[TVA acquittée])+SUMIF(Invest[Affectation matrice],$AB$3,Invest[TVA acquittée]))*BY17</f>
        <v>0</v>
      </c>
      <c r="DA17" s="200">
        <f>(SUMIF(Fonctionnement[Affectation matrice],$AB$3,Fonctionnement[TVA acquittée])+SUMIF(Invest[Affectation matrice],$AB$3,Invest[TVA acquittée]))*BZ17</f>
        <v>0</v>
      </c>
      <c r="DB17" s="200">
        <f>(SUMIF(Fonctionnement[Affectation matrice],$AB$3,Fonctionnement[TVA acquittée])+SUMIF(Invest[Affectation matrice],$AB$3,Invest[TVA acquittée]))*CA17</f>
        <v>0</v>
      </c>
    </row>
    <row r="18" spans="1:106" ht="12.75" hidden="1" customHeight="1" x14ac:dyDescent="0.25">
      <c r="A18" s="42">
        <f>Matrice[[#This Row],[Ligne de la matrice]]</f>
        <v>0</v>
      </c>
      <c r="B18" s="276">
        <f>(SUMIF(Fonctionnement[Affectation matrice],$AB$3,Fonctionnement[Montant (€HT)])+SUMIF(Invest[Affectation matrice],$AB$3,Invest[Amortissement HT + intérêts]))*BC18</f>
        <v>0</v>
      </c>
      <c r="C18" s="276">
        <f>(SUMIF(Fonctionnement[Affectation matrice],$AB$3,Fonctionnement[Montant (€HT)])+SUMIF(Invest[Affectation matrice],$AB$3,Invest[Amortissement HT + intérêts]))*BD18</f>
        <v>0</v>
      </c>
      <c r="D18" s="276">
        <f>(SUMIF(Fonctionnement[Affectation matrice],$AB$3,Fonctionnement[Montant (€HT)])+SUMIF(Invest[Affectation matrice],$AB$3,Invest[Amortissement HT + intérêts]))*BE18</f>
        <v>0</v>
      </c>
      <c r="E18" s="276">
        <f>(SUMIF(Fonctionnement[Affectation matrice],$AB$3,Fonctionnement[Montant (€HT)])+SUMIF(Invest[Affectation matrice],$AB$3,Invest[Amortissement HT + intérêts]))*BF18</f>
        <v>0</v>
      </c>
      <c r="F18" s="276">
        <f>(SUMIF(Fonctionnement[Affectation matrice],$AB$3,Fonctionnement[Montant (€HT)])+SUMIF(Invest[Affectation matrice],$AB$3,Invest[Amortissement HT + intérêts]))*BG18</f>
        <v>0</v>
      </c>
      <c r="G18" s="276">
        <f>(SUMIF(Fonctionnement[Affectation matrice],$AB$3,Fonctionnement[Montant (€HT)])+SUMIF(Invest[Affectation matrice],$AB$3,Invest[Amortissement HT + intérêts]))*BH18</f>
        <v>0</v>
      </c>
      <c r="H18" s="276">
        <f>(SUMIF(Fonctionnement[Affectation matrice],$AB$3,Fonctionnement[Montant (€HT)])+SUMIF(Invest[Affectation matrice],$AB$3,Invest[Amortissement HT + intérêts]))*BI18</f>
        <v>0</v>
      </c>
      <c r="I18" s="276">
        <f>(SUMIF(Fonctionnement[Affectation matrice],$AB$3,Fonctionnement[Montant (€HT)])+SUMIF(Invest[Affectation matrice],$AB$3,Invest[Amortissement HT + intérêts]))*BJ18</f>
        <v>0</v>
      </c>
      <c r="J18" s="276">
        <f>(SUMIF(Fonctionnement[Affectation matrice],$AB$3,Fonctionnement[Montant (€HT)])+SUMIF(Invest[Affectation matrice],$AB$3,Invest[Amortissement HT + intérêts]))*BK18</f>
        <v>0</v>
      </c>
      <c r="K18" s="276">
        <f>(SUMIF(Fonctionnement[Affectation matrice],$AB$3,Fonctionnement[Montant (€HT)])+SUMIF(Invest[Affectation matrice],$AB$3,Invest[Amortissement HT + intérêts]))*BL18</f>
        <v>0</v>
      </c>
      <c r="L18" s="276">
        <f>(SUMIF(Fonctionnement[Affectation matrice],$AB$3,Fonctionnement[Montant (€HT)])+SUMIF(Invest[Affectation matrice],$AB$3,Invest[Amortissement HT + intérêts]))*BM18</f>
        <v>0</v>
      </c>
      <c r="M18" s="276">
        <f>(SUMIF(Fonctionnement[Affectation matrice],$AB$3,Fonctionnement[Montant (€HT)])+SUMIF(Invest[Affectation matrice],$AB$3,Invest[Amortissement HT + intérêts]))*BN18</f>
        <v>0</v>
      </c>
      <c r="N18" s="276">
        <f>(SUMIF(Fonctionnement[Affectation matrice],$AB$3,Fonctionnement[Montant (€HT)])+SUMIF(Invest[Affectation matrice],$AB$3,Invest[Amortissement HT + intérêts]))*BO18</f>
        <v>0</v>
      </c>
      <c r="O18" s="276">
        <f>(SUMIF(Fonctionnement[Affectation matrice],$AB$3,Fonctionnement[Montant (€HT)])+SUMIF(Invest[Affectation matrice],$AB$3,Invest[Amortissement HT + intérêts]))*BP18</f>
        <v>0</v>
      </c>
      <c r="P18" s="276">
        <f>(SUMIF(Fonctionnement[Affectation matrice],$AB$3,Fonctionnement[Montant (€HT)])+SUMIF(Invest[Affectation matrice],$AB$3,Invest[Amortissement HT + intérêts]))*BQ18</f>
        <v>0</v>
      </c>
      <c r="Q18" s="276">
        <f>(SUMIF(Fonctionnement[Affectation matrice],$AB$3,Fonctionnement[Montant (€HT)])+SUMIF(Invest[Affectation matrice],$AB$3,Invest[Amortissement HT + intérêts]))*BR18</f>
        <v>0</v>
      </c>
      <c r="R18" s="276">
        <f>(SUMIF(Fonctionnement[Affectation matrice],$AB$3,Fonctionnement[Montant (€HT)])+SUMIF(Invest[Affectation matrice],$AB$3,Invest[Amortissement HT + intérêts]))*BS18</f>
        <v>0</v>
      </c>
      <c r="S18" s="276">
        <f>(SUMIF(Fonctionnement[Affectation matrice],$AB$3,Fonctionnement[Montant (€HT)])+SUMIF(Invest[Affectation matrice],$AB$3,Invest[Amortissement HT + intérêts]))*BT18</f>
        <v>0</v>
      </c>
      <c r="T18" s="276">
        <f>(SUMIF(Fonctionnement[Affectation matrice],$AB$3,Fonctionnement[Montant (€HT)])+SUMIF(Invest[Affectation matrice],$AB$3,Invest[Amortissement HT + intérêts]))*BU18</f>
        <v>0</v>
      </c>
      <c r="U18" s="276">
        <f>(SUMIF(Fonctionnement[Affectation matrice],$AB$3,Fonctionnement[Montant (€HT)])+SUMIF(Invest[Affectation matrice],$AB$3,Invest[Amortissement HT + intérêts]))*BV18</f>
        <v>0</v>
      </c>
      <c r="V18" s="276">
        <f>(SUMIF(Fonctionnement[Affectation matrice],$AB$3,Fonctionnement[Montant (€HT)])+SUMIF(Invest[Affectation matrice],$AB$3,Invest[Amortissement HT + intérêts]))*BW18</f>
        <v>0</v>
      </c>
      <c r="W18" s="276">
        <f>(SUMIF(Fonctionnement[Affectation matrice],$AB$3,Fonctionnement[Montant (€HT)])+SUMIF(Invest[Affectation matrice],$AB$3,Invest[Amortissement HT + intérêts]))*BX18</f>
        <v>0</v>
      </c>
      <c r="X18" s="276">
        <f>(SUMIF(Fonctionnement[Affectation matrice],$AB$3,Fonctionnement[Montant (€HT)])+SUMIF(Invest[Affectation matrice],$AB$3,Invest[Amortissement HT + intérêts]))*BY18</f>
        <v>0</v>
      </c>
      <c r="Y18" s="276">
        <f>(SUMIF(Fonctionnement[Affectation matrice],$AB$3,Fonctionnement[Montant (€HT)])+SUMIF(Invest[Affectation matrice],$AB$3,Invest[Amortissement HT + intérêts]))*BZ18</f>
        <v>0</v>
      </c>
      <c r="Z18" s="276">
        <f>(SUMIF(Fonctionnement[Affectation matrice],$AB$3,Fonctionnement[Montant (€HT)])+SUMIF(Invest[Affectation matrice],$AB$3,Invest[Amortissement HT + intérêts]))*CA18</f>
        <v>0</v>
      </c>
      <c r="AA18" s="199"/>
      <c r="AB18" s="302" t="str">
        <f t="shared" si="53"/>
        <v/>
      </c>
      <c r="AC18" s="302" t="str">
        <f t="shared" si="53"/>
        <v/>
      </c>
      <c r="AD18" s="302" t="str">
        <f t="shared" si="53"/>
        <v/>
      </c>
      <c r="AE18" s="302" t="str">
        <f t="shared" si="53"/>
        <v/>
      </c>
      <c r="AF18" s="302" t="str">
        <f t="shared" si="53"/>
        <v/>
      </c>
      <c r="AG18" s="302" t="str">
        <f t="shared" si="53"/>
        <v/>
      </c>
      <c r="AH18" s="302" t="str">
        <f t="shared" si="53"/>
        <v/>
      </c>
      <c r="AI18" s="302" t="str">
        <f t="shared" si="53"/>
        <v/>
      </c>
      <c r="AJ18" s="302" t="str">
        <f t="shared" si="53"/>
        <v/>
      </c>
      <c r="AK18" s="302" t="str">
        <f t="shared" si="53"/>
        <v/>
      </c>
      <c r="AL18" s="302" t="str">
        <f t="shared" si="54"/>
        <v/>
      </c>
      <c r="AM18" s="302" t="str">
        <f t="shared" si="54"/>
        <v/>
      </c>
      <c r="AN18" s="302" t="str">
        <f t="shared" si="54"/>
        <v/>
      </c>
      <c r="AO18" s="302" t="str">
        <f t="shared" si="54"/>
        <v/>
      </c>
      <c r="AP18" s="302" t="str">
        <f t="shared" si="54"/>
        <v/>
      </c>
      <c r="AQ18" s="302" t="str">
        <f t="shared" si="54"/>
        <v/>
      </c>
      <c r="AR18" s="302" t="str">
        <f t="shared" si="54"/>
        <v/>
      </c>
      <c r="AS18" s="302" t="str">
        <f t="shared" si="54"/>
        <v/>
      </c>
      <c r="AT18" s="302" t="str">
        <f t="shared" si="54"/>
        <v/>
      </c>
      <c r="AU18" s="302" t="str">
        <f t="shared" si="54"/>
        <v/>
      </c>
      <c r="AV18" s="302" t="str">
        <f t="shared" si="54"/>
        <v/>
      </c>
      <c r="AW18" s="302" t="str">
        <f t="shared" si="54"/>
        <v/>
      </c>
      <c r="AX18" s="302" t="str">
        <f t="shared" si="54"/>
        <v/>
      </c>
      <c r="AY18" s="302" t="str">
        <f t="shared" si="54"/>
        <v/>
      </c>
      <c r="AZ18" s="302" t="str">
        <f t="shared" si="54"/>
        <v/>
      </c>
      <c r="BA18" s="283" t="str">
        <f t="shared" si="26"/>
        <v/>
      </c>
      <c r="BC18" s="61">
        <f t="shared" si="27"/>
        <v>0</v>
      </c>
      <c r="BD18" s="61">
        <f t="shared" si="28"/>
        <v>0</v>
      </c>
      <c r="BE18" s="61">
        <f t="shared" si="29"/>
        <v>0</v>
      </c>
      <c r="BF18" s="61">
        <f t="shared" si="30"/>
        <v>0</v>
      </c>
      <c r="BG18" s="61">
        <f t="shared" si="31"/>
        <v>0</v>
      </c>
      <c r="BH18" s="61">
        <f t="shared" si="32"/>
        <v>0</v>
      </c>
      <c r="BI18" s="61">
        <f t="shared" si="33"/>
        <v>0</v>
      </c>
      <c r="BJ18" s="61">
        <f t="shared" si="34"/>
        <v>0</v>
      </c>
      <c r="BK18" s="61">
        <f t="shared" si="35"/>
        <v>0</v>
      </c>
      <c r="BL18" s="61">
        <f t="shared" si="36"/>
        <v>0</v>
      </c>
      <c r="BM18" s="61">
        <f t="shared" si="37"/>
        <v>0</v>
      </c>
      <c r="BN18" s="61">
        <f t="shared" si="38"/>
        <v>0</v>
      </c>
      <c r="BO18" s="61">
        <f t="shared" si="39"/>
        <v>0</v>
      </c>
      <c r="BP18" s="61">
        <f t="shared" si="40"/>
        <v>0</v>
      </c>
      <c r="BQ18" s="61">
        <f t="shared" si="41"/>
        <v>0</v>
      </c>
      <c r="BR18" s="61">
        <f t="shared" si="42"/>
        <v>0</v>
      </c>
      <c r="BS18" s="61">
        <f t="shared" si="43"/>
        <v>0</v>
      </c>
      <c r="BT18" s="61">
        <f t="shared" si="44"/>
        <v>0</v>
      </c>
      <c r="BU18" s="61">
        <f t="shared" si="45"/>
        <v>0</v>
      </c>
      <c r="BV18" s="61">
        <f t="shared" si="46"/>
        <v>0</v>
      </c>
      <c r="BW18" s="61">
        <f t="shared" si="47"/>
        <v>0</v>
      </c>
      <c r="BX18" s="61">
        <f t="shared" si="48"/>
        <v>0</v>
      </c>
      <c r="BY18" s="61">
        <f t="shared" si="49"/>
        <v>0</v>
      </c>
      <c r="BZ18" s="61">
        <f t="shared" si="50"/>
        <v>0</v>
      </c>
      <c r="CA18" s="61">
        <f t="shared" si="51"/>
        <v>0</v>
      </c>
      <c r="CB18" s="61">
        <f t="shared" si="52"/>
        <v>0</v>
      </c>
      <c r="CD18" s="200">
        <f>(SUMIF(Fonctionnement[Affectation matrice],$AB$3,Fonctionnement[TVA acquittée])+SUMIF(Invest[Affectation matrice],$AB$3,Invest[TVA acquittée]))*BC18</f>
        <v>0</v>
      </c>
      <c r="CE18" s="200">
        <f>(SUMIF(Fonctionnement[Affectation matrice],$AB$3,Fonctionnement[TVA acquittée])+SUMIF(Invest[Affectation matrice],$AB$3,Invest[TVA acquittée]))*BD18</f>
        <v>0</v>
      </c>
      <c r="CF18" s="200">
        <f>(SUMIF(Fonctionnement[Affectation matrice],$AB$3,Fonctionnement[TVA acquittée])+SUMIF(Invest[Affectation matrice],$AB$3,Invest[TVA acquittée]))*BE18</f>
        <v>0</v>
      </c>
      <c r="CG18" s="200">
        <f>(SUMIF(Fonctionnement[Affectation matrice],$AB$3,Fonctionnement[TVA acquittée])+SUMIF(Invest[Affectation matrice],$AB$3,Invest[TVA acquittée]))*BF18</f>
        <v>0</v>
      </c>
      <c r="CH18" s="200">
        <f>(SUMIF(Fonctionnement[Affectation matrice],$AB$3,Fonctionnement[TVA acquittée])+SUMIF(Invest[Affectation matrice],$AB$3,Invest[TVA acquittée]))*BG18</f>
        <v>0</v>
      </c>
      <c r="CI18" s="200">
        <f>(SUMIF(Fonctionnement[Affectation matrice],$AB$3,Fonctionnement[TVA acquittée])+SUMIF(Invest[Affectation matrice],$AB$3,Invest[TVA acquittée]))*BH18</f>
        <v>0</v>
      </c>
      <c r="CJ18" s="200">
        <f>(SUMIF(Fonctionnement[Affectation matrice],$AB$3,Fonctionnement[TVA acquittée])+SUMIF(Invest[Affectation matrice],$AB$3,Invest[TVA acquittée]))*BI18</f>
        <v>0</v>
      </c>
      <c r="CK18" s="200">
        <f>(SUMIF(Fonctionnement[Affectation matrice],$AB$3,Fonctionnement[TVA acquittée])+SUMIF(Invest[Affectation matrice],$AB$3,Invest[TVA acquittée]))*BJ18</f>
        <v>0</v>
      </c>
      <c r="CL18" s="200">
        <f>(SUMIF(Fonctionnement[Affectation matrice],$AB$3,Fonctionnement[TVA acquittée])+SUMIF(Invest[Affectation matrice],$AB$3,Invest[TVA acquittée]))*BK18</f>
        <v>0</v>
      </c>
      <c r="CM18" s="200">
        <f>(SUMIF(Fonctionnement[Affectation matrice],$AB$3,Fonctionnement[TVA acquittée])+SUMIF(Invest[Affectation matrice],$AB$3,Invest[TVA acquittée]))*BL18</f>
        <v>0</v>
      </c>
      <c r="CN18" s="200">
        <f>(SUMIF(Fonctionnement[Affectation matrice],$AB$3,Fonctionnement[TVA acquittée])+SUMIF(Invest[Affectation matrice],$AB$3,Invest[TVA acquittée]))*BM18</f>
        <v>0</v>
      </c>
      <c r="CO18" s="200">
        <f>(SUMIF(Fonctionnement[Affectation matrice],$AB$3,Fonctionnement[TVA acquittée])+SUMIF(Invest[Affectation matrice],$AB$3,Invest[TVA acquittée]))*BN18</f>
        <v>0</v>
      </c>
      <c r="CP18" s="200">
        <f>(SUMIF(Fonctionnement[Affectation matrice],$AB$3,Fonctionnement[TVA acquittée])+SUMIF(Invest[Affectation matrice],$AB$3,Invest[TVA acquittée]))*BO18</f>
        <v>0</v>
      </c>
      <c r="CQ18" s="200">
        <f>(SUMIF(Fonctionnement[Affectation matrice],$AB$3,Fonctionnement[TVA acquittée])+SUMIF(Invest[Affectation matrice],$AB$3,Invest[TVA acquittée]))*BP18</f>
        <v>0</v>
      </c>
      <c r="CR18" s="200">
        <f>(SUMIF(Fonctionnement[Affectation matrice],$AB$3,Fonctionnement[TVA acquittée])+SUMIF(Invest[Affectation matrice],$AB$3,Invest[TVA acquittée]))*BQ18</f>
        <v>0</v>
      </c>
      <c r="CS18" s="200">
        <f>(SUMIF(Fonctionnement[Affectation matrice],$AB$3,Fonctionnement[TVA acquittée])+SUMIF(Invest[Affectation matrice],$AB$3,Invest[TVA acquittée]))*BR18</f>
        <v>0</v>
      </c>
      <c r="CT18" s="200">
        <f>(SUMIF(Fonctionnement[Affectation matrice],$AB$3,Fonctionnement[TVA acquittée])+SUMIF(Invest[Affectation matrice],$AB$3,Invest[TVA acquittée]))*BS18</f>
        <v>0</v>
      </c>
      <c r="CU18" s="200">
        <f>(SUMIF(Fonctionnement[Affectation matrice],$AB$3,Fonctionnement[TVA acquittée])+SUMIF(Invest[Affectation matrice],$AB$3,Invest[TVA acquittée]))*BT18</f>
        <v>0</v>
      </c>
      <c r="CV18" s="200">
        <f>(SUMIF(Fonctionnement[Affectation matrice],$AB$3,Fonctionnement[TVA acquittée])+SUMIF(Invest[Affectation matrice],$AB$3,Invest[TVA acquittée]))*BU18</f>
        <v>0</v>
      </c>
      <c r="CW18" s="200">
        <f>(SUMIF(Fonctionnement[Affectation matrice],$AB$3,Fonctionnement[TVA acquittée])+SUMIF(Invest[Affectation matrice],$AB$3,Invest[TVA acquittée]))*BV18</f>
        <v>0</v>
      </c>
      <c r="CX18" s="200">
        <f>(SUMIF(Fonctionnement[Affectation matrice],$AB$3,Fonctionnement[TVA acquittée])+SUMIF(Invest[Affectation matrice],$AB$3,Invest[TVA acquittée]))*BW18</f>
        <v>0</v>
      </c>
      <c r="CY18" s="200">
        <f>(SUMIF(Fonctionnement[Affectation matrice],$AB$3,Fonctionnement[TVA acquittée])+SUMIF(Invest[Affectation matrice],$AB$3,Invest[TVA acquittée]))*BX18</f>
        <v>0</v>
      </c>
      <c r="CZ18" s="200">
        <f>(SUMIF(Fonctionnement[Affectation matrice],$AB$3,Fonctionnement[TVA acquittée])+SUMIF(Invest[Affectation matrice],$AB$3,Invest[TVA acquittée]))*BY18</f>
        <v>0</v>
      </c>
      <c r="DA18" s="200">
        <f>(SUMIF(Fonctionnement[Affectation matrice],$AB$3,Fonctionnement[TVA acquittée])+SUMIF(Invest[Affectation matrice],$AB$3,Invest[TVA acquittée]))*BZ18</f>
        <v>0</v>
      </c>
      <c r="DB18" s="200">
        <f>(SUMIF(Fonctionnement[Affectation matrice],$AB$3,Fonctionnement[TVA acquittée])+SUMIF(Invest[Affectation matrice],$AB$3,Invest[TVA acquittée]))*CA18</f>
        <v>0</v>
      </c>
    </row>
    <row r="19" spans="1:106" ht="12.75" hidden="1" customHeight="1" x14ac:dyDescent="0.25">
      <c r="A19" s="42">
        <f>Matrice[[#This Row],[Ligne de la matrice]]</f>
        <v>0</v>
      </c>
      <c r="B19" s="276">
        <f>(SUMIF(Fonctionnement[Affectation matrice],$AB$3,Fonctionnement[Montant (€HT)])+SUMIF(Invest[Affectation matrice],$AB$3,Invest[Amortissement HT + intérêts]))*BC19</f>
        <v>0</v>
      </c>
      <c r="C19" s="276">
        <f>(SUMIF(Fonctionnement[Affectation matrice],$AB$3,Fonctionnement[Montant (€HT)])+SUMIF(Invest[Affectation matrice],$AB$3,Invest[Amortissement HT + intérêts]))*BD19</f>
        <v>0</v>
      </c>
      <c r="D19" s="276">
        <f>(SUMIF(Fonctionnement[Affectation matrice],$AB$3,Fonctionnement[Montant (€HT)])+SUMIF(Invest[Affectation matrice],$AB$3,Invest[Amortissement HT + intérêts]))*BE19</f>
        <v>0</v>
      </c>
      <c r="E19" s="276">
        <f>(SUMIF(Fonctionnement[Affectation matrice],$AB$3,Fonctionnement[Montant (€HT)])+SUMIF(Invest[Affectation matrice],$AB$3,Invest[Amortissement HT + intérêts]))*BF19</f>
        <v>0</v>
      </c>
      <c r="F19" s="276">
        <f>(SUMIF(Fonctionnement[Affectation matrice],$AB$3,Fonctionnement[Montant (€HT)])+SUMIF(Invest[Affectation matrice],$AB$3,Invest[Amortissement HT + intérêts]))*BG19</f>
        <v>0</v>
      </c>
      <c r="G19" s="276">
        <f>(SUMIF(Fonctionnement[Affectation matrice],$AB$3,Fonctionnement[Montant (€HT)])+SUMIF(Invest[Affectation matrice],$AB$3,Invest[Amortissement HT + intérêts]))*BH19</f>
        <v>0</v>
      </c>
      <c r="H19" s="276">
        <f>(SUMIF(Fonctionnement[Affectation matrice],$AB$3,Fonctionnement[Montant (€HT)])+SUMIF(Invest[Affectation matrice],$AB$3,Invest[Amortissement HT + intérêts]))*BI19</f>
        <v>0</v>
      </c>
      <c r="I19" s="276">
        <f>(SUMIF(Fonctionnement[Affectation matrice],$AB$3,Fonctionnement[Montant (€HT)])+SUMIF(Invest[Affectation matrice],$AB$3,Invest[Amortissement HT + intérêts]))*BJ19</f>
        <v>0</v>
      </c>
      <c r="J19" s="276">
        <f>(SUMIF(Fonctionnement[Affectation matrice],$AB$3,Fonctionnement[Montant (€HT)])+SUMIF(Invest[Affectation matrice],$AB$3,Invest[Amortissement HT + intérêts]))*BK19</f>
        <v>0</v>
      </c>
      <c r="K19" s="276">
        <f>(SUMIF(Fonctionnement[Affectation matrice],$AB$3,Fonctionnement[Montant (€HT)])+SUMIF(Invest[Affectation matrice],$AB$3,Invest[Amortissement HT + intérêts]))*BL19</f>
        <v>0</v>
      </c>
      <c r="L19" s="276">
        <f>(SUMIF(Fonctionnement[Affectation matrice],$AB$3,Fonctionnement[Montant (€HT)])+SUMIF(Invest[Affectation matrice],$AB$3,Invest[Amortissement HT + intérêts]))*BM19</f>
        <v>0</v>
      </c>
      <c r="M19" s="276">
        <f>(SUMIF(Fonctionnement[Affectation matrice],$AB$3,Fonctionnement[Montant (€HT)])+SUMIF(Invest[Affectation matrice],$AB$3,Invest[Amortissement HT + intérêts]))*BN19</f>
        <v>0</v>
      </c>
      <c r="N19" s="276">
        <f>(SUMIF(Fonctionnement[Affectation matrice],$AB$3,Fonctionnement[Montant (€HT)])+SUMIF(Invest[Affectation matrice],$AB$3,Invest[Amortissement HT + intérêts]))*BO19</f>
        <v>0</v>
      </c>
      <c r="O19" s="276">
        <f>(SUMIF(Fonctionnement[Affectation matrice],$AB$3,Fonctionnement[Montant (€HT)])+SUMIF(Invest[Affectation matrice],$AB$3,Invest[Amortissement HT + intérêts]))*BP19</f>
        <v>0</v>
      </c>
      <c r="P19" s="276">
        <f>(SUMIF(Fonctionnement[Affectation matrice],$AB$3,Fonctionnement[Montant (€HT)])+SUMIF(Invest[Affectation matrice],$AB$3,Invest[Amortissement HT + intérêts]))*BQ19</f>
        <v>0</v>
      </c>
      <c r="Q19" s="276">
        <f>(SUMIF(Fonctionnement[Affectation matrice],$AB$3,Fonctionnement[Montant (€HT)])+SUMIF(Invest[Affectation matrice],$AB$3,Invest[Amortissement HT + intérêts]))*BR19</f>
        <v>0</v>
      </c>
      <c r="R19" s="276">
        <f>(SUMIF(Fonctionnement[Affectation matrice],$AB$3,Fonctionnement[Montant (€HT)])+SUMIF(Invest[Affectation matrice],$AB$3,Invest[Amortissement HT + intérêts]))*BS19</f>
        <v>0</v>
      </c>
      <c r="S19" s="276">
        <f>(SUMIF(Fonctionnement[Affectation matrice],$AB$3,Fonctionnement[Montant (€HT)])+SUMIF(Invest[Affectation matrice],$AB$3,Invest[Amortissement HT + intérêts]))*BT19</f>
        <v>0</v>
      </c>
      <c r="T19" s="276">
        <f>(SUMIF(Fonctionnement[Affectation matrice],$AB$3,Fonctionnement[Montant (€HT)])+SUMIF(Invest[Affectation matrice],$AB$3,Invest[Amortissement HT + intérêts]))*BU19</f>
        <v>0</v>
      </c>
      <c r="U19" s="276">
        <f>(SUMIF(Fonctionnement[Affectation matrice],$AB$3,Fonctionnement[Montant (€HT)])+SUMIF(Invest[Affectation matrice],$AB$3,Invest[Amortissement HT + intérêts]))*BV19</f>
        <v>0</v>
      </c>
      <c r="V19" s="276">
        <f>(SUMIF(Fonctionnement[Affectation matrice],$AB$3,Fonctionnement[Montant (€HT)])+SUMIF(Invest[Affectation matrice],$AB$3,Invest[Amortissement HT + intérêts]))*BW19</f>
        <v>0</v>
      </c>
      <c r="W19" s="276">
        <f>(SUMIF(Fonctionnement[Affectation matrice],$AB$3,Fonctionnement[Montant (€HT)])+SUMIF(Invest[Affectation matrice],$AB$3,Invest[Amortissement HT + intérêts]))*BX19</f>
        <v>0</v>
      </c>
      <c r="X19" s="276">
        <f>(SUMIF(Fonctionnement[Affectation matrice],$AB$3,Fonctionnement[Montant (€HT)])+SUMIF(Invest[Affectation matrice],$AB$3,Invest[Amortissement HT + intérêts]))*BY19</f>
        <v>0</v>
      </c>
      <c r="Y19" s="276">
        <f>(SUMIF(Fonctionnement[Affectation matrice],$AB$3,Fonctionnement[Montant (€HT)])+SUMIF(Invest[Affectation matrice],$AB$3,Invest[Amortissement HT + intérêts]))*BZ19</f>
        <v>0</v>
      </c>
      <c r="Z19" s="276">
        <f>(SUMIF(Fonctionnement[Affectation matrice],$AB$3,Fonctionnement[Montant (€HT)])+SUMIF(Invest[Affectation matrice],$AB$3,Invest[Amortissement HT + intérêts]))*CA19</f>
        <v>0</v>
      </c>
      <c r="AA19" s="199"/>
      <c r="AB19" s="302" t="str">
        <f t="shared" si="53"/>
        <v/>
      </c>
      <c r="AC19" s="302" t="str">
        <f t="shared" si="53"/>
        <v/>
      </c>
      <c r="AD19" s="302" t="str">
        <f t="shared" si="53"/>
        <v/>
      </c>
      <c r="AE19" s="302" t="str">
        <f t="shared" si="53"/>
        <v/>
      </c>
      <c r="AF19" s="302" t="str">
        <f t="shared" si="53"/>
        <v/>
      </c>
      <c r="AG19" s="302" t="str">
        <f t="shared" si="53"/>
        <v/>
      </c>
      <c r="AH19" s="302" t="str">
        <f t="shared" si="53"/>
        <v/>
      </c>
      <c r="AI19" s="302" t="str">
        <f t="shared" si="53"/>
        <v/>
      </c>
      <c r="AJ19" s="302" t="str">
        <f t="shared" si="53"/>
        <v/>
      </c>
      <c r="AK19" s="302" t="str">
        <f t="shared" si="53"/>
        <v/>
      </c>
      <c r="AL19" s="302" t="str">
        <f t="shared" si="54"/>
        <v/>
      </c>
      <c r="AM19" s="302" t="str">
        <f t="shared" si="54"/>
        <v/>
      </c>
      <c r="AN19" s="302" t="str">
        <f t="shared" si="54"/>
        <v/>
      </c>
      <c r="AO19" s="302" t="str">
        <f t="shared" si="54"/>
        <v/>
      </c>
      <c r="AP19" s="302" t="str">
        <f t="shared" si="54"/>
        <v/>
      </c>
      <c r="AQ19" s="302" t="str">
        <f t="shared" si="54"/>
        <v/>
      </c>
      <c r="AR19" s="302" t="str">
        <f t="shared" si="54"/>
        <v/>
      </c>
      <c r="AS19" s="302" t="str">
        <f t="shared" si="54"/>
        <v/>
      </c>
      <c r="AT19" s="302" t="str">
        <f t="shared" si="54"/>
        <v/>
      </c>
      <c r="AU19" s="302" t="str">
        <f t="shared" si="54"/>
        <v/>
      </c>
      <c r="AV19" s="302" t="str">
        <f t="shared" si="54"/>
        <v/>
      </c>
      <c r="AW19" s="302" t="str">
        <f t="shared" si="54"/>
        <v/>
      </c>
      <c r="AX19" s="302" t="str">
        <f t="shared" si="54"/>
        <v/>
      </c>
      <c r="AY19" s="302" t="str">
        <f t="shared" si="54"/>
        <v/>
      </c>
      <c r="AZ19" s="302" t="str">
        <f t="shared" si="54"/>
        <v/>
      </c>
      <c r="BA19" s="283" t="str">
        <f t="shared" si="26"/>
        <v/>
      </c>
      <c r="BC19" s="61">
        <f t="shared" si="27"/>
        <v>0</v>
      </c>
      <c r="BD19" s="61">
        <f t="shared" si="28"/>
        <v>0</v>
      </c>
      <c r="BE19" s="61">
        <f t="shared" si="29"/>
        <v>0</v>
      </c>
      <c r="BF19" s="61">
        <f t="shared" si="30"/>
        <v>0</v>
      </c>
      <c r="BG19" s="61">
        <f t="shared" si="31"/>
        <v>0</v>
      </c>
      <c r="BH19" s="61">
        <f t="shared" si="32"/>
        <v>0</v>
      </c>
      <c r="BI19" s="61">
        <f t="shared" si="33"/>
        <v>0</v>
      </c>
      <c r="BJ19" s="61">
        <f t="shared" si="34"/>
        <v>0</v>
      </c>
      <c r="BK19" s="61">
        <f t="shared" si="35"/>
        <v>0</v>
      </c>
      <c r="BL19" s="61">
        <f t="shared" si="36"/>
        <v>0</v>
      </c>
      <c r="BM19" s="61">
        <f t="shared" si="37"/>
        <v>0</v>
      </c>
      <c r="BN19" s="61">
        <f t="shared" si="38"/>
        <v>0</v>
      </c>
      <c r="BO19" s="61">
        <f t="shared" si="39"/>
        <v>0</v>
      </c>
      <c r="BP19" s="61">
        <f t="shared" si="40"/>
        <v>0</v>
      </c>
      <c r="BQ19" s="61">
        <f t="shared" si="41"/>
        <v>0</v>
      </c>
      <c r="BR19" s="61">
        <f t="shared" si="42"/>
        <v>0</v>
      </c>
      <c r="BS19" s="61">
        <f t="shared" si="43"/>
        <v>0</v>
      </c>
      <c r="BT19" s="61">
        <f t="shared" si="44"/>
        <v>0</v>
      </c>
      <c r="BU19" s="61">
        <f t="shared" si="45"/>
        <v>0</v>
      </c>
      <c r="BV19" s="61">
        <f t="shared" si="46"/>
        <v>0</v>
      </c>
      <c r="BW19" s="61">
        <f t="shared" si="47"/>
        <v>0</v>
      </c>
      <c r="BX19" s="61">
        <f t="shared" si="48"/>
        <v>0</v>
      </c>
      <c r="BY19" s="61">
        <f t="shared" si="49"/>
        <v>0</v>
      </c>
      <c r="BZ19" s="61">
        <f t="shared" si="50"/>
        <v>0</v>
      </c>
      <c r="CA19" s="61">
        <f t="shared" si="51"/>
        <v>0</v>
      </c>
      <c r="CB19" s="61">
        <f t="shared" si="52"/>
        <v>0</v>
      </c>
      <c r="CD19" s="200">
        <f>(SUMIF(Fonctionnement[Affectation matrice],$AB$3,Fonctionnement[TVA acquittée])+SUMIF(Invest[Affectation matrice],$AB$3,Invest[TVA acquittée]))*BC19</f>
        <v>0</v>
      </c>
      <c r="CE19" s="200">
        <f>(SUMIF(Fonctionnement[Affectation matrice],$AB$3,Fonctionnement[TVA acquittée])+SUMIF(Invest[Affectation matrice],$AB$3,Invest[TVA acquittée]))*BD19</f>
        <v>0</v>
      </c>
      <c r="CF19" s="200">
        <f>(SUMIF(Fonctionnement[Affectation matrice],$AB$3,Fonctionnement[TVA acquittée])+SUMIF(Invest[Affectation matrice],$AB$3,Invest[TVA acquittée]))*BE19</f>
        <v>0</v>
      </c>
      <c r="CG19" s="200">
        <f>(SUMIF(Fonctionnement[Affectation matrice],$AB$3,Fonctionnement[TVA acquittée])+SUMIF(Invest[Affectation matrice],$AB$3,Invest[TVA acquittée]))*BF19</f>
        <v>0</v>
      </c>
      <c r="CH19" s="200">
        <f>(SUMIF(Fonctionnement[Affectation matrice],$AB$3,Fonctionnement[TVA acquittée])+SUMIF(Invest[Affectation matrice],$AB$3,Invest[TVA acquittée]))*BG19</f>
        <v>0</v>
      </c>
      <c r="CI19" s="200">
        <f>(SUMIF(Fonctionnement[Affectation matrice],$AB$3,Fonctionnement[TVA acquittée])+SUMIF(Invest[Affectation matrice],$AB$3,Invest[TVA acquittée]))*BH19</f>
        <v>0</v>
      </c>
      <c r="CJ19" s="200">
        <f>(SUMIF(Fonctionnement[Affectation matrice],$AB$3,Fonctionnement[TVA acquittée])+SUMIF(Invest[Affectation matrice],$AB$3,Invest[TVA acquittée]))*BI19</f>
        <v>0</v>
      </c>
      <c r="CK19" s="200">
        <f>(SUMIF(Fonctionnement[Affectation matrice],$AB$3,Fonctionnement[TVA acquittée])+SUMIF(Invest[Affectation matrice],$AB$3,Invest[TVA acquittée]))*BJ19</f>
        <v>0</v>
      </c>
      <c r="CL19" s="200">
        <f>(SUMIF(Fonctionnement[Affectation matrice],$AB$3,Fonctionnement[TVA acquittée])+SUMIF(Invest[Affectation matrice],$AB$3,Invest[TVA acquittée]))*BK19</f>
        <v>0</v>
      </c>
      <c r="CM19" s="200">
        <f>(SUMIF(Fonctionnement[Affectation matrice],$AB$3,Fonctionnement[TVA acquittée])+SUMIF(Invest[Affectation matrice],$AB$3,Invest[TVA acquittée]))*BL19</f>
        <v>0</v>
      </c>
      <c r="CN19" s="200">
        <f>(SUMIF(Fonctionnement[Affectation matrice],$AB$3,Fonctionnement[TVA acquittée])+SUMIF(Invest[Affectation matrice],$AB$3,Invest[TVA acquittée]))*BM19</f>
        <v>0</v>
      </c>
      <c r="CO19" s="200">
        <f>(SUMIF(Fonctionnement[Affectation matrice],$AB$3,Fonctionnement[TVA acquittée])+SUMIF(Invest[Affectation matrice],$AB$3,Invest[TVA acquittée]))*BN19</f>
        <v>0</v>
      </c>
      <c r="CP19" s="200">
        <f>(SUMIF(Fonctionnement[Affectation matrice],$AB$3,Fonctionnement[TVA acquittée])+SUMIF(Invest[Affectation matrice],$AB$3,Invest[TVA acquittée]))*BO19</f>
        <v>0</v>
      </c>
      <c r="CQ19" s="200">
        <f>(SUMIF(Fonctionnement[Affectation matrice],$AB$3,Fonctionnement[TVA acquittée])+SUMIF(Invest[Affectation matrice],$AB$3,Invest[TVA acquittée]))*BP19</f>
        <v>0</v>
      </c>
      <c r="CR19" s="200">
        <f>(SUMIF(Fonctionnement[Affectation matrice],$AB$3,Fonctionnement[TVA acquittée])+SUMIF(Invest[Affectation matrice],$AB$3,Invest[TVA acquittée]))*BQ19</f>
        <v>0</v>
      </c>
      <c r="CS19" s="200">
        <f>(SUMIF(Fonctionnement[Affectation matrice],$AB$3,Fonctionnement[TVA acquittée])+SUMIF(Invest[Affectation matrice],$AB$3,Invest[TVA acquittée]))*BR19</f>
        <v>0</v>
      </c>
      <c r="CT19" s="200">
        <f>(SUMIF(Fonctionnement[Affectation matrice],$AB$3,Fonctionnement[TVA acquittée])+SUMIF(Invest[Affectation matrice],$AB$3,Invest[TVA acquittée]))*BS19</f>
        <v>0</v>
      </c>
      <c r="CU19" s="200">
        <f>(SUMIF(Fonctionnement[Affectation matrice],$AB$3,Fonctionnement[TVA acquittée])+SUMIF(Invest[Affectation matrice],$AB$3,Invest[TVA acquittée]))*BT19</f>
        <v>0</v>
      </c>
      <c r="CV19" s="200">
        <f>(SUMIF(Fonctionnement[Affectation matrice],$AB$3,Fonctionnement[TVA acquittée])+SUMIF(Invest[Affectation matrice],$AB$3,Invest[TVA acquittée]))*BU19</f>
        <v>0</v>
      </c>
      <c r="CW19" s="200">
        <f>(SUMIF(Fonctionnement[Affectation matrice],$AB$3,Fonctionnement[TVA acquittée])+SUMIF(Invest[Affectation matrice],$AB$3,Invest[TVA acquittée]))*BV19</f>
        <v>0</v>
      </c>
      <c r="CX19" s="200">
        <f>(SUMIF(Fonctionnement[Affectation matrice],$AB$3,Fonctionnement[TVA acquittée])+SUMIF(Invest[Affectation matrice],$AB$3,Invest[TVA acquittée]))*BW19</f>
        <v>0</v>
      </c>
      <c r="CY19" s="200">
        <f>(SUMIF(Fonctionnement[Affectation matrice],$AB$3,Fonctionnement[TVA acquittée])+SUMIF(Invest[Affectation matrice],$AB$3,Invest[TVA acquittée]))*BX19</f>
        <v>0</v>
      </c>
      <c r="CZ19" s="200">
        <f>(SUMIF(Fonctionnement[Affectation matrice],$AB$3,Fonctionnement[TVA acquittée])+SUMIF(Invest[Affectation matrice],$AB$3,Invest[TVA acquittée]))*BY19</f>
        <v>0</v>
      </c>
      <c r="DA19" s="200">
        <f>(SUMIF(Fonctionnement[Affectation matrice],$AB$3,Fonctionnement[TVA acquittée])+SUMIF(Invest[Affectation matrice],$AB$3,Invest[TVA acquittée]))*BZ19</f>
        <v>0</v>
      </c>
      <c r="DB19" s="200">
        <f>(SUMIF(Fonctionnement[Affectation matrice],$AB$3,Fonctionnement[TVA acquittée])+SUMIF(Invest[Affectation matrice],$AB$3,Invest[TVA acquittée]))*CA19</f>
        <v>0</v>
      </c>
    </row>
    <row r="20" spans="1:106" ht="12.75" hidden="1" customHeight="1" x14ac:dyDescent="0.25">
      <c r="A20" s="42">
        <f>Matrice[[#This Row],[Ligne de la matrice]]</f>
        <v>0</v>
      </c>
      <c r="B20" s="276">
        <f>(SUMIF(Fonctionnement[Affectation matrice],$AB$3,Fonctionnement[Montant (€HT)])+SUMIF(Invest[Affectation matrice],$AB$3,Invest[Amortissement HT + intérêts]))*BC20</f>
        <v>0</v>
      </c>
      <c r="C20" s="276">
        <f>(SUMIF(Fonctionnement[Affectation matrice],$AB$3,Fonctionnement[Montant (€HT)])+SUMIF(Invest[Affectation matrice],$AB$3,Invest[Amortissement HT + intérêts]))*BD20</f>
        <v>0</v>
      </c>
      <c r="D20" s="276">
        <f>(SUMIF(Fonctionnement[Affectation matrice],$AB$3,Fonctionnement[Montant (€HT)])+SUMIF(Invest[Affectation matrice],$AB$3,Invest[Amortissement HT + intérêts]))*BE20</f>
        <v>0</v>
      </c>
      <c r="E20" s="276">
        <f>(SUMIF(Fonctionnement[Affectation matrice],$AB$3,Fonctionnement[Montant (€HT)])+SUMIF(Invest[Affectation matrice],$AB$3,Invest[Amortissement HT + intérêts]))*BF20</f>
        <v>0</v>
      </c>
      <c r="F20" s="276">
        <f>(SUMIF(Fonctionnement[Affectation matrice],$AB$3,Fonctionnement[Montant (€HT)])+SUMIF(Invest[Affectation matrice],$AB$3,Invest[Amortissement HT + intérêts]))*BG20</f>
        <v>0</v>
      </c>
      <c r="G20" s="276">
        <f>(SUMIF(Fonctionnement[Affectation matrice],$AB$3,Fonctionnement[Montant (€HT)])+SUMIF(Invest[Affectation matrice],$AB$3,Invest[Amortissement HT + intérêts]))*BH20</f>
        <v>0</v>
      </c>
      <c r="H20" s="276">
        <f>(SUMIF(Fonctionnement[Affectation matrice],$AB$3,Fonctionnement[Montant (€HT)])+SUMIF(Invest[Affectation matrice],$AB$3,Invest[Amortissement HT + intérêts]))*BI20</f>
        <v>0</v>
      </c>
      <c r="I20" s="276">
        <f>(SUMIF(Fonctionnement[Affectation matrice],$AB$3,Fonctionnement[Montant (€HT)])+SUMIF(Invest[Affectation matrice],$AB$3,Invest[Amortissement HT + intérêts]))*BJ20</f>
        <v>0</v>
      </c>
      <c r="J20" s="276">
        <f>(SUMIF(Fonctionnement[Affectation matrice],$AB$3,Fonctionnement[Montant (€HT)])+SUMIF(Invest[Affectation matrice],$AB$3,Invest[Amortissement HT + intérêts]))*BK20</f>
        <v>0</v>
      </c>
      <c r="K20" s="276">
        <f>(SUMIF(Fonctionnement[Affectation matrice],$AB$3,Fonctionnement[Montant (€HT)])+SUMIF(Invest[Affectation matrice],$AB$3,Invest[Amortissement HT + intérêts]))*BL20</f>
        <v>0</v>
      </c>
      <c r="L20" s="276">
        <f>(SUMIF(Fonctionnement[Affectation matrice],$AB$3,Fonctionnement[Montant (€HT)])+SUMIF(Invest[Affectation matrice],$AB$3,Invest[Amortissement HT + intérêts]))*BM20</f>
        <v>0</v>
      </c>
      <c r="M20" s="276">
        <f>(SUMIF(Fonctionnement[Affectation matrice],$AB$3,Fonctionnement[Montant (€HT)])+SUMIF(Invest[Affectation matrice],$AB$3,Invest[Amortissement HT + intérêts]))*BN20</f>
        <v>0</v>
      </c>
      <c r="N20" s="276">
        <f>(SUMIF(Fonctionnement[Affectation matrice],$AB$3,Fonctionnement[Montant (€HT)])+SUMIF(Invest[Affectation matrice],$AB$3,Invest[Amortissement HT + intérêts]))*BO20</f>
        <v>0</v>
      </c>
      <c r="O20" s="276">
        <f>(SUMIF(Fonctionnement[Affectation matrice],$AB$3,Fonctionnement[Montant (€HT)])+SUMIF(Invest[Affectation matrice],$AB$3,Invest[Amortissement HT + intérêts]))*BP20</f>
        <v>0</v>
      </c>
      <c r="P20" s="276">
        <f>(SUMIF(Fonctionnement[Affectation matrice],$AB$3,Fonctionnement[Montant (€HT)])+SUMIF(Invest[Affectation matrice],$AB$3,Invest[Amortissement HT + intérêts]))*BQ20</f>
        <v>0</v>
      </c>
      <c r="Q20" s="276">
        <f>(SUMIF(Fonctionnement[Affectation matrice],$AB$3,Fonctionnement[Montant (€HT)])+SUMIF(Invest[Affectation matrice],$AB$3,Invest[Amortissement HT + intérêts]))*BR20</f>
        <v>0</v>
      </c>
      <c r="R20" s="276">
        <f>(SUMIF(Fonctionnement[Affectation matrice],$AB$3,Fonctionnement[Montant (€HT)])+SUMIF(Invest[Affectation matrice],$AB$3,Invest[Amortissement HT + intérêts]))*BS20</f>
        <v>0</v>
      </c>
      <c r="S20" s="276">
        <f>(SUMIF(Fonctionnement[Affectation matrice],$AB$3,Fonctionnement[Montant (€HT)])+SUMIF(Invest[Affectation matrice],$AB$3,Invest[Amortissement HT + intérêts]))*BT20</f>
        <v>0</v>
      </c>
      <c r="T20" s="276">
        <f>(SUMIF(Fonctionnement[Affectation matrice],$AB$3,Fonctionnement[Montant (€HT)])+SUMIF(Invest[Affectation matrice],$AB$3,Invest[Amortissement HT + intérêts]))*BU20</f>
        <v>0</v>
      </c>
      <c r="U20" s="276">
        <f>(SUMIF(Fonctionnement[Affectation matrice],$AB$3,Fonctionnement[Montant (€HT)])+SUMIF(Invest[Affectation matrice],$AB$3,Invest[Amortissement HT + intérêts]))*BV20</f>
        <v>0</v>
      </c>
      <c r="V20" s="276">
        <f>(SUMIF(Fonctionnement[Affectation matrice],$AB$3,Fonctionnement[Montant (€HT)])+SUMIF(Invest[Affectation matrice],$AB$3,Invest[Amortissement HT + intérêts]))*BW20</f>
        <v>0</v>
      </c>
      <c r="W20" s="276">
        <f>(SUMIF(Fonctionnement[Affectation matrice],$AB$3,Fonctionnement[Montant (€HT)])+SUMIF(Invest[Affectation matrice],$AB$3,Invest[Amortissement HT + intérêts]))*BX20</f>
        <v>0</v>
      </c>
      <c r="X20" s="276">
        <f>(SUMIF(Fonctionnement[Affectation matrice],$AB$3,Fonctionnement[Montant (€HT)])+SUMIF(Invest[Affectation matrice],$AB$3,Invest[Amortissement HT + intérêts]))*BY20</f>
        <v>0</v>
      </c>
      <c r="Y20" s="276">
        <f>(SUMIF(Fonctionnement[Affectation matrice],$AB$3,Fonctionnement[Montant (€HT)])+SUMIF(Invest[Affectation matrice],$AB$3,Invest[Amortissement HT + intérêts]))*BZ20</f>
        <v>0</v>
      </c>
      <c r="Z20" s="276">
        <f>(SUMIF(Fonctionnement[Affectation matrice],$AB$3,Fonctionnement[Montant (€HT)])+SUMIF(Invest[Affectation matrice],$AB$3,Invest[Amortissement HT + intérêts]))*CA20</f>
        <v>0</v>
      </c>
      <c r="AA20" s="199"/>
      <c r="AB20" s="302" t="str">
        <f t="shared" si="53"/>
        <v/>
      </c>
      <c r="AC20" s="302" t="str">
        <f t="shared" si="53"/>
        <v/>
      </c>
      <c r="AD20" s="302" t="str">
        <f t="shared" si="53"/>
        <v/>
      </c>
      <c r="AE20" s="302" t="str">
        <f t="shared" si="53"/>
        <v/>
      </c>
      <c r="AF20" s="302" t="str">
        <f t="shared" si="53"/>
        <v/>
      </c>
      <c r="AG20" s="302" t="str">
        <f t="shared" si="53"/>
        <v/>
      </c>
      <c r="AH20" s="302" t="str">
        <f t="shared" si="53"/>
        <v/>
      </c>
      <c r="AI20" s="302" t="str">
        <f t="shared" si="53"/>
        <v/>
      </c>
      <c r="AJ20" s="302" t="str">
        <f t="shared" si="53"/>
        <v/>
      </c>
      <c r="AK20" s="302" t="str">
        <f t="shared" si="53"/>
        <v/>
      </c>
      <c r="AL20" s="302" t="str">
        <f t="shared" si="54"/>
        <v/>
      </c>
      <c r="AM20" s="302" t="str">
        <f t="shared" si="54"/>
        <v/>
      </c>
      <c r="AN20" s="302" t="str">
        <f t="shared" si="54"/>
        <v/>
      </c>
      <c r="AO20" s="302" t="str">
        <f t="shared" si="54"/>
        <v/>
      </c>
      <c r="AP20" s="302" t="str">
        <f t="shared" si="54"/>
        <v/>
      </c>
      <c r="AQ20" s="302" t="str">
        <f t="shared" si="54"/>
        <v/>
      </c>
      <c r="AR20" s="302" t="str">
        <f t="shared" si="54"/>
        <v/>
      </c>
      <c r="AS20" s="302" t="str">
        <f t="shared" si="54"/>
        <v/>
      </c>
      <c r="AT20" s="302" t="str">
        <f t="shared" si="54"/>
        <v/>
      </c>
      <c r="AU20" s="302" t="str">
        <f t="shared" si="54"/>
        <v/>
      </c>
      <c r="AV20" s="302" t="str">
        <f t="shared" si="54"/>
        <v/>
      </c>
      <c r="AW20" s="302" t="str">
        <f t="shared" si="54"/>
        <v/>
      </c>
      <c r="AX20" s="302" t="str">
        <f t="shared" si="54"/>
        <v/>
      </c>
      <c r="AY20" s="302" t="str">
        <f t="shared" si="54"/>
        <v/>
      </c>
      <c r="AZ20" s="302" t="str">
        <f t="shared" si="54"/>
        <v/>
      </c>
      <c r="BA20" s="283" t="str">
        <f t="shared" si="26"/>
        <v/>
      </c>
      <c r="BC20" s="61">
        <f t="shared" si="27"/>
        <v>0</v>
      </c>
      <c r="BD20" s="61">
        <f t="shared" si="28"/>
        <v>0</v>
      </c>
      <c r="BE20" s="61">
        <f t="shared" si="29"/>
        <v>0</v>
      </c>
      <c r="BF20" s="61">
        <f t="shared" si="30"/>
        <v>0</v>
      </c>
      <c r="BG20" s="61">
        <f t="shared" si="31"/>
        <v>0</v>
      </c>
      <c r="BH20" s="61">
        <f t="shared" si="32"/>
        <v>0</v>
      </c>
      <c r="BI20" s="61">
        <f t="shared" si="33"/>
        <v>0</v>
      </c>
      <c r="BJ20" s="61">
        <f t="shared" si="34"/>
        <v>0</v>
      </c>
      <c r="BK20" s="61">
        <f t="shared" si="35"/>
        <v>0</v>
      </c>
      <c r="BL20" s="61">
        <f t="shared" si="36"/>
        <v>0</v>
      </c>
      <c r="BM20" s="61">
        <f t="shared" si="37"/>
        <v>0</v>
      </c>
      <c r="BN20" s="61">
        <f t="shared" si="38"/>
        <v>0</v>
      </c>
      <c r="BO20" s="61">
        <f t="shared" si="39"/>
        <v>0</v>
      </c>
      <c r="BP20" s="61">
        <f t="shared" si="40"/>
        <v>0</v>
      </c>
      <c r="BQ20" s="61">
        <f t="shared" si="41"/>
        <v>0</v>
      </c>
      <c r="BR20" s="61">
        <f t="shared" si="42"/>
        <v>0</v>
      </c>
      <c r="BS20" s="61">
        <f t="shared" si="43"/>
        <v>0</v>
      </c>
      <c r="BT20" s="61">
        <f t="shared" si="44"/>
        <v>0</v>
      </c>
      <c r="BU20" s="61">
        <f t="shared" si="45"/>
        <v>0</v>
      </c>
      <c r="BV20" s="61">
        <f t="shared" si="46"/>
        <v>0</v>
      </c>
      <c r="BW20" s="61">
        <f t="shared" si="47"/>
        <v>0</v>
      </c>
      <c r="BX20" s="61">
        <f t="shared" si="48"/>
        <v>0</v>
      </c>
      <c r="BY20" s="61">
        <f t="shared" si="49"/>
        <v>0</v>
      </c>
      <c r="BZ20" s="61">
        <f t="shared" si="50"/>
        <v>0</v>
      </c>
      <c r="CA20" s="61">
        <f t="shared" si="51"/>
        <v>0</v>
      </c>
      <c r="CB20" s="61">
        <f t="shared" si="52"/>
        <v>0</v>
      </c>
      <c r="CD20" s="200">
        <f>(SUMIF(Fonctionnement[Affectation matrice],$AB$3,Fonctionnement[TVA acquittée])+SUMIF(Invest[Affectation matrice],$AB$3,Invest[TVA acquittée]))*BC20</f>
        <v>0</v>
      </c>
      <c r="CE20" s="200">
        <f>(SUMIF(Fonctionnement[Affectation matrice],$AB$3,Fonctionnement[TVA acquittée])+SUMIF(Invest[Affectation matrice],$AB$3,Invest[TVA acquittée]))*BD20</f>
        <v>0</v>
      </c>
      <c r="CF20" s="200">
        <f>(SUMIF(Fonctionnement[Affectation matrice],$AB$3,Fonctionnement[TVA acquittée])+SUMIF(Invest[Affectation matrice],$AB$3,Invest[TVA acquittée]))*BE20</f>
        <v>0</v>
      </c>
      <c r="CG20" s="200">
        <f>(SUMIF(Fonctionnement[Affectation matrice],$AB$3,Fonctionnement[TVA acquittée])+SUMIF(Invest[Affectation matrice],$AB$3,Invest[TVA acquittée]))*BF20</f>
        <v>0</v>
      </c>
      <c r="CH20" s="200">
        <f>(SUMIF(Fonctionnement[Affectation matrice],$AB$3,Fonctionnement[TVA acquittée])+SUMIF(Invest[Affectation matrice],$AB$3,Invest[TVA acquittée]))*BG20</f>
        <v>0</v>
      </c>
      <c r="CI20" s="200">
        <f>(SUMIF(Fonctionnement[Affectation matrice],$AB$3,Fonctionnement[TVA acquittée])+SUMIF(Invest[Affectation matrice],$AB$3,Invest[TVA acquittée]))*BH20</f>
        <v>0</v>
      </c>
      <c r="CJ20" s="200">
        <f>(SUMIF(Fonctionnement[Affectation matrice],$AB$3,Fonctionnement[TVA acquittée])+SUMIF(Invest[Affectation matrice],$AB$3,Invest[TVA acquittée]))*BI20</f>
        <v>0</v>
      </c>
      <c r="CK20" s="200">
        <f>(SUMIF(Fonctionnement[Affectation matrice],$AB$3,Fonctionnement[TVA acquittée])+SUMIF(Invest[Affectation matrice],$AB$3,Invest[TVA acquittée]))*BJ20</f>
        <v>0</v>
      </c>
      <c r="CL20" s="200">
        <f>(SUMIF(Fonctionnement[Affectation matrice],$AB$3,Fonctionnement[TVA acquittée])+SUMIF(Invest[Affectation matrice],$AB$3,Invest[TVA acquittée]))*BK20</f>
        <v>0</v>
      </c>
      <c r="CM20" s="200">
        <f>(SUMIF(Fonctionnement[Affectation matrice],$AB$3,Fonctionnement[TVA acquittée])+SUMIF(Invest[Affectation matrice],$AB$3,Invest[TVA acquittée]))*BL20</f>
        <v>0</v>
      </c>
      <c r="CN20" s="200">
        <f>(SUMIF(Fonctionnement[Affectation matrice],$AB$3,Fonctionnement[TVA acquittée])+SUMIF(Invest[Affectation matrice],$AB$3,Invest[TVA acquittée]))*BM20</f>
        <v>0</v>
      </c>
      <c r="CO20" s="200">
        <f>(SUMIF(Fonctionnement[Affectation matrice],$AB$3,Fonctionnement[TVA acquittée])+SUMIF(Invest[Affectation matrice],$AB$3,Invest[TVA acquittée]))*BN20</f>
        <v>0</v>
      </c>
      <c r="CP20" s="200">
        <f>(SUMIF(Fonctionnement[Affectation matrice],$AB$3,Fonctionnement[TVA acquittée])+SUMIF(Invest[Affectation matrice],$AB$3,Invest[TVA acquittée]))*BO20</f>
        <v>0</v>
      </c>
      <c r="CQ20" s="200">
        <f>(SUMIF(Fonctionnement[Affectation matrice],$AB$3,Fonctionnement[TVA acquittée])+SUMIF(Invest[Affectation matrice],$AB$3,Invest[TVA acquittée]))*BP20</f>
        <v>0</v>
      </c>
      <c r="CR20" s="200">
        <f>(SUMIF(Fonctionnement[Affectation matrice],$AB$3,Fonctionnement[TVA acquittée])+SUMIF(Invest[Affectation matrice],$AB$3,Invest[TVA acquittée]))*BQ20</f>
        <v>0</v>
      </c>
      <c r="CS20" s="200">
        <f>(SUMIF(Fonctionnement[Affectation matrice],$AB$3,Fonctionnement[TVA acquittée])+SUMIF(Invest[Affectation matrice],$AB$3,Invest[TVA acquittée]))*BR20</f>
        <v>0</v>
      </c>
      <c r="CT20" s="200">
        <f>(SUMIF(Fonctionnement[Affectation matrice],$AB$3,Fonctionnement[TVA acquittée])+SUMIF(Invest[Affectation matrice],$AB$3,Invest[TVA acquittée]))*BS20</f>
        <v>0</v>
      </c>
      <c r="CU20" s="200">
        <f>(SUMIF(Fonctionnement[Affectation matrice],$AB$3,Fonctionnement[TVA acquittée])+SUMIF(Invest[Affectation matrice],$AB$3,Invest[TVA acquittée]))*BT20</f>
        <v>0</v>
      </c>
      <c r="CV20" s="200">
        <f>(SUMIF(Fonctionnement[Affectation matrice],$AB$3,Fonctionnement[TVA acquittée])+SUMIF(Invest[Affectation matrice],$AB$3,Invest[TVA acquittée]))*BU20</f>
        <v>0</v>
      </c>
      <c r="CW20" s="200">
        <f>(SUMIF(Fonctionnement[Affectation matrice],$AB$3,Fonctionnement[TVA acquittée])+SUMIF(Invest[Affectation matrice],$AB$3,Invest[TVA acquittée]))*BV20</f>
        <v>0</v>
      </c>
      <c r="CX20" s="200">
        <f>(SUMIF(Fonctionnement[Affectation matrice],$AB$3,Fonctionnement[TVA acquittée])+SUMIF(Invest[Affectation matrice],$AB$3,Invest[TVA acquittée]))*BW20</f>
        <v>0</v>
      </c>
      <c r="CY20" s="200">
        <f>(SUMIF(Fonctionnement[Affectation matrice],$AB$3,Fonctionnement[TVA acquittée])+SUMIF(Invest[Affectation matrice],$AB$3,Invest[TVA acquittée]))*BX20</f>
        <v>0</v>
      </c>
      <c r="CZ20" s="200">
        <f>(SUMIF(Fonctionnement[Affectation matrice],$AB$3,Fonctionnement[TVA acquittée])+SUMIF(Invest[Affectation matrice],$AB$3,Invest[TVA acquittée]))*BY20</f>
        <v>0</v>
      </c>
      <c r="DA20" s="200">
        <f>(SUMIF(Fonctionnement[Affectation matrice],$AB$3,Fonctionnement[TVA acquittée])+SUMIF(Invest[Affectation matrice],$AB$3,Invest[TVA acquittée]))*BZ20</f>
        <v>0</v>
      </c>
      <c r="DB20" s="200">
        <f>(SUMIF(Fonctionnement[Affectation matrice],$AB$3,Fonctionnement[TVA acquittée])+SUMIF(Invest[Affectation matrice],$AB$3,Invest[TVA acquittée]))*CA20</f>
        <v>0</v>
      </c>
    </row>
    <row r="21" spans="1:106" s="22" customFormat="1" ht="12.75" hidden="1" customHeight="1" x14ac:dyDescent="0.25">
      <c r="A21" s="42">
        <f>Matrice[[#This Row],[Ligne de la matrice]]</f>
        <v>0</v>
      </c>
      <c r="B21" s="276">
        <f>(SUMIF(Fonctionnement[Affectation matrice],$AB$3,Fonctionnement[Montant (€HT)])+SUMIF(Invest[Affectation matrice],$AB$3,Invest[Amortissement HT + intérêts]))*BC21</f>
        <v>0</v>
      </c>
      <c r="C21" s="276">
        <f>(SUMIF(Fonctionnement[Affectation matrice],$AB$3,Fonctionnement[Montant (€HT)])+SUMIF(Invest[Affectation matrice],$AB$3,Invest[Amortissement HT + intérêts]))*BD21</f>
        <v>0</v>
      </c>
      <c r="D21" s="276">
        <f>(SUMIF(Fonctionnement[Affectation matrice],$AB$3,Fonctionnement[Montant (€HT)])+SUMIF(Invest[Affectation matrice],$AB$3,Invest[Amortissement HT + intérêts]))*BE21</f>
        <v>0</v>
      </c>
      <c r="E21" s="276">
        <f>(SUMIF(Fonctionnement[Affectation matrice],$AB$3,Fonctionnement[Montant (€HT)])+SUMIF(Invest[Affectation matrice],$AB$3,Invest[Amortissement HT + intérêts]))*BF21</f>
        <v>0</v>
      </c>
      <c r="F21" s="276">
        <f>(SUMIF(Fonctionnement[Affectation matrice],$AB$3,Fonctionnement[Montant (€HT)])+SUMIF(Invest[Affectation matrice],$AB$3,Invest[Amortissement HT + intérêts]))*BG21</f>
        <v>0</v>
      </c>
      <c r="G21" s="276">
        <f>(SUMIF(Fonctionnement[Affectation matrice],$AB$3,Fonctionnement[Montant (€HT)])+SUMIF(Invest[Affectation matrice],$AB$3,Invest[Amortissement HT + intérêts]))*BH21</f>
        <v>0</v>
      </c>
      <c r="H21" s="276">
        <f>(SUMIF(Fonctionnement[Affectation matrice],$AB$3,Fonctionnement[Montant (€HT)])+SUMIF(Invest[Affectation matrice],$AB$3,Invest[Amortissement HT + intérêts]))*BI21</f>
        <v>0</v>
      </c>
      <c r="I21" s="276">
        <f>(SUMIF(Fonctionnement[Affectation matrice],$AB$3,Fonctionnement[Montant (€HT)])+SUMIF(Invest[Affectation matrice],$AB$3,Invest[Amortissement HT + intérêts]))*BJ21</f>
        <v>0</v>
      </c>
      <c r="J21" s="276">
        <f>(SUMIF(Fonctionnement[Affectation matrice],$AB$3,Fonctionnement[Montant (€HT)])+SUMIF(Invest[Affectation matrice],$AB$3,Invest[Amortissement HT + intérêts]))*BK21</f>
        <v>0</v>
      </c>
      <c r="K21" s="276">
        <f>(SUMIF(Fonctionnement[Affectation matrice],$AB$3,Fonctionnement[Montant (€HT)])+SUMIF(Invest[Affectation matrice],$AB$3,Invest[Amortissement HT + intérêts]))*BL21</f>
        <v>0</v>
      </c>
      <c r="L21" s="276">
        <f>(SUMIF(Fonctionnement[Affectation matrice],$AB$3,Fonctionnement[Montant (€HT)])+SUMIF(Invest[Affectation matrice],$AB$3,Invest[Amortissement HT + intérêts]))*BM21</f>
        <v>0</v>
      </c>
      <c r="M21" s="276">
        <f>(SUMIF(Fonctionnement[Affectation matrice],$AB$3,Fonctionnement[Montant (€HT)])+SUMIF(Invest[Affectation matrice],$AB$3,Invest[Amortissement HT + intérêts]))*BN21</f>
        <v>0</v>
      </c>
      <c r="N21" s="276">
        <f>(SUMIF(Fonctionnement[Affectation matrice],$AB$3,Fonctionnement[Montant (€HT)])+SUMIF(Invest[Affectation matrice],$AB$3,Invest[Amortissement HT + intérêts]))*BO21</f>
        <v>0</v>
      </c>
      <c r="O21" s="276">
        <f>(SUMIF(Fonctionnement[Affectation matrice],$AB$3,Fonctionnement[Montant (€HT)])+SUMIF(Invest[Affectation matrice],$AB$3,Invest[Amortissement HT + intérêts]))*BP21</f>
        <v>0</v>
      </c>
      <c r="P21" s="276">
        <f>(SUMIF(Fonctionnement[Affectation matrice],$AB$3,Fonctionnement[Montant (€HT)])+SUMIF(Invest[Affectation matrice],$AB$3,Invest[Amortissement HT + intérêts]))*BQ21</f>
        <v>0</v>
      </c>
      <c r="Q21" s="276">
        <f>(SUMIF(Fonctionnement[Affectation matrice],$AB$3,Fonctionnement[Montant (€HT)])+SUMIF(Invest[Affectation matrice],$AB$3,Invest[Amortissement HT + intérêts]))*BR21</f>
        <v>0</v>
      </c>
      <c r="R21" s="276">
        <f>(SUMIF(Fonctionnement[Affectation matrice],$AB$3,Fonctionnement[Montant (€HT)])+SUMIF(Invest[Affectation matrice],$AB$3,Invest[Amortissement HT + intérêts]))*BS21</f>
        <v>0</v>
      </c>
      <c r="S21" s="276">
        <f>(SUMIF(Fonctionnement[Affectation matrice],$AB$3,Fonctionnement[Montant (€HT)])+SUMIF(Invest[Affectation matrice],$AB$3,Invest[Amortissement HT + intérêts]))*BT21</f>
        <v>0</v>
      </c>
      <c r="T21" s="276">
        <f>(SUMIF(Fonctionnement[Affectation matrice],$AB$3,Fonctionnement[Montant (€HT)])+SUMIF(Invest[Affectation matrice],$AB$3,Invest[Amortissement HT + intérêts]))*BU21</f>
        <v>0</v>
      </c>
      <c r="U21" s="276">
        <f>(SUMIF(Fonctionnement[Affectation matrice],$AB$3,Fonctionnement[Montant (€HT)])+SUMIF(Invest[Affectation matrice],$AB$3,Invest[Amortissement HT + intérêts]))*BV21</f>
        <v>0</v>
      </c>
      <c r="V21" s="276">
        <f>(SUMIF(Fonctionnement[Affectation matrice],$AB$3,Fonctionnement[Montant (€HT)])+SUMIF(Invest[Affectation matrice],$AB$3,Invest[Amortissement HT + intérêts]))*BW21</f>
        <v>0</v>
      </c>
      <c r="W21" s="276">
        <f>(SUMIF(Fonctionnement[Affectation matrice],$AB$3,Fonctionnement[Montant (€HT)])+SUMIF(Invest[Affectation matrice],$AB$3,Invest[Amortissement HT + intérêts]))*BX21</f>
        <v>0</v>
      </c>
      <c r="X21" s="276">
        <f>(SUMIF(Fonctionnement[Affectation matrice],$AB$3,Fonctionnement[Montant (€HT)])+SUMIF(Invest[Affectation matrice],$AB$3,Invest[Amortissement HT + intérêts]))*BY21</f>
        <v>0</v>
      </c>
      <c r="Y21" s="276">
        <f>(SUMIF(Fonctionnement[Affectation matrice],$AB$3,Fonctionnement[Montant (€HT)])+SUMIF(Invest[Affectation matrice],$AB$3,Invest[Amortissement HT + intérêts]))*BZ21</f>
        <v>0</v>
      </c>
      <c r="Z21" s="276">
        <f>(SUMIF(Fonctionnement[Affectation matrice],$AB$3,Fonctionnement[Montant (€HT)])+SUMIF(Invest[Affectation matrice],$AB$3,Invest[Amortissement HT + intérêts]))*CA21</f>
        <v>0</v>
      </c>
      <c r="AA21" s="199"/>
      <c r="AB21" s="302" t="str">
        <f t="shared" si="53"/>
        <v/>
      </c>
      <c r="AC21" s="302" t="str">
        <f t="shared" si="53"/>
        <v/>
      </c>
      <c r="AD21" s="302" t="str">
        <f t="shared" si="53"/>
        <v/>
      </c>
      <c r="AE21" s="302" t="str">
        <f t="shared" si="53"/>
        <v/>
      </c>
      <c r="AF21" s="302" t="str">
        <f t="shared" si="53"/>
        <v/>
      </c>
      <c r="AG21" s="302" t="str">
        <f t="shared" si="53"/>
        <v/>
      </c>
      <c r="AH21" s="302" t="str">
        <f t="shared" si="53"/>
        <v/>
      </c>
      <c r="AI21" s="302" t="str">
        <f t="shared" si="53"/>
        <v/>
      </c>
      <c r="AJ21" s="302" t="str">
        <f t="shared" si="53"/>
        <v/>
      </c>
      <c r="AK21" s="302" t="str">
        <f t="shared" si="53"/>
        <v/>
      </c>
      <c r="AL21" s="302" t="str">
        <f t="shared" si="54"/>
        <v/>
      </c>
      <c r="AM21" s="302" t="str">
        <f t="shared" si="54"/>
        <v/>
      </c>
      <c r="AN21" s="302" t="str">
        <f t="shared" si="54"/>
        <v/>
      </c>
      <c r="AO21" s="302" t="str">
        <f t="shared" si="54"/>
        <v/>
      </c>
      <c r="AP21" s="302" t="str">
        <f t="shared" si="54"/>
        <v/>
      </c>
      <c r="AQ21" s="302" t="str">
        <f t="shared" si="54"/>
        <v/>
      </c>
      <c r="AR21" s="302" t="str">
        <f t="shared" si="54"/>
        <v/>
      </c>
      <c r="AS21" s="302" t="str">
        <f t="shared" si="54"/>
        <v/>
      </c>
      <c r="AT21" s="302" t="str">
        <f t="shared" si="54"/>
        <v/>
      </c>
      <c r="AU21" s="302" t="str">
        <f t="shared" si="54"/>
        <v/>
      </c>
      <c r="AV21" s="302" t="str">
        <f t="shared" si="54"/>
        <v/>
      </c>
      <c r="AW21" s="302" t="str">
        <f t="shared" si="54"/>
        <v/>
      </c>
      <c r="AX21" s="302" t="str">
        <f t="shared" si="54"/>
        <v/>
      </c>
      <c r="AY21" s="302" t="str">
        <f t="shared" si="54"/>
        <v/>
      </c>
      <c r="AZ21" s="302" t="str">
        <f t="shared" si="54"/>
        <v/>
      </c>
      <c r="BA21" s="283" t="str">
        <f t="shared" si="54"/>
        <v/>
      </c>
      <c r="BB21" s="7"/>
      <c r="BC21" s="61">
        <f t="shared" si="27"/>
        <v>0</v>
      </c>
      <c r="BD21" s="61">
        <f t="shared" si="28"/>
        <v>0</v>
      </c>
      <c r="BE21" s="61">
        <f t="shared" si="29"/>
        <v>0</v>
      </c>
      <c r="BF21" s="61">
        <f t="shared" si="30"/>
        <v>0</v>
      </c>
      <c r="BG21" s="61">
        <f t="shared" si="31"/>
        <v>0</v>
      </c>
      <c r="BH21" s="61">
        <f t="shared" si="32"/>
        <v>0</v>
      </c>
      <c r="BI21" s="61">
        <f t="shared" si="33"/>
        <v>0</v>
      </c>
      <c r="BJ21" s="61">
        <f t="shared" si="34"/>
        <v>0</v>
      </c>
      <c r="BK21" s="61">
        <f t="shared" si="35"/>
        <v>0</v>
      </c>
      <c r="BL21" s="61">
        <f t="shared" si="36"/>
        <v>0</v>
      </c>
      <c r="BM21" s="61">
        <f t="shared" si="37"/>
        <v>0</v>
      </c>
      <c r="BN21" s="61">
        <f t="shared" si="38"/>
        <v>0</v>
      </c>
      <c r="BO21" s="61">
        <f t="shared" si="39"/>
        <v>0</v>
      </c>
      <c r="BP21" s="61">
        <f t="shared" si="40"/>
        <v>0</v>
      </c>
      <c r="BQ21" s="61">
        <f t="shared" si="41"/>
        <v>0</v>
      </c>
      <c r="BR21" s="61">
        <f t="shared" si="42"/>
        <v>0</v>
      </c>
      <c r="BS21" s="61">
        <f t="shared" si="43"/>
        <v>0</v>
      </c>
      <c r="BT21" s="61">
        <f t="shared" si="44"/>
        <v>0</v>
      </c>
      <c r="BU21" s="61">
        <f t="shared" si="45"/>
        <v>0</v>
      </c>
      <c r="BV21" s="61">
        <f t="shared" si="46"/>
        <v>0</v>
      </c>
      <c r="BW21" s="61">
        <f t="shared" si="47"/>
        <v>0</v>
      </c>
      <c r="BX21" s="61">
        <f t="shared" si="48"/>
        <v>0</v>
      </c>
      <c r="BY21" s="61">
        <f t="shared" si="49"/>
        <v>0</v>
      </c>
      <c r="BZ21" s="61">
        <f t="shared" si="50"/>
        <v>0</v>
      </c>
      <c r="CA21" s="61">
        <f t="shared" si="51"/>
        <v>0</v>
      </c>
      <c r="CB21" s="61">
        <f t="shared" si="52"/>
        <v>0</v>
      </c>
      <c r="CD21" s="200">
        <f>(SUMIF(Fonctionnement[Affectation matrice],$AB$3,Fonctionnement[TVA acquittée])+SUMIF(Invest[Affectation matrice],$AB$3,Invest[TVA acquittée]))*BC21</f>
        <v>0</v>
      </c>
      <c r="CE21" s="200">
        <f>(SUMIF(Fonctionnement[Affectation matrice],$AB$3,Fonctionnement[TVA acquittée])+SUMIF(Invest[Affectation matrice],$AB$3,Invest[TVA acquittée]))*BD21</f>
        <v>0</v>
      </c>
      <c r="CF21" s="200">
        <f>(SUMIF(Fonctionnement[Affectation matrice],$AB$3,Fonctionnement[TVA acquittée])+SUMIF(Invest[Affectation matrice],$AB$3,Invest[TVA acquittée]))*BE21</f>
        <v>0</v>
      </c>
      <c r="CG21" s="200">
        <f>(SUMIF(Fonctionnement[Affectation matrice],$AB$3,Fonctionnement[TVA acquittée])+SUMIF(Invest[Affectation matrice],$AB$3,Invest[TVA acquittée]))*BF21</f>
        <v>0</v>
      </c>
      <c r="CH21" s="200">
        <f>(SUMIF(Fonctionnement[Affectation matrice],$AB$3,Fonctionnement[TVA acquittée])+SUMIF(Invest[Affectation matrice],$AB$3,Invest[TVA acquittée]))*BG21</f>
        <v>0</v>
      </c>
      <c r="CI21" s="200">
        <f>(SUMIF(Fonctionnement[Affectation matrice],$AB$3,Fonctionnement[TVA acquittée])+SUMIF(Invest[Affectation matrice],$AB$3,Invest[TVA acquittée]))*BH21</f>
        <v>0</v>
      </c>
      <c r="CJ21" s="200">
        <f>(SUMIF(Fonctionnement[Affectation matrice],$AB$3,Fonctionnement[TVA acquittée])+SUMIF(Invest[Affectation matrice],$AB$3,Invest[TVA acquittée]))*BI21</f>
        <v>0</v>
      </c>
      <c r="CK21" s="200">
        <f>(SUMIF(Fonctionnement[Affectation matrice],$AB$3,Fonctionnement[TVA acquittée])+SUMIF(Invest[Affectation matrice],$AB$3,Invest[TVA acquittée]))*BJ21</f>
        <v>0</v>
      </c>
      <c r="CL21" s="200">
        <f>(SUMIF(Fonctionnement[Affectation matrice],$AB$3,Fonctionnement[TVA acquittée])+SUMIF(Invest[Affectation matrice],$AB$3,Invest[TVA acquittée]))*BK21</f>
        <v>0</v>
      </c>
      <c r="CM21" s="200">
        <f>(SUMIF(Fonctionnement[Affectation matrice],$AB$3,Fonctionnement[TVA acquittée])+SUMIF(Invest[Affectation matrice],$AB$3,Invest[TVA acquittée]))*BL21</f>
        <v>0</v>
      </c>
      <c r="CN21" s="200">
        <f>(SUMIF(Fonctionnement[Affectation matrice],$AB$3,Fonctionnement[TVA acquittée])+SUMIF(Invest[Affectation matrice],$AB$3,Invest[TVA acquittée]))*BM21</f>
        <v>0</v>
      </c>
      <c r="CO21" s="200">
        <f>(SUMIF(Fonctionnement[Affectation matrice],$AB$3,Fonctionnement[TVA acquittée])+SUMIF(Invest[Affectation matrice],$AB$3,Invest[TVA acquittée]))*BN21</f>
        <v>0</v>
      </c>
      <c r="CP21" s="200">
        <f>(SUMIF(Fonctionnement[Affectation matrice],$AB$3,Fonctionnement[TVA acquittée])+SUMIF(Invest[Affectation matrice],$AB$3,Invest[TVA acquittée]))*BO21</f>
        <v>0</v>
      </c>
      <c r="CQ21" s="200">
        <f>(SUMIF(Fonctionnement[Affectation matrice],$AB$3,Fonctionnement[TVA acquittée])+SUMIF(Invest[Affectation matrice],$AB$3,Invest[TVA acquittée]))*BP21</f>
        <v>0</v>
      </c>
      <c r="CR21" s="200">
        <f>(SUMIF(Fonctionnement[Affectation matrice],$AB$3,Fonctionnement[TVA acquittée])+SUMIF(Invest[Affectation matrice],$AB$3,Invest[TVA acquittée]))*BQ21</f>
        <v>0</v>
      </c>
      <c r="CS21" s="200">
        <f>(SUMIF(Fonctionnement[Affectation matrice],$AB$3,Fonctionnement[TVA acquittée])+SUMIF(Invest[Affectation matrice],$AB$3,Invest[TVA acquittée]))*BR21</f>
        <v>0</v>
      </c>
      <c r="CT21" s="200">
        <f>(SUMIF(Fonctionnement[Affectation matrice],$AB$3,Fonctionnement[TVA acquittée])+SUMIF(Invest[Affectation matrice],$AB$3,Invest[TVA acquittée]))*BS21</f>
        <v>0</v>
      </c>
      <c r="CU21" s="200">
        <f>(SUMIF(Fonctionnement[Affectation matrice],$AB$3,Fonctionnement[TVA acquittée])+SUMIF(Invest[Affectation matrice],$AB$3,Invest[TVA acquittée]))*BT21</f>
        <v>0</v>
      </c>
      <c r="CV21" s="200">
        <f>(SUMIF(Fonctionnement[Affectation matrice],$AB$3,Fonctionnement[TVA acquittée])+SUMIF(Invest[Affectation matrice],$AB$3,Invest[TVA acquittée]))*BU21</f>
        <v>0</v>
      </c>
      <c r="CW21" s="200">
        <f>(SUMIF(Fonctionnement[Affectation matrice],$AB$3,Fonctionnement[TVA acquittée])+SUMIF(Invest[Affectation matrice],$AB$3,Invest[TVA acquittée]))*BV21</f>
        <v>0</v>
      </c>
      <c r="CX21" s="200">
        <f>(SUMIF(Fonctionnement[Affectation matrice],$AB$3,Fonctionnement[TVA acquittée])+SUMIF(Invest[Affectation matrice],$AB$3,Invest[TVA acquittée]))*BW21</f>
        <v>0</v>
      </c>
      <c r="CY21" s="200">
        <f>(SUMIF(Fonctionnement[Affectation matrice],$AB$3,Fonctionnement[TVA acquittée])+SUMIF(Invest[Affectation matrice],$AB$3,Invest[TVA acquittée]))*BX21</f>
        <v>0</v>
      </c>
      <c r="CZ21" s="200">
        <f>(SUMIF(Fonctionnement[Affectation matrice],$AB$3,Fonctionnement[TVA acquittée])+SUMIF(Invest[Affectation matrice],$AB$3,Invest[TVA acquittée]))*BY21</f>
        <v>0</v>
      </c>
      <c r="DA21" s="200">
        <f>(SUMIF(Fonctionnement[Affectation matrice],$AB$3,Fonctionnement[TVA acquittée])+SUMIF(Invest[Affectation matrice],$AB$3,Invest[TVA acquittée]))*BZ21</f>
        <v>0</v>
      </c>
      <c r="DB21" s="200">
        <f>(SUMIF(Fonctionnement[Affectation matrice],$AB$3,Fonctionnement[TVA acquittée])+SUMIF(Invest[Affectation matrice],$AB$3,Invest[TVA acquittée]))*CA21</f>
        <v>0</v>
      </c>
    </row>
    <row r="22" spans="1:106" s="22" customFormat="1" ht="12.75" hidden="1" customHeight="1" x14ac:dyDescent="0.25">
      <c r="A22" s="42">
        <f>Matrice[[#This Row],[Ligne de la matrice]]</f>
        <v>0</v>
      </c>
      <c r="B22" s="276">
        <f>(SUMIF(Fonctionnement[Affectation matrice],$AB$3,Fonctionnement[Montant (€HT)])+SUMIF(Invest[Affectation matrice],$AB$3,Invest[Amortissement HT + intérêts]))*BC22</f>
        <v>0</v>
      </c>
      <c r="C22" s="276">
        <f>(SUMIF(Fonctionnement[Affectation matrice],$AB$3,Fonctionnement[Montant (€HT)])+SUMIF(Invest[Affectation matrice],$AB$3,Invest[Amortissement HT + intérêts]))*BD22</f>
        <v>0</v>
      </c>
      <c r="D22" s="276">
        <f>(SUMIF(Fonctionnement[Affectation matrice],$AB$3,Fonctionnement[Montant (€HT)])+SUMIF(Invest[Affectation matrice],$AB$3,Invest[Amortissement HT + intérêts]))*BE22</f>
        <v>0</v>
      </c>
      <c r="E22" s="276">
        <f>(SUMIF(Fonctionnement[Affectation matrice],$AB$3,Fonctionnement[Montant (€HT)])+SUMIF(Invest[Affectation matrice],$AB$3,Invest[Amortissement HT + intérêts]))*BF22</f>
        <v>0</v>
      </c>
      <c r="F22" s="276">
        <f>(SUMIF(Fonctionnement[Affectation matrice],$AB$3,Fonctionnement[Montant (€HT)])+SUMIF(Invest[Affectation matrice],$AB$3,Invest[Amortissement HT + intérêts]))*BG22</f>
        <v>0</v>
      </c>
      <c r="G22" s="276">
        <f>(SUMIF(Fonctionnement[Affectation matrice],$AB$3,Fonctionnement[Montant (€HT)])+SUMIF(Invest[Affectation matrice],$AB$3,Invest[Amortissement HT + intérêts]))*BH22</f>
        <v>0</v>
      </c>
      <c r="H22" s="276">
        <f>(SUMIF(Fonctionnement[Affectation matrice],$AB$3,Fonctionnement[Montant (€HT)])+SUMIF(Invest[Affectation matrice],$AB$3,Invest[Amortissement HT + intérêts]))*BI22</f>
        <v>0</v>
      </c>
      <c r="I22" s="276">
        <f>(SUMIF(Fonctionnement[Affectation matrice],$AB$3,Fonctionnement[Montant (€HT)])+SUMIF(Invest[Affectation matrice],$AB$3,Invest[Amortissement HT + intérêts]))*BJ22</f>
        <v>0</v>
      </c>
      <c r="J22" s="276">
        <f>(SUMIF(Fonctionnement[Affectation matrice],$AB$3,Fonctionnement[Montant (€HT)])+SUMIF(Invest[Affectation matrice],$AB$3,Invest[Amortissement HT + intérêts]))*BK22</f>
        <v>0</v>
      </c>
      <c r="K22" s="276">
        <f>(SUMIF(Fonctionnement[Affectation matrice],$AB$3,Fonctionnement[Montant (€HT)])+SUMIF(Invest[Affectation matrice],$AB$3,Invest[Amortissement HT + intérêts]))*BL22</f>
        <v>0</v>
      </c>
      <c r="L22" s="276">
        <f>(SUMIF(Fonctionnement[Affectation matrice],$AB$3,Fonctionnement[Montant (€HT)])+SUMIF(Invest[Affectation matrice],$AB$3,Invest[Amortissement HT + intérêts]))*BM22</f>
        <v>0</v>
      </c>
      <c r="M22" s="276">
        <f>(SUMIF(Fonctionnement[Affectation matrice],$AB$3,Fonctionnement[Montant (€HT)])+SUMIF(Invest[Affectation matrice],$AB$3,Invest[Amortissement HT + intérêts]))*BN22</f>
        <v>0</v>
      </c>
      <c r="N22" s="276">
        <f>(SUMIF(Fonctionnement[Affectation matrice],$AB$3,Fonctionnement[Montant (€HT)])+SUMIF(Invest[Affectation matrice],$AB$3,Invest[Amortissement HT + intérêts]))*BO22</f>
        <v>0</v>
      </c>
      <c r="O22" s="276">
        <f>(SUMIF(Fonctionnement[Affectation matrice],$AB$3,Fonctionnement[Montant (€HT)])+SUMIF(Invest[Affectation matrice],$AB$3,Invest[Amortissement HT + intérêts]))*BP22</f>
        <v>0</v>
      </c>
      <c r="P22" s="276">
        <f>(SUMIF(Fonctionnement[Affectation matrice],$AB$3,Fonctionnement[Montant (€HT)])+SUMIF(Invest[Affectation matrice],$AB$3,Invest[Amortissement HT + intérêts]))*BQ22</f>
        <v>0</v>
      </c>
      <c r="Q22" s="276">
        <f>(SUMIF(Fonctionnement[Affectation matrice],$AB$3,Fonctionnement[Montant (€HT)])+SUMIF(Invest[Affectation matrice],$AB$3,Invest[Amortissement HT + intérêts]))*BR22</f>
        <v>0</v>
      </c>
      <c r="R22" s="276">
        <f>(SUMIF(Fonctionnement[Affectation matrice],$AB$3,Fonctionnement[Montant (€HT)])+SUMIF(Invest[Affectation matrice],$AB$3,Invest[Amortissement HT + intérêts]))*BS22</f>
        <v>0</v>
      </c>
      <c r="S22" s="276">
        <f>(SUMIF(Fonctionnement[Affectation matrice],$AB$3,Fonctionnement[Montant (€HT)])+SUMIF(Invest[Affectation matrice],$AB$3,Invest[Amortissement HT + intérêts]))*BT22</f>
        <v>0</v>
      </c>
      <c r="T22" s="276">
        <f>(SUMIF(Fonctionnement[Affectation matrice],$AB$3,Fonctionnement[Montant (€HT)])+SUMIF(Invest[Affectation matrice],$AB$3,Invest[Amortissement HT + intérêts]))*BU22</f>
        <v>0</v>
      </c>
      <c r="U22" s="276">
        <f>(SUMIF(Fonctionnement[Affectation matrice],$AB$3,Fonctionnement[Montant (€HT)])+SUMIF(Invest[Affectation matrice],$AB$3,Invest[Amortissement HT + intérêts]))*BV22</f>
        <v>0</v>
      </c>
      <c r="V22" s="276">
        <f>(SUMIF(Fonctionnement[Affectation matrice],$AB$3,Fonctionnement[Montant (€HT)])+SUMIF(Invest[Affectation matrice],$AB$3,Invest[Amortissement HT + intérêts]))*BW22</f>
        <v>0</v>
      </c>
      <c r="W22" s="276">
        <f>(SUMIF(Fonctionnement[Affectation matrice],$AB$3,Fonctionnement[Montant (€HT)])+SUMIF(Invest[Affectation matrice],$AB$3,Invest[Amortissement HT + intérêts]))*BX22</f>
        <v>0</v>
      </c>
      <c r="X22" s="276">
        <f>(SUMIF(Fonctionnement[Affectation matrice],$AB$3,Fonctionnement[Montant (€HT)])+SUMIF(Invest[Affectation matrice],$AB$3,Invest[Amortissement HT + intérêts]))*BY22</f>
        <v>0</v>
      </c>
      <c r="Y22" s="276">
        <f>(SUMIF(Fonctionnement[Affectation matrice],$AB$3,Fonctionnement[Montant (€HT)])+SUMIF(Invest[Affectation matrice],$AB$3,Invest[Amortissement HT + intérêts]))*BZ22</f>
        <v>0</v>
      </c>
      <c r="Z22" s="276">
        <f>(SUMIF(Fonctionnement[Affectation matrice],$AB$3,Fonctionnement[Montant (€HT)])+SUMIF(Invest[Affectation matrice],$AB$3,Invest[Amortissement HT + intérêts]))*CA22</f>
        <v>0</v>
      </c>
      <c r="AA22" s="199"/>
      <c r="AB22" s="302" t="str">
        <f t="shared" si="53"/>
        <v/>
      </c>
      <c r="AC22" s="302" t="str">
        <f t="shared" si="53"/>
        <v/>
      </c>
      <c r="AD22" s="302" t="str">
        <f t="shared" si="53"/>
        <v/>
      </c>
      <c r="AE22" s="302" t="str">
        <f t="shared" si="53"/>
        <v/>
      </c>
      <c r="AF22" s="302" t="str">
        <f t="shared" si="53"/>
        <v/>
      </c>
      <c r="AG22" s="302" t="str">
        <f t="shared" si="53"/>
        <v/>
      </c>
      <c r="AH22" s="302" t="str">
        <f t="shared" si="53"/>
        <v/>
      </c>
      <c r="AI22" s="302" t="str">
        <f t="shared" si="53"/>
        <v/>
      </c>
      <c r="AJ22" s="302" t="str">
        <f t="shared" si="53"/>
        <v/>
      </c>
      <c r="AK22" s="302" t="str">
        <f t="shared" si="53"/>
        <v/>
      </c>
      <c r="AL22" s="302" t="str">
        <f t="shared" si="54"/>
        <v/>
      </c>
      <c r="AM22" s="302" t="str">
        <f t="shared" si="54"/>
        <v/>
      </c>
      <c r="AN22" s="302" t="str">
        <f t="shared" si="54"/>
        <v/>
      </c>
      <c r="AO22" s="302" t="str">
        <f t="shared" si="54"/>
        <v/>
      </c>
      <c r="AP22" s="302" t="str">
        <f t="shared" si="54"/>
        <v/>
      </c>
      <c r="AQ22" s="302" t="str">
        <f t="shared" si="54"/>
        <v/>
      </c>
      <c r="AR22" s="302" t="str">
        <f t="shared" si="54"/>
        <v/>
      </c>
      <c r="AS22" s="302" t="str">
        <f t="shared" si="54"/>
        <v/>
      </c>
      <c r="AT22" s="302" t="str">
        <f t="shared" si="54"/>
        <v/>
      </c>
      <c r="AU22" s="302" t="str">
        <f t="shared" si="54"/>
        <v/>
      </c>
      <c r="AV22" s="302" t="str">
        <f t="shared" si="54"/>
        <v/>
      </c>
      <c r="AW22" s="302" t="str">
        <f t="shared" si="54"/>
        <v/>
      </c>
      <c r="AX22" s="302" t="str">
        <f t="shared" si="54"/>
        <v/>
      </c>
      <c r="AY22" s="302" t="str">
        <f t="shared" si="54"/>
        <v/>
      </c>
      <c r="AZ22" s="302" t="str">
        <f t="shared" si="54"/>
        <v/>
      </c>
      <c r="BA22" s="283" t="str">
        <f t="shared" si="54"/>
        <v/>
      </c>
      <c r="BB22" s="7"/>
      <c r="BC22" s="61">
        <f t="shared" si="27"/>
        <v>0</v>
      </c>
      <c r="BD22" s="61">
        <f t="shared" si="28"/>
        <v>0</v>
      </c>
      <c r="BE22" s="61">
        <f t="shared" si="29"/>
        <v>0</v>
      </c>
      <c r="BF22" s="61">
        <f t="shared" si="30"/>
        <v>0</v>
      </c>
      <c r="BG22" s="61">
        <f t="shared" si="31"/>
        <v>0</v>
      </c>
      <c r="BH22" s="61">
        <f t="shared" si="32"/>
        <v>0</v>
      </c>
      <c r="BI22" s="61">
        <f t="shared" si="33"/>
        <v>0</v>
      </c>
      <c r="BJ22" s="61">
        <f t="shared" si="34"/>
        <v>0</v>
      </c>
      <c r="BK22" s="61">
        <f t="shared" si="35"/>
        <v>0</v>
      </c>
      <c r="BL22" s="61">
        <f t="shared" si="36"/>
        <v>0</v>
      </c>
      <c r="BM22" s="61">
        <f t="shared" si="37"/>
        <v>0</v>
      </c>
      <c r="BN22" s="61">
        <f t="shared" si="38"/>
        <v>0</v>
      </c>
      <c r="BO22" s="61">
        <f t="shared" si="39"/>
        <v>0</v>
      </c>
      <c r="BP22" s="61">
        <f t="shared" si="40"/>
        <v>0</v>
      </c>
      <c r="BQ22" s="61">
        <f t="shared" si="41"/>
        <v>0</v>
      </c>
      <c r="BR22" s="61">
        <f t="shared" si="42"/>
        <v>0</v>
      </c>
      <c r="BS22" s="61">
        <f t="shared" si="43"/>
        <v>0</v>
      </c>
      <c r="BT22" s="61">
        <f t="shared" si="44"/>
        <v>0</v>
      </c>
      <c r="BU22" s="61">
        <f t="shared" si="45"/>
        <v>0</v>
      </c>
      <c r="BV22" s="61">
        <f t="shared" si="46"/>
        <v>0</v>
      </c>
      <c r="BW22" s="61">
        <f t="shared" si="47"/>
        <v>0</v>
      </c>
      <c r="BX22" s="61">
        <f t="shared" si="48"/>
        <v>0</v>
      </c>
      <c r="BY22" s="61">
        <f t="shared" si="49"/>
        <v>0</v>
      </c>
      <c r="BZ22" s="61">
        <f t="shared" si="50"/>
        <v>0</v>
      </c>
      <c r="CA22" s="61">
        <f t="shared" si="51"/>
        <v>0</v>
      </c>
      <c r="CB22" s="61">
        <f t="shared" si="52"/>
        <v>0</v>
      </c>
      <c r="CD22" s="200">
        <f>(SUMIF(Fonctionnement[Affectation matrice],$AB$3,Fonctionnement[TVA acquittée])+SUMIF(Invest[Affectation matrice],$AB$3,Invest[TVA acquittée]))*BC22</f>
        <v>0</v>
      </c>
      <c r="CE22" s="200">
        <f>(SUMIF(Fonctionnement[Affectation matrice],$AB$3,Fonctionnement[TVA acquittée])+SUMIF(Invest[Affectation matrice],$AB$3,Invest[TVA acquittée]))*BD22</f>
        <v>0</v>
      </c>
      <c r="CF22" s="200">
        <f>(SUMIF(Fonctionnement[Affectation matrice],$AB$3,Fonctionnement[TVA acquittée])+SUMIF(Invest[Affectation matrice],$AB$3,Invest[TVA acquittée]))*BE22</f>
        <v>0</v>
      </c>
      <c r="CG22" s="200">
        <f>(SUMIF(Fonctionnement[Affectation matrice],$AB$3,Fonctionnement[TVA acquittée])+SUMIF(Invest[Affectation matrice],$AB$3,Invest[TVA acquittée]))*BF22</f>
        <v>0</v>
      </c>
      <c r="CH22" s="200">
        <f>(SUMIF(Fonctionnement[Affectation matrice],$AB$3,Fonctionnement[TVA acquittée])+SUMIF(Invest[Affectation matrice],$AB$3,Invest[TVA acquittée]))*BG22</f>
        <v>0</v>
      </c>
      <c r="CI22" s="200">
        <f>(SUMIF(Fonctionnement[Affectation matrice],$AB$3,Fonctionnement[TVA acquittée])+SUMIF(Invest[Affectation matrice],$AB$3,Invest[TVA acquittée]))*BH22</f>
        <v>0</v>
      </c>
      <c r="CJ22" s="200">
        <f>(SUMIF(Fonctionnement[Affectation matrice],$AB$3,Fonctionnement[TVA acquittée])+SUMIF(Invest[Affectation matrice],$AB$3,Invest[TVA acquittée]))*BI22</f>
        <v>0</v>
      </c>
      <c r="CK22" s="200">
        <f>(SUMIF(Fonctionnement[Affectation matrice],$AB$3,Fonctionnement[TVA acquittée])+SUMIF(Invest[Affectation matrice],$AB$3,Invest[TVA acquittée]))*BJ22</f>
        <v>0</v>
      </c>
      <c r="CL22" s="200">
        <f>(SUMIF(Fonctionnement[Affectation matrice],$AB$3,Fonctionnement[TVA acquittée])+SUMIF(Invest[Affectation matrice],$AB$3,Invest[TVA acquittée]))*BK22</f>
        <v>0</v>
      </c>
      <c r="CM22" s="200">
        <f>(SUMIF(Fonctionnement[Affectation matrice],$AB$3,Fonctionnement[TVA acquittée])+SUMIF(Invest[Affectation matrice],$AB$3,Invest[TVA acquittée]))*BL22</f>
        <v>0</v>
      </c>
      <c r="CN22" s="200">
        <f>(SUMIF(Fonctionnement[Affectation matrice],$AB$3,Fonctionnement[TVA acquittée])+SUMIF(Invest[Affectation matrice],$AB$3,Invest[TVA acquittée]))*BM22</f>
        <v>0</v>
      </c>
      <c r="CO22" s="200">
        <f>(SUMIF(Fonctionnement[Affectation matrice],$AB$3,Fonctionnement[TVA acquittée])+SUMIF(Invest[Affectation matrice],$AB$3,Invest[TVA acquittée]))*BN22</f>
        <v>0</v>
      </c>
      <c r="CP22" s="200">
        <f>(SUMIF(Fonctionnement[Affectation matrice],$AB$3,Fonctionnement[TVA acquittée])+SUMIF(Invest[Affectation matrice],$AB$3,Invest[TVA acquittée]))*BO22</f>
        <v>0</v>
      </c>
      <c r="CQ22" s="200">
        <f>(SUMIF(Fonctionnement[Affectation matrice],$AB$3,Fonctionnement[TVA acquittée])+SUMIF(Invest[Affectation matrice],$AB$3,Invest[TVA acquittée]))*BP22</f>
        <v>0</v>
      </c>
      <c r="CR22" s="200">
        <f>(SUMIF(Fonctionnement[Affectation matrice],$AB$3,Fonctionnement[TVA acquittée])+SUMIF(Invest[Affectation matrice],$AB$3,Invest[TVA acquittée]))*BQ22</f>
        <v>0</v>
      </c>
      <c r="CS22" s="200">
        <f>(SUMIF(Fonctionnement[Affectation matrice],$AB$3,Fonctionnement[TVA acquittée])+SUMIF(Invest[Affectation matrice],$AB$3,Invest[TVA acquittée]))*BR22</f>
        <v>0</v>
      </c>
      <c r="CT22" s="200">
        <f>(SUMIF(Fonctionnement[Affectation matrice],$AB$3,Fonctionnement[TVA acquittée])+SUMIF(Invest[Affectation matrice],$AB$3,Invest[TVA acquittée]))*BS22</f>
        <v>0</v>
      </c>
      <c r="CU22" s="200">
        <f>(SUMIF(Fonctionnement[Affectation matrice],$AB$3,Fonctionnement[TVA acquittée])+SUMIF(Invest[Affectation matrice],$AB$3,Invest[TVA acquittée]))*BT22</f>
        <v>0</v>
      </c>
      <c r="CV22" s="200">
        <f>(SUMIF(Fonctionnement[Affectation matrice],$AB$3,Fonctionnement[TVA acquittée])+SUMIF(Invest[Affectation matrice],$AB$3,Invest[TVA acquittée]))*BU22</f>
        <v>0</v>
      </c>
      <c r="CW22" s="200">
        <f>(SUMIF(Fonctionnement[Affectation matrice],$AB$3,Fonctionnement[TVA acquittée])+SUMIF(Invest[Affectation matrice],$AB$3,Invest[TVA acquittée]))*BV22</f>
        <v>0</v>
      </c>
      <c r="CX22" s="200">
        <f>(SUMIF(Fonctionnement[Affectation matrice],$AB$3,Fonctionnement[TVA acquittée])+SUMIF(Invest[Affectation matrice],$AB$3,Invest[TVA acquittée]))*BW22</f>
        <v>0</v>
      </c>
      <c r="CY22" s="200">
        <f>(SUMIF(Fonctionnement[Affectation matrice],$AB$3,Fonctionnement[TVA acquittée])+SUMIF(Invest[Affectation matrice],$AB$3,Invest[TVA acquittée]))*BX22</f>
        <v>0</v>
      </c>
      <c r="CZ22" s="200">
        <f>(SUMIF(Fonctionnement[Affectation matrice],$AB$3,Fonctionnement[TVA acquittée])+SUMIF(Invest[Affectation matrice],$AB$3,Invest[TVA acquittée]))*BY22</f>
        <v>0</v>
      </c>
      <c r="DA22" s="200">
        <f>(SUMIF(Fonctionnement[Affectation matrice],$AB$3,Fonctionnement[TVA acquittée])+SUMIF(Invest[Affectation matrice],$AB$3,Invest[TVA acquittée]))*BZ22</f>
        <v>0</v>
      </c>
      <c r="DB22" s="200">
        <f>(SUMIF(Fonctionnement[Affectation matrice],$AB$3,Fonctionnement[TVA acquittée])+SUMIF(Invest[Affectation matrice],$AB$3,Invest[TVA acquittée]))*CA22</f>
        <v>0</v>
      </c>
    </row>
    <row r="23" spans="1:106" s="205" customFormat="1" ht="12.75" hidden="1" customHeight="1" x14ac:dyDescent="0.25">
      <c r="A23" s="186"/>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02"/>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03"/>
      <c r="BB23" s="204"/>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D23" s="200"/>
      <c r="CE23" s="200"/>
      <c r="CF23" s="200"/>
      <c r="CG23" s="200"/>
      <c r="CH23" s="200"/>
      <c r="CI23" s="200"/>
      <c r="CJ23" s="200"/>
      <c r="CK23" s="200"/>
      <c r="CL23" s="200"/>
      <c r="CM23" s="200"/>
      <c r="CN23" s="200"/>
      <c r="CO23" s="200"/>
      <c r="CP23" s="200"/>
      <c r="CQ23" s="200"/>
      <c r="CR23" s="200"/>
      <c r="CS23" s="200"/>
      <c r="CT23" s="200"/>
      <c r="CU23" s="200"/>
      <c r="CV23" s="200"/>
      <c r="CW23" s="200"/>
      <c r="CX23" s="200"/>
      <c r="CY23" s="200"/>
      <c r="CZ23" s="200"/>
      <c r="DA23" s="200"/>
      <c r="DB23" s="200"/>
    </row>
    <row r="24" spans="1:106" s="22" customFormat="1" ht="12.75" hidden="1" customHeight="1" x14ac:dyDescent="0.25">
      <c r="A24" s="42" t="str">
        <f>Matrice[[#This Row],[Ligne de la matrice]]</f>
        <v>Ventes de produits et d'énergie</v>
      </c>
      <c r="B24" s="276">
        <f>(SUMIF(Fonctionnement[Affectation matrice],$AB$3,Fonctionnement[Montant (€HT)])+SUMIF(Invest[Affectation matrice],$AB$3,Invest[Amortissement HT + intérêts]))*BC24</f>
        <v>0</v>
      </c>
      <c r="C24" s="276">
        <f>(SUMIF(Fonctionnement[Affectation matrice],$AB$3,Fonctionnement[Montant (€HT)])+SUMIF(Invest[Affectation matrice],$AB$3,Invest[Amortissement HT + intérêts]))*BD24</f>
        <v>0</v>
      </c>
      <c r="D24" s="276">
        <f>(SUMIF(Fonctionnement[Affectation matrice],$AB$3,Fonctionnement[Montant (€HT)])+SUMIF(Invest[Affectation matrice],$AB$3,Invest[Amortissement HT + intérêts]))*BE24</f>
        <v>0</v>
      </c>
      <c r="E24" s="276">
        <f>(SUMIF(Fonctionnement[Affectation matrice],$AB$3,Fonctionnement[Montant (€HT)])+SUMIF(Invest[Affectation matrice],$AB$3,Invest[Amortissement HT + intérêts]))*BF24</f>
        <v>0</v>
      </c>
      <c r="F24" s="276">
        <f>(SUMIF(Fonctionnement[Affectation matrice],$AB$3,Fonctionnement[Montant (€HT)])+SUMIF(Invest[Affectation matrice],$AB$3,Invest[Amortissement HT + intérêts]))*BG24</f>
        <v>0</v>
      </c>
      <c r="G24" s="276">
        <f>(SUMIF(Fonctionnement[Affectation matrice],$AB$3,Fonctionnement[Montant (€HT)])+SUMIF(Invest[Affectation matrice],$AB$3,Invest[Amortissement HT + intérêts]))*BH24</f>
        <v>0</v>
      </c>
      <c r="H24" s="276">
        <f>(SUMIF(Fonctionnement[Affectation matrice],$AB$3,Fonctionnement[Montant (€HT)])+SUMIF(Invest[Affectation matrice],$AB$3,Invest[Amortissement HT + intérêts]))*BI24</f>
        <v>0</v>
      </c>
      <c r="I24" s="276">
        <f>(SUMIF(Fonctionnement[Affectation matrice],$AB$3,Fonctionnement[Montant (€HT)])+SUMIF(Invest[Affectation matrice],$AB$3,Invest[Amortissement HT + intérêts]))*BJ24</f>
        <v>0</v>
      </c>
      <c r="J24" s="276">
        <f>(SUMIF(Fonctionnement[Affectation matrice],$AB$3,Fonctionnement[Montant (€HT)])+SUMIF(Invest[Affectation matrice],$AB$3,Invest[Amortissement HT + intérêts]))*BK24</f>
        <v>0</v>
      </c>
      <c r="K24" s="276">
        <f>(SUMIF(Fonctionnement[Affectation matrice],$AB$3,Fonctionnement[Montant (€HT)])+SUMIF(Invest[Affectation matrice],$AB$3,Invest[Amortissement HT + intérêts]))*BL24</f>
        <v>0</v>
      </c>
      <c r="L24" s="276">
        <f>(SUMIF(Fonctionnement[Affectation matrice],$AB$3,Fonctionnement[Montant (€HT)])+SUMIF(Invest[Affectation matrice],$AB$3,Invest[Amortissement HT + intérêts]))*BM24</f>
        <v>0</v>
      </c>
      <c r="M24" s="276">
        <f>(SUMIF(Fonctionnement[Affectation matrice],$AB$3,Fonctionnement[Montant (€HT)])+SUMIF(Invest[Affectation matrice],$AB$3,Invest[Amortissement HT + intérêts]))*BN24</f>
        <v>0</v>
      </c>
      <c r="N24" s="276">
        <f>(SUMIF(Fonctionnement[Affectation matrice],$AB$3,Fonctionnement[Montant (€HT)])+SUMIF(Invest[Affectation matrice],$AB$3,Invest[Amortissement HT + intérêts]))*BO24</f>
        <v>0</v>
      </c>
      <c r="O24" s="276">
        <f>(SUMIF(Fonctionnement[Affectation matrice],$AB$3,Fonctionnement[Montant (€HT)])+SUMIF(Invest[Affectation matrice],$AB$3,Invest[Amortissement HT + intérêts]))*BP24</f>
        <v>0</v>
      </c>
      <c r="P24" s="276">
        <f>(SUMIF(Fonctionnement[Affectation matrice],$AB$3,Fonctionnement[Montant (€HT)])+SUMIF(Invest[Affectation matrice],$AB$3,Invest[Amortissement HT + intérêts]))*BQ24</f>
        <v>0</v>
      </c>
      <c r="Q24" s="276">
        <f>(SUMIF(Fonctionnement[Affectation matrice],$AB$3,Fonctionnement[Montant (€HT)])+SUMIF(Invest[Affectation matrice],$AB$3,Invest[Amortissement HT + intérêts]))*BR24</f>
        <v>0</v>
      </c>
      <c r="R24" s="276">
        <f>(SUMIF(Fonctionnement[Affectation matrice],$AB$3,Fonctionnement[Montant (€HT)])+SUMIF(Invest[Affectation matrice],$AB$3,Invest[Amortissement HT + intérêts]))*BS24</f>
        <v>0</v>
      </c>
      <c r="S24" s="276">
        <f>(SUMIF(Fonctionnement[Affectation matrice],$AB$3,Fonctionnement[Montant (€HT)])+SUMIF(Invest[Affectation matrice],$AB$3,Invest[Amortissement HT + intérêts]))*BT24</f>
        <v>0</v>
      </c>
      <c r="T24" s="276">
        <f>(SUMIF(Fonctionnement[Affectation matrice],$AB$3,Fonctionnement[Montant (€HT)])+SUMIF(Invest[Affectation matrice],$AB$3,Invest[Amortissement HT + intérêts]))*BU24</f>
        <v>0</v>
      </c>
      <c r="U24" s="276">
        <f>(SUMIF(Fonctionnement[Affectation matrice],$AB$3,Fonctionnement[Montant (€HT)])+SUMIF(Invest[Affectation matrice],$AB$3,Invest[Amortissement HT + intérêts]))*BV24</f>
        <v>0</v>
      </c>
      <c r="V24" s="276">
        <f>(SUMIF(Fonctionnement[Affectation matrice],$AB$3,Fonctionnement[Montant (€HT)])+SUMIF(Invest[Affectation matrice],$AB$3,Invest[Amortissement HT + intérêts]))*BW24</f>
        <v>0</v>
      </c>
      <c r="W24" s="276">
        <f>(SUMIF(Fonctionnement[Affectation matrice],$AB$3,Fonctionnement[Montant (€HT)])+SUMIF(Invest[Affectation matrice],$AB$3,Invest[Amortissement HT + intérêts]))*BX24</f>
        <v>0</v>
      </c>
      <c r="X24" s="276">
        <f>(SUMIF(Fonctionnement[Affectation matrice],$AB$3,Fonctionnement[Montant (€HT)])+SUMIF(Invest[Affectation matrice],$AB$3,Invest[Amortissement HT + intérêts]))*BY24</f>
        <v>0</v>
      </c>
      <c r="Y24" s="276">
        <f>(SUMIF(Fonctionnement[Affectation matrice],$AB$3,Fonctionnement[Montant (€HT)])+SUMIF(Invest[Affectation matrice],$AB$3,Invest[Amortissement HT + intérêts]))*BZ24</f>
        <v>0</v>
      </c>
      <c r="Z24" s="276">
        <f>(SUMIF(Fonctionnement[Affectation matrice],$AB$3,Fonctionnement[Montant (€HT)])+SUMIF(Invest[Affectation matrice],$AB$3,Invest[Amortissement HT + intérêts]))*CA24</f>
        <v>0</v>
      </c>
      <c r="AA24" s="199"/>
      <c r="AB24" s="302" t="str">
        <f t="shared" ref="AB24:AK33" si="55">IFERROR(SUMIF($DC$56:$DC$76,$A24,AB$56:AB$76)/Total,"")</f>
        <v/>
      </c>
      <c r="AC24" s="302" t="str">
        <f t="shared" si="55"/>
        <v/>
      </c>
      <c r="AD24" s="302" t="str">
        <f t="shared" si="55"/>
        <v/>
      </c>
      <c r="AE24" s="302" t="str">
        <f t="shared" si="55"/>
        <v/>
      </c>
      <c r="AF24" s="302" t="str">
        <f t="shared" si="55"/>
        <v/>
      </c>
      <c r="AG24" s="302" t="str">
        <f t="shared" si="55"/>
        <v/>
      </c>
      <c r="AH24" s="302" t="str">
        <f t="shared" si="55"/>
        <v/>
      </c>
      <c r="AI24" s="302" t="str">
        <f t="shared" si="55"/>
        <v/>
      </c>
      <c r="AJ24" s="302" t="str">
        <f t="shared" si="55"/>
        <v/>
      </c>
      <c r="AK24" s="302" t="str">
        <f t="shared" si="55"/>
        <v/>
      </c>
      <c r="AL24" s="302" t="str">
        <f t="shared" ref="AL24:BA33" si="56">IFERROR(SUMIF($DC$56:$DC$76,$A24,AL$56:AL$76)/Total,"")</f>
        <v/>
      </c>
      <c r="AM24" s="302" t="str">
        <f t="shared" si="56"/>
        <v/>
      </c>
      <c r="AN24" s="302" t="str">
        <f t="shared" si="56"/>
        <v/>
      </c>
      <c r="AO24" s="302" t="str">
        <f t="shared" si="56"/>
        <v/>
      </c>
      <c r="AP24" s="302" t="str">
        <f t="shared" si="56"/>
        <v/>
      </c>
      <c r="AQ24" s="302" t="str">
        <f t="shared" si="56"/>
        <v/>
      </c>
      <c r="AR24" s="302" t="str">
        <f t="shared" si="56"/>
        <v/>
      </c>
      <c r="AS24" s="302" t="str">
        <f t="shared" si="56"/>
        <v/>
      </c>
      <c r="AT24" s="302" t="str">
        <f t="shared" si="56"/>
        <v/>
      </c>
      <c r="AU24" s="302" t="str">
        <f t="shared" si="56"/>
        <v/>
      </c>
      <c r="AV24" s="302" t="str">
        <f t="shared" si="56"/>
        <v/>
      </c>
      <c r="AW24" s="302" t="str">
        <f t="shared" si="56"/>
        <v/>
      </c>
      <c r="AX24" s="302" t="str">
        <f t="shared" si="56"/>
        <v/>
      </c>
      <c r="AY24" s="302" t="str">
        <f t="shared" si="56"/>
        <v/>
      </c>
      <c r="AZ24" s="302" t="str">
        <f t="shared" si="56"/>
        <v/>
      </c>
      <c r="BA24" s="283" t="str">
        <f t="shared" si="56"/>
        <v/>
      </c>
      <c r="BB24" s="7"/>
      <c r="BC24" s="61">
        <f t="shared" ref="BC24:BC33" si="57">IF($BA$53=0,0,AB24/$BA$53)</f>
        <v>0</v>
      </c>
      <c r="BD24" s="61">
        <f t="shared" ref="BD24:BD33" si="58">IF($BA$53=0,0,AC24/$BA$53)</f>
        <v>0</v>
      </c>
      <c r="BE24" s="61">
        <f t="shared" ref="BE24:BE33" si="59">IF($BA$53=0,0,AD24/$BA$53)</f>
        <v>0</v>
      </c>
      <c r="BF24" s="61">
        <f t="shared" ref="BF24:BF33" si="60">IF($BA$53=0,0,AE24/$BA$53)</f>
        <v>0</v>
      </c>
      <c r="BG24" s="61">
        <f t="shared" ref="BG24:BG33" si="61">IF($BA$53=0,0,AF24/$BA$53)</f>
        <v>0</v>
      </c>
      <c r="BH24" s="61">
        <f t="shared" ref="BH24:BH33" si="62">IF($BA$53=0,0,AG24/$BA$53)</f>
        <v>0</v>
      </c>
      <c r="BI24" s="61">
        <f t="shared" ref="BI24:BI33" si="63">IF($BA$53=0,0,AH24/$BA$53)</f>
        <v>0</v>
      </c>
      <c r="BJ24" s="61">
        <f t="shared" ref="BJ24:BJ33" si="64">IF($BA$53=0,0,AI24/$BA$53)</f>
        <v>0</v>
      </c>
      <c r="BK24" s="61">
        <f t="shared" ref="BK24:BK33" si="65">IF($BA$53=0,0,AJ24/$BA$53)</f>
        <v>0</v>
      </c>
      <c r="BL24" s="61">
        <f t="shared" ref="BL24:BL33" si="66">IF($BA$53=0,0,AK24/$BA$53)</f>
        <v>0</v>
      </c>
      <c r="BM24" s="61">
        <f t="shared" ref="BM24:BM33" si="67">IF($BA$53=0,0,AL24/$BA$53)</f>
        <v>0</v>
      </c>
      <c r="BN24" s="61">
        <f t="shared" ref="BN24:BN33" si="68">IF($BA$53=0,0,AM24/$BA$53)</f>
        <v>0</v>
      </c>
      <c r="BO24" s="61">
        <f t="shared" ref="BO24:BO33" si="69">IF($BA$53=0,0,AN24/$BA$53)</f>
        <v>0</v>
      </c>
      <c r="BP24" s="61">
        <f t="shared" ref="BP24:BP33" si="70">IF($BA$53=0,0,AO24/$BA$53)</f>
        <v>0</v>
      </c>
      <c r="BQ24" s="61">
        <f t="shared" ref="BQ24:BQ33" si="71">IF($BA$53=0,0,AP24/$BA$53)</f>
        <v>0</v>
      </c>
      <c r="BR24" s="61">
        <f t="shared" ref="BR24:BR33" si="72">IF($BA$53=0,0,AQ24/$BA$53)</f>
        <v>0</v>
      </c>
      <c r="BS24" s="61">
        <f t="shared" ref="BS24:BS33" si="73">IF($BA$53=0,0,AR24/$BA$53)</f>
        <v>0</v>
      </c>
      <c r="BT24" s="61">
        <f t="shared" ref="BT24:BT33" si="74">IF($BA$53=0,0,AS24/$BA$53)</f>
        <v>0</v>
      </c>
      <c r="BU24" s="61">
        <f t="shared" ref="BU24:BU33" si="75">IF($BA$53=0,0,AT24/$BA$53)</f>
        <v>0</v>
      </c>
      <c r="BV24" s="61">
        <f t="shared" ref="BV24:BV33" si="76">IF($BA$53=0,0,AU24/$BA$53)</f>
        <v>0</v>
      </c>
      <c r="BW24" s="61">
        <f t="shared" ref="BW24:BW33" si="77">IF($BA$53=0,0,AV24/$BA$53)</f>
        <v>0</v>
      </c>
      <c r="BX24" s="61">
        <f t="shared" ref="BX24:BX33" si="78">IF($BA$53=0,0,AW24/$BA$53)</f>
        <v>0</v>
      </c>
      <c r="BY24" s="61">
        <f t="shared" ref="BY24:BY33" si="79">IF($BA$53=0,0,AX24/$BA$53)</f>
        <v>0</v>
      </c>
      <c r="BZ24" s="61">
        <f t="shared" ref="BZ24:BZ33" si="80">IF($BA$53=0,0,AY24/$BA$53)</f>
        <v>0</v>
      </c>
      <c r="CA24" s="61">
        <f t="shared" ref="CA24:CA33" si="81">IF($BA$53=0,0,AZ24/$BA$53)</f>
        <v>0</v>
      </c>
      <c r="CB24" s="61">
        <f t="shared" si="52"/>
        <v>0</v>
      </c>
      <c r="CD24" s="200">
        <f>(SUMIF(Fonctionnement[Affectation matrice],$AB$3,Fonctionnement[TVA acquittée])+SUMIF(Invest[Affectation matrice],$AB$3,Invest[TVA acquittée]))*BC24</f>
        <v>0</v>
      </c>
      <c r="CE24" s="200">
        <f>(SUMIF(Fonctionnement[Affectation matrice],$AB$3,Fonctionnement[TVA acquittée])+SUMIF(Invest[Affectation matrice],$AB$3,Invest[TVA acquittée]))*BD24</f>
        <v>0</v>
      </c>
      <c r="CF24" s="200">
        <f>(SUMIF(Fonctionnement[Affectation matrice],$AB$3,Fonctionnement[TVA acquittée])+SUMIF(Invest[Affectation matrice],$AB$3,Invest[TVA acquittée]))*BE24</f>
        <v>0</v>
      </c>
      <c r="CG24" s="200">
        <f>(SUMIF(Fonctionnement[Affectation matrice],$AB$3,Fonctionnement[TVA acquittée])+SUMIF(Invest[Affectation matrice],$AB$3,Invest[TVA acquittée]))*BF24</f>
        <v>0</v>
      </c>
      <c r="CH24" s="200">
        <f>(SUMIF(Fonctionnement[Affectation matrice],$AB$3,Fonctionnement[TVA acquittée])+SUMIF(Invest[Affectation matrice],$AB$3,Invest[TVA acquittée]))*BG24</f>
        <v>0</v>
      </c>
      <c r="CI24" s="200">
        <f>(SUMIF(Fonctionnement[Affectation matrice],$AB$3,Fonctionnement[TVA acquittée])+SUMIF(Invest[Affectation matrice],$AB$3,Invest[TVA acquittée]))*BH24</f>
        <v>0</v>
      </c>
      <c r="CJ24" s="200">
        <f>(SUMIF(Fonctionnement[Affectation matrice],$AB$3,Fonctionnement[TVA acquittée])+SUMIF(Invest[Affectation matrice],$AB$3,Invest[TVA acquittée]))*BI24</f>
        <v>0</v>
      </c>
      <c r="CK24" s="200">
        <f>(SUMIF(Fonctionnement[Affectation matrice],$AB$3,Fonctionnement[TVA acquittée])+SUMIF(Invest[Affectation matrice],$AB$3,Invest[TVA acquittée]))*BJ24</f>
        <v>0</v>
      </c>
      <c r="CL24" s="200">
        <f>(SUMIF(Fonctionnement[Affectation matrice],$AB$3,Fonctionnement[TVA acquittée])+SUMIF(Invest[Affectation matrice],$AB$3,Invest[TVA acquittée]))*BK24</f>
        <v>0</v>
      </c>
      <c r="CM24" s="200">
        <f>(SUMIF(Fonctionnement[Affectation matrice],$AB$3,Fonctionnement[TVA acquittée])+SUMIF(Invest[Affectation matrice],$AB$3,Invest[TVA acquittée]))*BL24</f>
        <v>0</v>
      </c>
      <c r="CN24" s="200">
        <f>(SUMIF(Fonctionnement[Affectation matrice],$AB$3,Fonctionnement[TVA acquittée])+SUMIF(Invest[Affectation matrice],$AB$3,Invest[TVA acquittée]))*BM24</f>
        <v>0</v>
      </c>
      <c r="CO24" s="200">
        <f>(SUMIF(Fonctionnement[Affectation matrice],$AB$3,Fonctionnement[TVA acquittée])+SUMIF(Invest[Affectation matrice],$AB$3,Invest[TVA acquittée]))*BN24</f>
        <v>0</v>
      </c>
      <c r="CP24" s="200">
        <f>(SUMIF(Fonctionnement[Affectation matrice],$AB$3,Fonctionnement[TVA acquittée])+SUMIF(Invest[Affectation matrice],$AB$3,Invest[TVA acquittée]))*BO24</f>
        <v>0</v>
      </c>
      <c r="CQ24" s="200">
        <f>(SUMIF(Fonctionnement[Affectation matrice],$AB$3,Fonctionnement[TVA acquittée])+SUMIF(Invest[Affectation matrice],$AB$3,Invest[TVA acquittée]))*BP24</f>
        <v>0</v>
      </c>
      <c r="CR24" s="200">
        <f>(SUMIF(Fonctionnement[Affectation matrice],$AB$3,Fonctionnement[TVA acquittée])+SUMIF(Invest[Affectation matrice],$AB$3,Invest[TVA acquittée]))*BQ24</f>
        <v>0</v>
      </c>
      <c r="CS24" s="200">
        <f>(SUMIF(Fonctionnement[Affectation matrice],$AB$3,Fonctionnement[TVA acquittée])+SUMIF(Invest[Affectation matrice],$AB$3,Invest[TVA acquittée]))*BR24</f>
        <v>0</v>
      </c>
      <c r="CT24" s="200">
        <f>(SUMIF(Fonctionnement[Affectation matrice],$AB$3,Fonctionnement[TVA acquittée])+SUMIF(Invest[Affectation matrice],$AB$3,Invest[TVA acquittée]))*BS24</f>
        <v>0</v>
      </c>
      <c r="CU24" s="200">
        <f>(SUMIF(Fonctionnement[Affectation matrice],$AB$3,Fonctionnement[TVA acquittée])+SUMIF(Invest[Affectation matrice],$AB$3,Invest[TVA acquittée]))*BT24</f>
        <v>0</v>
      </c>
      <c r="CV24" s="200">
        <f>(SUMIF(Fonctionnement[Affectation matrice],$AB$3,Fonctionnement[TVA acquittée])+SUMIF(Invest[Affectation matrice],$AB$3,Invest[TVA acquittée]))*BU24</f>
        <v>0</v>
      </c>
      <c r="CW24" s="200">
        <f>(SUMIF(Fonctionnement[Affectation matrice],$AB$3,Fonctionnement[TVA acquittée])+SUMIF(Invest[Affectation matrice],$AB$3,Invest[TVA acquittée]))*BV24</f>
        <v>0</v>
      </c>
      <c r="CX24" s="200">
        <f>(SUMIF(Fonctionnement[Affectation matrice],$AB$3,Fonctionnement[TVA acquittée])+SUMIF(Invest[Affectation matrice],$AB$3,Invest[TVA acquittée]))*BW24</f>
        <v>0</v>
      </c>
      <c r="CY24" s="200">
        <f>(SUMIF(Fonctionnement[Affectation matrice],$AB$3,Fonctionnement[TVA acquittée])+SUMIF(Invest[Affectation matrice],$AB$3,Invest[TVA acquittée]))*BX24</f>
        <v>0</v>
      </c>
      <c r="CZ24" s="200">
        <f>(SUMIF(Fonctionnement[Affectation matrice],$AB$3,Fonctionnement[TVA acquittée])+SUMIF(Invest[Affectation matrice],$AB$3,Invest[TVA acquittée]))*BY24</f>
        <v>0</v>
      </c>
      <c r="DA24" s="200">
        <f>(SUMIF(Fonctionnement[Affectation matrice],$AB$3,Fonctionnement[TVA acquittée])+SUMIF(Invest[Affectation matrice],$AB$3,Invest[TVA acquittée]))*BZ24</f>
        <v>0</v>
      </c>
      <c r="DB24" s="200">
        <f>(SUMIF(Fonctionnement[Affectation matrice],$AB$3,Fonctionnement[TVA acquittée])+SUMIF(Invest[Affectation matrice],$AB$3,Invest[TVA acquittée]))*CA24</f>
        <v>0</v>
      </c>
    </row>
    <row r="25" spans="1:106" s="22" customFormat="1" ht="12.75" hidden="1" customHeight="1" x14ac:dyDescent="0.25">
      <c r="A25" s="42" t="str">
        <f>Matrice[[#This Row],[Ligne de la matrice]]</f>
        <v>Matériaux</v>
      </c>
      <c r="B25" s="276">
        <f>(SUMIF(Fonctionnement[Affectation matrice],$AB$3,Fonctionnement[Montant (€HT)])+SUMIF(Invest[Affectation matrice],$AB$3,Invest[Amortissement HT + intérêts]))*BC25</f>
        <v>0</v>
      </c>
      <c r="C25" s="276">
        <f>(SUMIF(Fonctionnement[Affectation matrice],$AB$3,Fonctionnement[Montant (€HT)])+SUMIF(Invest[Affectation matrice],$AB$3,Invest[Amortissement HT + intérêts]))*BD25</f>
        <v>0</v>
      </c>
      <c r="D25" s="276">
        <f>(SUMIF(Fonctionnement[Affectation matrice],$AB$3,Fonctionnement[Montant (€HT)])+SUMIF(Invest[Affectation matrice],$AB$3,Invest[Amortissement HT + intérêts]))*BE25</f>
        <v>0</v>
      </c>
      <c r="E25" s="276">
        <f>(SUMIF(Fonctionnement[Affectation matrice],$AB$3,Fonctionnement[Montant (€HT)])+SUMIF(Invest[Affectation matrice],$AB$3,Invest[Amortissement HT + intérêts]))*BF25</f>
        <v>0</v>
      </c>
      <c r="F25" s="276">
        <f>(SUMIF(Fonctionnement[Affectation matrice],$AB$3,Fonctionnement[Montant (€HT)])+SUMIF(Invest[Affectation matrice],$AB$3,Invest[Amortissement HT + intérêts]))*BG25</f>
        <v>0</v>
      </c>
      <c r="G25" s="276">
        <f>(SUMIF(Fonctionnement[Affectation matrice],$AB$3,Fonctionnement[Montant (€HT)])+SUMIF(Invest[Affectation matrice],$AB$3,Invest[Amortissement HT + intérêts]))*BH25</f>
        <v>0</v>
      </c>
      <c r="H25" s="276">
        <f>(SUMIF(Fonctionnement[Affectation matrice],$AB$3,Fonctionnement[Montant (€HT)])+SUMIF(Invest[Affectation matrice],$AB$3,Invest[Amortissement HT + intérêts]))*BI25</f>
        <v>0</v>
      </c>
      <c r="I25" s="276">
        <f>(SUMIF(Fonctionnement[Affectation matrice],$AB$3,Fonctionnement[Montant (€HT)])+SUMIF(Invest[Affectation matrice],$AB$3,Invest[Amortissement HT + intérêts]))*BJ25</f>
        <v>0</v>
      </c>
      <c r="J25" s="276">
        <f>(SUMIF(Fonctionnement[Affectation matrice],$AB$3,Fonctionnement[Montant (€HT)])+SUMIF(Invest[Affectation matrice],$AB$3,Invest[Amortissement HT + intérêts]))*BK25</f>
        <v>0</v>
      </c>
      <c r="K25" s="276">
        <f>(SUMIF(Fonctionnement[Affectation matrice],$AB$3,Fonctionnement[Montant (€HT)])+SUMIF(Invest[Affectation matrice],$AB$3,Invest[Amortissement HT + intérêts]))*BL25</f>
        <v>0</v>
      </c>
      <c r="L25" s="276">
        <f>(SUMIF(Fonctionnement[Affectation matrice],$AB$3,Fonctionnement[Montant (€HT)])+SUMIF(Invest[Affectation matrice],$AB$3,Invest[Amortissement HT + intérêts]))*BM25</f>
        <v>0</v>
      </c>
      <c r="M25" s="276">
        <f>(SUMIF(Fonctionnement[Affectation matrice],$AB$3,Fonctionnement[Montant (€HT)])+SUMIF(Invest[Affectation matrice],$AB$3,Invest[Amortissement HT + intérêts]))*BN25</f>
        <v>0</v>
      </c>
      <c r="N25" s="276">
        <f>(SUMIF(Fonctionnement[Affectation matrice],$AB$3,Fonctionnement[Montant (€HT)])+SUMIF(Invest[Affectation matrice],$AB$3,Invest[Amortissement HT + intérêts]))*BO25</f>
        <v>0</v>
      </c>
      <c r="O25" s="276">
        <f>(SUMIF(Fonctionnement[Affectation matrice],$AB$3,Fonctionnement[Montant (€HT)])+SUMIF(Invest[Affectation matrice],$AB$3,Invest[Amortissement HT + intérêts]))*BP25</f>
        <v>0</v>
      </c>
      <c r="P25" s="276">
        <f>(SUMIF(Fonctionnement[Affectation matrice],$AB$3,Fonctionnement[Montant (€HT)])+SUMIF(Invest[Affectation matrice],$AB$3,Invest[Amortissement HT + intérêts]))*BQ25</f>
        <v>0</v>
      </c>
      <c r="Q25" s="276">
        <f>(SUMIF(Fonctionnement[Affectation matrice],$AB$3,Fonctionnement[Montant (€HT)])+SUMIF(Invest[Affectation matrice],$AB$3,Invest[Amortissement HT + intérêts]))*BR25</f>
        <v>0</v>
      </c>
      <c r="R25" s="276">
        <f>(SUMIF(Fonctionnement[Affectation matrice],$AB$3,Fonctionnement[Montant (€HT)])+SUMIF(Invest[Affectation matrice],$AB$3,Invest[Amortissement HT + intérêts]))*BS25</f>
        <v>0</v>
      </c>
      <c r="S25" s="276">
        <f>(SUMIF(Fonctionnement[Affectation matrice],$AB$3,Fonctionnement[Montant (€HT)])+SUMIF(Invest[Affectation matrice],$AB$3,Invest[Amortissement HT + intérêts]))*BT25</f>
        <v>0</v>
      </c>
      <c r="T25" s="276">
        <f>(SUMIF(Fonctionnement[Affectation matrice],$AB$3,Fonctionnement[Montant (€HT)])+SUMIF(Invest[Affectation matrice],$AB$3,Invest[Amortissement HT + intérêts]))*BU25</f>
        <v>0</v>
      </c>
      <c r="U25" s="276">
        <f>(SUMIF(Fonctionnement[Affectation matrice],$AB$3,Fonctionnement[Montant (€HT)])+SUMIF(Invest[Affectation matrice],$AB$3,Invest[Amortissement HT + intérêts]))*BV25</f>
        <v>0</v>
      </c>
      <c r="V25" s="276">
        <f>(SUMIF(Fonctionnement[Affectation matrice],$AB$3,Fonctionnement[Montant (€HT)])+SUMIF(Invest[Affectation matrice],$AB$3,Invest[Amortissement HT + intérêts]))*BW25</f>
        <v>0</v>
      </c>
      <c r="W25" s="276">
        <f>(SUMIF(Fonctionnement[Affectation matrice],$AB$3,Fonctionnement[Montant (€HT)])+SUMIF(Invest[Affectation matrice],$AB$3,Invest[Amortissement HT + intérêts]))*BX25</f>
        <v>0</v>
      </c>
      <c r="X25" s="276">
        <f>(SUMIF(Fonctionnement[Affectation matrice],$AB$3,Fonctionnement[Montant (€HT)])+SUMIF(Invest[Affectation matrice],$AB$3,Invest[Amortissement HT + intérêts]))*BY25</f>
        <v>0</v>
      </c>
      <c r="Y25" s="276">
        <f>(SUMIF(Fonctionnement[Affectation matrice],$AB$3,Fonctionnement[Montant (€HT)])+SUMIF(Invest[Affectation matrice],$AB$3,Invest[Amortissement HT + intérêts]))*BZ25</f>
        <v>0</v>
      </c>
      <c r="Z25" s="276">
        <f>(SUMIF(Fonctionnement[Affectation matrice],$AB$3,Fonctionnement[Montant (€HT)])+SUMIF(Invest[Affectation matrice],$AB$3,Invest[Amortissement HT + intérêts]))*CA25</f>
        <v>0</v>
      </c>
      <c r="AA25" s="199"/>
      <c r="AB25" s="302" t="str">
        <f t="shared" si="55"/>
        <v/>
      </c>
      <c r="AC25" s="302" t="str">
        <f t="shared" si="55"/>
        <v/>
      </c>
      <c r="AD25" s="302" t="str">
        <f t="shared" si="55"/>
        <v/>
      </c>
      <c r="AE25" s="302" t="str">
        <f t="shared" si="55"/>
        <v/>
      </c>
      <c r="AF25" s="302" t="str">
        <f t="shared" si="55"/>
        <v/>
      </c>
      <c r="AG25" s="302" t="str">
        <f t="shared" si="55"/>
        <v/>
      </c>
      <c r="AH25" s="302" t="str">
        <f t="shared" si="55"/>
        <v/>
      </c>
      <c r="AI25" s="302" t="str">
        <f t="shared" si="55"/>
        <v/>
      </c>
      <c r="AJ25" s="302" t="str">
        <f t="shared" si="55"/>
        <v/>
      </c>
      <c r="AK25" s="302" t="str">
        <f t="shared" si="55"/>
        <v/>
      </c>
      <c r="AL25" s="302" t="str">
        <f t="shared" si="56"/>
        <v/>
      </c>
      <c r="AM25" s="302" t="str">
        <f t="shared" si="56"/>
        <v/>
      </c>
      <c r="AN25" s="302" t="str">
        <f t="shared" si="56"/>
        <v/>
      </c>
      <c r="AO25" s="302" t="str">
        <f t="shared" si="56"/>
        <v/>
      </c>
      <c r="AP25" s="302" t="str">
        <f t="shared" si="56"/>
        <v/>
      </c>
      <c r="AQ25" s="302" t="str">
        <f t="shared" si="56"/>
        <v/>
      </c>
      <c r="AR25" s="302" t="str">
        <f t="shared" si="56"/>
        <v/>
      </c>
      <c r="AS25" s="302" t="str">
        <f t="shared" si="56"/>
        <v/>
      </c>
      <c r="AT25" s="302" t="str">
        <f t="shared" si="56"/>
        <v/>
      </c>
      <c r="AU25" s="302" t="str">
        <f t="shared" si="56"/>
        <v/>
      </c>
      <c r="AV25" s="302" t="str">
        <f t="shared" si="56"/>
        <v/>
      </c>
      <c r="AW25" s="302" t="str">
        <f t="shared" si="56"/>
        <v/>
      </c>
      <c r="AX25" s="302" t="str">
        <f t="shared" si="56"/>
        <v/>
      </c>
      <c r="AY25" s="302" t="str">
        <f t="shared" si="56"/>
        <v/>
      </c>
      <c r="AZ25" s="302" t="str">
        <f t="shared" si="56"/>
        <v/>
      </c>
      <c r="BA25" s="283" t="str">
        <f t="shared" si="56"/>
        <v/>
      </c>
      <c r="BB25" s="7"/>
      <c r="BC25" s="61">
        <f t="shared" si="57"/>
        <v>0</v>
      </c>
      <c r="BD25" s="61">
        <f t="shared" si="58"/>
        <v>0</v>
      </c>
      <c r="BE25" s="61">
        <f t="shared" si="59"/>
        <v>0</v>
      </c>
      <c r="BF25" s="61">
        <f t="shared" si="60"/>
        <v>0</v>
      </c>
      <c r="BG25" s="61">
        <f t="shared" si="61"/>
        <v>0</v>
      </c>
      <c r="BH25" s="61">
        <f t="shared" si="62"/>
        <v>0</v>
      </c>
      <c r="BI25" s="61">
        <f t="shared" si="63"/>
        <v>0</v>
      </c>
      <c r="BJ25" s="61">
        <f t="shared" si="64"/>
        <v>0</v>
      </c>
      <c r="BK25" s="61">
        <f t="shared" si="65"/>
        <v>0</v>
      </c>
      <c r="BL25" s="61">
        <f t="shared" si="66"/>
        <v>0</v>
      </c>
      <c r="BM25" s="61">
        <f t="shared" si="67"/>
        <v>0</v>
      </c>
      <c r="BN25" s="61">
        <f t="shared" si="68"/>
        <v>0</v>
      </c>
      <c r="BO25" s="61">
        <f t="shared" si="69"/>
        <v>0</v>
      </c>
      <c r="BP25" s="61">
        <f t="shared" si="70"/>
        <v>0</v>
      </c>
      <c r="BQ25" s="61">
        <f t="shared" si="71"/>
        <v>0</v>
      </c>
      <c r="BR25" s="61">
        <f t="shared" si="72"/>
        <v>0</v>
      </c>
      <c r="BS25" s="61">
        <f t="shared" si="73"/>
        <v>0</v>
      </c>
      <c r="BT25" s="61">
        <f t="shared" si="74"/>
        <v>0</v>
      </c>
      <c r="BU25" s="61">
        <f t="shared" si="75"/>
        <v>0</v>
      </c>
      <c r="BV25" s="61">
        <f t="shared" si="76"/>
        <v>0</v>
      </c>
      <c r="BW25" s="61">
        <f t="shared" si="77"/>
        <v>0</v>
      </c>
      <c r="BX25" s="61">
        <f t="shared" si="78"/>
        <v>0</v>
      </c>
      <c r="BY25" s="61">
        <f t="shared" si="79"/>
        <v>0</v>
      </c>
      <c r="BZ25" s="61">
        <f t="shared" si="80"/>
        <v>0</v>
      </c>
      <c r="CA25" s="61">
        <f t="shared" si="81"/>
        <v>0</v>
      </c>
      <c r="CB25" s="61">
        <f t="shared" si="52"/>
        <v>0</v>
      </c>
      <c r="CD25" s="200">
        <f>(SUMIF(Fonctionnement[Affectation matrice],$AB$3,Fonctionnement[TVA acquittée])+SUMIF(Invest[Affectation matrice],$AB$3,Invest[TVA acquittée]))*BC25</f>
        <v>0</v>
      </c>
      <c r="CE25" s="200">
        <f>(SUMIF(Fonctionnement[Affectation matrice],$AB$3,Fonctionnement[TVA acquittée])+SUMIF(Invest[Affectation matrice],$AB$3,Invest[TVA acquittée]))*BD25</f>
        <v>0</v>
      </c>
      <c r="CF25" s="200">
        <f>(SUMIF(Fonctionnement[Affectation matrice],$AB$3,Fonctionnement[TVA acquittée])+SUMIF(Invest[Affectation matrice],$AB$3,Invest[TVA acquittée]))*BE25</f>
        <v>0</v>
      </c>
      <c r="CG25" s="200">
        <f>(SUMIF(Fonctionnement[Affectation matrice],$AB$3,Fonctionnement[TVA acquittée])+SUMIF(Invest[Affectation matrice],$AB$3,Invest[TVA acquittée]))*BF25</f>
        <v>0</v>
      </c>
      <c r="CH25" s="200">
        <f>(SUMIF(Fonctionnement[Affectation matrice],$AB$3,Fonctionnement[TVA acquittée])+SUMIF(Invest[Affectation matrice],$AB$3,Invest[TVA acquittée]))*BG25</f>
        <v>0</v>
      </c>
      <c r="CI25" s="200">
        <f>(SUMIF(Fonctionnement[Affectation matrice],$AB$3,Fonctionnement[TVA acquittée])+SUMIF(Invest[Affectation matrice],$AB$3,Invest[TVA acquittée]))*BH25</f>
        <v>0</v>
      </c>
      <c r="CJ25" s="200">
        <f>(SUMIF(Fonctionnement[Affectation matrice],$AB$3,Fonctionnement[TVA acquittée])+SUMIF(Invest[Affectation matrice],$AB$3,Invest[TVA acquittée]))*BI25</f>
        <v>0</v>
      </c>
      <c r="CK25" s="200">
        <f>(SUMIF(Fonctionnement[Affectation matrice],$AB$3,Fonctionnement[TVA acquittée])+SUMIF(Invest[Affectation matrice],$AB$3,Invest[TVA acquittée]))*BJ25</f>
        <v>0</v>
      </c>
      <c r="CL25" s="200">
        <f>(SUMIF(Fonctionnement[Affectation matrice],$AB$3,Fonctionnement[TVA acquittée])+SUMIF(Invest[Affectation matrice],$AB$3,Invest[TVA acquittée]))*BK25</f>
        <v>0</v>
      </c>
      <c r="CM25" s="200">
        <f>(SUMIF(Fonctionnement[Affectation matrice],$AB$3,Fonctionnement[TVA acquittée])+SUMIF(Invest[Affectation matrice],$AB$3,Invest[TVA acquittée]))*BL25</f>
        <v>0</v>
      </c>
      <c r="CN25" s="200">
        <f>(SUMIF(Fonctionnement[Affectation matrice],$AB$3,Fonctionnement[TVA acquittée])+SUMIF(Invest[Affectation matrice],$AB$3,Invest[TVA acquittée]))*BM25</f>
        <v>0</v>
      </c>
      <c r="CO25" s="200">
        <f>(SUMIF(Fonctionnement[Affectation matrice],$AB$3,Fonctionnement[TVA acquittée])+SUMIF(Invest[Affectation matrice],$AB$3,Invest[TVA acquittée]))*BN25</f>
        <v>0</v>
      </c>
      <c r="CP25" s="200">
        <f>(SUMIF(Fonctionnement[Affectation matrice],$AB$3,Fonctionnement[TVA acquittée])+SUMIF(Invest[Affectation matrice],$AB$3,Invest[TVA acquittée]))*BO25</f>
        <v>0</v>
      </c>
      <c r="CQ25" s="200">
        <f>(SUMIF(Fonctionnement[Affectation matrice],$AB$3,Fonctionnement[TVA acquittée])+SUMIF(Invest[Affectation matrice],$AB$3,Invest[TVA acquittée]))*BP25</f>
        <v>0</v>
      </c>
      <c r="CR25" s="200">
        <f>(SUMIF(Fonctionnement[Affectation matrice],$AB$3,Fonctionnement[TVA acquittée])+SUMIF(Invest[Affectation matrice],$AB$3,Invest[TVA acquittée]))*BQ25</f>
        <v>0</v>
      </c>
      <c r="CS25" s="200">
        <f>(SUMIF(Fonctionnement[Affectation matrice],$AB$3,Fonctionnement[TVA acquittée])+SUMIF(Invest[Affectation matrice],$AB$3,Invest[TVA acquittée]))*BR25</f>
        <v>0</v>
      </c>
      <c r="CT25" s="200">
        <f>(SUMIF(Fonctionnement[Affectation matrice],$AB$3,Fonctionnement[TVA acquittée])+SUMIF(Invest[Affectation matrice],$AB$3,Invest[TVA acquittée]))*BS25</f>
        <v>0</v>
      </c>
      <c r="CU25" s="200">
        <f>(SUMIF(Fonctionnement[Affectation matrice],$AB$3,Fonctionnement[TVA acquittée])+SUMIF(Invest[Affectation matrice],$AB$3,Invest[TVA acquittée]))*BT25</f>
        <v>0</v>
      </c>
      <c r="CV25" s="200">
        <f>(SUMIF(Fonctionnement[Affectation matrice],$AB$3,Fonctionnement[TVA acquittée])+SUMIF(Invest[Affectation matrice],$AB$3,Invest[TVA acquittée]))*BU25</f>
        <v>0</v>
      </c>
      <c r="CW25" s="200">
        <f>(SUMIF(Fonctionnement[Affectation matrice],$AB$3,Fonctionnement[TVA acquittée])+SUMIF(Invest[Affectation matrice],$AB$3,Invest[TVA acquittée]))*BV25</f>
        <v>0</v>
      </c>
      <c r="CX25" s="200">
        <f>(SUMIF(Fonctionnement[Affectation matrice],$AB$3,Fonctionnement[TVA acquittée])+SUMIF(Invest[Affectation matrice],$AB$3,Invest[TVA acquittée]))*BW25</f>
        <v>0</v>
      </c>
      <c r="CY25" s="200">
        <f>(SUMIF(Fonctionnement[Affectation matrice],$AB$3,Fonctionnement[TVA acquittée])+SUMIF(Invest[Affectation matrice],$AB$3,Invest[TVA acquittée]))*BX25</f>
        <v>0</v>
      </c>
      <c r="CZ25" s="200">
        <f>(SUMIF(Fonctionnement[Affectation matrice],$AB$3,Fonctionnement[TVA acquittée])+SUMIF(Invest[Affectation matrice],$AB$3,Invest[TVA acquittée]))*BY25</f>
        <v>0</v>
      </c>
      <c r="DA25" s="200">
        <f>(SUMIF(Fonctionnement[Affectation matrice],$AB$3,Fonctionnement[TVA acquittée])+SUMIF(Invest[Affectation matrice],$AB$3,Invest[TVA acquittée]))*BZ25</f>
        <v>0</v>
      </c>
      <c r="DB25" s="200">
        <f>(SUMIF(Fonctionnement[Affectation matrice],$AB$3,Fonctionnement[TVA acquittée])+SUMIF(Invest[Affectation matrice],$AB$3,Invest[TVA acquittée]))*CA25</f>
        <v>0</v>
      </c>
    </row>
    <row r="26" spans="1:106" s="22" customFormat="1" ht="12.75" hidden="1" customHeight="1" x14ac:dyDescent="0.25">
      <c r="A26" s="42" t="str">
        <f>Matrice[[#This Row],[Ligne de la matrice]]</f>
        <v>Compost</v>
      </c>
      <c r="B26" s="276">
        <f>(SUMIF(Fonctionnement[Affectation matrice],$AB$3,Fonctionnement[Montant (€HT)])+SUMIF(Invest[Affectation matrice],$AB$3,Invest[Amortissement HT + intérêts]))*BC26</f>
        <v>0</v>
      </c>
      <c r="C26" s="276">
        <f>(SUMIF(Fonctionnement[Affectation matrice],$AB$3,Fonctionnement[Montant (€HT)])+SUMIF(Invest[Affectation matrice],$AB$3,Invest[Amortissement HT + intérêts]))*BD26</f>
        <v>0</v>
      </c>
      <c r="D26" s="276">
        <f>(SUMIF(Fonctionnement[Affectation matrice],$AB$3,Fonctionnement[Montant (€HT)])+SUMIF(Invest[Affectation matrice],$AB$3,Invest[Amortissement HT + intérêts]))*BE26</f>
        <v>0</v>
      </c>
      <c r="E26" s="276">
        <f>(SUMIF(Fonctionnement[Affectation matrice],$AB$3,Fonctionnement[Montant (€HT)])+SUMIF(Invest[Affectation matrice],$AB$3,Invest[Amortissement HT + intérêts]))*BF26</f>
        <v>0</v>
      </c>
      <c r="F26" s="276">
        <f>(SUMIF(Fonctionnement[Affectation matrice],$AB$3,Fonctionnement[Montant (€HT)])+SUMIF(Invest[Affectation matrice],$AB$3,Invest[Amortissement HT + intérêts]))*BG26</f>
        <v>0</v>
      </c>
      <c r="G26" s="276">
        <f>(SUMIF(Fonctionnement[Affectation matrice],$AB$3,Fonctionnement[Montant (€HT)])+SUMIF(Invest[Affectation matrice],$AB$3,Invest[Amortissement HT + intérêts]))*BH26</f>
        <v>0</v>
      </c>
      <c r="H26" s="276">
        <f>(SUMIF(Fonctionnement[Affectation matrice],$AB$3,Fonctionnement[Montant (€HT)])+SUMIF(Invest[Affectation matrice],$AB$3,Invest[Amortissement HT + intérêts]))*BI26</f>
        <v>0</v>
      </c>
      <c r="I26" s="276">
        <f>(SUMIF(Fonctionnement[Affectation matrice],$AB$3,Fonctionnement[Montant (€HT)])+SUMIF(Invest[Affectation matrice],$AB$3,Invest[Amortissement HT + intérêts]))*BJ26</f>
        <v>0</v>
      </c>
      <c r="J26" s="276">
        <f>(SUMIF(Fonctionnement[Affectation matrice],$AB$3,Fonctionnement[Montant (€HT)])+SUMIF(Invest[Affectation matrice],$AB$3,Invest[Amortissement HT + intérêts]))*BK26</f>
        <v>0</v>
      </c>
      <c r="K26" s="276">
        <f>(SUMIF(Fonctionnement[Affectation matrice],$AB$3,Fonctionnement[Montant (€HT)])+SUMIF(Invest[Affectation matrice],$AB$3,Invest[Amortissement HT + intérêts]))*BL26</f>
        <v>0</v>
      </c>
      <c r="L26" s="276">
        <f>(SUMIF(Fonctionnement[Affectation matrice],$AB$3,Fonctionnement[Montant (€HT)])+SUMIF(Invest[Affectation matrice],$AB$3,Invest[Amortissement HT + intérêts]))*BM26</f>
        <v>0</v>
      </c>
      <c r="M26" s="276">
        <f>(SUMIF(Fonctionnement[Affectation matrice],$AB$3,Fonctionnement[Montant (€HT)])+SUMIF(Invest[Affectation matrice],$AB$3,Invest[Amortissement HT + intérêts]))*BN26</f>
        <v>0</v>
      </c>
      <c r="N26" s="276">
        <f>(SUMIF(Fonctionnement[Affectation matrice],$AB$3,Fonctionnement[Montant (€HT)])+SUMIF(Invest[Affectation matrice],$AB$3,Invest[Amortissement HT + intérêts]))*BO26</f>
        <v>0</v>
      </c>
      <c r="O26" s="276">
        <f>(SUMIF(Fonctionnement[Affectation matrice],$AB$3,Fonctionnement[Montant (€HT)])+SUMIF(Invest[Affectation matrice],$AB$3,Invest[Amortissement HT + intérêts]))*BP26</f>
        <v>0</v>
      </c>
      <c r="P26" s="276">
        <f>(SUMIF(Fonctionnement[Affectation matrice],$AB$3,Fonctionnement[Montant (€HT)])+SUMIF(Invest[Affectation matrice],$AB$3,Invest[Amortissement HT + intérêts]))*BQ26</f>
        <v>0</v>
      </c>
      <c r="Q26" s="276">
        <f>(SUMIF(Fonctionnement[Affectation matrice],$AB$3,Fonctionnement[Montant (€HT)])+SUMIF(Invest[Affectation matrice],$AB$3,Invest[Amortissement HT + intérêts]))*BR26</f>
        <v>0</v>
      </c>
      <c r="R26" s="276">
        <f>(SUMIF(Fonctionnement[Affectation matrice],$AB$3,Fonctionnement[Montant (€HT)])+SUMIF(Invest[Affectation matrice],$AB$3,Invest[Amortissement HT + intérêts]))*BS26</f>
        <v>0</v>
      </c>
      <c r="S26" s="276">
        <f>(SUMIF(Fonctionnement[Affectation matrice],$AB$3,Fonctionnement[Montant (€HT)])+SUMIF(Invest[Affectation matrice],$AB$3,Invest[Amortissement HT + intérêts]))*BT26</f>
        <v>0</v>
      </c>
      <c r="T26" s="276">
        <f>(SUMIF(Fonctionnement[Affectation matrice],$AB$3,Fonctionnement[Montant (€HT)])+SUMIF(Invest[Affectation matrice],$AB$3,Invest[Amortissement HT + intérêts]))*BU26</f>
        <v>0</v>
      </c>
      <c r="U26" s="276">
        <f>(SUMIF(Fonctionnement[Affectation matrice],$AB$3,Fonctionnement[Montant (€HT)])+SUMIF(Invest[Affectation matrice],$AB$3,Invest[Amortissement HT + intérêts]))*BV26</f>
        <v>0</v>
      </c>
      <c r="V26" s="276">
        <f>(SUMIF(Fonctionnement[Affectation matrice],$AB$3,Fonctionnement[Montant (€HT)])+SUMIF(Invest[Affectation matrice],$AB$3,Invest[Amortissement HT + intérêts]))*BW26</f>
        <v>0</v>
      </c>
      <c r="W26" s="276">
        <f>(SUMIF(Fonctionnement[Affectation matrice],$AB$3,Fonctionnement[Montant (€HT)])+SUMIF(Invest[Affectation matrice],$AB$3,Invest[Amortissement HT + intérêts]))*BX26</f>
        <v>0</v>
      </c>
      <c r="X26" s="276">
        <f>(SUMIF(Fonctionnement[Affectation matrice],$AB$3,Fonctionnement[Montant (€HT)])+SUMIF(Invest[Affectation matrice],$AB$3,Invest[Amortissement HT + intérêts]))*BY26</f>
        <v>0</v>
      </c>
      <c r="Y26" s="276">
        <f>(SUMIF(Fonctionnement[Affectation matrice],$AB$3,Fonctionnement[Montant (€HT)])+SUMIF(Invest[Affectation matrice],$AB$3,Invest[Amortissement HT + intérêts]))*BZ26</f>
        <v>0</v>
      </c>
      <c r="Z26" s="276">
        <f>(SUMIF(Fonctionnement[Affectation matrice],$AB$3,Fonctionnement[Montant (€HT)])+SUMIF(Invest[Affectation matrice],$AB$3,Invest[Amortissement HT + intérêts]))*CA26</f>
        <v>0</v>
      </c>
      <c r="AA26" s="199"/>
      <c r="AB26" s="302" t="str">
        <f t="shared" si="55"/>
        <v/>
      </c>
      <c r="AC26" s="302" t="str">
        <f t="shared" si="55"/>
        <v/>
      </c>
      <c r="AD26" s="302" t="str">
        <f t="shared" si="55"/>
        <v/>
      </c>
      <c r="AE26" s="302" t="str">
        <f t="shared" si="55"/>
        <v/>
      </c>
      <c r="AF26" s="302" t="str">
        <f t="shared" si="55"/>
        <v/>
      </c>
      <c r="AG26" s="302" t="str">
        <f t="shared" si="55"/>
        <v/>
      </c>
      <c r="AH26" s="302" t="str">
        <f t="shared" si="55"/>
        <v/>
      </c>
      <c r="AI26" s="302" t="str">
        <f t="shared" si="55"/>
        <v/>
      </c>
      <c r="AJ26" s="302" t="str">
        <f t="shared" si="55"/>
        <v/>
      </c>
      <c r="AK26" s="302" t="str">
        <f t="shared" si="55"/>
        <v/>
      </c>
      <c r="AL26" s="302" t="str">
        <f t="shared" si="56"/>
        <v/>
      </c>
      <c r="AM26" s="302" t="str">
        <f t="shared" si="56"/>
        <v/>
      </c>
      <c r="AN26" s="302" t="str">
        <f t="shared" si="56"/>
        <v/>
      </c>
      <c r="AO26" s="302" t="str">
        <f t="shared" si="56"/>
        <v/>
      </c>
      <c r="AP26" s="302" t="str">
        <f t="shared" si="56"/>
        <v/>
      </c>
      <c r="AQ26" s="302" t="str">
        <f t="shared" si="56"/>
        <v/>
      </c>
      <c r="AR26" s="302" t="str">
        <f t="shared" si="56"/>
        <v/>
      </c>
      <c r="AS26" s="302" t="str">
        <f t="shared" si="56"/>
        <v/>
      </c>
      <c r="AT26" s="302" t="str">
        <f t="shared" si="56"/>
        <v/>
      </c>
      <c r="AU26" s="302" t="str">
        <f t="shared" si="56"/>
        <v/>
      </c>
      <c r="AV26" s="302" t="str">
        <f t="shared" si="56"/>
        <v/>
      </c>
      <c r="AW26" s="302" t="str">
        <f t="shared" si="56"/>
        <v/>
      </c>
      <c r="AX26" s="302" t="str">
        <f t="shared" si="56"/>
        <v/>
      </c>
      <c r="AY26" s="302" t="str">
        <f t="shared" si="56"/>
        <v/>
      </c>
      <c r="AZ26" s="302" t="str">
        <f t="shared" si="56"/>
        <v/>
      </c>
      <c r="BA26" s="283" t="str">
        <f t="shared" si="56"/>
        <v/>
      </c>
      <c r="BB26" s="7"/>
      <c r="BC26" s="61">
        <f t="shared" si="57"/>
        <v>0</v>
      </c>
      <c r="BD26" s="61">
        <f t="shared" si="58"/>
        <v>0</v>
      </c>
      <c r="BE26" s="61">
        <f t="shared" si="59"/>
        <v>0</v>
      </c>
      <c r="BF26" s="61">
        <f t="shared" si="60"/>
        <v>0</v>
      </c>
      <c r="BG26" s="61">
        <f t="shared" si="61"/>
        <v>0</v>
      </c>
      <c r="BH26" s="61">
        <f t="shared" si="62"/>
        <v>0</v>
      </c>
      <c r="BI26" s="61">
        <f t="shared" si="63"/>
        <v>0</v>
      </c>
      <c r="BJ26" s="61">
        <f t="shared" si="64"/>
        <v>0</v>
      </c>
      <c r="BK26" s="61">
        <f t="shared" si="65"/>
        <v>0</v>
      </c>
      <c r="BL26" s="61">
        <f t="shared" si="66"/>
        <v>0</v>
      </c>
      <c r="BM26" s="61">
        <f t="shared" si="67"/>
        <v>0</v>
      </c>
      <c r="BN26" s="61">
        <f t="shared" si="68"/>
        <v>0</v>
      </c>
      <c r="BO26" s="61">
        <f t="shared" si="69"/>
        <v>0</v>
      </c>
      <c r="BP26" s="61">
        <f t="shared" si="70"/>
        <v>0</v>
      </c>
      <c r="BQ26" s="61">
        <f t="shared" si="71"/>
        <v>0</v>
      </c>
      <c r="BR26" s="61">
        <f t="shared" si="72"/>
        <v>0</v>
      </c>
      <c r="BS26" s="61">
        <f t="shared" si="73"/>
        <v>0</v>
      </c>
      <c r="BT26" s="61">
        <f t="shared" si="74"/>
        <v>0</v>
      </c>
      <c r="BU26" s="61">
        <f t="shared" si="75"/>
        <v>0</v>
      </c>
      <c r="BV26" s="61">
        <f t="shared" si="76"/>
        <v>0</v>
      </c>
      <c r="BW26" s="61">
        <f t="shared" si="77"/>
        <v>0</v>
      </c>
      <c r="BX26" s="61">
        <f t="shared" si="78"/>
        <v>0</v>
      </c>
      <c r="BY26" s="61">
        <f t="shared" si="79"/>
        <v>0</v>
      </c>
      <c r="BZ26" s="61">
        <f t="shared" si="80"/>
        <v>0</v>
      </c>
      <c r="CA26" s="61">
        <f t="shared" si="81"/>
        <v>0</v>
      </c>
      <c r="CB26" s="61">
        <f t="shared" si="52"/>
        <v>0</v>
      </c>
      <c r="CD26" s="200">
        <f>(SUMIF(Fonctionnement[Affectation matrice],$AB$3,Fonctionnement[TVA acquittée])+SUMIF(Invest[Affectation matrice],$AB$3,Invest[TVA acquittée]))*BC26</f>
        <v>0</v>
      </c>
      <c r="CE26" s="200">
        <f>(SUMIF(Fonctionnement[Affectation matrice],$AB$3,Fonctionnement[TVA acquittée])+SUMIF(Invest[Affectation matrice],$AB$3,Invest[TVA acquittée]))*BD26</f>
        <v>0</v>
      </c>
      <c r="CF26" s="200">
        <f>(SUMIF(Fonctionnement[Affectation matrice],$AB$3,Fonctionnement[TVA acquittée])+SUMIF(Invest[Affectation matrice],$AB$3,Invest[TVA acquittée]))*BE26</f>
        <v>0</v>
      </c>
      <c r="CG26" s="200">
        <f>(SUMIF(Fonctionnement[Affectation matrice],$AB$3,Fonctionnement[TVA acquittée])+SUMIF(Invest[Affectation matrice],$AB$3,Invest[TVA acquittée]))*BF26</f>
        <v>0</v>
      </c>
      <c r="CH26" s="200">
        <f>(SUMIF(Fonctionnement[Affectation matrice],$AB$3,Fonctionnement[TVA acquittée])+SUMIF(Invest[Affectation matrice],$AB$3,Invest[TVA acquittée]))*BG26</f>
        <v>0</v>
      </c>
      <c r="CI26" s="200">
        <f>(SUMIF(Fonctionnement[Affectation matrice],$AB$3,Fonctionnement[TVA acquittée])+SUMIF(Invest[Affectation matrice],$AB$3,Invest[TVA acquittée]))*BH26</f>
        <v>0</v>
      </c>
      <c r="CJ26" s="200">
        <f>(SUMIF(Fonctionnement[Affectation matrice],$AB$3,Fonctionnement[TVA acquittée])+SUMIF(Invest[Affectation matrice],$AB$3,Invest[TVA acquittée]))*BI26</f>
        <v>0</v>
      </c>
      <c r="CK26" s="200">
        <f>(SUMIF(Fonctionnement[Affectation matrice],$AB$3,Fonctionnement[TVA acquittée])+SUMIF(Invest[Affectation matrice],$AB$3,Invest[TVA acquittée]))*BJ26</f>
        <v>0</v>
      </c>
      <c r="CL26" s="200">
        <f>(SUMIF(Fonctionnement[Affectation matrice],$AB$3,Fonctionnement[TVA acquittée])+SUMIF(Invest[Affectation matrice],$AB$3,Invest[TVA acquittée]))*BK26</f>
        <v>0</v>
      </c>
      <c r="CM26" s="200">
        <f>(SUMIF(Fonctionnement[Affectation matrice],$AB$3,Fonctionnement[TVA acquittée])+SUMIF(Invest[Affectation matrice],$AB$3,Invest[TVA acquittée]))*BL26</f>
        <v>0</v>
      </c>
      <c r="CN26" s="200">
        <f>(SUMIF(Fonctionnement[Affectation matrice],$AB$3,Fonctionnement[TVA acquittée])+SUMIF(Invest[Affectation matrice],$AB$3,Invest[TVA acquittée]))*BM26</f>
        <v>0</v>
      </c>
      <c r="CO26" s="200">
        <f>(SUMIF(Fonctionnement[Affectation matrice],$AB$3,Fonctionnement[TVA acquittée])+SUMIF(Invest[Affectation matrice],$AB$3,Invest[TVA acquittée]))*BN26</f>
        <v>0</v>
      </c>
      <c r="CP26" s="200">
        <f>(SUMIF(Fonctionnement[Affectation matrice],$AB$3,Fonctionnement[TVA acquittée])+SUMIF(Invest[Affectation matrice],$AB$3,Invest[TVA acquittée]))*BO26</f>
        <v>0</v>
      </c>
      <c r="CQ26" s="200">
        <f>(SUMIF(Fonctionnement[Affectation matrice],$AB$3,Fonctionnement[TVA acquittée])+SUMIF(Invest[Affectation matrice],$AB$3,Invest[TVA acquittée]))*BP26</f>
        <v>0</v>
      </c>
      <c r="CR26" s="200">
        <f>(SUMIF(Fonctionnement[Affectation matrice],$AB$3,Fonctionnement[TVA acquittée])+SUMIF(Invest[Affectation matrice],$AB$3,Invest[TVA acquittée]))*BQ26</f>
        <v>0</v>
      </c>
      <c r="CS26" s="200">
        <f>(SUMIF(Fonctionnement[Affectation matrice],$AB$3,Fonctionnement[TVA acquittée])+SUMIF(Invest[Affectation matrice],$AB$3,Invest[TVA acquittée]))*BR26</f>
        <v>0</v>
      </c>
      <c r="CT26" s="200">
        <f>(SUMIF(Fonctionnement[Affectation matrice],$AB$3,Fonctionnement[TVA acquittée])+SUMIF(Invest[Affectation matrice],$AB$3,Invest[TVA acquittée]))*BS26</f>
        <v>0</v>
      </c>
      <c r="CU26" s="200">
        <f>(SUMIF(Fonctionnement[Affectation matrice],$AB$3,Fonctionnement[TVA acquittée])+SUMIF(Invest[Affectation matrice],$AB$3,Invest[TVA acquittée]))*BT26</f>
        <v>0</v>
      </c>
      <c r="CV26" s="200">
        <f>(SUMIF(Fonctionnement[Affectation matrice],$AB$3,Fonctionnement[TVA acquittée])+SUMIF(Invest[Affectation matrice],$AB$3,Invest[TVA acquittée]))*BU26</f>
        <v>0</v>
      </c>
      <c r="CW26" s="200">
        <f>(SUMIF(Fonctionnement[Affectation matrice],$AB$3,Fonctionnement[TVA acquittée])+SUMIF(Invest[Affectation matrice],$AB$3,Invest[TVA acquittée]))*BV26</f>
        <v>0</v>
      </c>
      <c r="CX26" s="200">
        <f>(SUMIF(Fonctionnement[Affectation matrice],$AB$3,Fonctionnement[TVA acquittée])+SUMIF(Invest[Affectation matrice],$AB$3,Invest[TVA acquittée]))*BW26</f>
        <v>0</v>
      </c>
      <c r="CY26" s="200">
        <f>(SUMIF(Fonctionnement[Affectation matrice],$AB$3,Fonctionnement[TVA acquittée])+SUMIF(Invest[Affectation matrice],$AB$3,Invest[TVA acquittée]))*BX26</f>
        <v>0</v>
      </c>
      <c r="CZ26" s="200">
        <f>(SUMIF(Fonctionnement[Affectation matrice],$AB$3,Fonctionnement[TVA acquittée])+SUMIF(Invest[Affectation matrice],$AB$3,Invest[TVA acquittée]))*BY26</f>
        <v>0</v>
      </c>
      <c r="DA26" s="200">
        <f>(SUMIF(Fonctionnement[Affectation matrice],$AB$3,Fonctionnement[TVA acquittée])+SUMIF(Invest[Affectation matrice],$AB$3,Invest[TVA acquittée]))*BZ26</f>
        <v>0</v>
      </c>
      <c r="DB26" s="200">
        <f>(SUMIF(Fonctionnement[Affectation matrice],$AB$3,Fonctionnement[TVA acquittée])+SUMIF(Invest[Affectation matrice],$AB$3,Invest[TVA acquittée]))*CA26</f>
        <v>0</v>
      </c>
    </row>
    <row r="27" spans="1:106" s="22" customFormat="1" ht="12.75" hidden="1" customHeight="1" x14ac:dyDescent="0.25">
      <c r="A27" s="42" t="str">
        <f>Matrice[[#This Row],[Ligne de la matrice]]</f>
        <v>Énergie</v>
      </c>
      <c r="B27" s="276">
        <f>(SUMIF(Fonctionnement[Affectation matrice],$AB$3,Fonctionnement[Montant (€HT)])+SUMIF(Invest[Affectation matrice],$AB$3,Invest[Amortissement HT + intérêts]))*BC27</f>
        <v>0</v>
      </c>
      <c r="C27" s="276">
        <f>(SUMIF(Fonctionnement[Affectation matrice],$AB$3,Fonctionnement[Montant (€HT)])+SUMIF(Invest[Affectation matrice],$AB$3,Invest[Amortissement HT + intérêts]))*BD27</f>
        <v>0</v>
      </c>
      <c r="D27" s="276">
        <f>(SUMIF(Fonctionnement[Affectation matrice],$AB$3,Fonctionnement[Montant (€HT)])+SUMIF(Invest[Affectation matrice],$AB$3,Invest[Amortissement HT + intérêts]))*BE27</f>
        <v>0</v>
      </c>
      <c r="E27" s="276">
        <f>(SUMIF(Fonctionnement[Affectation matrice],$AB$3,Fonctionnement[Montant (€HT)])+SUMIF(Invest[Affectation matrice],$AB$3,Invest[Amortissement HT + intérêts]))*BF27</f>
        <v>0</v>
      </c>
      <c r="F27" s="276">
        <f>(SUMIF(Fonctionnement[Affectation matrice],$AB$3,Fonctionnement[Montant (€HT)])+SUMIF(Invest[Affectation matrice],$AB$3,Invest[Amortissement HT + intérêts]))*BG27</f>
        <v>0</v>
      </c>
      <c r="G27" s="276">
        <f>(SUMIF(Fonctionnement[Affectation matrice],$AB$3,Fonctionnement[Montant (€HT)])+SUMIF(Invest[Affectation matrice],$AB$3,Invest[Amortissement HT + intérêts]))*BH27</f>
        <v>0</v>
      </c>
      <c r="H27" s="276">
        <f>(SUMIF(Fonctionnement[Affectation matrice],$AB$3,Fonctionnement[Montant (€HT)])+SUMIF(Invest[Affectation matrice],$AB$3,Invest[Amortissement HT + intérêts]))*BI27</f>
        <v>0</v>
      </c>
      <c r="I27" s="276">
        <f>(SUMIF(Fonctionnement[Affectation matrice],$AB$3,Fonctionnement[Montant (€HT)])+SUMIF(Invest[Affectation matrice],$AB$3,Invest[Amortissement HT + intérêts]))*BJ27</f>
        <v>0</v>
      </c>
      <c r="J27" s="276">
        <f>(SUMIF(Fonctionnement[Affectation matrice],$AB$3,Fonctionnement[Montant (€HT)])+SUMIF(Invest[Affectation matrice],$AB$3,Invest[Amortissement HT + intérêts]))*BK27</f>
        <v>0</v>
      </c>
      <c r="K27" s="276">
        <f>(SUMIF(Fonctionnement[Affectation matrice],$AB$3,Fonctionnement[Montant (€HT)])+SUMIF(Invest[Affectation matrice],$AB$3,Invest[Amortissement HT + intérêts]))*BL27</f>
        <v>0</v>
      </c>
      <c r="L27" s="276">
        <f>(SUMIF(Fonctionnement[Affectation matrice],$AB$3,Fonctionnement[Montant (€HT)])+SUMIF(Invest[Affectation matrice],$AB$3,Invest[Amortissement HT + intérêts]))*BM27</f>
        <v>0</v>
      </c>
      <c r="M27" s="276">
        <f>(SUMIF(Fonctionnement[Affectation matrice],$AB$3,Fonctionnement[Montant (€HT)])+SUMIF(Invest[Affectation matrice],$AB$3,Invest[Amortissement HT + intérêts]))*BN27</f>
        <v>0</v>
      </c>
      <c r="N27" s="276">
        <f>(SUMIF(Fonctionnement[Affectation matrice],$AB$3,Fonctionnement[Montant (€HT)])+SUMIF(Invest[Affectation matrice],$AB$3,Invest[Amortissement HT + intérêts]))*BO27</f>
        <v>0</v>
      </c>
      <c r="O27" s="276">
        <f>(SUMIF(Fonctionnement[Affectation matrice],$AB$3,Fonctionnement[Montant (€HT)])+SUMIF(Invest[Affectation matrice],$AB$3,Invest[Amortissement HT + intérêts]))*BP27</f>
        <v>0</v>
      </c>
      <c r="P27" s="276">
        <f>(SUMIF(Fonctionnement[Affectation matrice],$AB$3,Fonctionnement[Montant (€HT)])+SUMIF(Invest[Affectation matrice],$AB$3,Invest[Amortissement HT + intérêts]))*BQ27</f>
        <v>0</v>
      </c>
      <c r="Q27" s="276">
        <f>(SUMIF(Fonctionnement[Affectation matrice],$AB$3,Fonctionnement[Montant (€HT)])+SUMIF(Invest[Affectation matrice],$AB$3,Invest[Amortissement HT + intérêts]))*BR27</f>
        <v>0</v>
      </c>
      <c r="R27" s="276">
        <f>(SUMIF(Fonctionnement[Affectation matrice],$AB$3,Fonctionnement[Montant (€HT)])+SUMIF(Invest[Affectation matrice],$AB$3,Invest[Amortissement HT + intérêts]))*BS27</f>
        <v>0</v>
      </c>
      <c r="S27" s="276">
        <f>(SUMIF(Fonctionnement[Affectation matrice],$AB$3,Fonctionnement[Montant (€HT)])+SUMIF(Invest[Affectation matrice],$AB$3,Invest[Amortissement HT + intérêts]))*BT27</f>
        <v>0</v>
      </c>
      <c r="T27" s="276">
        <f>(SUMIF(Fonctionnement[Affectation matrice],$AB$3,Fonctionnement[Montant (€HT)])+SUMIF(Invest[Affectation matrice],$AB$3,Invest[Amortissement HT + intérêts]))*BU27</f>
        <v>0</v>
      </c>
      <c r="U27" s="276">
        <f>(SUMIF(Fonctionnement[Affectation matrice],$AB$3,Fonctionnement[Montant (€HT)])+SUMIF(Invest[Affectation matrice],$AB$3,Invest[Amortissement HT + intérêts]))*BV27</f>
        <v>0</v>
      </c>
      <c r="V27" s="276">
        <f>(SUMIF(Fonctionnement[Affectation matrice],$AB$3,Fonctionnement[Montant (€HT)])+SUMIF(Invest[Affectation matrice],$AB$3,Invest[Amortissement HT + intérêts]))*BW27</f>
        <v>0</v>
      </c>
      <c r="W27" s="276">
        <f>(SUMIF(Fonctionnement[Affectation matrice],$AB$3,Fonctionnement[Montant (€HT)])+SUMIF(Invest[Affectation matrice],$AB$3,Invest[Amortissement HT + intérêts]))*BX27</f>
        <v>0</v>
      </c>
      <c r="X27" s="276">
        <f>(SUMIF(Fonctionnement[Affectation matrice],$AB$3,Fonctionnement[Montant (€HT)])+SUMIF(Invest[Affectation matrice],$AB$3,Invest[Amortissement HT + intérêts]))*BY27</f>
        <v>0</v>
      </c>
      <c r="Y27" s="276">
        <f>(SUMIF(Fonctionnement[Affectation matrice],$AB$3,Fonctionnement[Montant (€HT)])+SUMIF(Invest[Affectation matrice],$AB$3,Invest[Amortissement HT + intérêts]))*BZ27</f>
        <v>0</v>
      </c>
      <c r="Z27" s="276">
        <f>(SUMIF(Fonctionnement[Affectation matrice],$AB$3,Fonctionnement[Montant (€HT)])+SUMIF(Invest[Affectation matrice],$AB$3,Invest[Amortissement HT + intérêts]))*CA27</f>
        <v>0</v>
      </c>
      <c r="AA27" s="199"/>
      <c r="AB27" s="302" t="str">
        <f t="shared" si="55"/>
        <v/>
      </c>
      <c r="AC27" s="302" t="str">
        <f t="shared" si="55"/>
        <v/>
      </c>
      <c r="AD27" s="302" t="str">
        <f t="shared" si="55"/>
        <v/>
      </c>
      <c r="AE27" s="302" t="str">
        <f t="shared" si="55"/>
        <v/>
      </c>
      <c r="AF27" s="302" t="str">
        <f t="shared" si="55"/>
        <v/>
      </c>
      <c r="AG27" s="302" t="str">
        <f t="shared" si="55"/>
        <v/>
      </c>
      <c r="AH27" s="302" t="str">
        <f t="shared" si="55"/>
        <v/>
      </c>
      <c r="AI27" s="302" t="str">
        <f t="shared" si="55"/>
        <v/>
      </c>
      <c r="AJ27" s="302" t="str">
        <f t="shared" si="55"/>
        <v/>
      </c>
      <c r="AK27" s="302" t="str">
        <f t="shared" si="55"/>
        <v/>
      </c>
      <c r="AL27" s="302" t="str">
        <f t="shared" si="56"/>
        <v/>
      </c>
      <c r="AM27" s="302" t="str">
        <f t="shared" si="56"/>
        <v/>
      </c>
      <c r="AN27" s="302" t="str">
        <f t="shared" si="56"/>
        <v/>
      </c>
      <c r="AO27" s="302" t="str">
        <f t="shared" si="56"/>
        <v/>
      </c>
      <c r="AP27" s="302" t="str">
        <f t="shared" si="56"/>
        <v/>
      </c>
      <c r="AQ27" s="302" t="str">
        <f t="shared" si="56"/>
        <v/>
      </c>
      <c r="AR27" s="302" t="str">
        <f t="shared" si="56"/>
        <v/>
      </c>
      <c r="AS27" s="302" t="str">
        <f t="shared" si="56"/>
        <v/>
      </c>
      <c r="AT27" s="302" t="str">
        <f t="shared" si="56"/>
        <v/>
      </c>
      <c r="AU27" s="302" t="str">
        <f t="shared" si="56"/>
        <v/>
      </c>
      <c r="AV27" s="302" t="str">
        <f t="shared" si="56"/>
        <v/>
      </c>
      <c r="AW27" s="302" t="str">
        <f t="shared" si="56"/>
        <v/>
      </c>
      <c r="AX27" s="302" t="str">
        <f t="shared" si="56"/>
        <v/>
      </c>
      <c r="AY27" s="302" t="str">
        <f t="shared" si="56"/>
        <v/>
      </c>
      <c r="AZ27" s="302" t="str">
        <f t="shared" si="56"/>
        <v/>
      </c>
      <c r="BA27" s="283" t="str">
        <f t="shared" si="56"/>
        <v/>
      </c>
      <c r="BB27" s="7"/>
      <c r="BC27" s="61">
        <f t="shared" si="57"/>
        <v>0</v>
      </c>
      <c r="BD27" s="61">
        <f t="shared" si="58"/>
        <v>0</v>
      </c>
      <c r="BE27" s="61">
        <f t="shared" si="59"/>
        <v>0</v>
      </c>
      <c r="BF27" s="61">
        <f t="shared" si="60"/>
        <v>0</v>
      </c>
      <c r="BG27" s="61">
        <f t="shared" si="61"/>
        <v>0</v>
      </c>
      <c r="BH27" s="61">
        <f t="shared" si="62"/>
        <v>0</v>
      </c>
      <c r="BI27" s="61">
        <f t="shared" si="63"/>
        <v>0</v>
      </c>
      <c r="BJ27" s="61">
        <f t="shared" si="64"/>
        <v>0</v>
      </c>
      <c r="BK27" s="61">
        <f t="shared" si="65"/>
        <v>0</v>
      </c>
      <c r="BL27" s="61">
        <f t="shared" si="66"/>
        <v>0</v>
      </c>
      <c r="BM27" s="61">
        <f t="shared" si="67"/>
        <v>0</v>
      </c>
      <c r="BN27" s="61">
        <f t="shared" si="68"/>
        <v>0</v>
      </c>
      <c r="BO27" s="61">
        <f t="shared" si="69"/>
        <v>0</v>
      </c>
      <c r="BP27" s="61">
        <f t="shared" si="70"/>
        <v>0</v>
      </c>
      <c r="BQ27" s="61">
        <f t="shared" si="71"/>
        <v>0</v>
      </c>
      <c r="BR27" s="61">
        <f t="shared" si="72"/>
        <v>0</v>
      </c>
      <c r="BS27" s="61">
        <f t="shared" si="73"/>
        <v>0</v>
      </c>
      <c r="BT27" s="61">
        <f t="shared" si="74"/>
        <v>0</v>
      </c>
      <c r="BU27" s="61">
        <f t="shared" si="75"/>
        <v>0</v>
      </c>
      <c r="BV27" s="61">
        <f t="shared" si="76"/>
        <v>0</v>
      </c>
      <c r="BW27" s="61">
        <f t="shared" si="77"/>
        <v>0</v>
      </c>
      <c r="BX27" s="61">
        <f t="shared" si="78"/>
        <v>0</v>
      </c>
      <c r="BY27" s="61">
        <f t="shared" si="79"/>
        <v>0</v>
      </c>
      <c r="BZ27" s="61">
        <f t="shared" si="80"/>
        <v>0</v>
      </c>
      <c r="CA27" s="61">
        <f t="shared" si="81"/>
        <v>0</v>
      </c>
      <c r="CB27" s="61">
        <f t="shared" si="52"/>
        <v>0</v>
      </c>
      <c r="CD27" s="200">
        <f>(SUMIF(Fonctionnement[Affectation matrice],$AB$3,Fonctionnement[TVA acquittée])+SUMIF(Invest[Affectation matrice],$AB$3,Invest[TVA acquittée]))*BC27</f>
        <v>0</v>
      </c>
      <c r="CE27" s="200">
        <f>(SUMIF(Fonctionnement[Affectation matrice],$AB$3,Fonctionnement[TVA acquittée])+SUMIF(Invest[Affectation matrice],$AB$3,Invest[TVA acquittée]))*BD27</f>
        <v>0</v>
      </c>
      <c r="CF27" s="200">
        <f>(SUMIF(Fonctionnement[Affectation matrice],$AB$3,Fonctionnement[TVA acquittée])+SUMIF(Invest[Affectation matrice],$AB$3,Invest[TVA acquittée]))*BE27</f>
        <v>0</v>
      </c>
      <c r="CG27" s="200">
        <f>(SUMIF(Fonctionnement[Affectation matrice],$AB$3,Fonctionnement[TVA acquittée])+SUMIF(Invest[Affectation matrice],$AB$3,Invest[TVA acquittée]))*BF27</f>
        <v>0</v>
      </c>
      <c r="CH27" s="200">
        <f>(SUMIF(Fonctionnement[Affectation matrice],$AB$3,Fonctionnement[TVA acquittée])+SUMIF(Invest[Affectation matrice],$AB$3,Invest[TVA acquittée]))*BG27</f>
        <v>0</v>
      </c>
      <c r="CI27" s="200">
        <f>(SUMIF(Fonctionnement[Affectation matrice],$AB$3,Fonctionnement[TVA acquittée])+SUMIF(Invest[Affectation matrice],$AB$3,Invest[TVA acquittée]))*BH27</f>
        <v>0</v>
      </c>
      <c r="CJ27" s="200">
        <f>(SUMIF(Fonctionnement[Affectation matrice],$AB$3,Fonctionnement[TVA acquittée])+SUMIF(Invest[Affectation matrice],$AB$3,Invest[TVA acquittée]))*BI27</f>
        <v>0</v>
      </c>
      <c r="CK27" s="200">
        <f>(SUMIF(Fonctionnement[Affectation matrice],$AB$3,Fonctionnement[TVA acquittée])+SUMIF(Invest[Affectation matrice],$AB$3,Invest[TVA acquittée]))*BJ27</f>
        <v>0</v>
      </c>
      <c r="CL27" s="200">
        <f>(SUMIF(Fonctionnement[Affectation matrice],$AB$3,Fonctionnement[TVA acquittée])+SUMIF(Invest[Affectation matrice],$AB$3,Invest[TVA acquittée]))*BK27</f>
        <v>0</v>
      </c>
      <c r="CM27" s="200">
        <f>(SUMIF(Fonctionnement[Affectation matrice],$AB$3,Fonctionnement[TVA acquittée])+SUMIF(Invest[Affectation matrice],$AB$3,Invest[TVA acquittée]))*BL27</f>
        <v>0</v>
      </c>
      <c r="CN27" s="200">
        <f>(SUMIF(Fonctionnement[Affectation matrice],$AB$3,Fonctionnement[TVA acquittée])+SUMIF(Invest[Affectation matrice],$AB$3,Invest[TVA acquittée]))*BM27</f>
        <v>0</v>
      </c>
      <c r="CO27" s="200">
        <f>(SUMIF(Fonctionnement[Affectation matrice],$AB$3,Fonctionnement[TVA acquittée])+SUMIF(Invest[Affectation matrice],$AB$3,Invest[TVA acquittée]))*BN27</f>
        <v>0</v>
      </c>
      <c r="CP27" s="200">
        <f>(SUMIF(Fonctionnement[Affectation matrice],$AB$3,Fonctionnement[TVA acquittée])+SUMIF(Invest[Affectation matrice],$AB$3,Invest[TVA acquittée]))*BO27</f>
        <v>0</v>
      </c>
      <c r="CQ27" s="200">
        <f>(SUMIF(Fonctionnement[Affectation matrice],$AB$3,Fonctionnement[TVA acquittée])+SUMIF(Invest[Affectation matrice],$AB$3,Invest[TVA acquittée]))*BP27</f>
        <v>0</v>
      </c>
      <c r="CR27" s="200">
        <f>(SUMIF(Fonctionnement[Affectation matrice],$AB$3,Fonctionnement[TVA acquittée])+SUMIF(Invest[Affectation matrice],$AB$3,Invest[TVA acquittée]))*BQ27</f>
        <v>0</v>
      </c>
      <c r="CS27" s="200">
        <f>(SUMIF(Fonctionnement[Affectation matrice],$AB$3,Fonctionnement[TVA acquittée])+SUMIF(Invest[Affectation matrice],$AB$3,Invest[TVA acquittée]))*BR27</f>
        <v>0</v>
      </c>
      <c r="CT27" s="200">
        <f>(SUMIF(Fonctionnement[Affectation matrice],$AB$3,Fonctionnement[TVA acquittée])+SUMIF(Invest[Affectation matrice],$AB$3,Invest[TVA acquittée]))*BS27</f>
        <v>0</v>
      </c>
      <c r="CU27" s="200">
        <f>(SUMIF(Fonctionnement[Affectation matrice],$AB$3,Fonctionnement[TVA acquittée])+SUMIF(Invest[Affectation matrice],$AB$3,Invest[TVA acquittée]))*BT27</f>
        <v>0</v>
      </c>
      <c r="CV27" s="200">
        <f>(SUMIF(Fonctionnement[Affectation matrice],$AB$3,Fonctionnement[TVA acquittée])+SUMIF(Invest[Affectation matrice],$AB$3,Invest[TVA acquittée]))*BU27</f>
        <v>0</v>
      </c>
      <c r="CW27" s="200">
        <f>(SUMIF(Fonctionnement[Affectation matrice],$AB$3,Fonctionnement[TVA acquittée])+SUMIF(Invest[Affectation matrice],$AB$3,Invest[TVA acquittée]))*BV27</f>
        <v>0</v>
      </c>
      <c r="CX27" s="200">
        <f>(SUMIF(Fonctionnement[Affectation matrice],$AB$3,Fonctionnement[TVA acquittée])+SUMIF(Invest[Affectation matrice],$AB$3,Invest[TVA acquittée]))*BW27</f>
        <v>0</v>
      </c>
      <c r="CY27" s="200">
        <f>(SUMIF(Fonctionnement[Affectation matrice],$AB$3,Fonctionnement[TVA acquittée])+SUMIF(Invest[Affectation matrice],$AB$3,Invest[TVA acquittée]))*BX27</f>
        <v>0</v>
      </c>
      <c r="CZ27" s="200">
        <f>(SUMIF(Fonctionnement[Affectation matrice],$AB$3,Fonctionnement[TVA acquittée])+SUMIF(Invest[Affectation matrice],$AB$3,Invest[TVA acquittée]))*BY27</f>
        <v>0</v>
      </c>
      <c r="DA27" s="200">
        <f>(SUMIF(Fonctionnement[Affectation matrice],$AB$3,Fonctionnement[TVA acquittée])+SUMIF(Invest[Affectation matrice],$AB$3,Invest[TVA acquittée]))*BZ27</f>
        <v>0</v>
      </c>
      <c r="DB27" s="200">
        <f>(SUMIF(Fonctionnement[Affectation matrice],$AB$3,Fonctionnement[TVA acquittée])+SUMIF(Invest[Affectation matrice],$AB$3,Invest[TVA acquittée]))*CA27</f>
        <v>0</v>
      </c>
    </row>
    <row r="28" spans="1:106" s="22" customFormat="1" ht="12.75" hidden="1" customHeight="1" x14ac:dyDescent="0.25">
      <c r="A28" s="42" t="str">
        <f>Matrice[[#This Row],[Ligne de la matrice]]</f>
        <v>Prestation à des tiers</v>
      </c>
      <c r="B28" s="276">
        <f>(SUMIF(Fonctionnement[Affectation matrice],$AB$3,Fonctionnement[Montant (€HT)])+SUMIF(Invest[Affectation matrice],$AB$3,Invest[Amortissement HT + intérêts]))*BC28</f>
        <v>0</v>
      </c>
      <c r="C28" s="276">
        <f>(SUMIF(Fonctionnement[Affectation matrice],$AB$3,Fonctionnement[Montant (€HT)])+SUMIF(Invest[Affectation matrice],$AB$3,Invest[Amortissement HT + intérêts]))*BD28</f>
        <v>0</v>
      </c>
      <c r="D28" s="276">
        <f>(SUMIF(Fonctionnement[Affectation matrice],$AB$3,Fonctionnement[Montant (€HT)])+SUMIF(Invest[Affectation matrice],$AB$3,Invest[Amortissement HT + intérêts]))*BE28</f>
        <v>0</v>
      </c>
      <c r="E28" s="276">
        <f>(SUMIF(Fonctionnement[Affectation matrice],$AB$3,Fonctionnement[Montant (€HT)])+SUMIF(Invest[Affectation matrice],$AB$3,Invest[Amortissement HT + intérêts]))*BF28</f>
        <v>0</v>
      </c>
      <c r="F28" s="276">
        <f>(SUMIF(Fonctionnement[Affectation matrice],$AB$3,Fonctionnement[Montant (€HT)])+SUMIF(Invest[Affectation matrice],$AB$3,Invest[Amortissement HT + intérêts]))*BG28</f>
        <v>0</v>
      </c>
      <c r="G28" s="276">
        <f>(SUMIF(Fonctionnement[Affectation matrice],$AB$3,Fonctionnement[Montant (€HT)])+SUMIF(Invest[Affectation matrice],$AB$3,Invest[Amortissement HT + intérêts]))*BH28</f>
        <v>0</v>
      </c>
      <c r="H28" s="276">
        <f>(SUMIF(Fonctionnement[Affectation matrice],$AB$3,Fonctionnement[Montant (€HT)])+SUMIF(Invest[Affectation matrice],$AB$3,Invest[Amortissement HT + intérêts]))*BI28</f>
        <v>0</v>
      </c>
      <c r="I28" s="276">
        <f>(SUMIF(Fonctionnement[Affectation matrice],$AB$3,Fonctionnement[Montant (€HT)])+SUMIF(Invest[Affectation matrice],$AB$3,Invest[Amortissement HT + intérêts]))*BJ28</f>
        <v>0</v>
      </c>
      <c r="J28" s="276">
        <f>(SUMIF(Fonctionnement[Affectation matrice],$AB$3,Fonctionnement[Montant (€HT)])+SUMIF(Invest[Affectation matrice],$AB$3,Invest[Amortissement HT + intérêts]))*BK28</f>
        <v>0</v>
      </c>
      <c r="K28" s="276">
        <f>(SUMIF(Fonctionnement[Affectation matrice],$AB$3,Fonctionnement[Montant (€HT)])+SUMIF(Invest[Affectation matrice],$AB$3,Invest[Amortissement HT + intérêts]))*BL28</f>
        <v>0</v>
      </c>
      <c r="L28" s="276">
        <f>(SUMIF(Fonctionnement[Affectation matrice],$AB$3,Fonctionnement[Montant (€HT)])+SUMIF(Invest[Affectation matrice],$AB$3,Invest[Amortissement HT + intérêts]))*BM28</f>
        <v>0</v>
      </c>
      <c r="M28" s="276">
        <f>(SUMIF(Fonctionnement[Affectation matrice],$AB$3,Fonctionnement[Montant (€HT)])+SUMIF(Invest[Affectation matrice],$AB$3,Invest[Amortissement HT + intérêts]))*BN28</f>
        <v>0</v>
      </c>
      <c r="N28" s="276">
        <f>(SUMIF(Fonctionnement[Affectation matrice],$AB$3,Fonctionnement[Montant (€HT)])+SUMIF(Invest[Affectation matrice],$AB$3,Invest[Amortissement HT + intérêts]))*BO28</f>
        <v>0</v>
      </c>
      <c r="O28" s="276">
        <f>(SUMIF(Fonctionnement[Affectation matrice],$AB$3,Fonctionnement[Montant (€HT)])+SUMIF(Invest[Affectation matrice],$AB$3,Invest[Amortissement HT + intérêts]))*BP28</f>
        <v>0</v>
      </c>
      <c r="P28" s="276">
        <f>(SUMIF(Fonctionnement[Affectation matrice],$AB$3,Fonctionnement[Montant (€HT)])+SUMIF(Invest[Affectation matrice],$AB$3,Invest[Amortissement HT + intérêts]))*BQ28</f>
        <v>0</v>
      </c>
      <c r="Q28" s="276">
        <f>(SUMIF(Fonctionnement[Affectation matrice],$AB$3,Fonctionnement[Montant (€HT)])+SUMIF(Invest[Affectation matrice],$AB$3,Invest[Amortissement HT + intérêts]))*BR28</f>
        <v>0</v>
      </c>
      <c r="R28" s="276">
        <f>(SUMIF(Fonctionnement[Affectation matrice],$AB$3,Fonctionnement[Montant (€HT)])+SUMIF(Invest[Affectation matrice],$AB$3,Invest[Amortissement HT + intérêts]))*BS28</f>
        <v>0</v>
      </c>
      <c r="S28" s="276">
        <f>(SUMIF(Fonctionnement[Affectation matrice],$AB$3,Fonctionnement[Montant (€HT)])+SUMIF(Invest[Affectation matrice],$AB$3,Invest[Amortissement HT + intérêts]))*BT28</f>
        <v>0</v>
      </c>
      <c r="T28" s="276">
        <f>(SUMIF(Fonctionnement[Affectation matrice],$AB$3,Fonctionnement[Montant (€HT)])+SUMIF(Invest[Affectation matrice],$AB$3,Invest[Amortissement HT + intérêts]))*BU28</f>
        <v>0</v>
      </c>
      <c r="U28" s="276">
        <f>(SUMIF(Fonctionnement[Affectation matrice],$AB$3,Fonctionnement[Montant (€HT)])+SUMIF(Invest[Affectation matrice],$AB$3,Invest[Amortissement HT + intérêts]))*BV28</f>
        <v>0</v>
      </c>
      <c r="V28" s="276">
        <f>(SUMIF(Fonctionnement[Affectation matrice],$AB$3,Fonctionnement[Montant (€HT)])+SUMIF(Invest[Affectation matrice],$AB$3,Invest[Amortissement HT + intérêts]))*BW28</f>
        <v>0</v>
      </c>
      <c r="W28" s="276">
        <f>(SUMIF(Fonctionnement[Affectation matrice],$AB$3,Fonctionnement[Montant (€HT)])+SUMIF(Invest[Affectation matrice],$AB$3,Invest[Amortissement HT + intérêts]))*BX28</f>
        <v>0</v>
      </c>
      <c r="X28" s="276">
        <f>(SUMIF(Fonctionnement[Affectation matrice],$AB$3,Fonctionnement[Montant (€HT)])+SUMIF(Invest[Affectation matrice],$AB$3,Invest[Amortissement HT + intérêts]))*BY28</f>
        <v>0</v>
      </c>
      <c r="Y28" s="276">
        <f>(SUMIF(Fonctionnement[Affectation matrice],$AB$3,Fonctionnement[Montant (€HT)])+SUMIF(Invest[Affectation matrice],$AB$3,Invest[Amortissement HT + intérêts]))*BZ28</f>
        <v>0</v>
      </c>
      <c r="Z28" s="276">
        <f>(SUMIF(Fonctionnement[Affectation matrice],$AB$3,Fonctionnement[Montant (€HT)])+SUMIF(Invest[Affectation matrice],$AB$3,Invest[Amortissement HT + intérêts]))*CA28</f>
        <v>0</v>
      </c>
      <c r="AA28" s="199"/>
      <c r="AB28" s="302" t="str">
        <f t="shared" si="55"/>
        <v/>
      </c>
      <c r="AC28" s="302" t="str">
        <f t="shared" si="55"/>
        <v/>
      </c>
      <c r="AD28" s="302" t="str">
        <f t="shared" si="55"/>
        <v/>
      </c>
      <c r="AE28" s="302" t="str">
        <f t="shared" si="55"/>
        <v/>
      </c>
      <c r="AF28" s="302" t="str">
        <f t="shared" si="55"/>
        <v/>
      </c>
      <c r="AG28" s="302" t="str">
        <f t="shared" si="55"/>
        <v/>
      </c>
      <c r="AH28" s="302" t="str">
        <f t="shared" si="55"/>
        <v/>
      </c>
      <c r="AI28" s="302" t="str">
        <f t="shared" si="55"/>
        <v/>
      </c>
      <c r="AJ28" s="302" t="str">
        <f t="shared" si="55"/>
        <v/>
      </c>
      <c r="AK28" s="302" t="str">
        <f t="shared" si="55"/>
        <v/>
      </c>
      <c r="AL28" s="302" t="str">
        <f t="shared" si="56"/>
        <v/>
      </c>
      <c r="AM28" s="302" t="str">
        <f t="shared" si="56"/>
        <v/>
      </c>
      <c r="AN28" s="302" t="str">
        <f t="shared" si="56"/>
        <v/>
      </c>
      <c r="AO28" s="302" t="str">
        <f t="shared" si="56"/>
        <v/>
      </c>
      <c r="AP28" s="302" t="str">
        <f t="shared" si="56"/>
        <v/>
      </c>
      <c r="AQ28" s="302" t="str">
        <f t="shared" si="56"/>
        <v/>
      </c>
      <c r="AR28" s="302" t="str">
        <f t="shared" si="56"/>
        <v/>
      </c>
      <c r="AS28" s="302" t="str">
        <f t="shared" si="56"/>
        <v/>
      </c>
      <c r="AT28" s="302" t="str">
        <f t="shared" si="56"/>
        <v/>
      </c>
      <c r="AU28" s="302" t="str">
        <f t="shared" si="56"/>
        <v/>
      </c>
      <c r="AV28" s="302" t="str">
        <f t="shared" si="56"/>
        <v/>
      </c>
      <c r="AW28" s="302" t="str">
        <f t="shared" si="56"/>
        <v/>
      </c>
      <c r="AX28" s="302" t="str">
        <f t="shared" si="56"/>
        <v/>
      </c>
      <c r="AY28" s="302" t="str">
        <f t="shared" si="56"/>
        <v/>
      </c>
      <c r="AZ28" s="302" t="str">
        <f t="shared" si="56"/>
        <v/>
      </c>
      <c r="BA28" s="283" t="str">
        <f t="shared" si="56"/>
        <v/>
      </c>
      <c r="BB28" s="7"/>
      <c r="BC28" s="61">
        <f t="shared" si="57"/>
        <v>0</v>
      </c>
      <c r="BD28" s="61">
        <f t="shared" si="58"/>
        <v>0</v>
      </c>
      <c r="BE28" s="61">
        <f t="shared" si="59"/>
        <v>0</v>
      </c>
      <c r="BF28" s="61">
        <f t="shared" si="60"/>
        <v>0</v>
      </c>
      <c r="BG28" s="61">
        <f t="shared" si="61"/>
        <v>0</v>
      </c>
      <c r="BH28" s="61">
        <f t="shared" si="62"/>
        <v>0</v>
      </c>
      <c r="BI28" s="61">
        <f t="shared" si="63"/>
        <v>0</v>
      </c>
      <c r="BJ28" s="61">
        <f t="shared" si="64"/>
        <v>0</v>
      </c>
      <c r="BK28" s="61">
        <f t="shared" si="65"/>
        <v>0</v>
      </c>
      <c r="BL28" s="61">
        <f t="shared" si="66"/>
        <v>0</v>
      </c>
      <c r="BM28" s="61">
        <f t="shared" si="67"/>
        <v>0</v>
      </c>
      <c r="BN28" s="61">
        <f t="shared" si="68"/>
        <v>0</v>
      </c>
      <c r="BO28" s="61">
        <f t="shared" si="69"/>
        <v>0</v>
      </c>
      <c r="BP28" s="61">
        <f t="shared" si="70"/>
        <v>0</v>
      </c>
      <c r="BQ28" s="61">
        <f t="shared" si="71"/>
        <v>0</v>
      </c>
      <c r="BR28" s="61">
        <f t="shared" si="72"/>
        <v>0</v>
      </c>
      <c r="BS28" s="61">
        <f t="shared" si="73"/>
        <v>0</v>
      </c>
      <c r="BT28" s="61">
        <f t="shared" si="74"/>
        <v>0</v>
      </c>
      <c r="BU28" s="61">
        <f t="shared" si="75"/>
        <v>0</v>
      </c>
      <c r="BV28" s="61">
        <f t="shared" si="76"/>
        <v>0</v>
      </c>
      <c r="BW28" s="61">
        <f t="shared" si="77"/>
        <v>0</v>
      </c>
      <c r="BX28" s="61">
        <f t="shared" si="78"/>
        <v>0</v>
      </c>
      <c r="BY28" s="61">
        <f t="shared" si="79"/>
        <v>0</v>
      </c>
      <c r="BZ28" s="61">
        <f t="shared" si="80"/>
        <v>0</v>
      </c>
      <c r="CA28" s="61">
        <f t="shared" si="81"/>
        <v>0</v>
      </c>
      <c r="CB28" s="61">
        <f t="shared" si="52"/>
        <v>0</v>
      </c>
      <c r="CD28" s="200">
        <f>(SUMIF(Fonctionnement[Affectation matrice],$AB$3,Fonctionnement[TVA acquittée])+SUMIF(Invest[Affectation matrice],$AB$3,Invest[TVA acquittée]))*BC28</f>
        <v>0</v>
      </c>
      <c r="CE28" s="200">
        <f>(SUMIF(Fonctionnement[Affectation matrice],$AB$3,Fonctionnement[TVA acquittée])+SUMIF(Invest[Affectation matrice],$AB$3,Invest[TVA acquittée]))*BD28</f>
        <v>0</v>
      </c>
      <c r="CF28" s="200">
        <f>(SUMIF(Fonctionnement[Affectation matrice],$AB$3,Fonctionnement[TVA acquittée])+SUMIF(Invest[Affectation matrice],$AB$3,Invest[TVA acquittée]))*BE28</f>
        <v>0</v>
      </c>
      <c r="CG28" s="200">
        <f>(SUMIF(Fonctionnement[Affectation matrice],$AB$3,Fonctionnement[TVA acquittée])+SUMIF(Invest[Affectation matrice],$AB$3,Invest[TVA acquittée]))*BF28</f>
        <v>0</v>
      </c>
      <c r="CH28" s="200">
        <f>(SUMIF(Fonctionnement[Affectation matrice],$AB$3,Fonctionnement[TVA acquittée])+SUMIF(Invest[Affectation matrice],$AB$3,Invest[TVA acquittée]))*BG28</f>
        <v>0</v>
      </c>
      <c r="CI28" s="200">
        <f>(SUMIF(Fonctionnement[Affectation matrice],$AB$3,Fonctionnement[TVA acquittée])+SUMIF(Invest[Affectation matrice],$AB$3,Invest[TVA acquittée]))*BH28</f>
        <v>0</v>
      </c>
      <c r="CJ28" s="200">
        <f>(SUMIF(Fonctionnement[Affectation matrice],$AB$3,Fonctionnement[TVA acquittée])+SUMIF(Invest[Affectation matrice],$AB$3,Invest[TVA acquittée]))*BI28</f>
        <v>0</v>
      </c>
      <c r="CK28" s="200">
        <f>(SUMIF(Fonctionnement[Affectation matrice],$AB$3,Fonctionnement[TVA acquittée])+SUMIF(Invest[Affectation matrice],$AB$3,Invest[TVA acquittée]))*BJ28</f>
        <v>0</v>
      </c>
      <c r="CL28" s="200">
        <f>(SUMIF(Fonctionnement[Affectation matrice],$AB$3,Fonctionnement[TVA acquittée])+SUMIF(Invest[Affectation matrice],$AB$3,Invest[TVA acquittée]))*BK28</f>
        <v>0</v>
      </c>
      <c r="CM28" s="200">
        <f>(SUMIF(Fonctionnement[Affectation matrice],$AB$3,Fonctionnement[TVA acquittée])+SUMIF(Invest[Affectation matrice],$AB$3,Invest[TVA acquittée]))*BL28</f>
        <v>0</v>
      </c>
      <c r="CN28" s="200">
        <f>(SUMIF(Fonctionnement[Affectation matrice],$AB$3,Fonctionnement[TVA acquittée])+SUMIF(Invest[Affectation matrice],$AB$3,Invest[TVA acquittée]))*BM28</f>
        <v>0</v>
      </c>
      <c r="CO28" s="200">
        <f>(SUMIF(Fonctionnement[Affectation matrice],$AB$3,Fonctionnement[TVA acquittée])+SUMIF(Invest[Affectation matrice],$AB$3,Invest[TVA acquittée]))*BN28</f>
        <v>0</v>
      </c>
      <c r="CP28" s="200">
        <f>(SUMIF(Fonctionnement[Affectation matrice],$AB$3,Fonctionnement[TVA acquittée])+SUMIF(Invest[Affectation matrice],$AB$3,Invest[TVA acquittée]))*BO28</f>
        <v>0</v>
      </c>
      <c r="CQ28" s="200">
        <f>(SUMIF(Fonctionnement[Affectation matrice],$AB$3,Fonctionnement[TVA acquittée])+SUMIF(Invest[Affectation matrice],$AB$3,Invest[TVA acquittée]))*BP28</f>
        <v>0</v>
      </c>
      <c r="CR28" s="200">
        <f>(SUMIF(Fonctionnement[Affectation matrice],$AB$3,Fonctionnement[TVA acquittée])+SUMIF(Invest[Affectation matrice],$AB$3,Invest[TVA acquittée]))*BQ28</f>
        <v>0</v>
      </c>
      <c r="CS28" s="200">
        <f>(SUMIF(Fonctionnement[Affectation matrice],$AB$3,Fonctionnement[TVA acquittée])+SUMIF(Invest[Affectation matrice],$AB$3,Invest[TVA acquittée]))*BR28</f>
        <v>0</v>
      </c>
      <c r="CT28" s="200">
        <f>(SUMIF(Fonctionnement[Affectation matrice],$AB$3,Fonctionnement[TVA acquittée])+SUMIF(Invest[Affectation matrice],$AB$3,Invest[TVA acquittée]))*BS28</f>
        <v>0</v>
      </c>
      <c r="CU28" s="200">
        <f>(SUMIF(Fonctionnement[Affectation matrice],$AB$3,Fonctionnement[TVA acquittée])+SUMIF(Invest[Affectation matrice],$AB$3,Invest[TVA acquittée]))*BT28</f>
        <v>0</v>
      </c>
      <c r="CV28" s="200">
        <f>(SUMIF(Fonctionnement[Affectation matrice],$AB$3,Fonctionnement[TVA acquittée])+SUMIF(Invest[Affectation matrice],$AB$3,Invest[TVA acquittée]))*BU28</f>
        <v>0</v>
      </c>
      <c r="CW28" s="200">
        <f>(SUMIF(Fonctionnement[Affectation matrice],$AB$3,Fonctionnement[TVA acquittée])+SUMIF(Invest[Affectation matrice],$AB$3,Invest[TVA acquittée]))*BV28</f>
        <v>0</v>
      </c>
      <c r="CX28" s="200">
        <f>(SUMIF(Fonctionnement[Affectation matrice],$AB$3,Fonctionnement[TVA acquittée])+SUMIF(Invest[Affectation matrice],$AB$3,Invest[TVA acquittée]))*BW28</f>
        <v>0</v>
      </c>
      <c r="CY28" s="200">
        <f>(SUMIF(Fonctionnement[Affectation matrice],$AB$3,Fonctionnement[TVA acquittée])+SUMIF(Invest[Affectation matrice],$AB$3,Invest[TVA acquittée]))*BX28</f>
        <v>0</v>
      </c>
      <c r="CZ28" s="200">
        <f>(SUMIF(Fonctionnement[Affectation matrice],$AB$3,Fonctionnement[TVA acquittée])+SUMIF(Invest[Affectation matrice],$AB$3,Invest[TVA acquittée]))*BY28</f>
        <v>0</v>
      </c>
      <c r="DA28" s="200">
        <f>(SUMIF(Fonctionnement[Affectation matrice],$AB$3,Fonctionnement[TVA acquittée])+SUMIF(Invest[Affectation matrice],$AB$3,Invest[TVA acquittée]))*BZ28</f>
        <v>0</v>
      </c>
      <c r="DB28" s="200">
        <f>(SUMIF(Fonctionnement[Affectation matrice],$AB$3,Fonctionnement[TVA acquittée])+SUMIF(Invest[Affectation matrice],$AB$3,Invest[TVA acquittée]))*CA28</f>
        <v>0</v>
      </c>
    </row>
    <row r="29" spans="1:106" s="22" customFormat="1" ht="12.75" hidden="1" customHeight="1" x14ac:dyDescent="0.25">
      <c r="A29" s="42" t="str">
        <f>Matrice[[#This Row],[Ligne de la matrice]]</f>
        <v>Autres produits</v>
      </c>
      <c r="B29" s="276">
        <f>(SUMIF(Fonctionnement[Affectation matrice],$AB$3,Fonctionnement[Montant (€HT)])+SUMIF(Invest[Affectation matrice],$AB$3,Invest[Amortissement HT + intérêts]))*BC29</f>
        <v>0</v>
      </c>
      <c r="C29" s="276">
        <f>(SUMIF(Fonctionnement[Affectation matrice],$AB$3,Fonctionnement[Montant (€HT)])+SUMIF(Invest[Affectation matrice],$AB$3,Invest[Amortissement HT + intérêts]))*BD29</f>
        <v>0</v>
      </c>
      <c r="D29" s="276">
        <f>(SUMIF(Fonctionnement[Affectation matrice],$AB$3,Fonctionnement[Montant (€HT)])+SUMIF(Invest[Affectation matrice],$AB$3,Invest[Amortissement HT + intérêts]))*BE29</f>
        <v>0</v>
      </c>
      <c r="E29" s="276">
        <f>(SUMIF(Fonctionnement[Affectation matrice],$AB$3,Fonctionnement[Montant (€HT)])+SUMIF(Invest[Affectation matrice],$AB$3,Invest[Amortissement HT + intérêts]))*BF29</f>
        <v>0</v>
      </c>
      <c r="F29" s="276">
        <f>(SUMIF(Fonctionnement[Affectation matrice],$AB$3,Fonctionnement[Montant (€HT)])+SUMIF(Invest[Affectation matrice],$AB$3,Invest[Amortissement HT + intérêts]))*BG29</f>
        <v>0</v>
      </c>
      <c r="G29" s="276">
        <f>(SUMIF(Fonctionnement[Affectation matrice],$AB$3,Fonctionnement[Montant (€HT)])+SUMIF(Invest[Affectation matrice],$AB$3,Invest[Amortissement HT + intérêts]))*BH29</f>
        <v>0</v>
      </c>
      <c r="H29" s="276">
        <f>(SUMIF(Fonctionnement[Affectation matrice],$AB$3,Fonctionnement[Montant (€HT)])+SUMIF(Invest[Affectation matrice],$AB$3,Invest[Amortissement HT + intérêts]))*BI29</f>
        <v>0</v>
      </c>
      <c r="I29" s="276">
        <f>(SUMIF(Fonctionnement[Affectation matrice],$AB$3,Fonctionnement[Montant (€HT)])+SUMIF(Invest[Affectation matrice],$AB$3,Invest[Amortissement HT + intérêts]))*BJ29</f>
        <v>0</v>
      </c>
      <c r="J29" s="276">
        <f>(SUMIF(Fonctionnement[Affectation matrice],$AB$3,Fonctionnement[Montant (€HT)])+SUMIF(Invest[Affectation matrice],$AB$3,Invest[Amortissement HT + intérêts]))*BK29</f>
        <v>0</v>
      </c>
      <c r="K29" s="276">
        <f>(SUMIF(Fonctionnement[Affectation matrice],$AB$3,Fonctionnement[Montant (€HT)])+SUMIF(Invest[Affectation matrice],$AB$3,Invest[Amortissement HT + intérêts]))*BL29</f>
        <v>0</v>
      </c>
      <c r="L29" s="276">
        <f>(SUMIF(Fonctionnement[Affectation matrice],$AB$3,Fonctionnement[Montant (€HT)])+SUMIF(Invest[Affectation matrice],$AB$3,Invest[Amortissement HT + intérêts]))*BM29</f>
        <v>0</v>
      </c>
      <c r="M29" s="276">
        <f>(SUMIF(Fonctionnement[Affectation matrice],$AB$3,Fonctionnement[Montant (€HT)])+SUMIF(Invest[Affectation matrice],$AB$3,Invest[Amortissement HT + intérêts]))*BN29</f>
        <v>0</v>
      </c>
      <c r="N29" s="276">
        <f>(SUMIF(Fonctionnement[Affectation matrice],$AB$3,Fonctionnement[Montant (€HT)])+SUMIF(Invest[Affectation matrice],$AB$3,Invest[Amortissement HT + intérêts]))*BO29</f>
        <v>0</v>
      </c>
      <c r="O29" s="276">
        <f>(SUMIF(Fonctionnement[Affectation matrice],$AB$3,Fonctionnement[Montant (€HT)])+SUMIF(Invest[Affectation matrice],$AB$3,Invest[Amortissement HT + intérêts]))*BP29</f>
        <v>0</v>
      </c>
      <c r="P29" s="276">
        <f>(SUMIF(Fonctionnement[Affectation matrice],$AB$3,Fonctionnement[Montant (€HT)])+SUMIF(Invest[Affectation matrice],$AB$3,Invest[Amortissement HT + intérêts]))*BQ29</f>
        <v>0</v>
      </c>
      <c r="Q29" s="276">
        <f>(SUMIF(Fonctionnement[Affectation matrice],$AB$3,Fonctionnement[Montant (€HT)])+SUMIF(Invest[Affectation matrice],$AB$3,Invest[Amortissement HT + intérêts]))*BR29</f>
        <v>0</v>
      </c>
      <c r="R29" s="276">
        <f>(SUMIF(Fonctionnement[Affectation matrice],$AB$3,Fonctionnement[Montant (€HT)])+SUMIF(Invest[Affectation matrice],$AB$3,Invest[Amortissement HT + intérêts]))*BS29</f>
        <v>0</v>
      </c>
      <c r="S29" s="276">
        <f>(SUMIF(Fonctionnement[Affectation matrice],$AB$3,Fonctionnement[Montant (€HT)])+SUMIF(Invest[Affectation matrice],$AB$3,Invest[Amortissement HT + intérêts]))*BT29</f>
        <v>0</v>
      </c>
      <c r="T29" s="276">
        <f>(SUMIF(Fonctionnement[Affectation matrice],$AB$3,Fonctionnement[Montant (€HT)])+SUMIF(Invest[Affectation matrice],$AB$3,Invest[Amortissement HT + intérêts]))*BU29</f>
        <v>0</v>
      </c>
      <c r="U29" s="276">
        <f>(SUMIF(Fonctionnement[Affectation matrice],$AB$3,Fonctionnement[Montant (€HT)])+SUMIF(Invest[Affectation matrice],$AB$3,Invest[Amortissement HT + intérêts]))*BV29</f>
        <v>0</v>
      </c>
      <c r="V29" s="276">
        <f>(SUMIF(Fonctionnement[Affectation matrice],$AB$3,Fonctionnement[Montant (€HT)])+SUMIF(Invest[Affectation matrice],$AB$3,Invest[Amortissement HT + intérêts]))*BW29</f>
        <v>0</v>
      </c>
      <c r="W29" s="276">
        <f>(SUMIF(Fonctionnement[Affectation matrice],$AB$3,Fonctionnement[Montant (€HT)])+SUMIF(Invest[Affectation matrice],$AB$3,Invest[Amortissement HT + intérêts]))*BX29</f>
        <v>0</v>
      </c>
      <c r="X29" s="276">
        <f>(SUMIF(Fonctionnement[Affectation matrice],$AB$3,Fonctionnement[Montant (€HT)])+SUMIF(Invest[Affectation matrice],$AB$3,Invest[Amortissement HT + intérêts]))*BY29</f>
        <v>0</v>
      </c>
      <c r="Y29" s="276">
        <f>(SUMIF(Fonctionnement[Affectation matrice],$AB$3,Fonctionnement[Montant (€HT)])+SUMIF(Invest[Affectation matrice],$AB$3,Invest[Amortissement HT + intérêts]))*BZ29</f>
        <v>0</v>
      </c>
      <c r="Z29" s="276">
        <f>(SUMIF(Fonctionnement[Affectation matrice],$AB$3,Fonctionnement[Montant (€HT)])+SUMIF(Invest[Affectation matrice],$AB$3,Invest[Amortissement HT + intérêts]))*CA29</f>
        <v>0</v>
      </c>
      <c r="AA29" s="199"/>
      <c r="AB29" s="302" t="str">
        <f t="shared" si="55"/>
        <v/>
      </c>
      <c r="AC29" s="302" t="str">
        <f t="shared" si="55"/>
        <v/>
      </c>
      <c r="AD29" s="302" t="str">
        <f t="shared" si="55"/>
        <v/>
      </c>
      <c r="AE29" s="302" t="str">
        <f t="shared" si="55"/>
        <v/>
      </c>
      <c r="AF29" s="302" t="str">
        <f t="shared" si="55"/>
        <v/>
      </c>
      <c r="AG29" s="302" t="str">
        <f t="shared" si="55"/>
        <v/>
      </c>
      <c r="AH29" s="302" t="str">
        <f t="shared" si="55"/>
        <v/>
      </c>
      <c r="AI29" s="302" t="str">
        <f t="shared" si="55"/>
        <v/>
      </c>
      <c r="AJ29" s="302" t="str">
        <f t="shared" si="55"/>
        <v/>
      </c>
      <c r="AK29" s="302" t="str">
        <f t="shared" si="55"/>
        <v/>
      </c>
      <c r="AL29" s="302" t="str">
        <f t="shared" si="56"/>
        <v/>
      </c>
      <c r="AM29" s="302" t="str">
        <f t="shared" si="56"/>
        <v/>
      </c>
      <c r="AN29" s="302" t="str">
        <f t="shared" si="56"/>
        <v/>
      </c>
      <c r="AO29" s="302" t="str">
        <f t="shared" si="56"/>
        <v/>
      </c>
      <c r="AP29" s="302" t="str">
        <f t="shared" si="56"/>
        <v/>
      </c>
      <c r="AQ29" s="302" t="str">
        <f t="shared" si="56"/>
        <v/>
      </c>
      <c r="AR29" s="302" t="str">
        <f t="shared" si="56"/>
        <v/>
      </c>
      <c r="AS29" s="302" t="str">
        <f t="shared" si="56"/>
        <v/>
      </c>
      <c r="AT29" s="302" t="str">
        <f t="shared" si="56"/>
        <v/>
      </c>
      <c r="AU29" s="302" t="str">
        <f t="shared" si="56"/>
        <v/>
      </c>
      <c r="AV29" s="302" t="str">
        <f t="shared" si="56"/>
        <v/>
      </c>
      <c r="AW29" s="302" t="str">
        <f t="shared" si="56"/>
        <v/>
      </c>
      <c r="AX29" s="302" t="str">
        <f t="shared" si="56"/>
        <v/>
      </c>
      <c r="AY29" s="302" t="str">
        <f t="shared" si="56"/>
        <v/>
      </c>
      <c r="AZ29" s="302" t="str">
        <f t="shared" si="56"/>
        <v/>
      </c>
      <c r="BA29" s="283" t="str">
        <f t="shared" si="56"/>
        <v/>
      </c>
      <c r="BB29" s="7"/>
      <c r="BC29" s="61">
        <f t="shared" si="57"/>
        <v>0</v>
      </c>
      <c r="BD29" s="61">
        <f t="shared" si="58"/>
        <v>0</v>
      </c>
      <c r="BE29" s="61">
        <f t="shared" si="59"/>
        <v>0</v>
      </c>
      <c r="BF29" s="61">
        <f t="shared" si="60"/>
        <v>0</v>
      </c>
      <c r="BG29" s="61">
        <f t="shared" si="61"/>
        <v>0</v>
      </c>
      <c r="BH29" s="61">
        <f t="shared" si="62"/>
        <v>0</v>
      </c>
      <c r="BI29" s="61">
        <f t="shared" si="63"/>
        <v>0</v>
      </c>
      <c r="BJ29" s="61">
        <f t="shared" si="64"/>
        <v>0</v>
      </c>
      <c r="BK29" s="61">
        <f t="shared" si="65"/>
        <v>0</v>
      </c>
      <c r="BL29" s="61">
        <f t="shared" si="66"/>
        <v>0</v>
      </c>
      <c r="BM29" s="61">
        <f t="shared" si="67"/>
        <v>0</v>
      </c>
      <c r="BN29" s="61">
        <f t="shared" si="68"/>
        <v>0</v>
      </c>
      <c r="BO29" s="61">
        <f t="shared" si="69"/>
        <v>0</v>
      </c>
      <c r="BP29" s="61">
        <f t="shared" si="70"/>
        <v>0</v>
      </c>
      <c r="BQ29" s="61">
        <f t="shared" si="71"/>
        <v>0</v>
      </c>
      <c r="BR29" s="61">
        <f t="shared" si="72"/>
        <v>0</v>
      </c>
      <c r="BS29" s="61">
        <f t="shared" si="73"/>
        <v>0</v>
      </c>
      <c r="BT29" s="61">
        <f t="shared" si="74"/>
        <v>0</v>
      </c>
      <c r="BU29" s="61">
        <f t="shared" si="75"/>
        <v>0</v>
      </c>
      <c r="BV29" s="61">
        <f t="shared" si="76"/>
        <v>0</v>
      </c>
      <c r="BW29" s="61">
        <f t="shared" si="77"/>
        <v>0</v>
      </c>
      <c r="BX29" s="61">
        <f t="shared" si="78"/>
        <v>0</v>
      </c>
      <c r="BY29" s="61">
        <f t="shared" si="79"/>
        <v>0</v>
      </c>
      <c r="BZ29" s="61">
        <f t="shared" si="80"/>
        <v>0</v>
      </c>
      <c r="CA29" s="61">
        <f t="shared" si="81"/>
        <v>0</v>
      </c>
      <c r="CB29" s="61">
        <f t="shared" si="52"/>
        <v>0</v>
      </c>
      <c r="CD29" s="200">
        <f>(SUMIF(Fonctionnement[Affectation matrice],$AB$3,Fonctionnement[TVA acquittée])+SUMIF(Invest[Affectation matrice],$AB$3,Invest[TVA acquittée]))*BC29</f>
        <v>0</v>
      </c>
      <c r="CE29" s="200">
        <f>(SUMIF(Fonctionnement[Affectation matrice],$AB$3,Fonctionnement[TVA acquittée])+SUMIF(Invest[Affectation matrice],$AB$3,Invest[TVA acquittée]))*BD29</f>
        <v>0</v>
      </c>
      <c r="CF29" s="200">
        <f>(SUMIF(Fonctionnement[Affectation matrice],$AB$3,Fonctionnement[TVA acquittée])+SUMIF(Invest[Affectation matrice],$AB$3,Invest[TVA acquittée]))*BE29</f>
        <v>0</v>
      </c>
      <c r="CG29" s="200">
        <f>(SUMIF(Fonctionnement[Affectation matrice],$AB$3,Fonctionnement[TVA acquittée])+SUMIF(Invest[Affectation matrice],$AB$3,Invest[TVA acquittée]))*BF29</f>
        <v>0</v>
      </c>
      <c r="CH29" s="200">
        <f>(SUMIF(Fonctionnement[Affectation matrice],$AB$3,Fonctionnement[TVA acquittée])+SUMIF(Invest[Affectation matrice],$AB$3,Invest[TVA acquittée]))*BG29</f>
        <v>0</v>
      </c>
      <c r="CI29" s="200">
        <f>(SUMIF(Fonctionnement[Affectation matrice],$AB$3,Fonctionnement[TVA acquittée])+SUMIF(Invest[Affectation matrice],$AB$3,Invest[TVA acquittée]))*BH29</f>
        <v>0</v>
      </c>
      <c r="CJ29" s="200">
        <f>(SUMIF(Fonctionnement[Affectation matrice],$AB$3,Fonctionnement[TVA acquittée])+SUMIF(Invest[Affectation matrice],$AB$3,Invest[TVA acquittée]))*BI29</f>
        <v>0</v>
      </c>
      <c r="CK29" s="200">
        <f>(SUMIF(Fonctionnement[Affectation matrice],$AB$3,Fonctionnement[TVA acquittée])+SUMIF(Invest[Affectation matrice],$AB$3,Invest[TVA acquittée]))*BJ29</f>
        <v>0</v>
      </c>
      <c r="CL29" s="200">
        <f>(SUMIF(Fonctionnement[Affectation matrice],$AB$3,Fonctionnement[TVA acquittée])+SUMIF(Invest[Affectation matrice],$AB$3,Invest[TVA acquittée]))*BK29</f>
        <v>0</v>
      </c>
      <c r="CM29" s="200">
        <f>(SUMIF(Fonctionnement[Affectation matrice],$AB$3,Fonctionnement[TVA acquittée])+SUMIF(Invest[Affectation matrice],$AB$3,Invest[TVA acquittée]))*BL29</f>
        <v>0</v>
      </c>
      <c r="CN29" s="200">
        <f>(SUMIF(Fonctionnement[Affectation matrice],$AB$3,Fonctionnement[TVA acquittée])+SUMIF(Invest[Affectation matrice],$AB$3,Invest[TVA acquittée]))*BM29</f>
        <v>0</v>
      </c>
      <c r="CO29" s="200">
        <f>(SUMIF(Fonctionnement[Affectation matrice],$AB$3,Fonctionnement[TVA acquittée])+SUMIF(Invest[Affectation matrice],$AB$3,Invest[TVA acquittée]))*BN29</f>
        <v>0</v>
      </c>
      <c r="CP29" s="200">
        <f>(SUMIF(Fonctionnement[Affectation matrice],$AB$3,Fonctionnement[TVA acquittée])+SUMIF(Invest[Affectation matrice],$AB$3,Invest[TVA acquittée]))*BO29</f>
        <v>0</v>
      </c>
      <c r="CQ29" s="200">
        <f>(SUMIF(Fonctionnement[Affectation matrice],$AB$3,Fonctionnement[TVA acquittée])+SUMIF(Invest[Affectation matrice],$AB$3,Invest[TVA acquittée]))*BP29</f>
        <v>0</v>
      </c>
      <c r="CR29" s="200">
        <f>(SUMIF(Fonctionnement[Affectation matrice],$AB$3,Fonctionnement[TVA acquittée])+SUMIF(Invest[Affectation matrice],$AB$3,Invest[TVA acquittée]))*BQ29</f>
        <v>0</v>
      </c>
      <c r="CS29" s="200">
        <f>(SUMIF(Fonctionnement[Affectation matrice],$AB$3,Fonctionnement[TVA acquittée])+SUMIF(Invest[Affectation matrice],$AB$3,Invest[TVA acquittée]))*BR29</f>
        <v>0</v>
      </c>
      <c r="CT29" s="200">
        <f>(SUMIF(Fonctionnement[Affectation matrice],$AB$3,Fonctionnement[TVA acquittée])+SUMIF(Invest[Affectation matrice],$AB$3,Invest[TVA acquittée]))*BS29</f>
        <v>0</v>
      </c>
      <c r="CU29" s="200">
        <f>(SUMIF(Fonctionnement[Affectation matrice],$AB$3,Fonctionnement[TVA acquittée])+SUMIF(Invest[Affectation matrice],$AB$3,Invest[TVA acquittée]))*BT29</f>
        <v>0</v>
      </c>
      <c r="CV29" s="200">
        <f>(SUMIF(Fonctionnement[Affectation matrice],$AB$3,Fonctionnement[TVA acquittée])+SUMIF(Invest[Affectation matrice],$AB$3,Invest[TVA acquittée]))*BU29</f>
        <v>0</v>
      </c>
      <c r="CW29" s="200">
        <f>(SUMIF(Fonctionnement[Affectation matrice],$AB$3,Fonctionnement[TVA acquittée])+SUMIF(Invest[Affectation matrice],$AB$3,Invest[TVA acquittée]))*BV29</f>
        <v>0</v>
      </c>
      <c r="CX29" s="200">
        <f>(SUMIF(Fonctionnement[Affectation matrice],$AB$3,Fonctionnement[TVA acquittée])+SUMIF(Invest[Affectation matrice],$AB$3,Invest[TVA acquittée]))*BW29</f>
        <v>0</v>
      </c>
      <c r="CY29" s="200">
        <f>(SUMIF(Fonctionnement[Affectation matrice],$AB$3,Fonctionnement[TVA acquittée])+SUMIF(Invest[Affectation matrice],$AB$3,Invest[TVA acquittée]))*BX29</f>
        <v>0</v>
      </c>
      <c r="CZ29" s="200">
        <f>(SUMIF(Fonctionnement[Affectation matrice],$AB$3,Fonctionnement[TVA acquittée])+SUMIF(Invest[Affectation matrice],$AB$3,Invest[TVA acquittée]))*BY29</f>
        <v>0</v>
      </c>
      <c r="DA29" s="200">
        <f>(SUMIF(Fonctionnement[Affectation matrice],$AB$3,Fonctionnement[TVA acquittée])+SUMIF(Invest[Affectation matrice],$AB$3,Invest[TVA acquittée]))*BZ29</f>
        <v>0</v>
      </c>
      <c r="DB29" s="200">
        <f>(SUMIF(Fonctionnement[Affectation matrice],$AB$3,Fonctionnement[TVA acquittée])+SUMIF(Invest[Affectation matrice],$AB$3,Invest[TVA acquittée]))*CA29</f>
        <v>0</v>
      </c>
    </row>
    <row r="30" spans="1:106" s="22" customFormat="1" ht="12.75" hidden="1" customHeight="1" x14ac:dyDescent="0.25">
      <c r="A30" s="42" t="str">
        <f>Matrice[[#This Row],[Ligne de la matrice]]</f>
        <v>Tous soutiens des sociétés agréées</v>
      </c>
      <c r="B30" s="276">
        <f>(SUMIF(Fonctionnement[Affectation matrice],$AB$3,Fonctionnement[Montant (€HT)])+SUMIF(Invest[Affectation matrice],$AB$3,Invest[Amortissement HT + intérêts]))*BC30</f>
        <v>0</v>
      </c>
      <c r="C30" s="276">
        <f>(SUMIF(Fonctionnement[Affectation matrice],$AB$3,Fonctionnement[Montant (€HT)])+SUMIF(Invest[Affectation matrice],$AB$3,Invest[Amortissement HT + intérêts]))*BD30</f>
        <v>0</v>
      </c>
      <c r="D30" s="276">
        <f>(SUMIF(Fonctionnement[Affectation matrice],$AB$3,Fonctionnement[Montant (€HT)])+SUMIF(Invest[Affectation matrice],$AB$3,Invest[Amortissement HT + intérêts]))*BE30</f>
        <v>0</v>
      </c>
      <c r="E30" s="276">
        <f>(SUMIF(Fonctionnement[Affectation matrice],$AB$3,Fonctionnement[Montant (€HT)])+SUMIF(Invest[Affectation matrice],$AB$3,Invest[Amortissement HT + intérêts]))*BF30</f>
        <v>0</v>
      </c>
      <c r="F30" s="276">
        <f>(SUMIF(Fonctionnement[Affectation matrice],$AB$3,Fonctionnement[Montant (€HT)])+SUMIF(Invest[Affectation matrice],$AB$3,Invest[Amortissement HT + intérêts]))*BG30</f>
        <v>0</v>
      </c>
      <c r="G30" s="276">
        <f>(SUMIF(Fonctionnement[Affectation matrice],$AB$3,Fonctionnement[Montant (€HT)])+SUMIF(Invest[Affectation matrice],$AB$3,Invest[Amortissement HT + intérêts]))*BH30</f>
        <v>0</v>
      </c>
      <c r="H30" s="276">
        <f>(SUMIF(Fonctionnement[Affectation matrice],$AB$3,Fonctionnement[Montant (€HT)])+SUMIF(Invest[Affectation matrice],$AB$3,Invest[Amortissement HT + intérêts]))*BI30</f>
        <v>0</v>
      </c>
      <c r="I30" s="276">
        <f>(SUMIF(Fonctionnement[Affectation matrice],$AB$3,Fonctionnement[Montant (€HT)])+SUMIF(Invest[Affectation matrice],$AB$3,Invest[Amortissement HT + intérêts]))*BJ30</f>
        <v>0</v>
      </c>
      <c r="J30" s="276">
        <f>(SUMIF(Fonctionnement[Affectation matrice],$AB$3,Fonctionnement[Montant (€HT)])+SUMIF(Invest[Affectation matrice],$AB$3,Invest[Amortissement HT + intérêts]))*BK30</f>
        <v>0</v>
      </c>
      <c r="K30" s="276">
        <f>(SUMIF(Fonctionnement[Affectation matrice],$AB$3,Fonctionnement[Montant (€HT)])+SUMIF(Invest[Affectation matrice],$AB$3,Invest[Amortissement HT + intérêts]))*BL30</f>
        <v>0</v>
      </c>
      <c r="L30" s="276">
        <f>(SUMIF(Fonctionnement[Affectation matrice],$AB$3,Fonctionnement[Montant (€HT)])+SUMIF(Invest[Affectation matrice],$AB$3,Invest[Amortissement HT + intérêts]))*BM30</f>
        <v>0</v>
      </c>
      <c r="M30" s="276">
        <f>(SUMIF(Fonctionnement[Affectation matrice],$AB$3,Fonctionnement[Montant (€HT)])+SUMIF(Invest[Affectation matrice],$AB$3,Invest[Amortissement HT + intérêts]))*BN30</f>
        <v>0</v>
      </c>
      <c r="N30" s="276">
        <f>(SUMIF(Fonctionnement[Affectation matrice],$AB$3,Fonctionnement[Montant (€HT)])+SUMIF(Invest[Affectation matrice],$AB$3,Invest[Amortissement HT + intérêts]))*BO30</f>
        <v>0</v>
      </c>
      <c r="O30" s="276">
        <f>(SUMIF(Fonctionnement[Affectation matrice],$AB$3,Fonctionnement[Montant (€HT)])+SUMIF(Invest[Affectation matrice],$AB$3,Invest[Amortissement HT + intérêts]))*BP30</f>
        <v>0</v>
      </c>
      <c r="P30" s="276">
        <f>(SUMIF(Fonctionnement[Affectation matrice],$AB$3,Fonctionnement[Montant (€HT)])+SUMIF(Invest[Affectation matrice],$AB$3,Invest[Amortissement HT + intérêts]))*BQ30</f>
        <v>0</v>
      </c>
      <c r="Q30" s="276">
        <f>(SUMIF(Fonctionnement[Affectation matrice],$AB$3,Fonctionnement[Montant (€HT)])+SUMIF(Invest[Affectation matrice],$AB$3,Invest[Amortissement HT + intérêts]))*BR30</f>
        <v>0</v>
      </c>
      <c r="R30" s="276">
        <f>(SUMIF(Fonctionnement[Affectation matrice],$AB$3,Fonctionnement[Montant (€HT)])+SUMIF(Invest[Affectation matrice],$AB$3,Invest[Amortissement HT + intérêts]))*BS30</f>
        <v>0</v>
      </c>
      <c r="S30" s="276">
        <f>(SUMIF(Fonctionnement[Affectation matrice],$AB$3,Fonctionnement[Montant (€HT)])+SUMIF(Invest[Affectation matrice],$AB$3,Invest[Amortissement HT + intérêts]))*BT30</f>
        <v>0</v>
      </c>
      <c r="T30" s="276">
        <f>(SUMIF(Fonctionnement[Affectation matrice],$AB$3,Fonctionnement[Montant (€HT)])+SUMIF(Invest[Affectation matrice],$AB$3,Invest[Amortissement HT + intérêts]))*BU30</f>
        <v>0</v>
      </c>
      <c r="U30" s="276">
        <f>(SUMIF(Fonctionnement[Affectation matrice],$AB$3,Fonctionnement[Montant (€HT)])+SUMIF(Invest[Affectation matrice],$AB$3,Invest[Amortissement HT + intérêts]))*BV30</f>
        <v>0</v>
      </c>
      <c r="V30" s="276">
        <f>(SUMIF(Fonctionnement[Affectation matrice],$AB$3,Fonctionnement[Montant (€HT)])+SUMIF(Invest[Affectation matrice],$AB$3,Invest[Amortissement HT + intérêts]))*BW30</f>
        <v>0</v>
      </c>
      <c r="W30" s="276">
        <f>(SUMIF(Fonctionnement[Affectation matrice],$AB$3,Fonctionnement[Montant (€HT)])+SUMIF(Invest[Affectation matrice],$AB$3,Invest[Amortissement HT + intérêts]))*BX30</f>
        <v>0</v>
      </c>
      <c r="X30" s="276">
        <f>(SUMIF(Fonctionnement[Affectation matrice],$AB$3,Fonctionnement[Montant (€HT)])+SUMIF(Invest[Affectation matrice],$AB$3,Invest[Amortissement HT + intérêts]))*BY30</f>
        <v>0</v>
      </c>
      <c r="Y30" s="276">
        <f>(SUMIF(Fonctionnement[Affectation matrice],$AB$3,Fonctionnement[Montant (€HT)])+SUMIF(Invest[Affectation matrice],$AB$3,Invest[Amortissement HT + intérêts]))*BZ30</f>
        <v>0</v>
      </c>
      <c r="Z30" s="276">
        <f>(SUMIF(Fonctionnement[Affectation matrice],$AB$3,Fonctionnement[Montant (€HT)])+SUMIF(Invest[Affectation matrice],$AB$3,Invest[Amortissement HT + intérêts]))*CA30</f>
        <v>0</v>
      </c>
      <c r="AA30" s="199"/>
      <c r="AB30" s="302" t="str">
        <f t="shared" si="55"/>
        <v/>
      </c>
      <c r="AC30" s="302" t="str">
        <f t="shared" si="55"/>
        <v/>
      </c>
      <c r="AD30" s="302" t="str">
        <f t="shared" si="55"/>
        <v/>
      </c>
      <c r="AE30" s="302" t="str">
        <f t="shared" si="55"/>
        <v/>
      </c>
      <c r="AF30" s="302" t="str">
        <f t="shared" si="55"/>
        <v/>
      </c>
      <c r="AG30" s="302" t="str">
        <f t="shared" si="55"/>
        <v/>
      </c>
      <c r="AH30" s="302" t="str">
        <f t="shared" si="55"/>
        <v/>
      </c>
      <c r="AI30" s="302" t="str">
        <f t="shared" si="55"/>
        <v/>
      </c>
      <c r="AJ30" s="302" t="str">
        <f t="shared" si="55"/>
        <v/>
      </c>
      <c r="AK30" s="302" t="str">
        <f t="shared" si="55"/>
        <v/>
      </c>
      <c r="AL30" s="302" t="str">
        <f t="shared" si="56"/>
        <v/>
      </c>
      <c r="AM30" s="302" t="str">
        <f t="shared" si="56"/>
        <v/>
      </c>
      <c r="AN30" s="302" t="str">
        <f t="shared" si="56"/>
        <v/>
      </c>
      <c r="AO30" s="302" t="str">
        <f t="shared" si="56"/>
        <v/>
      </c>
      <c r="AP30" s="302" t="str">
        <f t="shared" si="56"/>
        <v/>
      </c>
      <c r="AQ30" s="302" t="str">
        <f t="shared" si="56"/>
        <v/>
      </c>
      <c r="AR30" s="302" t="str">
        <f t="shared" si="56"/>
        <v/>
      </c>
      <c r="AS30" s="302" t="str">
        <f t="shared" si="56"/>
        <v/>
      </c>
      <c r="AT30" s="302" t="str">
        <f t="shared" si="56"/>
        <v/>
      </c>
      <c r="AU30" s="302" t="str">
        <f t="shared" si="56"/>
        <v/>
      </c>
      <c r="AV30" s="302" t="str">
        <f t="shared" si="56"/>
        <v/>
      </c>
      <c r="AW30" s="302" t="str">
        <f t="shared" si="56"/>
        <v/>
      </c>
      <c r="AX30" s="302" t="str">
        <f t="shared" si="56"/>
        <v/>
      </c>
      <c r="AY30" s="302" t="str">
        <f t="shared" si="56"/>
        <v/>
      </c>
      <c r="AZ30" s="302" t="str">
        <f t="shared" si="56"/>
        <v/>
      </c>
      <c r="BA30" s="283" t="str">
        <f t="shared" si="56"/>
        <v/>
      </c>
      <c r="BB30" s="7"/>
      <c r="BC30" s="61">
        <f t="shared" si="57"/>
        <v>0</v>
      </c>
      <c r="BD30" s="61">
        <f t="shared" si="58"/>
        <v>0</v>
      </c>
      <c r="BE30" s="61">
        <f t="shared" si="59"/>
        <v>0</v>
      </c>
      <c r="BF30" s="61">
        <f t="shared" si="60"/>
        <v>0</v>
      </c>
      <c r="BG30" s="61">
        <f t="shared" si="61"/>
        <v>0</v>
      </c>
      <c r="BH30" s="61">
        <f t="shared" si="62"/>
        <v>0</v>
      </c>
      <c r="BI30" s="61">
        <f t="shared" si="63"/>
        <v>0</v>
      </c>
      <c r="BJ30" s="61">
        <f t="shared" si="64"/>
        <v>0</v>
      </c>
      <c r="BK30" s="61">
        <f t="shared" si="65"/>
        <v>0</v>
      </c>
      <c r="BL30" s="61">
        <f t="shared" si="66"/>
        <v>0</v>
      </c>
      <c r="BM30" s="61">
        <f t="shared" si="67"/>
        <v>0</v>
      </c>
      <c r="BN30" s="61">
        <f t="shared" si="68"/>
        <v>0</v>
      </c>
      <c r="BO30" s="61">
        <f t="shared" si="69"/>
        <v>0</v>
      </c>
      <c r="BP30" s="61">
        <f t="shared" si="70"/>
        <v>0</v>
      </c>
      <c r="BQ30" s="61">
        <f t="shared" si="71"/>
        <v>0</v>
      </c>
      <c r="BR30" s="61">
        <f t="shared" si="72"/>
        <v>0</v>
      </c>
      <c r="BS30" s="61">
        <f t="shared" si="73"/>
        <v>0</v>
      </c>
      <c r="BT30" s="61">
        <f t="shared" si="74"/>
        <v>0</v>
      </c>
      <c r="BU30" s="61">
        <f t="shared" si="75"/>
        <v>0</v>
      </c>
      <c r="BV30" s="61">
        <f t="shared" si="76"/>
        <v>0</v>
      </c>
      <c r="BW30" s="61">
        <f t="shared" si="77"/>
        <v>0</v>
      </c>
      <c r="BX30" s="61">
        <f t="shared" si="78"/>
        <v>0</v>
      </c>
      <c r="BY30" s="61">
        <f t="shared" si="79"/>
        <v>0</v>
      </c>
      <c r="BZ30" s="61">
        <f t="shared" si="80"/>
        <v>0</v>
      </c>
      <c r="CA30" s="61">
        <f t="shared" si="81"/>
        <v>0</v>
      </c>
      <c r="CB30" s="61">
        <f t="shared" si="52"/>
        <v>0</v>
      </c>
      <c r="CD30" s="200">
        <f>(SUMIF(Fonctionnement[Affectation matrice],$AB$3,Fonctionnement[TVA acquittée])+SUMIF(Invest[Affectation matrice],$AB$3,Invest[TVA acquittée]))*BC30</f>
        <v>0</v>
      </c>
      <c r="CE30" s="200">
        <f>(SUMIF(Fonctionnement[Affectation matrice],$AB$3,Fonctionnement[TVA acquittée])+SUMIF(Invest[Affectation matrice],$AB$3,Invest[TVA acquittée]))*BD30</f>
        <v>0</v>
      </c>
      <c r="CF30" s="200">
        <f>(SUMIF(Fonctionnement[Affectation matrice],$AB$3,Fonctionnement[TVA acquittée])+SUMIF(Invest[Affectation matrice],$AB$3,Invest[TVA acquittée]))*BE30</f>
        <v>0</v>
      </c>
      <c r="CG30" s="200">
        <f>(SUMIF(Fonctionnement[Affectation matrice],$AB$3,Fonctionnement[TVA acquittée])+SUMIF(Invest[Affectation matrice],$AB$3,Invest[TVA acquittée]))*BF30</f>
        <v>0</v>
      </c>
      <c r="CH30" s="200">
        <f>(SUMIF(Fonctionnement[Affectation matrice],$AB$3,Fonctionnement[TVA acquittée])+SUMIF(Invest[Affectation matrice],$AB$3,Invest[TVA acquittée]))*BG30</f>
        <v>0</v>
      </c>
      <c r="CI30" s="200">
        <f>(SUMIF(Fonctionnement[Affectation matrice],$AB$3,Fonctionnement[TVA acquittée])+SUMIF(Invest[Affectation matrice],$AB$3,Invest[TVA acquittée]))*BH30</f>
        <v>0</v>
      </c>
      <c r="CJ30" s="200">
        <f>(SUMIF(Fonctionnement[Affectation matrice],$AB$3,Fonctionnement[TVA acquittée])+SUMIF(Invest[Affectation matrice],$AB$3,Invest[TVA acquittée]))*BI30</f>
        <v>0</v>
      </c>
      <c r="CK30" s="200">
        <f>(SUMIF(Fonctionnement[Affectation matrice],$AB$3,Fonctionnement[TVA acquittée])+SUMIF(Invest[Affectation matrice],$AB$3,Invest[TVA acquittée]))*BJ30</f>
        <v>0</v>
      </c>
      <c r="CL30" s="200">
        <f>(SUMIF(Fonctionnement[Affectation matrice],$AB$3,Fonctionnement[TVA acquittée])+SUMIF(Invest[Affectation matrice],$AB$3,Invest[TVA acquittée]))*BK30</f>
        <v>0</v>
      </c>
      <c r="CM30" s="200">
        <f>(SUMIF(Fonctionnement[Affectation matrice],$AB$3,Fonctionnement[TVA acquittée])+SUMIF(Invest[Affectation matrice],$AB$3,Invest[TVA acquittée]))*BL30</f>
        <v>0</v>
      </c>
      <c r="CN30" s="200">
        <f>(SUMIF(Fonctionnement[Affectation matrice],$AB$3,Fonctionnement[TVA acquittée])+SUMIF(Invest[Affectation matrice],$AB$3,Invest[TVA acquittée]))*BM30</f>
        <v>0</v>
      </c>
      <c r="CO30" s="200">
        <f>(SUMIF(Fonctionnement[Affectation matrice],$AB$3,Fonctionnement[TVA acquittée])+SUMIF(Invest[Affectation matrice],$AB$3,Invest[TVA acquittée]))*BN30</f>
        <v>0</v>
      </c>
      <c r="CP30" s="200">
        <f>(SUMIF(Fonctionnement[Affectation matrice],$AB$3,Fonctionnement[TVA acquittée])+SUMIF(Invest[Affectation matrice],$AB$3,Invest[TVA acquittée]))*BO30</f>
        <v>0</v>
      </c>
      <c r="CQ30" s="200">
        <f>(SUMIF(Fonctionnement[Affectation matrice],$AB$3,Fonctionnement[TVA acquittée])+SUMIF(Invest[Affectation matrice],$AB$3,Invest[TVA acquittée]))*BP30</f>
        <v>0</v>
      </c>
      <c r="CR30" s="200">
        <f>(SUMIF(Fonctionnement[Affectation matrice],$AB$3,Fonctionnement[TVA acquittée])+SUMIF(Invest[Affectation matrice],$AB$3,Invest[TVA acquittée]))*BQ30</f>
        <v>0</v>
      </c>
      <c r="CS30" s="200">
        <f>(SUMIF(Fonctionnement[Affectation matrice],$AB$3,Fonctionnement[TVA acquittée])+SUMIF(Invest[Affectation matrice],$AB$3,Invest[TVA acquittée]))*BR30</f>
        <v>0</v>
      </c>
      <c r="CT30" s="200">
        <f>(SUMIF(Fonctionnement[Affectation matrice],$AB$3,Fonctionnement[TVA acquittée])+SUMIF(Invest[Affectation matrice],$AB$3,Invest[TVA acquittée]))*BS30</f>
        <v>0</v>
      </c>
      <c r="CU30" s="200">
        <f>(SUMIF(Fonctionnement[Affectation matrice],$AB$3,Fonctionnement[TVA acquittée])+SUMIF(Invest[Affectation matrice],$AB$3,Invest[TVA acquittée]))*BT30</f>
        <v>0</v>
      </c>
      <c r="CV30" s="200">
        <f>(SUMIF(Fonctionnement[Affectation matrice],$AB$3,Fonctionnement[TVA acquittée])+SUMIF(Invest[Affectation matrice],$AB$3,Invest[TVA acquittée]))*BU30</f>
        <v>0</v>
      </c>
      <c r="CW30" s="200">
        <f>(SUMIF(Fonctionnement[Affectation matrice],$AB$3,Fonctionnement[TVA acquittée])+SUMIF(Invest[Affectation matrice],$AB$3,Invest[TVA acquittée]))*BV30</f>
        <v>0</v>
      </c>
      <c r="CX30" s="200">
        <f>(SUMIF(Fonctionnement[Affectation matrice],$AB$3,Fonctionnement[TVA acquittée])+SUMIF(Invest[Affectation matrice],$AB$3,Invest[TVA acquittée]))*BW30</f>
        <v>0</v>
      </c>
      <c r="CY30" s="200">
        <f>(SUMIF(Fonctionnement[Affectation matrice],$AB$3,Fonctionnement[TVA acquittée])+SUMIF(Invest[Affectation matrice],$AB$3,Invest[TVA acquittée]))*BX30</f>
        <v>0</v>
      </c>
      <c r="CZ30" s="200">
        <f>(SUMIF(Fonctionnement[Affectation matrice],$AB$3,Fonctionnement[TVA acquittée])+SUMIF(Invest[Affectation matrice],$AB$3,Invest[TVA acquittée]))*BY30</f>
        <v>0</v>
      </c>
      <c r="DA30" s="200">
        <f>(SUMIF(Fonctionnement[Affectation matrice],$AB$3,Fonctionnement[TVA acquittée])+SUMIF(Invest[Affectation matrice],$AB$3,Invest[TVA acquittée]))*BZ30</f>
        <v>0</v>
      </c>
      <c r="DB30" s="200">
        <f>(SUMIF(Fonctionnement[Affectation matrice],$AB$3,Fonctionnement[TVA acquittée])+SUMIF(Invest[Affectation matrice],$AB$3,Invest[TVA acquittée]))*CA30</f>
        <v>0</v>
      </c>
    </row>
    <row r="31" spans="1:106" s="22" customFormat="1" ht="12.75" hidden="1" customHeight="1" x14ac:dyDescent="0.25">
      <c r="A31" s="42" t="str">
        <f>Matrice[[#This Row],[Ligne de la matrice]]</f>
        <v>Reprises des subventions d'investissement</v>
      </c>
      <c r="B31" s="276">
        <f>(SUMIF(Fonctionnement[Affectation matrice],$AB$3,Fonctionnement[Montant (€HT)])+SUMIF(Invest[Affectation matrice],$AB$3,Invest[Amortissement HT + intérêts]))*BC31</f>
        <v>0</v>
      </c>
      <c r="C31" s="276">
        <f>(SUMIF(Fonctionnement[Affectation matrice],$AB$3,Fonctionnement[Montant (€HT)])+SUMIF(Invest[Affectation matrice],$AB$3,Invest[Amortissement HT + intérêts]))*BD31</f>
        <v>0</v>
      </c>
      <c r="D31" s="276">
        <f>(SUMIF(Fonctionnement[Affectation matrice],$AB$3,Fonctionnement[Montant (€HT)])+SUMIF(Invest[Affectation matrice],$AB$3,Invest[Amortissement HT + intérêts]))*BE31</f>
        <v>0</v>
      </c>
      <c r="E31" s="276">
        <f>(SUMIF(Fonctionnement[Affectation matrice],$AB$3,Fonctionnement[Montant (€HT)])+SUMIF(Invest[Affectation matrice],$AB$3,Invest[Amortissement HT + intérêts]))*BF31</f>
        <v>0</v>
      </c>
      <c r="F31" s="276">
        <f>(SUMIF(Fonctionnement[Affectation matrice],$AB$3,Fonctionnement[Montant (€HT)])+SUMIF(Invest[Affectation matrice],$AB$3,Invest[Amortissement HT + intérêts]))*BG31</f>
        <v>0</v>
      </c>
      <c r="G31" s="276">
        <f>(SUMIF(Fonctionnement[Affectation matrice],$AB$3,Fonctionnement[Montant (€HT)])+SUMIF(Invest[Affectation matrice],$AB$3,Invest[Amortissement HT + intérêts]))*BH31</f>
        <v>0</v>
      </c>
      <c r="H31" s="276">
        <f>(SUMIF(Fonctionnement[Affectation matrice],$AB$3,Fonctionnement[Montant (€HT)])+SUMIF(Invest[Affectation matrice],$AB$3,Invest[Amortissement HT + intérêts]))*BI31</f>
        <v>0</v>
      </c>
      <c r="I31" s="276">
        <f>(SUMIF(Fonctionnement[Affectation matrice],$AB$3,Fonctionnement[Montant (€HT)])+SUMIF(Invest[Affectation matrice],$AB$3,Invest[Amortissement HT + intérêts]))*BJ31</f>
        <v>0</v>
      </c>
      <c r="J31" s="276">
        <f>(SUMIF(Fonctionnement[Affectation matrice],$AB$3,Fonctionnement[Montant (€HT)])+SUMIF(Invest[Affectation matrice],$AB$3,Invest[Amortissement HT + intérêts]))*BK31</f>
        <v>0</v>
      </c>
      <c r="K31" s="276">
        <f>(SUMIF(Fonctionnement[Affectation matrice],$AB$3,Fonctionnement[Montant (€HT)])+SUMIF(Invest[Affectation matrice],$AB$3,Invest[Amortissement HT + intérêts]))*BL31</f>
        <v>0</v>
      </c>
      <c r="L31" s="276">
        <f>(SUMIF(Fonctionnement[Affectation matrice],$AB$3,Fonctionnement[Montant (€HT)])+SUMIF(Invest[Affectation matrice],$AB$3,Invest[Amortissement HT + intérêts]))*BM31</f>
        <v>0</v>
      </c>
      <c r="M31" s="276">
        <f>(SUMIF(Fonctionnement[Affectation matrice],$AB$3,Fonctionnement[Montant (€HT)])+SUMIF(Invest[Affectation matrice],$AB$3,Invest[Amortissement HT + intérêts]))*BN31</f>
        <v>0</v>
      </c>
      <c r="N31" s="276">
        <f>(SUMIF(Fonctionnement[Affectation matrice],$AB$3,Fonctionnement[Montant (€HT)])+SUMIF(Invest[Affectation matrice],$AB$3,Invest[Amortissement HT + intérêts]))*BO31</f>
        <v>0</v>
      </c>
      <c r="O31" s="276">
        <f>(SUMIF(Fonctionnement[Affectation matrice],$AB$3,Fonctionnement[Montant (€HT)])+SUMIF(Invest[Affectation matrice],$AB$3,Invest[Amortissement HT + intérêts]))*BP31</f>
        <v>0</v>
      </c>
      <c r="P31" s="276">
        <f>(SUMIF(Fonctionnement[Affectation matrice],$AB$3,Fonctionnement[Montant (€HT)])+SUMIF(Invest[Affectation matrice],$AB$3,Invest[Amortissement HT + intérêts]))*BQ31</f>
        <v>0</v>
      </c>
      <c r="Q31" s="276">
        <f>(SUMIF(Fonctionnement[Affectation matrice],$AB$3,Fonctionnement[Montant (€HT)])+SUMIF(Invest[Affectation matrice],$AB$3,Invest[Amortissement HT + intérêts]))*BR31</f>
        <v>0</v>
      </c>
      <c r="R31" s="276">
        <f>(SUMIF(Fonctionnement[Affectation matrice],$AB$3,Fonctionnement[Montant (€HT)])+SUMIF(Invest[Affectation matrice],$AB$3,Invest[Amortissement HT + intérêts]))*BS31</f>
        <v>0</v>
      </c>
      <c r="S31" s="276">
        <f>(SUMIF(Fonctionnement[Affectation matrice],$AB$3,Fonctionnement[Montant (€HT)])+SUMIF(Invest[Affectation matrice],$AB$3,Invest[Amortissement HT + intérêts]))*BT31</f>
        <v>0</v>
      </c>
      <c r="T31" s="276">
        <f>(SUMIF(Fonctionnement[Affectation matrice],$AB$3,Fonctionnement[Montant (€HT)])+SUMIF(Invest[Affectation matrice],$AB$3,Invest[Amortissement HT + intérêts]))*BU31</f>
        <v>0</v>
      </c>
      <c r="U31" s="276">
        <f>(SUMIF(Fonctionnement[Affectation matrice],$AB$3,Fonctionnement[Montant (€HT)])+SUMIF(Invest[Affectation matrice],$AB$3,Invest[Amortissement HT + intérêts]))*BV31</f>
        <v>0</v>
      </c>
      <c r="V31" s="276">
        <f>(SUMIF(Fonctionnement[Affectation matrice],$AB$3,Fonctionnement[Montant (€HT)])+SUMIF(Invest[Affectation matrice],$AB$3,Invest[Amortissement HT + intérêts]))*BW31</f>
        <v>0</v>
      </c>
      <c r="W31" s="276">
        <f>(SUMIF(Fonctionnement[Affectation matrice],$AB$3,Fonctionnement[Montant (€HT)])+SUMIF(Invest[Affectation matrice],$AB$3,Invest[Amortissement HT + intérêts]))*BX31</f>
        <v>0</v>
      </c>
      <c r="X31" s="276">
        <f>(SUMIF(Fonctionnement[Affectation matrice],$AB$3,Fonctionnement[Montant (€HT)])+SUMIF(Invest[Affectation matrice],$AB$3,Invest[Amortissement HT + intérêts]))*BY31</f>
        <v>0</v>
      </c>
      <c r="Y31" s="276">
        <f>(SUMIF(Fonctionnement[Affectation matrice],$AB$3,Fonctionnement[Montant (€HT)])+SUMIF(Invest[Affectation matrice],$AB$3,Invest[Amortissement HT + intérêts]))*BZ31</f>
        <v>0</v>
      </c>
      <c r="Z31" s="276">
        <f>(SUMIF(Fonctionnement[Affectation matrice],$AB$3,Fonctionnement[Montant (€HT)])+SUMIF(Invest[Affectation matrice],$AB$3,Invest[Amortissement HT + intérêts]))*CA31</f>
        <v>0</v>
      </c>
      <c r="AA31" s="199"/>
      <c r="AB31" s="302" t="str">
        <f t="shared" si="55"/>
        <v/>
      </c>
      <c r="AC31" s="302" t="str">
        <f t="shared" si="55"/>
        <v/>
      </c>
      <c r="AD31" s="302" t="str">
        <f t="shared" si="55"/>
        <v/>
      </c>
      <c r="AE31" s="302" t="str">
        <f t="shared" si="55"/>
        <v/>
      </c>
      <c r="AF31" s="302" t="str">
        <f t="shared" si="55"/>
        <v/>
      </c>
      <c r="AG31" s="302" t="str">
        <f t="shared" si="55"/>
        <v/>
      </c>
      <c r="AH31" s="302" t="str">
        <f t="shared" si="55"/>
        <v/>
      </c>
      <c r="AI31" s="302" t="str">
        <f t="shared" si="55"/>
        <v/>
      </c>
      <c r="AJ31" s="302" t="str">
        <f t="shared" si="55"/>
        <v/>
      </c>
      <c r="AK31" s="302" t="str">
        <f t="shared" si="55"/>
        <v/>
      </c>
      <c r="AL31" s="302" t="str">
        <f t="shared" si="56"/>
        <v/>
      </c>
      <c r="AM31" s="302" t="str">
        <f t="shared" si="56"/>
        <v/>
      </c>
      <c r="AN31" s="302" t="str">
        <f t="shared" si="56"/>
        <v/>
      </c>
      <c r="AO31" s="302" t="str">
        <f t="shared" si="56"/>
        <v/>
      </c>
      <c r="AP31" s="302" t="str">
        <f t="shared" si="56"/>
        <v/>
      </c>
      <c r="AQ31" s="302" t="str">
        <f t="shared" si="56"/>
        <v/>
      </c>
      <c r="AR31" s="302" t="str">
        <f t="shared" si="56"/>
        <v/>
      </c>
      <c r="AS31" s="302" t="str">
        <f t="shared" si="56"/>
        <v/>
      </c>
      <c r="AT31" s="302" t="str">
        <f t="shared" si="56"/>
        <v/>
      </c>
      <c r="AU31" s="302" t="str">
        <f t="shared" si="56"/>
        <v/>
      </c>
      <c r="AV31" s="302" t="str">
        <f t="shared" si="56"/>
        <v/>
      </c>
      <c r="AW31" s="302" t="str">
        <f t="shared" si="56"/>
        <v/>
      </c>
      <c r="AX31" s="302" t="str">
        <f t="shared" si="56"/>
        <v/>
      </c>
      <c r="AY31" s="302" t="str">
        <f t="shared" si="56"/>
        <v/>
      </c>
      <c r="AZ31" s="302" t="str">
        <f t="shared" si="56"/>
        <v/>
      </c>
      <c r="BA31" s="283" t="str">
        <f t="shared" si="56"/>
        <v/>
      </c>
      <c r="BB31" s="7"/>
      <c r="BC31" s="61">
        <f t="shared" si="57"/>
        <v>0</v>
      </c>
      <c r="BD31" s="61">
        <f t="shared" si="58"/>
        <v>0</v>
      </c>
      <c r="BE31" s="61">
        <f t="shared" si="59"/>
        <v>0</v>
      </c>
      <c r="BF31" s="61">
        <f t="shared" si="60"/>
        <v>0</v>
      </c>
      <c r="BG31" s="61">
        <f t="shared" si="61"/>
        <v>0</v>
      </c>
      <c r="BH31" s="61">
        <f t="shared" si="62"/>
        <v>0</v>
      </c>
      <c r="BI31" s="61">
        <f t="shared" si="63"/>
        <v>0</v>
      </c>
      <c r="BJ31" s="61">
        <f t="shared" si="64"/>
        <v>0</v>
      </c>
      <c r="BK31" s="61">
        <f t="shared" si="65"/>
        <v>0</v>
      </c>
      <c r="BL31" s="61">
        <f t="shared" si="66"/>
        <v>0</v>
      </c>
      <c r="BM31" s="61">
        <f t="shared" si="67"/>
        <v>0</v>
      </c>
      <c r="BN31" s="61">
        <f t="shared" si="68"/>
        <v>0</v>
      </c>
      <c r="BO31" s="61">
        <f t="shared" si="69"/>
        <v>0</v>
      </c>
      <c r="BP31" s="61">
        <f t="shared" si="70"/>
        <v>0</v>
      </c>
      <c r="BQ31" s="61">
        <f t="shared" si="71"/>
        <v>0</v>
      </c>
      <c r="BR31" s="61">
        <f t="shared" si="72"/>
        <v>0</v>
      </c>
      <c r="BS31" s="61">
        <f t="shared" si="73"/>
        <v>0</v>
      </c>
      <c r="BT31" s="61">
        <f t="shared" si="74"/>
        <v>0</v>
      </c>
      <c r="BU31" s="61">
        <f t="shared" si="75"/>
        <v>0</v>
      </c>
      <c r="BV31" s="61">
        <f t="shared" si="76"/>
        <v>0</v>
      </c>
      <c r="BW31" s="61">
        <f t="shared" si="77"/>
        <v>0</v>
      </c>
      <c r="BX31" s="61">
        <f t="shared" si="78"/>
        <v>0</v>
      </c>
      <c r="BY31" s="61">
        <f t="shared" si="79"/>
        <v>0</v>
      </c>
      <c r="BZ31" s="61">
        <f t="shared" si="80"/>
        <v>0</v>
      </c>
      <c r="CA31" s="61">
        <f t="shared" si="81"/>
        <v>0</v>
      </c>
      <c r="CB31" s="61">
        <f t="shared" si="52"/>
        <v>0</v>
      </c>
      <c r="CD31" s="200">
        <f>(SUMIF(Fonctionnement[Affectation matrice],$AB$3,Fonctionnement[TVA acquittée])+SUMIF(Invest[Affectation matrice],$AB$3,Invest[TVA acquittée]))*BC31</f>
        <v>0</v>
      </c>
      <c r="CE31" s="200">
        <f>(SUMIF(Fonctionnement[Affectation matrice],$AB$3,Fonctionnement[TVA acquittée])+SUMIF(Invest[Affectation matrice],$AB$3,Invest[TVA acquittée]))*BD31</f>
        <v>0</v>
      </c>
      <c r="CF31" s="200">
        <f>(SUMIF(Fonctionnement[Affectation matrice],$AB$3,Fonctionnement[TVA acquittée])+SUMIF(Invest[Affectation matrice],$AB$3,Invest[TVA acquittée]))*BE31</f>
        <v>0</v>
      </c>
      <c r="CG31" s="200">
        <f>(SUMIF(Fonctionnement[Affectation matrice],$AB$3,Fonctionnement[TVA acquittée])+SUMIF(Invest[Affectation matrice],$AB$3,Invest[TVA acquittée]))*BF31</f>
        <v>0</v>
      </c>
      <c r="CH31" s="200">
        <f>(SUMIF(Fonctionnement[Affectation matrice],$AB$3,Fonctionnement[TVA acquittée])+SUMIF(Invest[Affectation matrice],$AB$3,Invest[TVA acquittée]))*BG31</f>
        <v>0</v>
      </c>
      <c r="CI31" s="200">
        <f>(SUMIF(Fonctionnement[Affectation matrice],$AB$3,Fonctionnement[TVA acquittée])+SUMIF(Invest[Affectation matrice],$AB$3,Invest[TVA acquittée]))*BH31</f>
        <v>0</v>
      </c>
      <c r="CJ31" s="200">
        <f>(SUMIF(Fonctionnement[Affectation matrice],$AB$3,Fonctionnement[TVA acquittée])+SUMIF(Invest[Affectation matrice],$AB$3,Invest[TVA acquittée]))*BI31</f>
        <v>0</v>
      </c>
      <c r="CK31" s="200">
        <f>(SUMIF(Fonctionnement[Affectation matrice],$AB$3,Fonctionnement[TVA acquittée])+SUMIF(Invest[Affectation matrice],$AB$3,Invest[TVA acquittée]))*BJ31</f>
        <v>0</v>
      </c>
      <c r="CL31" s="200">
        <f>(SUMIF(Fonctionnement[Affectation matrice],$AB$3,Fonctionnement[TVA acquittée])+SUMIF(Invest[Affectation matrice],$AB$3,Invest[TVA acquittée]))*BK31</f>
        <v>0</v>
      </c>
      <c r="CM31" s="200">
        <f>(SUMIF(Fonctionnement[Affectation matrice],$AB$3,Fonctionnement[TVA acquittée])+SUMIF(Invest[Affectation matrice],$AB$3,Invest[TVA acquittée]))*BL31</f>
        <v>0</v>
      </c>
      <c r="CN31" s="200">
        <f>(SUMIF(Fonctionnement[Affectation matrice],$AB$3,Fonctionnement[TVA acquittée])+SUMIF(Invest[Affectation matrice],$AB$3,Invest[TVA acquittée]))*BM31</f>
        <v>0</v>
      </c>
      <c r="CO31" s="200">
        <f>(SUMIF(Fonctionnement[Affectation matrice],$AB$3,Fonctionnement[TVA acquittée])+SUMIF(Invest[Affectation matrice],$AB$3,Invest[TVA acquittée]))*BN31</f>
        <v>0</v>
      </c>
      <c r="CP31" s="200">
        <f>(SUMIF(Fonctionnement[Affectation matrice],$AB$3,Fonctionnement[TVA acquittée])+SUMIF(Invest[Affectation matrice],$AB$3,Invest[TVA acquittée]))*BO31</f>
        <v>0</v>
      </c>
      <c r="CQ31" s="200">
        <f>(SUMIF(Fonctionnement[Affectation matrice],$AB$3,Fonctionnement[TVA acquittée])+SUMIF(Invest[Affectation matrice],$AB$3,Invest[TVA acquittée]))*BP31</f>
        <v>0</v>
      </c>
      <c r="CR31" s="200">
        <f>(SUMIF(Fonctionnement[Affectation matrice],$AB$3,Fonctionnement[TVA acquittée])+SUMIF(Invest[Affectation matrice],$AB$3,Invest[TVA acquittée]))*BQ31</f>
        <v>0</v>
      </c>
      <c r="CS31" s="200">
        <f>(SUMIF(Fonctionnement[Affectation matrice],$AB$3,Fonctionnement[TVA acquittée])+SUMIF(Invest[Affectation matrice],$AB$3,Invest[TVA acquittée]))*BR31</f>
        <v>0</v>
      </c>
      <c r="CT31" s="200">
        <f>(SUMIF(Fonctionnement[Affectation matrice],$AB$3,Fonctionnement[TVA acquittée])+SUMIF(Invest[Affectation matrice],$AB$3,Invest[TVA acquittée]))*BS31</f>
        <v>0</v>
      </c>
      <c r="CU31" s="200">
        <f>(SUMIF(Fonctionnement[Affectation matrice],$AB$3,Fonctionnement[TVA acquittée])+SUMIF(Invest[Affectation matrice],$AB$3,Invest[TVA acquittée]))*BT31</f>
        <v>0</v>
      </c>
      <c r="CV31" s="200">
        <f>(SUMIF(Fonctionnement[Affectation matrice],$AB$3,Fonctionnement[TVA acquittée])+SUMIF(Invest[Affectation matrice],$AB$3,Invest[TVA acquittée]))*BU31</f>
        <v>0</v>
      </c>
      <c r="CW31" s="200">
        <f>(SUMIF(Fonctionnement[Affectation matrice],$AB$3,Fonctionnement[TVA acquittée])+SUMIF(Invest[Affectation matrice],$AB$3,Invest[TVA acquittée]))*BV31</f>
        <v>0</v>
      </c>
      <c r="CX31" s="200">
        <f>(SUMIF(Fonctionnement[Affectation matrice],$AB$3,Fonctionnement[TVA acquittée])+SUMIF(Invest[Affectation matrice],$AB$3,Invest[TVA acquittée]))*BW31</f>
        <v>0</v>
      </c>
      <c r="CY31" s="200">
        <f>(SUMIF(Fonctionnement[Affectation matrice],$AB$3,Fonctionnement[TVA acquittée])+SUMIF(Invest[Affectation matrice],$AB$3,Invest[TVA acquittée]))*BX31</f>
        <v>0</v>
      </c>
      <c r="CZ31" s="200">
        <f>(SUMIF(Fonctionnement[Affectation matrice],$AB$3,Fonctionnement[TVA acquittée])+SUMIF(Invest[Affectation matrice],$AB$3,Invest[TVA acquittée]))*BY31</f>
        <v>0</v>
      </c>
      <c r="DA31" s="200">
        <f>(SUMIF(Fonctionnement[Affectation matrice],$AB$3,Fonctionnement[TVA acquittée])+SUMIF(Invest[Affectation matrice],$AB$3,Invest[TVA acquittée]))*BZ31</f>
        <v>0</v>
      </c>
      <c r="DB31" s="200">
        <f>(SUMIF(Fonctionnement[Affectation matrice],$AB$3,Fonctionnement[TVA acquittée])+SUMIF(Invest[Affectation matrice],$AB$3,Invest[TVA acquittée]))*CA31</f>
        <v>0</v>
      </c>
    </row>
    <row r="32" spans="1:106" s="22" customFormat="1" ht="12.75" hidden="1" customHeight="1" x14ac:dyDescent="0.25">
      <c r="A32" s="42" t="str">
        <f>Matrice[[#This Row],[Ligne de la matrice]]</f>
        <v>Subventions de fonctionnement</v>
      </c>
      <c r="B32" s="276">
        <f>(SUMIF(Fonctionnement[Affectation matrice],$AB$3,Fonctionnement[Montant (€HT)])+SUMIF(Invest[Affectation matrice],$AB$3,Invest[Amortissement HT + intérêts]))*BC32</f>
        <v>0</v>
      </c>
      <c r="C32" s="276">
        <f>(SUMIF(Fonctionnement[Affectation matrice],$AB$3,Fonctionnement[Montant (€HT)])+SUMIF(Invest[Affectation matrice],$AB$3,Invest[Amortissement HT + intérêts]))*BD32</f>
        <v>0</v>
      </c>
      <c r="D32" s="276">
        <f>(SUMIF(Fonctionnement[Affectation matrice],$AB$3,Fonctionnement[Montant (€HT)])+SUMIF(Invest[Affectation matrice],$AB$3,Invest[Amortissement HT + intérêts]))*BE32</f>
        <v>0</v>
      </c>
      <c r="E32" s="276">
        <f>(SUMIF(Fonctionnement[Affectation matrice],$AB$3,Fonctionnement[Montant (€HT)])+SUMIF(Invest[Affectation matrice],$AB$3,Invest[Amortissement HT + intérêts]))*BF32</f>
        <v>0</v>
      </c>
      <c r="F32" s="276">
        <f>(SUMIF(Fonctionnement[Affectation matrice],$AB$3,Fonctionnement[Montant (€HT)])+SUMIF(Invest[Affectation matrice],$AB$3,Invest[Amortissement HT + intérêts]))*BG32</f>
        <v>0</v>
      </c>
      <c r="G32" s="276">
        <f>(SUMIF(Fonctionnement[Affectation matrice],$AB$3,Fonctionnement[Montant (€HT)])+SUMIF(Invest[Affectation matrice],$AB$3,Invest[Amortissement HT + intérêts]))*BH32</f>
        <v>0</v>
      </c>
      <c r="H32" s="276">
        <f>(SUMIF(Fonctionnement[Affectation matrice],$AB$3,Fonctionnement[Montant (€HT)])+SUMIF(Invest[Affectation matrice],$AB$3,Invest[Amortissement HT + intérêts]))*BI32</f>
        <v>0</v>
      </c>
      <c r="I32" s="276">
        <f>(SUMIF(Fonctionnement[Affectation matrice],$AB$3,Fonctionnement[Montant (€HT)])+SUMIF(Invest[Affectation matrice],$AB$3,Invest[Amortissement HT + intérêts]))*BJ32</f>
        <v>0</v>
      </c>
      <c r="J32" s="276">
        <f>(SUMIF(Fonctionnement[Affectation matrice],$AB$3,Fonctionnement[Montant (€HT)])+SUMIF(Invest[Affectation matrice],$AB$3,Invest[Amortissement HT + intérêts]))*BK32</f>
        <v>0</v>
      </c>
      <c r="K32" s="276">
        <f>(SUMIF(Fonctionnement[Affectation matrice],$AB$3,Fonctionnement[Montant (€HT)])+SUMIF(Invest[Affectation matrice],$AB$3,Invest[Amortissement HT + intérêts]))*BL32</f>
        <v>0</v>
      </c>
      <c r="L32" s="276">
        <f>(SUMIF(Fonctionnement[Affectation matrice],$AB$3,Fonctionnement[Montant (€HT)])+SUMIF(Invest[Affectation matrice],$AB$3,Invest[Amortissement HT + intérêts]))*BM32</f>
        <v>0</v>
      </c>
      <c r="M32" s="276">
        <f>(SUMIF(Fonctionnement[Affectation matrice],$AB$3,Fonctionnement[Montant (€HT)])+SUMIF(Invest[Affectation matrice],$AB$3,Invest[Amortissement HT + intérêts]))*BN32</f>
        <v>0</v>
      </c>
      <c r="N32" s="276">
        <f>(SUMIF(Fonctionnement[Affectation matrice],$AB$3,Fonctionnement[Montant (€HT)])+SUMIF(Invest[Affectation matrice],$AB$3,Invest[Amortissement HT + intérêts]))*BO32</f>
        <v>0</v>
      </c>
      <c r="O32" s="276">
        <f>(SUMIF(Fonctionnement[Affectation matrice],$AB$3,Fonctionnement[Montant (€HT)])+SUMIF(Invest[Affectation matrice],$AB$3,Invest[Amortissement HT + intérêts]))*BP32</f>
        <v>0</v>
      </c>
      <c r="P32" s="276">
        <f>(SUMIF(Fonctionnement[Affectation matrice],$AB$3,Fonctionnement[Montant (€HT)])+SUMIF(Invest[Affectation matrice],$AB$3,Invest[Amortissement HT + intérêts]))*BQ32</f>
        <v>0</v>
      </c>
      <c r="Q32" s="276">
        <f>(SUMIF(Fonctionnement[Affectation matrice],$AB$3,Fonctionnement[Montant (€HT)])+SUMIF(Invest[Affectation matrice],$AB$3,Invest[Amortissement HT + intérêts]))*BR32</f>
        <v>0</v>
      </c>
      <c r="R32" s="276">
        <f>(SUMIF(Fonctionnement[Affectation matrice],$AB$3,Fonctionnement[Montant (€HT)])+SUMIF(Invest[Affectation matrice],$AB$3,Invest[Amortissement HT + intérêts]))*BS32</f>
        <v>0</v>
      </c>
      <c r="S32" s="276">
        <f>(SUMIF(Fonctionnement[Affectation matrice],$AB$3,Fonctionnement[Montant (€HT)])+SUMIF(Invest[Affectation matrice],$AB$3,Invest[Amortissement HT + intérêts]))*BT32</f>
        <v>0</v>
      </c>
      <c r="T32" s="276">
        <f>(SUMIF(Fonctionnement[Affectation matrice],$AB$3,Fonctionnement[Montant (€HT)])+SUMIF(Invest[Affectation matrice],$AB$3,Invest[Amortissement HT + intérêts]))*BU32</f>
        <v>0</v>
      </c>
      <c r="U32" s="276">
        <f>(SUMIF(Fonctionnement[Affectation matrice],$AB$3,Fonctionnement[Montant (€HT)])+SUMIF(Invest[Affectation matrice],$AB$3,Invest[Amortissement HT + intérêts]))*BV32</f>
        <v>0</v>
      </c>
      <c r="V32" s="276">
        <f>(SUMIF(Fonctionnement[Affectation matrice],$AB$3,Fonctionnement[Montant (€HT)])+SUMIF(Invest[Affectation matrice],$AB$3,Invest[Amortissement HT + intérêts]))*BW32</f>
        <v>0</v>
      </c>
      <c r="W32" s="276">
        <f>(SUMIF(Fonctionnement[Affectation matrice],$AB$3,Fonctionnement[Montant (€HT)])+SUMIF(Invest[Affectation matrice],$AB$3,Invest[Amortissement HT + intérêts]))*BX32</f>
        <v>0</v>
      </c>
      <c r="X32" s="276">
        <f>(SUMIF(Fonctionnement[Affectation matrice],$AB$3,Fonctionnement[Montant (€HT)])+SUMIF(Invest[Affectation matrice],$AB$3,Invest[Amortissement HT + intérêts]))*BY32</f>
        <v>0</v>
      </c>
      <c r="Y32" s="276">
        <f>(SUMIF(Fonctionnement[Affectation matrice],$AB$3,Fonctionnement[Montant (€HT)])+SUMIF(Invest[Affectation matrice],$AB$3,Invest[Amortissement HT + intérêts]))*BZ32</f>
        <v>0</v>
      </c>
      <c r="Z32" s="276">
        <f>(SUMIF(Fonctionnement[Affectation matrice],$AB$3,Fonctionnement[Montant (€HT)])+SUMIF(Invest[Affectation matrice],$AB$3,Invest[Amortissement HT + intérêts]))*CA32</f>
        <v>0</v>
      </c>
      <c r="AA32" s="199"/>
      <c r="AB32" s="302" t="str">
        <f t="shared" si="55"/>
        <v/>
      </c>
      <c r="AC32" s="302" t="str">
        <f t="shared" si="55"/>
        <v/>
      </c>
      <c r="AD32" s="302" t="str">
        <f t="shared" si="55"/>
        <v/>
      </c>
      <c r="AE32" s="302" t="str">
        <f t="shared" si="55"/>
        <v/>
      </c>
      <c r="AF32" s="302" t="str">
        <f t="shared" si="55"/>
        <v/>
      </c>
      <c r="AG32" s="302" t="str">
        <f t="shared" si="55"/>
        <v/>
      </c>
      <c r="AH32" s="302" t="str">
        <f t="shared" si="55"/>
        <v/>
      </c>
      <c r="AI32" s="302" t="str">
        <f t="shared" si="55"/>
        <v/>
      </c>
      <c r="AJ32" s="302" t="str">
        <f t="shared" si="55"/>
        <v/>
      </c>
      <c r="AK32" s="302" t="str">
        <f t="shared" si="55"/>
        <v/>
      </c>
      <c r="AL32" s="302" t="str">
        <f t="shared" si="56"/>
        <v/>
      </c>
      <c r="AM32" s="302" t="str">
        <f t="shared" si="56"/>
        <v/>
      </c>
      <c r="AN32" s="302" t="str">
        <f t="shared" si="56"/>
        <v/>
      </c>
      <c r="AO32" s="302" t="str">
        <f t="shared" si="56"/>
        <v/>
      </c>
      <c r="AP32" s="302" t="str">
        <f t="shared" si="56"/>
        <v/>
      </c>
      <c r="AQ32" s="302" t="str">
        <f t="shared" si="56"/>
        <v/>
      </c>
      <c r="AR32" s="302" t="str">
        <f t="shared" si="56"/>
        <v/>
      </c>
      <c r="AS32" s="302" t="str">
        <f t="shared" si="56"/>
        <v/>
      </c>
      <c r="AT32" s="302" t="str">
        <f t="shared" si="56"/>
        <v/>
      </c>
      <c r="AU32" s="302" t="str">
        <f t="shared" si="56"/>
        <v/>
      </c>
      <c r="AV32" s="302" t="str">
        <f t="shared" si="56"/>
        <v/>
      </c>
      <c r="AW32" s="302" t="str">
        <f t="shared" si="56"/>
        <v/>
      </c>
      <c r="AX32" s="302" t="str">
        <f t="shared" si="56"/>
        <v/>
      </c>
      <c r="AY32" s="302" t="str">
        <f t="shared" si="56"/>
        <v/>
      </c>
      <c r="AZ32" s="302" t="str">
        <f t="shared" si="56"/>
        <v/>
      </c>
      <c r="BA32" s="283" t="str">
        <f t="shared" si="56"/>
        <v/>
      </c>
      <c r="BB32" s="7"/>
      <c r="BC32" s="61">
        <f t="shared" si="57"/>
        <v>0</v>
      </c>
      <c r="BD32" s="61">
        <f t="shared" si="58"/>
        <v>0</v>
      </c>
      <c r="BE32" s="61">
        <f t="shared" si="59"/>
        <v>0</v>
      </c>
      <c r="BF32" s="61">
        <f t="shared" si="60"/>
        <v>0</v>
      </c>
      <c r="BG32" s="61">
        <f t="shared" si="61"/>
        <v>0</v>
      </c>
      <c r="BH32" s="61">
        <f t="shared" si="62"/>
        <v>0</v>
      </c>
      <c r="BI32" s="61">
        <f t="shared" si="63"/>
        <v>0</v>
      </c>
      <c r="BJ32" s="61">
        <f t="shared" si="64"/>
        <v>0</v>
      </c>
      <c r="BK32" s="61">
        <f t="shared" si="65"/>
        <v>0</v>
      </c>
      <c r="BL32" s="61">
        <f t="shared" si="66"/>
        <v>0</v>
      </c>
      <c r="BM32" s="61">
        <f t="shared" si="67"/>
        <v>0</v>
      </c>
      <c r="BN32" s="61">
        <f t="shared" si="68"/>
        <v>0</v>
      </c>
      <c r="BO32" s="61">
        <f t="shared" si="69"/>
        <v>0</v>
      </c>
      <c r="BP32" s="61">
        <f t="shared" si="70"/>
        <v>0</v>
      </c>
      <c r="BQ32" s="61">
        <f t="shared" si="71"/>
        <v>0</v>
      </c>
      <c r="BR32" s="61">
        <f t="shared" si="72"/>
        <v>0</v>
      </c>
      <c r="BS32" s="61">
        <f t="shared" si="73"/>
        <v>0</v>
      </c>
      <c r="BT32" s="61">
        <f t="shared" si="74"/>
        <v>0</v>
      </c>
      <c r="BU32" s="61">
        <f t="shared" si="75"/>
        <v>0</v>
      </c>
      <c r="BV32" s="61">
        <f t="shared" si="76"/>
        <v>0</v>
      </c>
      <c r="BW32" s="61">
        <f t="shared" si="77"/>
        <v>0</v>
      </c>
      <c r="BX32" s="61">
        <f t="shared" si="78"/>
        <v>0</v>
      </c>
      <c r="BY32" s="61">
        <f t="shared" si="79"/>
        <v>0</v>
      </c>
      <c r="BZ32" s="61">
        <f t="shared" si="80"/>
        <v>0</v>
      </c>
      <c r="CA32" s="61">
        <f t="shared" si="81"/>
        <v>0</v>
      </c>
      <c r="CB32" s="61">
        <f t="shared" si="52"/>
        <v>0</v>
      </c>
      <c r="CD32" s="200">
        <f>(SUMIF(Fonctionnement[Affectation matrice],$AB$3,Fonctionnement[TVA acquittée])+SUMIF(Invest[Affectation matrice],$AB$3,Invest[TVA acquittée]))*BC32</f>
        <v>0</v>
      </c>
      <c r="CE32" s="200">
        <f>(SUMIF(Fonctionnement[Affectation matrice],$AB$3,Fonctionnement[TVA acquittée])+SUMIF(Invest[Affectation matrice],$AB$3,Invest[TVA acquittée]))*BD32</f>
        <v>0</v>
      </c>
      <c r="CF32" s="200">
        <f>(SUMIF(Fonctionnement[Affectation matrice],$AB$3,Fonctionnement[TVA acquittée])+SUMIF(Invest[Affectation matrice],$AB$3,Invest[TVA acquittée]))*BE32</f>
        <v>0</v>
      </c>
      <c r="CG32" s="200">
        <f>(SUMIF(Fonctionnement[Affectation matrice],$AB$3,Fonctionnement[TVA acquittée])+SUMIF(Invest[Affectation matrice],$AB$3,Invest[TVA acquittée]))*BF32</f>
        <v>0</v>
      </c>
      <c r="CH32" s="200">
        <f>(SUMIF(Fonctionnement[Affectation matrice],$AB$3,Fonctionnement[TVA acquittée])+SUMIF(Invest[Affectation matrice],$AB$3,Invest[TVA acquittée]))*BG32</f>
        <v>0</v>
      </c>
      <c r="CI32" s="200">
        <f>(SUMIF(Fonctionnement[Affectation matrice],$AB$3,Fonctionnement[TVA acquittée])+SUMIF(Invest[Affectation matrice],$AB$3,Invest[TVA acquittée]))*BH32</f>
        <v>0</v>
      </c>
      <c r="CJ32" s="200">
        <f>(SUMIF(Fonctionnement[Affectation matrice],$AB$3,Fonctionnement[TVA acquittée])+SUMIF(Invest[Affectation matrice],$AB$3,Invest[TVA acquittée]))*BI32</f>
        <v>0</v>
      </c>
      <c r="CK32" s="200">
        <f>(SUMIF(Fonctionnement[Affectation matrice],$AB$3,Fonctionnement[TVA acquittée])+SUMIF(Invest[Affectation matrice],$AB$3,Invest[TVA acquittée]))*BJ32</f>
        <v>0</v>
      </c>
      <c r="CL32" s="200">
        <f>(SUMIF(Fonctionnement[Affectation matrice],$AB$3,Fonctionnement[TVA acquittée])+SUMIF(Invest[Affectation matrice],$AB$3,Invest[TVA acquittée]))*BK32</f>
        <v>0</v>
      </c>
      <c r="CM32" s="200">
        <f>(SUMIF(Fonctionnement[Affectation matrice],$AB$3,Fonctionnement[TVA acquittée])+SUMIF(Invest[Affectation matrice],$AB$3,Invest[TVA acquittée]))*BL32</f>
        <v>0</v>
      </c>
      <c r="CN32" s="200">
        <f>(SUMIF(Fonctionnement[Affectation matrice],$AB$3,Fonctionnement[TVA acquittée])+SUMIF(Invest[Affectation matrice],$AB$3,Invest[TVA acquittée]))*BM32</f>
        <v>0</v>
      </c>
      <c r="CO32" s="200">
        <f>(SUMIF(Fonctionnement[Affectation matrice],$AB$3,Fonctionnement[TVA acquittée])+SUMIF(Invest[Affectation matrice],$AB$3,Invest[TVA acquittée]))*BN32</f>
        <v>0</v>
      </c>
      <c r="CP32" s="200">
        <f>(SUMIF(Fonctionnement[Affectation matrice],$AB$3,Fonctionnement[TVA acquittée])+SUMIF(Invest[Affectation matrice],$AB$3,Invest[TVA acquittée]))*BO32</f>
        <v>0</v>
      </c>
      <c r="CQ32" s="200">
        <f>(SUMIF(Fonctionnement[Affectation matrice],$AB$3,Fonctionnement[TVA acquittée])+SUMIF(Invest[Affectation matrice],$AB$3,Invest[TVA acquittée]))*BP32</f>
        <v>0</v>
      </c>
      <c r="CR32" s="200">
        <f>(SUMIF(Fonctionnement[Affectation matrice],$AB$3,Fonctionnement[TVA acquittée])+SUMIF(Invest[Affectation matrice],$AB$3,Invest[TVA acquittée]))*BQ32</f>
        <v>0</v>
      </c>
      <c r="CS32" s="200">
        <f>(SUMIF(Fonctionnement[Affectation matrice],$AB$3,Fonctionnement[TVA acquittée])+SUMIF(Invest[Affectation matrice],$AB$3,Invest[TVA acquittée]))*BR32</f>
        <v>0</v>
      </c>
      <c r="CT32" s="200">
        <f>(SUMIF(Fonctionnement[Affectation matrice],$AB$3,Fonctionnement[TVA acquittée])+SUMIF(Invest[Affectation matrice],$AB$3,Invest[TVA acquittée]))*BS32</f>
        <v>0</v>
      </c>
      <c r="CU32" s="200">
        <f>(SUMIF(Fonctionnement[Affectation matrice],$AB$3,Fonctionnement[TVA acquittée])+SUMIF(Invest[Affectation matrice],$AB$3,Invest[TVA acquittée]))*BT32</f>
        <v>0</v>
      </c>
      <c r="CV32" s="200">
        <f>(SUMIF(Fonctionnement[Affectation matrice],$AB$3,Fonctionnement[TVA acquittée])+SUMIF(Invest[Affectation matrice],$AB$3,Invest[TVA acquittée]))*BU32</f>
        <v>0</v>
      </c>
      <c r="CW32" s="200">
        <f>(SUMIF(Fonctionnement[Affectation matrice],$AB$3,Fonctionnement[TVA acquittée])+SUMIF(Invest[Affectation matrice],$AB$3,Invest[TVA acquittée]))*BV32</f>
        <v>0</v>
      </c>
      <c r="CX32" s="200">
        <f>(SUMIF(Fonctionnement[Affectation matrice],$AB$3,Fonctionnement[TVA acquittée])+SUMIF(Invest[Affectation matrice],$AB$3,Invest[TVA acquittée]))*BW32</f>
        <v>0</v>
      </c>
      <c r="CY32" s="200">
        <f>(SUMIF(Fonctionnement[Affectation matrice],$AB$3,Fonctionnement[TVA acquittée])+SUMIF(Invest[Affectation matrice],$AB$3,Invest[TVA acquittée]))*BX32</f>
        <v>0</v>
      </c>
      <c r="CZ32" s="200">
        <f>(SUMIF(Fonctionnement[Affectation matrice],$AB$3,Fonctionnement[TVA acquittée])+SUMIF(Invest[Affectation matrice],$AB$3,Invest[TVA acquittée]))*BY32</f>
        <v>0</v>
      </c>
      <c r="DA32" s="200">
        <f>(SUMIF(Fonctionnement[Affectation matrice],$AB$3,Fonctionnement[TVA acquittée])+SUMIF(Invest[Affectation matrice],$AB$3,Invest[TVA acquittée]))*BZ32</f>
        <v>0</v>
      </c>
      <c r="DB32" s="200">
        <f>(SUMIF(Fonctionnement[Affectation matrice],$AB$3,Fonctionnement[TVA acquittée])+SUMIF(Invest[Affectation matrice],$AB$3,Invest[TVA acquittée]))*CA32</f>
        <v>0</v>
      </c>
    </row>
    <row r="33" spans="1:106" s="22" customFormat="1" ht="12.75" hidden="1" customHeight="1" x14ac:dyDescent="0.25">
      <c r="A33" s="42" t="str">
        <f>Matrice[[#This Row],[Ligne de la matrice]]</f>
        <v>Aides à l'emploi</v>
      </c>
      <c r="B33" s="276">
        <f>(SUMIF(Fonctionnement[Affectation matrice],$AB$3,Fonctionnement[Montant (€HT)])+SUMIF(Invest[Affectation matrice],$AB$3,Invest[Amortissement HT + intérêts]))*BC33</f>
        <v>0</v>
      </c>
      <c r="C33" s="276">
        <f>(SUMIF(Fonctionnement[Affectation matrice],$AB$3,Fonctionnement[Montant (€HT)])+SUMIF(Invest[Affectation matrice],$AB$3,Invest[Amortissement HT + intérêts]))*BD33</f>
        <v>0</v>
      </c>
      <c r="D33" s="276">
        <f>(SUMIF(Fonctionnement[Affectation matrice],$AB$3,Fonctionnement[Montant (€HT)])+SUMIF(Invest[Affectation matrice],$AB$3,Invest[Amortissement HT + intérêts]))*BE33</f>
        <v>0</v>
      </c>
      <c r="E33" s="276">
        <f>(SUMIF(Fonctionnement[Affectation matrice],$AB$3,Fonctionnement[Montant (€HT)])+SUMIF(Invest[Affectation matrice],$AB$3,Invest[Amortissement HT + intérêts]))*BF33</f>
        <v>0</v>
      </c>
      <c r="F33" s="276">
        <f>(SUMIF(Fonctionnement[Affectation matrice],$AB$3,Fonctionnement[Montant (€HT)])+SUMIF(Invest[Affectation matrice],$AB$3,Invest[Amortissement HT + intérêts]))*BG33</f>
        <v>0</v>
      </c>
      <c r="G33" s="276">
        <f>(SUMIF(Fonctionnement[Affectation matrice],$AB$3,Fonctionnement[Montant (€HT)])+SUMIF(Invest[Affectation matrice],$AB$3,Invest[Amortissement HT + intérêts]))*BH33</f>
        <v>0</v>
      </c>
      <c r="H33" s="276">
        <f>(SUMIF(Fonctionnement[Affectation matrice],$AB$3,Fonctionnement[Montant (€HT)])+SUMIF(Invest[Affectation matrice],$AB$3,Invest[Amortissement HT + intérêts]))*BI33</f>
        <v>0</v>
      </c>
      <c r="I33" s="276">
        <f>(SUMIF(Fonctionnement[Affectation matrice],$AB$3,Fonctionnement[Montant (€HT)])+SUMIF(Invest[Affectation matrice],$AB$3,Invest[Amortissement HT + intérêts]))*BJ33</f>
        <v>0</v>
      </c>
      <c r="J33" s="276">
        <f>(SUMIF(Fonctionnement[Affectation matrice],$AB$3,Fonctionnement[Montant (€HT)])+SUMIF(Invest[Affectation matrice],$AB$3,Invest[Amortissement HT + intérêts]))*BK33</f>
        <v>0</v>
      </c>
      <c r="K33" s="276">
        <f>(SUMIF(Fonctionnement[Affectation matrice],$AB$3,Fonctionnement[Montant (€HT)])+SUMIF(Invest[Affectation matrice],$AB$3,Invest[Amortissement HT + intérêts]))*BL33</f>
        <v>0</v>
      </c>
      <c r="L33" s="276">
        <f>(SUMIF(Fonctionnement[Affectation matrice],$AB$3,Fonctionnement[Montant (€HT)])+SUMIF(Invest[Affectation matrice],$AB$3,Invest[Amortissement HT + intérêts]))*BM33</f>
        <v>0</v>
      </c>
      <c r="M33" s="276">
        <f>(SUMIF(Fonctionnement[Affectation matrice],$AB$3,Fonctionnement[Montant (€HT)])+SUMIF(Invest[Affectation matrice],$AB$3,Invest[Amortissement HT + intérêts]))*BN33</f>
        <v>0</v>
      </c>
      <c r="N33" s="276">
        <f>(SUMIF(Fonctionnement[Affectation matrice],$AB$3,Fonctionnement[Montant (€HT)])+SUMIF(Invest[Affectation matrice],$AB$3,Invest[Amortissement HT + intérêts]))*BO33</f>
        <v>0</v>
      </c>
      <c r="O33" s="276">
        <f>(SUMIF(Fonctionnement[Affectation matrice],$AB$3,Fonctionnement[Montant (€HT)])+SUMIF(Invest[Affectation matrice],$AB$3,Invest[Amortissement HT + intérêts]))*BP33</f>
        <v>0</v>
      </c>
      <c r="P33" s="276">
        <f>(SUMIF(Fonctionnement[Affectation matrice],$AB$3,Fonctionnement[Montant (€HT)])+SUMIF(Invest[Affectation matrice],$AB$3,Invest[Amortissement HT + intérêts]))*BQ33</f>
        <v>0</v>
      </c>
      <c r="Q33" s="276">
        <f>(SUMIF(Fonctionnement[Affectation matrice],$AB$3,Fonctionnement[Montant (€HT)])+SUMIF(Invest[Affectation matrice],$AB$3,Invest[Amortissement HT + intérêts]))*BR33</f>
        <v>0</v>
      </c>
      <c r="R33" s="276">
        <f>(SUMIF(Fonctionnement[Affectation matrice],$AB$3,Fonctionnement[Montant (€HT)])+SUMIF(Invest[Affectation matrice],$AB$3,Invest[Amortissement HT + intérêts]))*BS33</f>
        <v>0</v>
      </c>
      <c r="S33" s="276">
        <f>(SUMIF(Fonctionnement[Affectation matrice],$AB$3,Fonctionnement[Montant (€HT)])+SUMIF(Invest[Affectation matrice],$AB$3,Invest[Amortissement HT + intérêts]))*BT33</f>
        <v>0</v>
      </c>
      <c r="T33" s="276">
        <f>(SUMIF(Fonctionnement[Affectation matrice],$AB$3,Fonctionnement[Montant (€HT)])+SUMIF(Invest[Affectation matrice],$AB$3,Invest[Amortissement HT + intérêts]))*BU33</f>
        <v>0</v>
      </c>
      <c r="U33" s="276">
        <f>(SUMIF(Fonctionnement[Affectation matrice],$AB$3,Fonctionnement[Montant (€HT)])+SUMIF(Invest[Affectation matrice],$AB$3,Invest[Amortissement HT + intérêts]))*BV33</f>
        <v>0</v>
      </c>
      <c r="V33" s="276">
        <f>(SUMIF(Fonctionnement[Affectation matrice],$AB$3,Fonctionnement[Montant (€HT)])+SUMIF(Invest[Affectation matrice],$AB$3,Invest[Amortissement HT + intérêts]))*BW33</f>
        <v>0</v>
      </c>
      <c r="W33" s="276">
        <f>(SUMIF(Fonctionnement[Affectation matrice],$AB$3,Fonctionnement[Montant (€HT)])+SUMIF(Invest[Affectation matrice],$AB$3,Invest[Amortissement HT + intérêts]))*BX33</f>
        <v>0</v>
      </c>
      <c r="X33" s="276">
        <f>(SUMIF(Fonctionnement[Affectation matrice],$AB$3,Fonctionnement[Montant (€HT)])+SUMIF(Invest[Affectation matrice],$AB$3,Invest[Amortissement HT + intérêts]))*BY33</f>
        <v>0</v>
      </c>
      <c r="Y33" s="276">
        <f>(SUMIF(Fonctionnement[Affectation matrice],$AB$3,Fonctionnement[Montant (€HT)])+SUMIF(Invest[Affectation matrice],$AB$3,Invest[Amortissement HT + intérêts]))*BZ33</f>
        <v>0</v>
      </c>
      <c r="Z33" s="276">
        <f>(SUMIF(Fonctionnement[Affectation matrice],$AB$3,Fonctionnement[Montant (€HT)])+SUMIF(Invest[Affectation matrice],$AB$3,Invest[Amortissement HT + intérêts]))*CA33</f>
        <v>0</v>
      </c>
      <c r="AA33" s="199"/>
      <c r="AB33" s="302" t="str">
        <f t="shared" si="55"/>
        <v/>
      </c>
      <c r="AC33" s="302" t="str">
        <f t="shared" si="55"/>
        <v/>
      </c>
      <c r="AD33" s="302" t="str">
        <f t="shared" si="55"/>
        <v/>
      </c>
      <c r="AE33" s="302" t="str">
        <f t="shared" si="55"/>
        <v/>
      </c>
      <c r="AF33" s="302" t="str">
        <f t="shared" si="55"/>
        <v/>
      </c>
      <c r="AG33" s="302" t="str">
        <f t="shared" si="55"/>
        <v/>
      </c>
      <c r="AH33" s="302" t="str">
        <f t="shared" si="55"/>
        <v/>
      </c>
      <c r="AI33" s="302" t="str">
        <f t="shared" si="55"/>
        <v/>
      </c>
      <c r="AJ33" s="302" t="str">
        <f t="shared" si="55"/>
        <v/>
      </c>
      <c r="AK33" s="302" t="str">
        <f t="shared" si="55"/>
        <v/>
      </c>
      <c r="AL33" s="302" t="str">
        <f t="shared" si="56"/>
        <v/>
      </c>
      <c r="AM33" s="302" t="str">
        <f t="shared" si="56"/>
        <v/>
      </c>
      <c r="AN33" s="302" t="str">
        <f t="shared" si="56"/>
        <v/>
      </c>
      <c r="AO33" s="302" t="str">
        <f t="shared" si="56"/>
        <v/>
      </c>
      <c r="AP33" s="302" t="str">
        <f t="shared" si="56"/>
        <v/>
      </c>
      <c r="AQ33" s="302" t="str">
        <f t="shared" si="56"/>
        <v/>
      </c>
      <c r="AR33" s="302" t="str">
        <f t="shared" si="56"/>
        <v/>
      </c>
      <c r="AS33" s="302" t="str">
        <f t="shared" si="56"/>
        <v/>
      </c>
      <c r="AT33" s="302" t="str">
        <f t="shared" si="56"/>
        <v/>
      </c>
      <c r="AU33" s="302" t="str">
        <f t="shared" si="56"/>
        <v/>
      </c>
      <c r="AV33" s="302" t="str">
        <f t="shared" si="56"/>
        <v/>
      </c>
      <c r="AW33" s="302" t="str">
        <f t="shared" si="56"/>
        <v/>
      </c>
      <c r="AX33" s="302" t="str">
        <f t="shared" si="56"/>
        <v/>
      </c>
      <c r="AY33" s="302" t="str">
        <f t="shared" si="56"/>
        <v/>
      </c>
      <c r="AZ33" s="302" t="str">
        <f t="shared" si="56"/>
        <v/>
      </c>
      <c r="BA33" s="283" t="str">
        <f t="shared" si="56"/>
        <v/>
      </c>
      <c r="BB33" s="7"/>
      <c r="BC33" s="61">
        <f t="shared" si="57"/>
        <v>0</v>
      </c>
      <c r="BD33" s="61">
        <f t="shared" si="58"/>
        <v>0</v>
      </c>
      <c r="BE33" s="61">
        <f t="shared" si="59"/>
        <v>0</v>
      </c>
      <c r="BF33" s="61">
        <f t="shared" si="60"/>
        <v>0</v>
      </c>
      <c r="BG33" s="61">
        <f t="shared" si="61"/>
        <v>0</v>
      </c>
      <c r="BH33" s="61">
        <f t="shared" si="62"/>
        <v>0</v>
      </c>
      <c r="BI33" s="61">
        <f t="shared" si="63"/>
        <v>0</v>
      </c>
      <c r="BJ33" s="61">
        <f t="shared" si="64"/>
        <v>0</v>
      </c>
      <c r="BK33" s="61">
        <f t="shared" si="65"/>
        <v>0</v>
      </c>
      <c r="BL33" s="61">
        <f t="shared" si="66"/>
        <v>0</v>
      </c>
      <c r="BM33" s="61">
        <f t="shared" si="67"/>
        <v>0</v>
      </c>
      <c r="BN33" s="61">
        <f t="shared" si="68"/>
        <v>0</v>
      </c>
      <c r="BO33" s="61">
        <f t="shared" si="69"/>
        <v>0</v>
      </c>
      <c r="BP33" s="61">
        <f t="shared" si="70"/>
        <v>0</v>
      </c>
      <c r="BQ33" s="61">
        <f t="shared" si="71"/>
        <v>0</v>
      </c>
      <c r="BR33" s="61">
        <f t="shared" si="72"/>
        <v>0</v>
      </c>
      <c r="BS33" s="61">
        <f t="shared" si="73"/>
        <v>0</v>
      </c>
      <c r="BT33" s="61">
        <f t="shared" si="74"/>
        <v>0</v>
      </c>
      <c r="BU33" s="61">
        <f t="shared" si="75"/>
        <v>0</v>
      </c>
      <c r="BV33" s="61">
        <f t="shared" si="76"/>
        <v>0</v>
      </c>
      <c r="BW33" s="61">
        <f t="shared" si="77"/>
        <v>0</v>
      </c>
      <c r="BX33" s="61">
        <f t="shared" si="78"/>
        <v>0</v>
      </c>
      <c r="BY33" s="61">
        <f t="shared" si="79"/>
        <v>0</v>
      </c>
      <c r="BZ33" s="61">
        <f t="shared" si="80"/>
        <v>0</v>
      </c>
      <c r="CA33" s="61">
        <f t="shared" si="81"/>
        <v>0</v>
      </c>
      <c r="CB33" s="61">
        <f t="shared" si="52"/>
        <v>0</v>
      </c>
      <c r="CD33" s="200">
        <f>(SUMIF(Fonctionnement[Affectation matrice],$AB$3,Fonctionnement[TVA acquittée])+SUMIF(Invest[Affectation matrice],$AB$3,Invest[TVA acquittée]))*BC33</f>
        <v>0</v>
      </c>
      <c r="CE33" s="200">
        <f>(SUMIF(Fonctionnement[Affectation matrice],$AB$3,Fonctionnement[TVA acquittée])+SUMIF(Invest[Affectation matrice],$AB$3,Invest[TVA acquittée]))*BD33</f>
        <v>0</v>
      </c>
      <c r="CF33" s="200">
        <f>(SUMIF(Fonctionnement[Affectation matrice],$AB$3,Fonctionnement[TVA acquittée])+SUMIF(Invest[Affectation matrice],$AB$3,Invest[TVA acquittée]))*BE33</f>
        <v>0</v>
      </c>
      <c r="CG33" s="200">
        <f>(SUMIF(Fonctionnement[Affectation matrice],$AB$3,Fonctionnement[TVA acquittée])+SUMIF(Invest[Affectation matrice],$AB$3,Invest[TVA acquittée]))*BF33</f>
        <v>0</v>
      </c>
      <c r="CH33" s="200">
        <f>(SUMIF(Fonctionnement[Affectation matrice],$AB$3,Fonctionnement[TVA acquittée])+SUMIF(Invest[Affectation matrice],$AB$3,Invest[TVA acquittée]))*BG33</f>
        <v>0</v>
      </c>
      <c r="CI33" s="200">
        <f>(SUMIF(Fonctionnement[Affectation matrice],$AB$3,Fonctionnement[TVA acquittée])+SUMIF(Invest[Affectation matrice],$AB$3,Invest[TVA acquittée]))*BH33</f>
        <v>0</v>
      </c>
      <c r="CJ33" s="200">
        <f>(SUMIF(Fonctionnement[Affectation matrice],$AB$3,Fonctionnement[TVA acquittée])+SUMIF(Invest[Affectation matrice],$AB$3,Invest[TVA acquittée]))*BI33</f>
        <v>0</v>
      </c>
      <c r="CK33" s="200">
        <f>(SUMIF(Fonctionnement[Affectation matrice],$AB$3,Fonctionnement[TVA acquittée])+SUMIF(Invest[Affectation matrice],$AB$3,Invest[TVA acquittée]))*BJ33</f>
        <v>0</v>
      </c>
      <c r="CL33" s="200">
        <f>(SUMIF(Fonctionnement[Affectation matrice],$AB$3,Fonctionnement[TVA acquittée])+SUMIF(Invest[Affectation matrice],$AB$3,Invest[TVA acquittée]))*BK33</f>
        <v>0</v>
      </c>
      <c r="CM33" s="200">
        <f>(SUMIF(Fonctionnement[Affectation matrice],$AB$3,Fonctionnement[TVA acquittée])+SUMIF(Invest[Affectation matrice],$AB$3,Invest[TVA acquittée]))*BL33</f>
        <v>0</v>
      </c>
      <c r="CN33" s="200">
        <f>(SUMIF(Fonctionnement[Affectation matrice],$AB$3,Fonctionnement[TVA acquittée])+SUMIF(Invest[Affectation matrice],$AB$3,Invest[TVA acquittée]))*BM33</f>
        <v>0</v>
      </c>
      <c r="CO33" s="200">
        <f>(SUMIF(Fonctionnement[Affectation matrice],$AB$3,Fonctionnement[TVA acquittée])+SUMIF(Invest[Affectation matrice],$AB$3,Invest[TVA acquittée]))*BN33</f>
        <v>0</v>
      </c>
      <c r="CP33" s="200">
        <f>(SUMIF(Fonctionnement[Affectation matrice],$AB$3,Fonctionnement[TVA acquittée])+SUMIF(Invest[Affectation matrice],$AB$3,Invest[TVA acquittée]))*BO33</f>
        <v>0</v>
      </c>
      <c r="CQ33" s="200">
        <f>(SUMIF(Fonctionnement[Affectation matrice],$AB$3,Fonctionnement[TVA acquittée])+SUMIF(Invest[Affectation matrice],$AB$3,Invest[TVA acquittée]))*BP33</f>
        <v>0</v>
      </c>
      <c r="CR33" s="200">
        <f>(SUMIF(Fonctionnement[Affectation matrice],$AB$3,Fonctionnement[TVA acquittée])+SUMIF(Invest[Affectation matrice],$AB$3,Invest[TVA acquittée]))*BQ33</f>
        <v>0</v>
      </c>
      <c r="CS33" s="200">
        <f>(SUMIF(Fonctionnement[Affectation matrice],$AB$3,Fonctionnement[TVA acquittée])+SUMIF(Invest[Affectation matrice],$AB$3,Invest[TVA acquittée]))*BR33</f>
        <v>0</v>
      </c>
      <c r="CT33" s="200">
        <f>(SUMIF(Fonctionnement[Affectation matrice],$AB$3,Fonctionnement[TVA acquittée])+SUMIF(Invest[Affectation matrice],$AB$3,Invest[TVA acquittée]))*BS33</f>
        <v>0</v>
      </c>
      <c r="CU33" s="200">
        <f>(SUMIF(Fonctionnement[Affectation matrice],$AB$3,Fonctionnement[TVA acquittée])+SUMIF(Invest[Affectation matrice],$AB$3,Invest[TVA acquittée]))*BT33</f>
        <v>0</v>
      </c>
      <c r="CV33" s="200">
        <f>(SUMIF(Fonctionnement[Affectation matrice],$AB$3,Fonctionnement[TVA acquittée])+SUMIF(Invest[Affectation matrice],$AB$3,Invest[TVA acquittée]))*BU33</f>
        <v>0</v>
      </c>
      <c r="CW33" s="200">
        <f>(SUMIF(Fonctionnement[Affectation matrice],$AB$3,Fonctionnement[TVA acquittée])+SUMIF(Invest[Affectation matrice],$AB$3,Invest[TVA acquittée]))*BV33</f>
        <v>0</v>
      </c>
      <c r="CX33" s="200">
        <f>(SUMIF(Fonctionnement[Affectation matrice],$AB$3,Fonctionnement[TVA acquittée])+SUMIF(Invest[Affectation matrice],$AB$3,Invest[TVA acquittée]))*BW33</f>
        <v>0</v>
      </c>
      <c r="CY33" s="200">
        <f>(SUMIF(Fonctionnement[Affectation matrice],$AB$3,Fonctionnement[TVA acquittée])+SUMIF(Invest[Affectation matrice],$AB$3,Invest[TVA acquittée]))*BX33</f>
        <v>0</v>
      </c>
      <c r="CZ33" s="200">
        <f>(SUMIF(Fonctionnement[Affectation matrice],$AB$3,Fonctionnement[TVA acquittée])+SUMIF(Invest[Affectation matrice],$AB$3,Invest[TVA acquittée]))*BY33</f>
        <v>0</v>
      </c>
      <c r="DA33" s="200">
        <f>(SUMIF(Fonctionnement[Affectation matrice],$AB$3,Fonctionnement[TVA acquittée])+SUMIF(Invest[Affectation matrice],$AB$3,Invest[TVA acquittée]))*BZ33</f>
        <v>0</v>
      </c>
      <c r="DB33" s="200">
        <f>(SUMIF(Fonctionnement[Affectation matrice],$AB$3,Fonctionnement[TVA acquittée])+SUMIF(Invest[Affectation matrice],$AB$3,Invest[TVA acquittée]))*CA33</f>
        <v>0</v>
      </c>
    </row>
    <row r="34" spans="1:106" s="205" customFormat="1" ht="12.75" hidden="1" customHeight="1" x14ac:dyDescent="0.25">
      <c r="A34" s="186"/>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02"/>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03"/>
      <c r="BB34" s="204"/>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c r="CB34" s="203"/>
      <c r="CD34" s="200"/>
      <c r="CE34" s="200"/>
      <c r="CF34" s="200"/>
      <c r="CG34" s="200"/>
      <c r="CH34" s="200"/>
      <c r="CI34" s="200"/>
      <c r="CJ34" s="200"/>
      <c r="CK34" s="200"/>
      <c r="CL34" s="200"/>
      <c r="CM34" s="200"/>
      <c r="CN34" s="200"/>
      <c r="CO34" s="200"/>
      <c r="CP34" s="200"/>
      <c r="CQ34" s="200"/>
      <c r="CR34" s="200"/>
      <c r="CS34" s="200"/>
      <c r="CT34" s="200"/>
      <c r="CU34" s="200"/>
      <c r="CV34" s="200"/>
      <c r="CW34" s="200"/>
      <c r="CX34" s="200"/>
      <c r="CY34" s="200"/>
      <c r="CZ34" s="200"/>
      <c r="DA34" s="200"/>
      <c r="DB34" s="200"/>
    </row>
    <row r="35" spans="1:106" s="22" customFormat="1" ht="12.75" hidden="1" customHeight="1" x14ac:dyDescent="0.25">
      <c r="A35" s="42" t="str">
        <f>Matrice[[#This Row],[Ligne de la matrice]]</f>
        <v>TVA acquittée</v>
      </c>
      <c r="B35" s="276">
        <f>(SUMIF(Fonctionnement[Affectation matrice],$AB$3,Fonctionnement[Montant (€HT)])+SUMIF(Invest[Affectation matrice],$AB$3,Invest[Amortissement HT + intérêts]))*BC35</f>
        <v>0</v>
      </c>
      <c r="C35" s="276">
        <f>(SUMIF(Fonctionnement[Affectation matrice],$AB$3,Fonctionnement[Montant (€HT)])+SUMIF(Invest[Affectation matrice],$AB$3,Invest[Amortissement HT + intérêts]))*BD35</f>
        <v>0</v>
      </c>
      <c r="D35" s="276">
        <f>(SUMIF(Fonctionnement[Affectation matrice],$AB$3,Fonctionnement[Montant (€HT)])+SUMIF(Invest[Affectation matrice],$AB$3,Invest[Amortissement HT + intérêts]))*BE35</f>
        <v>0</v>
      </c>
      <c r="E35" s="276">
        <f>(SUMIF(Fonctionnement[Affectation matrice],$AB$3,Fonctionnement[Montant (€HT)])+SUMIF(Invest[Affectation matrice],$AB$3,Invest[Amortissement HT + intérêts]))*BF35</f>
        <v>0</v>
      </c>
      <c r="F35" s="276">
        <f>(SUMIF(Fonctionnement[Affectation matrice],$AB$3,Fonctionnement[Montant (€HT)])+SUMIF(Invest[Affectation matrice],$AB$3,Invest[Amortissement HT + intérêts]))*BG35</f>
        <v>0</v>
      </c>
      <c r="G35" s="276">
        <f>(SUMIF(Fonctionnement[Affectation matrice],$AB$3,Fonctionnement[Montant (€HT)])+SUMIF(Invest[Affectation matrice],$AB$3,Invest[Amortissement HT + intérêts]))*BH35</f>
        <v>0</v>
      </c>
      <c r="H35" s="276">
        <f>(SUMIF(Fonctionnement[Affectation matrice],$AB$3,Fonctionnement[Montant (€HT)])+SUMIF(Invest[Affectation matrice],$AB$3,Invest[Amortissement HT + intérêts]))*BI35</f>
        <v>0</v>
      </c>
      <c r="I35" s="276">
        <f>(SUMIF(Fonctionnement[Affectation matrice],$AB$3,Fonctionnement[Montant (€HT)])+SUMIF(Invest[Affectation matrice],$AB$3,Invest[Amortissement HT + intérêts]))*BJ35</f>
        <v>0</v>
      </c>
      <c r="J35" s="276">
        <f>(SUMIF(Fonctionnement[Affectation matrice],$AB$3,Fonctionnement[Montant (€HT)])+SUMIF(Invest[Affectation matrice],$AB$3,Invest[Amortissement HT + intérêts]))*BK35</f>
        <v>0</v>
      </c>
      <c r="K35" s="276">
        <f>(SUMIF(Fonctionnement[Affectation matrice],$AB$3,Fonctionnement[Montant (€HT)])+SUMIF(Invest[Affectation matrice],$AB$3,Invest[Amortissement HT + intérêts]))*BL35</f>
        <v>0</v>
      </c>
      <c r="L35" s="276">
        <f>(SUMIF(Fonctionnement[Affectation matrice],$AB$3,Fonctionnement[Montant (€HT)])+SUMIF(Invest[Affectation matrice],$AB$3,Invest[Amortissement HT + intérêts]))*BM35</f>
        <v>0</v>
      </c>
      <c r="M35" s="276">
        <f>(SUMIF(Fonctionnement[Affectation matrice],$AB$3,Fonctionnement[Montant (€HT)])+SUMIF(Invest[Affectation matrice],$AB$3,Invest[Amortissement HT + intérêts]))*BN35</f>
        <v>0</v>
      </c>
      <c r="N35" s="276">
        <f>(SUMIF(Fonctionnement[Affectation matrice],$AB$3,Fonctionnement[Montant (€HT)])+SUMIF(Invest[Affectation matrice],$AB$3,Invest[Amortissement HT + intérêts]))*BO35</f>
        <v>0</v>
      </c>
      <c r="O35" s="276">
        <f>(SUMIF(Fonctionnement[Affectation matrice],$AB$3,Fonctionnement[Montant (€HT)])+SUMIF(Invest[Affectation matrice],$AB$3,Invest[Amortissement HT + intérêts]))*BP35</f>
        <v>0</v>
      </c>
      <c r="P35" s="276">
        <f>(SUMIF(Fonctionnement[Affectation matrice],$AB$3,Fonctionnement[Montant (€HT)])+SUMIF(Invest[Affectation matrice],$AB$3,Invest[Amortissement HT + intérêts]))*BQ35</f>
        <v>0</v>
      </c>
      <c r="Q35" s="276">
        <f>(SUMIF(Fonctionnement[Affectation matrice],$AB$3,Fonctionnement[Montant (€HT)])+SUMIF(Invest[Affectation matrice],$AB$3,Invest[Amortissement HT + intérêts]))*BR35</f>
        <v>0</v>
      </c>
      <c r="R35" s="276">
        <f>(SUMIF(Fonctionnement[Affectation matrice],$AB$3,Fonctionnement[Montant (€HT)])+SUMIF(Invest[Affectation matrice],$AB$3,Invest[Amortissement HT + intérêts]))*BS35</f>
        <v>0</v>
      </c>
      <c r="S35" s="276">
        <f>(SUMIF(Fonctionnement[Affectation matrice],$AB$3,Fonctionnement[Montant (€HT)])+SUMIF(Invest[Affectation matrice],$AB$3,Invest[Amortissement HT + intérêts]))*BT35</f>
        <v>0</v>
      </c>
      <c r="T35" s="276">
        <f>(SUMIF(Fonctionnement[Affectation matrice],$AB$3,Fonctionnement[Montant (€HT)])+SUMIF(Invest[Affectation matrice],$AB$3,Invest[Amortissement HT + intérêts]))*BU35</f>
        <v>0</v>
      </c>
      <c r="U35" s="276">
        <f>(SUMIF(Fonctionnement[Affectation matrice],$AB$3,Fonctionnement[Montant (€HT)])+SUMIF(Invest[Affectation matrice],$AB$3,Invest[Amortissement HT + intérêts]))*BV35</f>
        <v>0</v>
      </c>
      <c r="V35" s="276">
        <f>(SUMIF(Fonctionnement[Affectation matrice],$AB$3,Fonctionnement[Montant (€HT)])+SUMIF(Invest[Affectation matrice],$AB$3,Invest[Amortissement HT + intérêts]))*BW35</f>
        <v>0</v>
      </c>
      <c r="W35" s="276">
        <f>(SUMIF(Fonctionnement[Affectation matrice],$AB$3,Fonctionnement[Montant (€HT)])+SUMIF(Invest[Affectation matrice],$AB$3,Invest[Amortissement HT + intérêts]))*BX35</f>
        <v>0</v>
      </c>
      <c r="X35" s="276">
        <f>(SUMIF(Fonctionnement[Affectation matrice],$AB$3,Fonctionnement[Montant (€HT)])+SUMIF(Invest[Affectation matrice],$AB$3,Invest[Amortissement HT + intérêts]))*BY35</f>
        <v>0</v>
      </c>
      <c r="Y35" s="276">
        <f>(SUMIF(Fonctionnement[Affectation matrice],$AB$3,Fonctionnement[Montant (€HT)])+SUMIF(Invest[Affectation matrice],$AB$3,Invest[Amortissement HT + intérêts]))*BZ35</f>
        <v>0</v>
      </c>
      <c r="Z35" s="276">
        <f>(SUMIF(Fonctionnement[Affectation matrice],$AB$3,Fonctionnement[Montant (€HT)])+SUMIF(Invest[Affectation matrice],$AB$3,Invest[Amortissement HT + intérêts]))*CA35</f>
        <v>0</v>
      </c>
      <c r="AA35" s="199"/>
      <c r="AB35" s="302" t="str">
        <f t="shared" ref="AB35:AK41" si="82">IFERROR(SUMIF($DC$56:$DC$76,$A35,AB$56:AB$76)/Total,"")</f>
        <v/>
      </c>
      <c r="AC35" s="302" t="str">
        <f t="shared" si="82"/>
        <v/>
      </c>
      <c r="AD35" s="302" t="str">
        <f t="shared" si="82"/>
        <v/>
      </c>
      <c r="AE35" s="302" t="str">
        <f t="shared" si="82"/>
        <v/>
      </c>
      <c r="AF35" s="302" t="str">
        <f t="shared" si="82"/>
        <v/>
      </c>
      <c r="AG35" s="302" t="str">
        <f t="shared" si="82"/>
        <v/>
      </c>
      <c r="AH35" s="302" t="str">
        <f t="shared" si="82"/>
        <v/>
      </c>
      <c r="AI35" s="302" t="str">
        <f t="shared" si="82"/>
        <v/>
      </c>
      <c r="AJ35" s="302" t="str">
        <f t="shared" si="82"/>
        <v/>
      </c>
      <c r="AK35" s="302" t="str">
        <f t="shared" si="82"/>
        <v/>
      </c>
      <c r="AL35" s="302" t="str">
        <f t="shared" ref="AL35:BA41" si="83">IFERROR(SUMIF($DC$56:$DC$76,$A35,AL$56:AL$76)/Total,"")</f>
        <v/>
      </c>
      <c r="AM35" s="302" t="str">
        <f t="shared" si="83"/>
        <v/>
      </c>
      <c r="AN35" s="302" t="str">
        <f t="shared" si="83"/>
        <v/>
      </c>
      <c r="AO35" s="302" t="str">
        <f t="shared" si="83"/>
        <v/>
      </c>
      <c r="AP35" s="302" t="str">
        <f t="shared" si="83"/>
        <v/>
      </c>
      <c r="AQ35" s="302" t="str">
        <f t="shared" si="83"/>
        <v/>
      </c>
      <c r="AR35" s="302" t="str">
        <f t="shared" si="83"/>
        <v/>
      </c>
      <c r="AS35" s="302" t="str">
        <f t="shared" si="83"/>
        <v/>
      </c>
      <c r="AT35" s="302" t="str">
        <f t="shared" si="83"/>
        <v/>
      </c>
      <c r="AU35" s="302" t="str">
        <f t="shared" si="83"/>
        <v/>
      </c>
      <c r="AV35" s="302" t="str">
        <f t="shared" si="83"/>
        <v/>
      </c>
      <c r="AW35" s="302" t="str">
        <f t="shared" si="83"/>
        <v/>
      </c>
      <c r="AX35" s="302" t="str">
        <f t="shared" si="83"/>
        <v/>
      </c>
      <c r="AY35" s="302" t="str">
        <f t="shared" si="83"/>
        <v/>
      </c>
      <c r="AZ35" s="302" t="str">
        <f t="shared" si="83"/>
        <v/>
      </c>
      <c r="BA35" s="283" t="str">
        <f t="shared" si="83"/>
        <v/>
      </c>
      <c r="BB35" s="7"/>
      <c r="BC35" s="61">
        <f t="shared" ref="BC35:BL41" si="84">IF($BA$53=0,0,AB35/$BA$53)</f>
        <v>0</v>
      </c>
      <c r="BD35" s="61">
        <f t="shared" si="84"/>
        <v>0</v>
      </c>
      <c r="BE35" s="61">
        <f t="shared" si="84"/>
        <v>0</v>
      </c>
      <c r="BF35" s="61">
        <f t="shared" si="84"/>
        <v>0</v>
      </c>
      <c r="BG35" s="61">
        <f t="shared" si="84"/>
        <v>0</v>
      </c>
      <c r="BH35" s="61">
        <f t="shared" si="84"/>
        <v>0</v>
      </c>
      <c r="BI35" s="61">
        <f t="shared" si="84"/>
        <v>0</v>
      </c>
      <c r="BJ35" s="61">
        <f t="shared" si="84"/>
        <v>0</v>
      </c>
      <c r="BK35" s="61">
        <f t="shared" si="84"/>
        <v>0</v>
      </c>
      <c r="BL35" s="61">
        <f t="shared" si="84"/>
        <v>0</v>
      </c>
      <c r="BM35" s="61">
        <f t="shared" ref="BM35:BV41" si="85">IF($BA$53=0,0,AL35/$BA$53)</f>
        <v>0</v>
      </c>
      <c r="BN35" s="61">
        <f t="shared" si="85"/>
        <v>0</v>
      </c>
      <c r="BO35" s="61">
        <f t="shared" si="85"/>
        <v>0</v>
      </c>
      <c r="BP35" s="61">
        <f t="shared" si="85"/>
        <v>0</v>
      </c>
      <c r="BQ35" s="61">
        <f t="shared" si="85"/>
        <v>0</v>
      </c>
      <c r="BR35" s="61">
        <f t="shared" si="85"/>
        <v>0</v>
      </c>
      <c r="BS35" s="61">
        <f t="shared" si="85"/>
        <v>0</v>
      </c>
      <c r="BT35" s="61">
        <f t="shared" si="85"/>
        <v>0</v>
      </c>
      <c r="BU35" s="61">
        <f t="shared" si="85"/>
        <v>0</v>
      </c>
      <c r="BV35" s="61">
        <f t="shared" si="85"/>
        <v>0</v>
      </c>
      <c r="BW35" s="61">
        <f t="shared" ref="BW35:CA41" si="86">IF($BA$53=0,0,AV35/$BA$53)</f>
        <v>0</v>
      </c>
      <c r="BX35" s="61">
        <f t="shared" si="86"/>
        <v>0</v>
      </c>
      <c r="BY35" s="61">
        <f t="shared" si="86"/>
        <v>0</v>
      </c>
      <c r="BZ35" s="61">
        <f t="shared" si="86"/>
        <v>0</v>
      </c>
      <c r="CA35" s="61">
        <f t="shared" si="86"/>
        <v>0</v>
      </c>
      <c r="CB35" s="61">
        <f t="shared" si="52"/>
        <v>0</v>
      </c>
      <c r="CD35" s="200">
        <f>(SUMIF(Fonctionnement[Affectation matrice],$AB$3,Fonctionnement[TVA acquittée])+SUMIF(Invest[Affectation matrice],$AB$3,Invest[TVA acquittée]))*BC35</f>
        <v>0</v>
      </c>
      <c r="CE35" s="200">
        <f>(SUMIF(Fonctionnement[Affectation matrice],$AB$3,Fonctionnement[TVA acquittée])+SUMIF(Invest[Affectation matrice],$AB$3,Invest[TVA acquittée]))*BD35</f>
        <v>0</v>
      </c>
      <c r="CF35" s="200">
        <f>(SUMIF(Fonctionnement[Affectation matrice],$AB$3,Fonctionnement[TVA acquittée])+SUMIF(Invest[Affectation matrice],$AB$3,Invest[TVA acquittée]))*BE35</f>
        <v>0</v>
      </c>
      <c r="CG35" s="200">
        <f>(SUMIF(Fonctionnement[Affectation matrice],$AB$3,Fonctionnement[TVA acquittée])+SUMIF(Invest[Affectation matrice],$AB$3,Invest[TVA acquittée]))*BF35</f>
        <v>0</v>
      </c>
      <c r="CH35" s="200">
        <f>(SUMIF(Fonctionnement[Affectation matrice],$AB$3,Fonctionnement[TVA acquittée])+SUMIF(Invest[Affectation matrice],$AB$3,Invest[TVA acquittée]))*BG35</f>
        <v>0</v>
      </c>
      <c r="CI35" s="200">
        <f>(SUMIF(Fonctionnement[Affectation matrice],$AB$3,Fonctionnement[TVA acquittée])+SUMIF(Invest[Affectation matrice],$AB$3,Invest[TVA acquittée]))*BH35</f>
        <v>0</v>
      </c>
      <c r="CJ35" s="200">
        <f>(SUMIF(Fonctionnement[Affectation matrice],$AB$3,Fonctionnement[TVA acquittée])+SUMIF(Invest[Affectation matrice],$AB$3,Invest[TVA acquittée]))*BI35</f>
        <v>0</v>
      </c>
      <c r="CK35" s="200">
        <f>(SUMIF(Fonctionnement[Affectation matrice],$AB$3,Fonctionnement[TVA acquittée])+SUMIF(Invest[Affectation matrice],$AB$3,Invest[TVA acquittée]))*BJ35</f>
        <v>0</v>
      </c>
      <c r="CL35" s="200">
        <f>(SUMIF(Fonctionnement[Affectation matrice],$AB$3,Fonctionnement[TVA acquittée])+SUMIF(Invest[Affectation matrice],$AB$3,Invest[TVA acquittée]))*BK35</f>
        <v>0</v>
      </c>
      <c r="CM35" s="200">
        <f>(SUMIF(Fonctionnement[Affectation matrice],$AB$3,Fonctionnement[TVA acquittée])+SUMIF(Invest[Affectation matrice],$AB$3,Invest[TVA acquittée]))*BL35</f>
        <v>0</v>
      </c>
      <c r="CN35" s="200">
        <f>(SUMIF(Fonctionnement[Affectation matrice],$AB$3,Fonctionnement[TVA acquittée])+SUMIF(Invest[Affectation matrice],$AB$3,Invest[TVA acquittée]))*BM35</f>
        <v>0</v>
      </c>
      <c r="CO35" s="200">
        <f>(SUMIF(Fonctionnement[Affectation matrice],$AB$3,Fonctionnement[TVA acquittée])+SUMIF(Invest[Affectation matrice],$AB$3,Invest[TVA acquittée]))*BN35</f>
        <v>0</v>
      </c>
      <c r="CP35" s="200">
        <f>(SUMIF(Fonctionnement[Affectation matrice],$AB$3,Fonctionnement[TVA acquittée])+SUMIF(Invest[Affectation matrice],$AB$3,Invest[TVA acquittée]))*BO35</f>
        <v>0</v>
      </c>
      <c r="CQ35" s="200">
        <f>(SUMIF(Fonctionnement[Affectation matrice],$AB$3,Fonctionnement[TVA acquittée])+SUMIF(Invest[Affectation matrice],$AB$3,Invest[TVA acquittée]))*BP35</f>
        <v>0</v>
      </c>
      <c r="CR35" s="200">
        <f>(SUMIF(Fonctionnement[Affectation matrice],$AB$3,Fonctionnement[TVA acquittée])+SUMIF(Invest[Affectation matrice],$AB$3,Invest[TVA acquittée]))*BQ35</f>
        <v>0</v>
      </c>
      <c r="CS35" s="200">
        <f>(SUMIF(Fonctionnement[Affectation matrice],$AB$3,Fonctionnement[TVA acquittée])+SUMIF(Invest[Affectation matrice],$AB$3,Invest[TVA acquittée]))*BR35</f>
        <v>0</v>
      </c>
      <c r="CT35" s="200">
        <f>(SUMIF(Fonctionnement[Affectation matrice],$AB$3,Fonctionnement[TVA acquittée])+SUMIF(Invest[Affectation matrice],$AB$3,Invest[TVA acquittée]))*BS35</f>
        <v>0</v>
      </c>
      <c r="CU35" s="200">
        <f>(SUMIF(Fonctionnement[Affectation matrice],$AB$3,Fonctionnement[TVA acquittée])+SUMIF(Invest[Affectation matrice],$AB$3,Invest[TVA acquittée]))*BT35</f>
        <v>0</v>
      </c>
      <c r="CV35" s="200">
        <f>(SUMIF(Fonctionnement[Affectation matrice],$AB$3,Fonctionnement[TVA acquittée])+SUMIF(Invest[Affectation matrice],$AB$3,Invest[TVA acquittée]))*BU35</f>
        <v>0</v>
      </c>
      <c r="CW35" s="200">
        <f>(SUMIF(Fonctionnement[Affectation matrice],$AB$3,Fonctionnement[TVA acquittée])+SUMIF(Invest[Affectation matrice],$AB$3,Invest[TVA acquittée]))*BV35</f>
        <v>0</v>
      </c>
      <c r="CX35" s="200">
        <f>(SUMIF(Fonctionnement[Affectation matrice],$AB$3,Fonctionnement[TVA acquittée])+SUMIF(Invest[Affectation matrice],$AB$3,Invest[TVA acquittée]))*BW35</f>
        <v>0</v>
      </c>
      <c r="CY35" s="200">
        <f>(SUMIF(Fonctionnement[Affectation matrice],$AB$3,Fonctionnement[TVA acquittée])+SUMIF(Invest[Affectation matrice],$AB$3,Invest[TVA acquittée]))*BX35</f>
        <v>0</v>
      </c>
      <c r="CZ35" s="200">
        <f>(SUMIF(Fonctionnement[Affectation matrice],$AB$3,Fonctionnement[TVA acquittée])+SUMIF(Invest[Affectation matrice],$AB$3,Invest[TVA acquittée]))*BY35</f>
        <v>0</v>
      </c>
      <c r="DA35" s="200">
        <f>(SUMIF(Fonctionnement[Affectation matrice],$AB$3,Fonctionnement[TVA acquittée])+SUMIF(Invest[Affectation matrice],$AB$3,Invest[TVA acquittée]))*BZ35</f>
        <v>0</v>
      </c>
      <c r="DB35" s="200">
        <f>(SUMIF(Fonctionnement[Affectation matrice],$AB$3,Fonctionnement[TVA acquittée])+SUMIF(Invest[Affectation matrice],$AB$3,Invest[TVA acquittée]))*CA35</f>
        <v>0</v>
      </c>
    </row>
    <row r="36" spans="1:106" s="22" customFormat="1" ht="12.75" hidden="1" customHeight="1" x14ac:dyDescent="0.25">
      <c r="A36" s="42" t="str">
        <f>Matrice[[#This Row],[Ligne de la matrice]]</f>
        <v>TEOM</v>
      </c>
      <c r="B36" s="276">
        <f>(SUMIF(Fonctionnement[Affectation matrice],$AB$3,Fonctionnement[Montant (€HT)])+SUMIF(Invest[Affectation matrice],$AB$3,Invest[Amortissement HT + intérêts]))*BC36</f>
        <v>0</v>
      </c>
      <c r="C36" s="276">
        <f>(SUMIF(Fonctionnement[Affectation matrice],$AB$3,Fonctionnement[Montant (€HT)])+SUMIF(Invest[Affectation matrice],$AB$3,Invest[Amortissement HT + intérêts]))*BD36</f>
        <v>0</v>
      </c>
      <c r="D36" s="276">
        <f>(SUMIF(Fonctionnement[Affectation matrice],$AB$3,Fonctionnement[Montant (€HT)])+SUMIF(Invest[Affectation matrice],$AB$3,Invest[Amortissement HT + intérêts]))*BE36</f>
        <v>0</v>
      </c>
      <c r="E36" s="276">
        <f>(SUMIF(Fonctionnement[Affectation matrice],$AB$3,Fonctionnement[Montant (€HT)])+SUMIF(Invest[Affectation matrice],$AB$3,Invest[Amortissement HT + intérêts]))*BF36</f>
        <v>0</v>
      </c>
      <c r="F36" s="276">
        <f>(SUMIF(Fonctionnement[Affectation matrice],$AB$3,Fonctionnement[Montant (€HT)])+SUMIF(Invest[Affectation matrice],$AB$3,Invest[Amortissement HT + intérêts]))*BG36</f>
        <v>0</v>
      </c>
      <c r="G36" s="276">
        <f>(SUMIF(Fonctionnement[Affectation matrice],$AB$3,Fonctionnement[Montant (€HT)])+SUMIF(Invest[Affectation matrice],$AB$3,Invest[Amortissement HT + intérêts]))*BH36</f>
        <v>0</v>
      </c>
      <c r="H36" s="276">
        <f>(SUMIF(Fonctionnement[Affectation matrice],$AB$3,Fonctionnement[Montant (€HT)])+SUMIF(Invest[Affectation matrice],$AB$3,Invest[Amortissement HT + intérêts]))*BI36</f>
        <v>0</v>
      </c>
      <c r="I36" s="276">
        <f>(SUMIF(Fonctionnement[Affectation matrice],$AB$3,Fonctionnement[Montant (€HT)])+SUMIF(Invest[Affectation matrice],$AB$3,Invest[Amortissement HT + intérêts]))*BJ36</f>
        <v>0</v>
      </c>
      <c r="J36" s="276">
        <f>(SUMIF(Fonctionnement[Affectation matrice],$AB$3,Fonctionnement[Montant (€HT)])+SUMIF(Invest[Affectation matrice],$AB$3,Invest[Amortissement HT + intérêts]))*BK36</f>
        <v>0</v>
      </c>
      <c r="K36" s="276">
        <f>(SUMIF(Fonctionnement[Affectation matrice],$AB$3,Fonctionnement[Montant (€HT)])+SUMIF(Invest[Affectation matrice],$AB$3,Invest[Amortissement HT + intérêts]))*BL36</f>
        <v>0</v>
      </c>
      <c r="L36" s="276">
        <f>(SUMIF(Fonctionnement[Affectation matrice],$AB$3,Fonctionnement[Montant (€HT)])+SUMIF(Invest[Affectation matrice],$AB$3,Invest[Amortissement HT + intérêts]))*BM36</f>
        <v>0</v>
      </c>
      <c r="M36" s="276">
        <f>(SUMIF(Fonctionnement[Affectation matrice],$AB$3,Fonctionnement[Montant (€HT)])+SUMIF(Invest[Affectation matrice],$AB$3,Invest[Amortissement HT + intérêts]))*BN36</f>
        <v>0</v>
      </c>
      <c r="N36" s="276">
        <f>(SUMIF(Fonctionnement[Affectation matrice],$AB$3,Fonctionnement[Montant (€HT)])+SUMIF(Invest[Affectation matrice],$AB$3,Invest[Amortissement HT + intérêts]))*BO36</f>
        <v>0</v>
      </c>
      <c r="O36" s="276">
        <f>(SUMIF(Fonctionnement[Affectation matrice],$AB$3,Fonctionnement[Montant (€HT)])+SUMIF(Invest[Affectation matrice],$AB$3,Invest[Amortissement HT + intérêts]))*BP36</f>
        <v>0</v>
      </c>
      <c r="P36" s="276">
        <f>(SUMIF(Fonctionnement[Affectation matrice],$AB$3,Fonctionnement[Montant (€HT)])+SUMIF(Invest[Affectation matrice],$AB$3,Invest[Amortissement HT + intérêts]))*BQ36</f>
        <v>0</v>
      </c>
      <c r="Q36" s="276">
        <f>(SUMIF(Fonctionnement[Affectation matrice],$AB$3,Fonctionnement[Montant (€HT)])+SUMIF(Invest[Affectation matrice],$AB$3,Invest[Amortissement HT + intérêts]))*BR36</f>
        <v>0</v>
      </c>
      <c r="R36" s="276">
        <f>(SUMIF(Fonctionnement[Affectation matrice],$AB$3,Fonctionnement[Montant (€HT)])+SUMIF(Invest[Affectation matrice],$AB$3,Invest[Amortissement HT + intérêts]))*BS36</f>
        <v>0</v>
      </c>
      <c r="S36" s="276">
        <f>(SUMIF(Fonctionnement[Affectation matrice],$AB$3,Fonctionnement[Montant (€HT)])+SUMIF(Invest[Affectation matrice],$AB$3,Invest[Amortissement HT + intérêts]))*BT36</f>
        <v>0</v>
      </c>
      <c r="T36" s="276">
        <f>(SUMIF(Fonctionnement[Affectation matrice],$AB$3,Fonctionnement[Montant (€HT)])+SUMIF(Invest[Affectation matrice],$AB$3,Invest[Amortissement HT + intérêts]))*BU36</f>
        <v>0</v>
      </c>
      <c r="U36" s="276">
        <f>(SUMIF(Fonctionnement[Affectation matrice],$AB$3,Fonctionnement[Montant (€HT)])+SUMIF(Invest[Affectation matrice],$AB$3,Invest[Amortissement HT + intérêts]))*BV36</f>
        <v>0</v>
      </c>
      <c r="V36" s="276">
        <f>(SUMIF(Fonctionnement[Affectation matrice],$AB$3,Fonctionnement[Montant (€HT)])+SUMIF(Invest[Affectation matrice],$AB$3,Invest[Amortissement HT + intérêts]))*BW36</f>
        <v>0</v>
      </c>
      <c r="W36" s="276">
        <f>(SUMIF(Fonctionnement[Affectation matrice],$AB$3,Fonctionnement[Montant (€HT)])+SUMIF(Invest[Affectation matrice],$AB$3,Invest[Amortissement HT + intérêts]))*BX36</f>
        <v>0</v>
      </c>
      <c r="X36" s="276">
        <f>(SUMIF(Fonctionnement[Affectation matrice],$AB$3,Fonctionnement[Montant (€HT)])+SUMIF(Invest[Affectation matrice],$AB$3,Invest[Amortissement HT + intérêts]))*BY36</f>
        <v>0</v>
      </c>
      <c r="Y36" s="276">
        <f>(SUMIF(Fonctionnement[Affectation matrice],$AB$3,Fonctionnement[Montant (€HT)])+SUMIF(Invest[Affectation matrice],$AB$3,Invest[Amortissement HT + intérêts]))*BZ36</f>
        <v>0</v>
      </c>
      <c r="Z36" s="276">
        <f>(SUMIF(Fonctionnement[Affectation matrice],$AB$3,Fonctionnement[Montant (€HT)])+SUMIF(Invest[Affectation matrice],$AB$3,Invest[Amortissement HT + intérêts]))*CA36</f>
        <v>0</v>
      </c>
      <c r="AA36" s="199"/>
      <c r="AB36" s="302" t="str">
        <f t="shared" si="82"/>
        <v/>
      </c>
      <c r="AC36" s="302" t="str">
        <f t="shared" si="82"/>
        <v/>
      </c>
      <c r="AD36" s="302" t="str">
        <f t="shared" si="82"/>
        <v/>
      </c>
      <c r="AE36" s="302" t="str">
        <f t="shared" si="82"/>
        <v/>
      </c>
      <c r="AF36" s="302" t="str">
        <f t="shared" si="82"/>
        <v/>
      </c>
      <c r="AG36" s="302" t="str">
        <f t="shared" si="82"/>
        <v/>
      </c>
      <c r="AH36" s="302" t="str">
        <f t="shared" si="82"/>
        <v/>
      </c>
      <c r="AI36" s="302" t="str">
        <f t="shared" si="82"/>
        <v/>
      </c>
      <c r="AJ36" s="302" t="str">
        <f t="shared" si="82"/>
        <v/>
      </c>
      <c r="AK36" s="302" t="str">
        <f t="shared" si="82"/>
        <v/>
      </c>
      <c r="AL36" s="302" t="str">
        <f t="shared" si="83"/>
        <v/>
      </c>
      <c r="AM36" s="302" t="str">
        <f t="shared" si="83"/>
        <v/>
      </c>
      <c r="AN36" s="302" t="str">
        <f t="shared" si="83"/>
        <v/>
      </c>
      <c r="AO36" s="302" t="str">
        <f t="shared" si="83"/>
        <v/>
      </c>
      <c r="AP36" s="302" t="str">
        <f t="shared" si="83"/>
        <v/>
      </c>
      <c r="AQ36" s="302" t="str">
        <f t="shared" si="83"/>
        <v/>
      </c>
      <c r="AR36" s="302" t="str">
        <f t="shared" si="83"/>
        <v/>
      </c>
      <c r="AS36" s="302" t="str">
        <f t="shared" si="83"/>
        <v/>
      </c>
      <c r="AT36" s="302" t="str">
        <f t="shared" si="83"/>
        <v/>
      </c>
      <c r="AU36" s="302" t="str">
        <f t="shared" si="83"/>
        <v/>
      </c>
      <c r="AV36" s="302" t="str">
        <f t="shared" si="83"/>
        <v/>
      </c>
      <c r="AW36" s="302" t="str">
        <f t="shared" si="83"/>
        <v/>
      </c>
      <c r="AX36" s="302" t="str">
        <f t="shared" si="83"/>
        <v/>
      </c>
      <c r="AY36" s="302" t="str">
        <f t="shared" si="83"/>
        <v/>
      </c>
      <c r="AZ36" s="302" t="str">
        <f t="shared" si="83"/>
        <v/>
      </c>
      <c r="BA36" s="283" t="str">
        <f t="shared" si="83"/>
        <v/>
      </c>
      <c r="BB36" s="7"/>
      <c r="BC36" s="61">
        <f t="shared" si="84"/>
        <v>0</v>
      </c>
      <c r="BD36" s="61">
        <f t="shared" si="84"/>
        <v>0</v>
      </c>
      <c r="BE36" s="61">
        <f t="shared" si="84"/>
        <v>0</v>
      </c>
      <c r="BF36" s="61">
        <f t="shared" si="84"/>
        <v>0</v>
      </c>
      <c r="BG36" s="61">
        <f t="shared" si="84"/>
        <v>0</v>
      </c>
      <c r="BH36" s="61">
        <f t="shared" si="84"/>
        <v>0</v>
      </c>
      <c r="BI36" s="61">
        <f t="shared" si="84"/>
        <v>0</v>
      </c>
      <c r="BJ36" s="61">
        <f t="shared" si="84"/>
        <v>0</v>
      </c>
      <c r="BK36" s="61">
        <f t="shared" si="84"/>
        <v>0</v>
      </c>
      <c r="BL36" s="61">
        <f t="shared" si="84"/>
        <v>0</v>
      </c>
      <c r="BM36" s="61">
        <f t="shared" si="85"/>
        <v>0</v>
      </c>
      <c r="BN36" s="61">
        <f t="shared" si="85"/>
        <v>0</v>
      </c>
      <c r="BO36" s="61">
        <f t="shared" si="85"/>
        <v>0</v>
      </c>
      <c r="BP36" s="61">
        <f t="shared" si="85"/>
        <v>0</v>
      </c>
      <c r="BQ36" s="61">
        <f t="shared" si="85"/>
        <v>0</v>
      </c>
      <c r="BR36" s="61">
        <f t="shared" si="85"/>
        <v>0</v>
      </c>
      <c r="BS36" s="61">
        <f t="shared" si="85"/>
        <v>0</v>
      </c>
      <c r="BT36" s="61">
        <f t="shared" si="85"/>
        <v>0</v>
      </c>
      <c r="BU36" s="61">
        <f t="shared" si="85"/>
        <v>0</v>
      </c>
      <c r="BV36" s="61">
        <f t="shared" si="85"/>
        <v>0</v>
      </c>
      <c r="BW36" s="61">
        <f t="shared" si="86"/>
        <v>0</v>
      </c>
      <c r="BX36" s="61">
        <f t="shared" si="86"/>
        <v>0</v>
      </c>
      <c r="BY36" s="61">
        <f t="shared" si="86"/>
        <v>0</v>
      </c>
      <c r="BZ36" s="61">
        <f t="shared" si="86"/>
        <v>0</v>
      </c>
      <c r="CA36" s="61">
        <f t="shared" si="86"/>
        <v>0</v>
      </c>
      <c r="CB36" s="61">
        <f t="shared" si="52"/>
        <v>0</v>
      </c>
      <c r="CD36" s="200">
        <f>(SUMIF(Fonctionnement[Affectation matrice],$AB$3,Fonctionnement[TVA acquittée])+SUMIF(Invest[Affectation matrice],$AB$3,Invest[TVA acquittée]))*BC36</f>
        <v>0</v>
      </c>
      <c r="CE36" s="200">
        <f>(SUMIF(Fonctionnement[Affectation matrice],$AB$3,Fonctionnement[TVA acquittée])+SUMIF(Invest[Affectation matrice],$AB$3,Invest[TVA acquittée]))*BD36</f>
        <v>0</v>
      </c>
      <c r="CF36" s="200">
        <f>(SUMIF(Fonctionnement[Affectation matrice],$AB$3,Fonctionnement[TVA acquittée])+SUMIF(Invest[Affectation matrice],$AB$3,Invest[TVA acquittée]))*BE36</f>
        <v>0</v>
      </c>
      <c r="CG36" s="200">
        <f>(SUMIF(Fonctionnement[Affectation matrice],$AB$3,Fonctionnement[TVA acquittée])+SUMIF(Invest[Affectation matrice],$AB$3,Invest[TVA acquittée]))*BF36</f>
        <v>0</v>
      </c>
      <c r="CH36" s="200">
        <f>(SUMIF(Fonctionnement[Affectation matrice],$AB$3,Fonctionnement[TVA acquittée])+SUMIF(Invest[Affectation matrice],$AB$3,Invest[TVA acquittée]))*BG36</f>
        <v>0</v>
      </c>
      <c r="CI36" s="200">
        <f>(SUMIF(Fonctionnement[Affectation matrice],$AB$3,Fonctionnement[TVA acquittée])+SUMIF(Invest[Affectation matrice],$AB$3,Invest[TVA acquittée]))*BH36</f>
        <v>0</v>
      </c>
      <c r="CJ36" s="200">
        <f>(SUMIF(Fonctionnement[Affectation matrice],$AB$3,Fonctionnement[TVA acquittée])+SUMIF(Invest[Affectation matrice],$AB$3,Invest[TVA acquittée]))*BI36</f>
        <v>0</v>
      </c>
      <c r="CK36" s="200">
        <f>(SUMIF(Fonctionnement[Affectation matrice],$AB$3,Fonctionnement[TVA acquittée])+SUMIF(Invest[Affectation matrice],$AB$3,Invest[TVA acquittée]))*BJ36</f>
        <v>0</v>
      </c>
      <c r="CL36" s="200">
        <f>(SUMIF(Fonctionnement[Affectation matrice],$AB$3,Fonctionnement[TVA acquittée])+SUMIF(Invest[Affectation matrice],$AB$3,Invest[TVA acquittée]))*BK36</f>
        <v>0</v>
      </c>
      <c r="CM36" s="200">
        <f>(SUMIF(Fonctionnement[Affectation matrice],$AB$3,Fonctionnement[TVA acquittée])+SUMIF(Invest[Affectation matrice],$AB$3,Invest[TVA acquittée]))*BL36</f>
        <v>0</v>
      </c>
      <c r="CN36" s="200">
        <f>(SUMIF(Fonctionnement[Affectation matrice],$AB$3,Fonctionnement[TVA acquittée])+SUMIF(Invest[Affectation matrice],$AB$3,Invest[TVA acquittée]))*BM36</f>
        <v>0</v>
      </c>
      <c r="CO36" s="200">
        <f>(SUMIF(Fonctionnement[Affectation matrice],$AB$3,Fonctionnement[TVA acquittée])+SUMIF(Invest[Affectation matrice],$AB$3,Invest[TVA acquittée]))*BN36</f>
        <v>0</v>
      </c>
      <c r="CP36" s="200">
        <f>(SUMIF(Fonctionnement[Affectation matrice],$AB$3,Fonctionnement[TVA acquittée])+SUMIF(Invest[Affectation matrice],$AB$3,Invest[TVA acquittée]))*BO36</f>
        <v>0</v>
      </c>
      <c r="CQ36" s="200">
        <f>(SUMIF(Fonctionnement[Affectation matrice],$AB$3,Fonctionnement[TVA acquittée])+SUMIF(Invest[Affectation matrice],$AB$3,Invest[TVA acquittée]))*BP36</f>
        <v>0</v>
      </c>
      <c r="CR36" s="200">
        <f>(SUMIF(Fonctionnement[Affectation matrice],$AB$3,Fonctionnement[TVA acquittée])+SUMIF(Invest[Affectation matrice],$AB$3,Invest[TVA acquittée]))*BQ36</f>
        <v>0</v>
      </c>
      <c r="CS36" s="200">
        <f>(SUMIF(Fonctionnement[Affectation matrice],$AB$3,Fonctionnement[TVA acquittée])+SUMIF(Invest[Affectation matrice],$AB$3,Invest[TVA acquittée]))*BR36</f>
        <v>0</v>
      </c>
      <c r="CT36" s="200">
        <f>(SUMIF(Fonctionnement[Affectation matrice],$AB$3,Fonctionnement[TVA acquittée])+SUMIF(Invest[Affectation matrice],$AB$3,Invest[TVA acquittée]))*BS36</f>
        <v>0</v>
      </c>
      <c r="CU36" s="200">
        <f>(SUMIF(Fonctionnement[Affectation matrice],$AB$3,Fonctionnement[TVA acquittée])+SUMIF(Invest[Affectation matrice],$AB$3,Invest[TVA acquittée]))*BT36</f>
        <v>0</v>
      </c>
      <c r="CV36" s="200">
        <f>(SUMIF(Fonctionnement[Affectation matrice],$AB$3,Fonctionnement[TVA acquittée])+SUMIF(Invest[Affectation matrice],$AB$3,Invest[TVA acquittée]))*BU36</f>
        <v>0</v>
      </c>
      <c r="CW36" s="200">
        <f>(SUMIF(Fonctionnement[Affectation matrice],$AB$3,Fonctionnement[TVA acquittée])+SUMIF(Invest[Affectation matrice],$AB$3,Invest[TVA acquittée]))*BV36</f>
        <v>0</v>
      </c>
      <c r="CX36" s="200">
        <f>(SUMIF(Fonctionnement[Affectation matrice],$AB$3,Fonctionnement[TVA acquittée])+SUMIF(Invest[Affectation matrice],$AB$3,Invest[TVA acquittée]))*BW36</f>
        <v>0</v>
      </c>
      <c r="CY36" s="200">
        <f>(SUMIF(Fonctionnement[Affectation matrice],$AB$3,Fonctionnement[TVA acquittée])+SUMIF(Invest[Affectation matrice],$AB$3,Invest[TVA acquittée]))*BX36</f>
        <v>0</v>
      </c>
      <c r="CZ36" s="200">
        <f>(SUMIF(Fonctionnement[Affectation matrice],$AB$3,Fonctionnement[TVA acquittée])+SUMIF(Invest[Affectation matrice],$AB$3,Invest[TVA acquittée]))*BY36</f>
        <v>0</v>
      </c>
      <c r="DA36" s="200">
        <f>(SUMIF(Fonctionnement[Affectation matrice],$AB$3,Fonctionnement[TVA acquittée])+SUMIF(Invest[Affectation matrice],$AB$3,Invest[TVA acquittée]))*BZ36</f>
        <v>0</v>
      </c>
      <c r="DB36" s="200">
        <f>(SUMIF(Fonctionnement[Affectation matrice],$AB$3,Fonctionnement[TVA acquittée])+SUMIF(Invest[Affectation matrice],$AB$3,Invest[TVA acquittée]))*CA36</f>
        <v>0</v>
      </c>
    </row>
    <row r="37" spans="1:106" s="22" customFormat="1" ht="12.75" hidden="1" customHeight="1" x14ac:dyDescent="0.25">
      <c r="A37" s="42" t="str">
        <f>Matrice[[#This Row],[Ligne de la matrice]]</f>
        <v>REOM</v>
      </c>
      <c r="B37" s="276">
        <f>(SUMIF(Fonctionnement[Affectation matrice],$AB$3,Fonctionnement[Montant (€HT)])+SUMIF(Invest[Affectation matrice],$AB$3,Invest[Amortissement HT + intérêts]))*BC37</f>
        <v>0</v>
      </c>
      <c r="C37" s="276">
        <f>(SUMIF(Fonctionnement[Affectation matrice],$AB$3,Fonctionnement[Montant (€HT)])+SUMIF(Invest[Affectation matrice],$AB$3,Invest[Amortissement HT + intérêts]))*BD37</f>
        <v>0</v>
      </c>
      <c r="D37" s="276">
        <f>(SUMIF(Fonctionnement[Affectation matrice],$AB$3,Fonctionnement[Montant (€HT)])+SUMIF(Invest[Affectation matrice],$AB$3,Invest[Amortissement HT + intérêts]))*BE37</f>
        <v>0</v>
      </c>
      <c r="E37" s="276">
        <f>(SUMIF(Fonctionnement[Affectation matrice],$AB$3,Fonctionnement[Montant (€HT)])+SUMIF(Invest[Affectation matrice],$AB$3,Invest[Amortissement HT + intérêts]))*BF37</f>
        <v>0</v>
      </c>
      <c r="F37" s="276">
        <f>(SUMIF(Fonctionnement[Affectation matrice],$AB$3,Fonctionnement[Montant (€HT)])+SUMIF(Invest[Affectation matrice],$AB$3,Invest[Amortissement HT + intérêts]))*BG37</f>
        <v>0</v>
      </c>
      <c r="G37" s="276">
        <f>(SUMIF(Fonctionnement[Affectation matrice],$AB$3,Fonctionnement[Montant (€HT)])+SUMIF(Invest[Affectation matrice],$AB$3,Invest[Amortissement HT + intérêts]))*BH37</f>
        <v>0</v>
      </c>
      <c r="H37" s="276">
        <f>(SUMIF(Fonctionnement[Affectation matrice],$AB$3,Fonctionnement[Montant (€HT)])+SUMIF(Invest[Affectation matrice],$AB$3,Invest[Amortissement HT + intérêts]))*BI37</f>
        <v>0</v>
      </c>
      <c r="I37" s="276">
        <f>(SUMIF(Fonctionnement[Affectation matrice],$AB$3,Fonctionnement[Montant (€HT)])+SUMIF(Invest[Affectation matrice],$AB$3,Invest[Amortissement HT + intérêts]))*BJ37</f>
        <v>0</v>
      </c>
      <c r="J37" s="276">
        <f>(SUMIF(Fonctionnement[Affectation matrice],$AB$3,Fonctionnement[Montant (€HT)])+SUMIF(Invest[Affectation matrice],$AB$3,Invest[Amortissement HT + intérêts]))*BK37</f>
        <v>0</v>
      </c>
      <c r="K37" s="276">
        <f>(SUMIF(Fonctionnement[Affectation matrice],$AB$3,Fonctionnement[Montant (€HT)])+SUMIF(Invest[Affectation matrice],$AB$3,Invest[Amortissement HT + intérêts]))*BL37</f>
        <v>0</v>
      </c>
      <c r="L37" s="276">
        <f>(SUMIF(Fonctionnement[Affectation matrice],$AB$3,Fonctionnement[Montant (€HT)])+SUMIF(Invest[Affectation matrice],$AB$3,Invest[Amortissement HT + intérêts]))*BM37</f>
        <v>0</v>
      </c>
      <c r="M37" s="276">
        <f>(SUMIF(Fonctionnement[Affectation matrice],$AB$3,Fonctionnement[Montant (€HT)])+SUMIF(Invest[Affectation matrice],$AB$3,Invest[Amortissement HT + intérêts]))*BN37</f>
        <v>0</v>
      </c>
      <c r="N37" s="276">
        <f>(SUMIF(Fonctionnement[Affectation matrice],$AB$3,Fonctionnement[Montant (€HT)])+SUMIF(Invest[Affectation matrice],$AB$3,Invest[Amortissement HT + intérêts]))*BO37</f>
        <v>0</v>
      </c>
      <c r="O37" s="276">
        <f>(SUMIF(Fonctionnement[Affectation matrice],$AB$3,Fonctionnement[Montant (€HT)])+SUMIF(Invest[Affectation matrice],$AB$3,Invest[Amortissement HT + intérêts]))*BP37</f>
        <v>0</v>
      </c>
      <c r="P37" s="276">
        <f>(SUMIF(Fonctionnement[Affectation matrice],$AB$3,Fonctionnement[Montant (€HT)])+SUMIF(Invest[Affectation matrice],$AB$3,Invest[Amortissement HT + intérêts]))*BQ37</f>
        <v>0</v>
      </c>
      <c r="Q37" s="276">
        <f>(SUMIF(Fonctionnement[Affectation matrice],$AB$3,Fonctionnement[Montant (€HT)])+SUMIF(Invest[Affectation matrice],$AB$3,Invest[Amortissement HT + intérêts]))*BR37</f>
        <v>0</v>
      </c>
      <c r="R37" s="276">
        <f>(SUMIF(Fonctionnement[Affectation matrice],$AB$3,Fonctionnement[Montant (€HT)])+SUMIF(Invest[Affectation matrice],$AB$3,Invest[Amortissement HT + intérêts]))*BS37</f>
        <v>0</v>
      </c>
      <c r="S37" s="276">
        <f>(SUMIF(Fonctionnement[Affectation matrice],$AB$3,Fonctionnement[Montant (€HT)])+SUMIF(Invest[Affectation matrice],$AB$3,Invest[Amortissement HT + intérêts]))*BT37</f>
        <v>0</v>
      </c>
      <c r="T37" s="276">
        <f>(SUMIF(Fonctionnement[Affectation matrice],$AB$3,Fonctionnement[Montant (€HT)])+SUMIF(Invest[Affectation matrice],$AB$3,Invest[Amortissement HT + intérêts]))*BU37</f>
        <v>0</v>
      </c>
      <c r="U37" s="276">
        <f>(SUMIF(Fonctionnement[Affectation matrice],$AB$3,Fonctionnement[Montant (€HT)])+SUMIF(Invest[Affectation matrice],$AB$3,Invest[Amortissement HT + intérêts]))*BV37</f>
        <v>0</v>
      </c>
      <c r="V37" s="276">
        <f>(SUMIF(Fonctionnement[Affectation matrice],$AB$3,Fonctionnement[Montant (€HT)])+SUMIF(Invest[Affectation matrice],$AB$3,Invest[Amortissement HT + intérêts]))*BW37</f>
        <v>0</v>
      </c>
      <c r="W37" s="276">
        <f>(SUMIF(Fonctionnement[Affectation matrice],$AB$3,Fonctionnement[Montant (€HT)])+SUMIF(Invest[Affectation matrice],$AB$3,Invest[Amortissement HT + intérêts]))*BX37</f>
        <v>0</v>
      </c>
      <c r="X37" s="276">
        <f>(SUMIF(Fonctionnement[Affectation matrice],$AB$3,Fonctionnement[Montant (€HT)])+SUMIF(Invest[Affectation matrice],$AB$3,Invest[Amortissement HT + intérêts]))*BY37</f>
        <v>0</v>
      </c>
      <c r="Y37" s="276">
        <f>(SUMIF(Fonctionnement[Affectation matrice],$AB$3,Fonctionnement[Montant (€HT)])+SUMIF(Invest[Affectation matrice],$AB$3,Invest[Amortissement HT + intérêts]))*BZ37</f>
        <v>0</v>
      </c>
      <c r="Z37" s="276">
        <f>(SUMIF(Fonctionnement[Affectation matrice],$AB$3,Fonctionnement[Montant (€HT)])+SUMIF(Invest[Affectation matrice],$AB$3,Invest[Amortissement HT + intérêts]))*CA37</f>
        <v>0</v>
      </c>
      <c r="AA37" s="199"/>
      <c r="AB37" s="302" t="str">
        <f t="shared" si="82"/>
        <v/>
      </c>
      <c r="AC37" s="302" t="str">
        <f t="shared" si="82"/>
        <v/>
      </c>
      <c r="AD37" s="302" t="str">
        <f t="shared" si="82"/>
        <v/>
      </c>
      <c r="AE37" s="302" t="str">
        <f t="shared" si="82"/>
        <v/>
      </c>
      <c r="AF37" s="302" t="str">
        <f t="shared" si="82"/>
        <v/>
      </c>
      <c r="AG37" s="302" t="str">
        <f t="shared" si="82"/>
        <v/>
      </c>
      <c r="AH37" s="302" t="str">
        <f t="shared" si="82"/>
        <v/>
      </c>
      <c r="AI37" s="302" t="str">
        <f t="shared" si="82"/>
        <v/>
      </c>
      <c r="AJ37" s="302" t="str">
        <f t="shared" si="82"/>
        <v/>
      </c>
      <c r="AK37" s="302" t="str">
        <f t="shared" si="82"/>
        <v/>
      </c>
      <c r="AL37" s="302" t="str">
        <f t="shared" si="83"/>
        <v/>
      </c>
      <c r="AM37" s="302" t="str">
        <f t="shared" si="83"/>
        <v/>
      </c>
      <c r="AN37" s="302" t="str">
        <f t="shared" si="83"/>
        <v/>
      </c>
      <c r="AO37" s="302" t="str">
        <f t="shared" si="83"/>
        <v/>
      </c>
      <c r="AP37" s="302" t="str">
        <f t="shared" si="83"/>
        <v/>
      </c>
      <c r="AQ37" s="302" t="str">
        <f t="shared" si="83"/>
        <v/>
      </c>
      <c r="AR37" s="302" t="str">
        <f t="shared" si="83"/>
        <v/>
      </c>
      <c r="AS37" s="302" t="str">
        <f t="shared" si="83"/>
        <v/>
      </c>
      <c r="AT37" s="302" t="str">
        <f t="shared" si="83"/>
        <v/>
      </c>
      <c r="AU37" s="302" t="str">
        <f t="shared" si="83"/>
        <v/>
      </c>
      <c r="AV37" s="302" t="str">
        <f t="shared" si="83"/>
        <v/>
      </c>
      <c r="AW37" s="302" t="str">
        <f t="shared" si="83"/>
        <v/>
      </c>
      <c r="AX37" s="302" t="str">
        <f t="shared" si="83"/>
        <v/>
      </c>
      <c r="AY37" s="302" t="str">
        <f t="shared" si="83"/>
        <v/>
      </c>
      <c r="AZ37" s="302" t="str">
        <f t="shared" si="83"/>
        <v/>
      </c>
      <c r="BA37" s="283" t="str">
        <f t="shared" si="83"/>
        <v/>
      </c>
      <c r="BB37" s="7"/>
      <c r="BC37" s="61">
        <f t="shared" si="84"/>
        <v>0</v>
      </c>
      <c r="BD37" s="61">
        <f t="shared" si="84"/>
        <v>0</v>
      </c>
      <c r="BE37" s="61">
        <f t="shared" si="84"/>
        <v>0</v>
      </c>
      <c r="BF37" s="61">
        <f t="shared" si="84"/>
        <v>0</v>
      </c>
      <c r="BG37" s="61">
        <f t="shared" si="84"/>
        <v>0</v>
      </c>
      <c r="BH37" s="61">
        <f t="shared" si="84"/>
        <v>0</v>
      </c>
      <c r="BI37" s="61">
        <f t="shared" si="84"/>
        <v>0</v>
      </c>
      <c r="BJ37" s="61">
        <f t="shared" si="84"/>
        <v>0</v>
      </c>
      <c r="BK37" s="61">
        <f t="shared" si="84"/>
        <v>0</v>
      </c>
      <c r="BL37" s="61">
        <f t="shared" si="84"/>
        <v>0</v>
      </c>
      <c r="BM37" s="61">
        <f t="shared" si="85"/>
        <v>0</v>
      </c>
      <c r="BN37" s="61">
        <f t="shared" si="85"/>
        <v>0</v>
      </c>
      <c r="BO37" s="61">
        <f t="shared" si="85"/>
        <v>0</v>
      </c>
      <c r="BP37" s="61">
        <f t="shared" si="85"/>
        <v>0</v>
      </c>
      <c r="BQ37" s="61">
        <f t="shared" si="85"/>
        <v>0</v>
      </c>
      <c r="BR37" s="61">
        <f t="shared" si="85"/>
        <v>0</v>
      </c>
      <c r="BS37" s="61">
        <f t="shared" si="85"/>
        <v>0</v>
      </c>
      <c r="BT37" s="61">
        <f t="shared" si="85"/>
        <v>0</v>
      </c>
      <c r="BU37" s="61">
        <f t="shared" si="85"/>
        <v>0</v>
      </c>
      <c r="BV37" s="61">
        <f t="shared" si="85"/>
        <v>0</v>
      </c>
      <c r="BW37" s="61">
        <f t="shared" si="86"/>
        <v>0</v>
      </c>
      <c r="BX37" s="61">
        <f t="shared" si="86"/>
        <v>0</v>
      </c>
      <c r="BY37" s="61">
        <f t="shared" si="86"/>
        <v>0</v>
      </c>
      <c r="BZ37" s="61">
        <f t="shared" si="86"/>
        <v>0</v>
      </c>
      <c r="CA37" s="61">
        <f t="shared" si="86"/>
        <v>0</v>
      </c>
      <c r="CB37" s="61">
        <f t="shared" si="52"/>
        <v>0</v>
      </c>
      <c r="CD37" s="200">
        <f>(SUMIF(Fonctionnement[Affectation matrice],$AB$3,Fonctionnement[TVA acquittée])+SUMIF(Invest[Affectation matrice],$AB$3,Invest[TVA acquittée]))*BC37</f>
        <v>0</v>
      </c>
      <c r="CE37" s="200">
        <f>(SUMIF(Fonctionnement[Affectation matrice],$AB$3,Fonctionnement[TVA acquittée])+SUMIF(Invest[Affectation matrice],$AB$3,Invest[TVA acquittée]))*BD37</f>
        <v>0</v>
      </c>
      <c r="CF37" s="200">
        <f>(SUMIF(Fonctionnement[Affectation matrice],$AB$3,Fonctionnement[TVA acquittée])+SUMIF(Invest[Affectation matrice],$AB$3,Invest[TVA acquittée]))*BE37</f>
        <v>0</v>
      </c>
      <c r="CG37" s="200">
        <f>(SUMIF(Fonctionnement[Affectation matrice],$AB$3,Fonctionnement[TVA acquittée])+SUMIF(Invest[Affectation matrice],$AB$3,Invest[TVA acquittée]))*BF37</f>
        <v>0</v>
      </c>
      <c r="CH37" s="200">
        <f>(SUMIF(Fonctionnement[Affectation matrice],$AB$3,Fonctionnement[TVA acquittée])+SUMIF(Invest[Affectation matrice],$AB$3,Invest[TVA acquittée]))*BG37</f>
        <v>0</v>
      </c>
      <c r="CI37" s="200">
        <f>(SUMIF(Fonctionnement[Affectation matrice],$AB$3,Fonctionnement[TVA acquittée])+SUMIF(Invest[Affectation matrice],$AB$3,Invest[TVA acquittée]))*BH37</f>
        <v>0</v>
      </c>
      <c r="CJ37" s="200">
        <f>(SUMIF(Fonctionnement[Affectation matrice],$AB$3,Fonctionnement[TVA acquittée])+SUMIF(Invest[Affectation matrice],$AB$3,Invest[TVA acquittée]))*BI37</f>
        <v>0</v>
      </c>
      <c r="CK37" s="200">
        <f>(SUMIF(Fonctionnement[Affectation matrice],$AB$3,Fonctionnement[TVA acquittée])+SUMIF(Invest[Affectation matrice],$AB$3,Invest[TVA acquittée]))*BJ37</f>
        <v>0</v>
      </c>
      <c r="CL37" s="200">
        <f>(SUMIF(Fonctionnement[Affectation matrice],$AB$3,Fonctionnement[TVA acquittée])+SUMIF(Invest[Affectation matrice],$AB$3,Invest[TVA acquittée]))*BK37</f>
        <v>0</v>
      </c>
      <c r="CM37" s="200">
        <f>(SUMIF(Fonctionnement[Affectation matrice],$AB$3,Fonctionnement[TVA acquittée])+SUMIF(Invest[Affectation matrice],$AB$3,Invest[TVA acquittée]))*BL37</f>
        <v>0</v>
      </c>
      <c r="CN37" s="200">
        <f>(SUMIF(Fonctionnement[Affectation matrice],$AB$3,Fonctionnement[TVA acquittée])+SUMIF(Invest[Affectation matrice],$AB$3,Invest[TVA acquittée]))*BM37</f>
        <v>0</v>
      </c>
      <c r="CO37" s="200">
        <f>(SUMIF(Fonctionnement[Affectation matrice],$AB$3,Fonctionnement[TVA acquittée])+SUMIF(Invest[Affectation matrice],$AB$3,Invest[TVA acquittée]))*BN37</f>
        <v>0</v>
      </c>
      <c r="CP37" s="200">
        <f>(SUMIF(Fonctionnement[Affectation matrice],$AB$3,Fonctionnement[TVA acquittée])+SUMIF(Invest[Affectation matrice],$AB$3,Invest[TVA acquittée]))*BO37</f>
        <v>0</v>
      </c>
      <c r="CQ37" s="200">
        <f>(SUMIF(Fonctionnement[Affectation matrice],$AB$3,Fonctionnement[TVA acquittée])+SUMIF(Invest[Affectation matrice],$AB$3,Invest[TVA acquittée]))*BP37</f>
        <v>0</v>
      </c>
      <c r="CR37" s="200">
        <f>(SUMIF(Fonctionnement[Affectation matrice],$AB$3,Fonctionnement[TVA acquittée])+SUMIF(Invest[Affectation matrice],$AB$3,Invest[TVA acquittée]))*BQ37</f>
        <v>0</v>
      </c>
      <c r="CS37" s="200">
        <f>(SUMIF(Fonctionnement[Affectation matrice],$AB$3,Fonctionnement[TVA acquittée])+SUMIF(Invest[Affectation matrice],$AB$3,Invest[TVA acquittée]))*BR37</f>
        <v>0</v>
      </c>
      <c r="CT37" s="200">
        <f>(SUMIF(Fonctionnement[Affectation matrice],$AB$3,Fonctionnement[TVA acquittée])+SUMIF(Invest[Affectation matrice],$AB$3,Invest[TVA acquittée]))*BS37</f>
        <v>0</v>
      </c>
      <c r="CU37" s="200">
        <f>(SUMIF(Fonctionnement[Affectation matrice],$AB$3,Fonctionnement[TVA acquittée])+SUMIF(Invest[Affectation matrice],$AB$3,Invest[TVA acquittée]))*BT37</f>
        <v>0</v>
      </c>
      <c r="CV37" s="200">
        <f>(SUMIF(Fonctionnement[Affectation matrice],$AB$3,Fonctionnement[TVA acquittée])+SUMIF(Invest[Affectation matrice],$AB$3,Invest[TVA acquittée]))*BU37</f>
        <v>0</v>
      </c>
      <c r="CW37" s="200">
        <f>(SUMIF(Fonctionnement[Affectation matrice],$AB$3,Fonctionnement[TVA acquittée])+SUMIF(Invest[Affectation matrice],$AB$3,Invest[TVA acquittée]))*BV37</f>
        <v>0</v>
      </c>
      <c r="CX37" s="200">
        <f>(SUMIF(Fonctionnement[Affectation matrice],$AB$3,Fonctionnement[TVA acquittée])+SUMIF(Invest[Affectation matrice],$AB$3,Invest[TVA acquittée]))*BW37</f>
        <v>0</v>
      </c>
      <c r="CY37" s="200">
        <f>(SUMIF(Fonctionnement[Affectation matrice],$AB$3,Fonctionnement[TVA acquittée])+SUMIF(Invest[Affectation matrice],$AB$3,Invest[TVA acquittée]))*BX37</f>
        <v>0</v>
      </c>
      <c r="CZ37" s="200">
        <f>(SUMIF(Fonctionnement[Affectation matrice],$AB$3,Fonctionnement[TVA acquittée])+SUMIF(Invest[Affectation matrice],$AB$3,Invest[TVA acquittée]))*BY37</f>
        <v>0</v>
      </c>
      <c r="DA37" s="200">
        <f>(SUMIF(Fonctionnement[Affectation matrice],$AB$3,Fonctionnement[TVA acquittée])+SUMIF(Invest[Affectation matrice],$AB$3,Invest[TVA acquittée]))*BZ37</f>
        <v>0</v>
      </c>
      <c r="DB37" s="200">
        <f>(SUMIF(Fonctionnement[Affectation matrice],$AB$3,Fonctionnement[TVA acquittée])+SUMIF(Invest[Affectation matrice],$AB$3,Invest[TVA acquittée]))*CA37</f>
        <v>0</v>
      </c>
    </row>
    <row r="38" spans="1:106" s="22" customFormat="1" ht="12.75" hidden="1" customHeight="1" x14ac:dyDescent="0.25">
      <c r="A38" s="42" t="str">
        <f>Matrice[[#This Row],[Ligne de la matrice]]</f>
        <v>Redevance spéciale et facturation à l'usager</v>
      </c>
      <c r="B38" s="276">
        <f>(SUMIF(Fonctionnement[Affectation matrice],$AB$3,Fonctionnement[Montant (€HT)])+SUMIF(Invest[Affectation matrice],$AB$3,Invest[Amortissement HT + intérêts]))*BC38</f>
        <v>0</v>
      </c>
      <c r="C38" s="276">
        <f>(SUMIF(Fonctionnement[Affectation matrice],$AB$3,Fonctionnement[Montant (€HT)])+SUMIF(Invest[Affectation matrice],$AB$3,Invest[Amortissement HT + intérêts]))*BD38</f>
        <v>0</v>
      </c>
      <c r="D38" s="276">
        <f>(SUMIF(Fonctionnement[Affectation matrice],$AB$3,Fonctionnement[Montant (€HT)])+SUMIF(Invest[Affectation matrice],$AB$3,Invest[Amortissement HT + intérêts]))*BE38</f>
        <v>0</v>
      </c>
      <c r="E38" s="276">
        <f>(SUMIF(Fonctionnement[Affectation matrice],$AB$3,Fonctionnement[Montant (€HT)])+SUMIF(Invest[Affectation matrice],$AB$3,Invest[Amortissement HT + intérêts]))*BF38</f>
        <v>0</v>
      </c>
      <c r="F38" s="276">
        <f>(SUMIF(Fonctionnement[Affectation matrice],$AB$3,Fonctionnement[Montant (€HT)])+SUMIF(Invest[Affectation matrice],$AB$3,Invest[Amortissement HT + intérêts]))*BG38</f>
        <v>0</v>
      </c>
      <c r="G38" s="276">
        <f>(SUMIF(Fonctionnement[Affectation matrice],$AB$3,Fonctionnement[Montant (€HT)])+SUMIF(Invest[Affectation matrice],$AB$3,Invest[Amortissement HT + intérêts]))*BH38</f>
        <v>0</v>
      </c>
      <c r="H38" s="276">
        <f>(SUMIF(Fonctionnement[Affectation matrice],$AB$3,Fonctionnement[Montant (€HT)])+SUMIF(Invest[Affectation matrice],$AB$3,Invest[Amortissement HT + intérêts]))*BI38</f>
        <v>0</v>
      </c>
      <c r="I38" s="276">
        <f>(SUMIF(Fonctionnement[Affectation matrice],$AB$3,Fonctionnement[Montant (€HT)])+SUMIF(Invest[Affectation matrice],$AB$3,Invest[Amortissement HT + intérêts]))*BJ38</f>
        <v>0</v>
      </c>
      <c r="J38" s="276">
        <f>(SUMIF(Fonctionnement[Affectation matrice],$AB$3,Fonctionnement[Montant (€HT)])+SUMIF(Invest[Affectation matrice],$AB$3,Invest[Amortissement HT + intérêts]))*BK38</f>
        <v>0</v>
      </c>
      <c r="K38" s="276">
        <f>(SUMIF(Fonctionnement[Affectation matrice],$AB$3,Fonctionnement[Montant (€HT)])+SUMIF(Invest[Affectation matrice],$AB$3,Invest[Amortissement HT + intérêts]))*BL38</f>
        <v>0</v>
      </c>
      <c r="L38" s="276">
        <f>(SUMIF(Fonctionnement[Affectation matrice],$AB$3,Fonctionnement[Montant (€HT)])+SUMIF(Invest[Affectation matrice],$AB$3,Invest[Amortissement HT + intérêts]))*BM38</f>
        <v>0</v>
      </c>
      <c r="M38" s="276">
        <f>(SUMIF(Fonctionnement[Affectation matrice],$AB$3,Fonctionnement[Montant (€HT)])+SUMIF(Invest[Affectation matrice],$AB$3,Invest[Amortissement HT + intérêts]))*BN38</f>
        <v>0</v>
      </c>
      <c r="N38" s="276">
        <f>(SUMIF(Fonctionnement[Affectation matrice],$AB$3,Fonctionnement[Montant (€HT)])+SUMIF(Invest[Affectation matrice],$AB$3,Invest[Amortissement HT + intérêts]))*BO38</f>
        <v>0</v>
      </c>
      <c r="O38" s="276">
        <f>(SUMIF(Fonctionnement[Affectation matrice],$AB$3,Fonctionnement[Montant (€HT)])+SUMIF(Invest[Affectation matrice],$AB$3,Invest[Amortissement HT + intérêts]))*BP38</f>
        <v>0</v>
      </c>
      <c r="P38" s="276">
        <f>(SUMIF(Fonctionnement[Affectation matrice],$AB$3,Fonctionnement[Montant (€HT)])+SUMIF(Invest[Affectation matrice],$AB$3,Invest[Amortissement HT + intérêts]))*BQ38</f>
        <v>0</v>
      </c>
      <c r="Q38" s="276">
        <f>(SUMIF(Fonctionnement[Affectation matrice],$AB$3,Fonctionnement[Montant (€HT)])+SUMIF(Invest[Affectation matrice],$AB$3,Invest[Amortissement HT + intérêts]))*BR38</f>
        <v>0</v>
      </c>
      <c r="R38" s="276">
        <f>(SUMIF(Fonctionnement[Affectation matrice],$AB$3,Fonctionnement[Montant (€HT)])+SUMIF(Invest[Affectation matrice],$AB$3,Invest[Amortissement HT + intérêts]))*BS38</f>
        <v>0</v>
      </c>
      <c r="S38" s="276">
        <f>(SUMIF(Fonctionnement[Affectation matrice],$AB$3,Fonctionnement[Montant (€HT)])+SUMIF(Invest[Affectation matrice],$AB$3,Invest[Amortissement HT + intérêts]))*BT38</f>
        <v>0</v>
      </c>
      <c r="T38" s="276">
        <f>(SUMIF(Fonctionnement[Affectation matrice],$AB$3,Fonctionnement[Montant (€HT)])+SUMIF(Invest[Affectation matrice],$AB$3,Invest[Amortissement HT + intérêts]))*BU38</f>
        <v>0</v>
      </c>
      <c r="U38" s="276">
        <f>(SUMIF(Fonctionnement[Affectation matrice],$AB$3,Fonctionnement[Montant (€HT)])+SUMIF(Invest[Affectation matrice],$AB$3,Invest[Amortissement HT + intérêts]))*BV38</f>
        <v>0</v>
      </c>
      <c r="V38" s="276">
        <f>(SUMIF(Fonctionnement[Affectation matrice],$AB$3,Fonctionnement[Montant (€HT)])+SUMIF(Invest[Affectation matrice],$AB$3,Invest[Amortissement HT + intérêts]))*BW38</f>
        <v>0</v>
      </c>
      <c r="W38" s="276">
        <f>(SUMIF(Fonctionnement[Affectation matrice],$AB$3,Fonctionnement[Montant (€HT)])+SUMIF(Invest[Affectation matrice],$AB$3,Invest[Amortissement HT + intérêts]))*BX38</f>
        <v>0</v>
      </c>
      <c r="X38" s="276">
        <f>(SUMIF(Fonctionnement[Affectation matrice],$AB$3,Fonctionnement[Montant (€HT)])+SUMIF(Invest[Affectation matrice],$AB$3,Invest[Amortissement HT + intérêts]))*BY38</f>
        <v>0</v>
      </c>
      <c r="Y38" s="276">
        <f>(SUMIF(Fonctionnement[Affectation matrice],$AB$3,Fonctionnement[Montant (€HT)])+SUMIF(Invest[Affectation matrice],$AB$3,Invest[Amortissement HT + intérêts]))*BZ38</f>
        <v>0</v>
      </c>
      <c r="Z38" s="276">
        <f>(SUMIF(Fonctionnement[Affectation matrice],$AB$3,Fonctionnement[Montant (€HT)])+SUMIF(Invest[Affectation matrice],$AB$3,Invest[Amortissement HT + intérêts]))*CA38</f>
        <v>0</v>
      </c>
      <c r="AA38" s="199"/>
      <c r="AB38" s="302" t="str">
        <f t="shared" si="82"/>
        <v/>
      </c>
      <c r="AC38" s="302" t="str">
        <f t="shared" si="82"/>
        <v/>
      </c>
      <c r="AD38" s="302" t="str">
        <f t="shared" si="82"/>
        <v/>
      </c>
      <c r="AE38" s="302" t="str">
        <f t="shared" si="82"/>
        <v/>
      </c>
      <c r="AF38" s="302" t="str">
        <f t="shared" si="82"/>
        <v/>
      </c>
      <c r="AG38" s="302" t="str">
        <f t="shared" si="82"/>
        <v/>
      </c>
      <c r="AH38" s="302" t="str">
        <f t="shared" si="82"/>
        <v/>
      </c>
      <c r="AI38" s="302" t="str">
        <f t="shared" si="82"/>
        <v/>
      </c>
      <c r="AJ38" s="302" t="str">
        <f t="shared" si="82"/>
        <v/>
      </c>
      <c r="AK38" s="302" t="str">
        <f t="shared" si="82"/>
        <v/>
      </c>
      <c r="AL38" s="302" t="str">
        <f t="shared" si="83"/>
        <v/>
      </c>
      <c r="AM38" s="302" t="str">
        <f t="shared" si="83"/>
        <v/>
      </c>
      <c r="AN38" s="302" t="str">
        <f t="shared" si="83"/>
        <v/>
      </c>
      <c r="AO38" s="302" t="str">
        <f t="shared" si="83"/>
        <v/>
      </c>
      <c r="AP38" s="302" t="str">
        <f t="shared" si="83"/>
        <v/>
      </c>
      <c r="AQ38" s="302" t="str">
        <f t="shared" si="83"/>
        <v/>
      </c>
      <c r="AR38" s="302" t="str">
        <f t="shared" si="83"/>
        <v/>
      </c>
      <c r="AS38" s="302" t="str">
        <f t="shared" si="83"/>
        <v/>
      </c>
      <c r="AT38" s="302" t="str">
        <f t="shared" si="83"/>
        <v/>
      </c>
      <c r="AU38" s="302" t="str">
        <f t="shared" si="83"/>
        <v/>
      </c>
      <c r="AV38" s="302" t="str">
        <f t="shared" si="83"/>
        <v/>
      </c>
      <c r="AW38" s="302" t="str">
        <f t="shared" si="83"/>
        <v/>
      </c>
      <c r="AX38" s="302" t="str">
        <f t="shared" si="83"/>
        <v/>
      </c>
      <c r="AY38" s="302" t="str">
        <f t="shared" si="83"/>
        <v/>
      </c>
      <c r="AZ38" s="302" t="str">
        <f t="shared" si="83"/>
        <v/>
      </c>
      <c r="BA38" s="283" t="str">
        <f t="shared" si="83"/>
        <v/>
      </c>
      <c r="BB38" s="7"/>
      <c r="BC38" s="61">
        <f t="shared" si="84"/>
        <v>0</v>
      </c>
      <c r="BD38" s="61">
        <f t="shared" si="84"/>
        <v>0</v>
      </c>
      <c r="BE38" s="61">
        <f t="shared" si="84"/>
        <v>0</v>
      </c>
      <c r="BF38" s="61">
        <f t="shared" si="84"/>
        <v>0</v>
      </c>
      <c r="BG38" s="61">
        <f t="shared" si="84"/>
        <v>0</v>
      </c>
      <c r="BH38" s="61">
        <f t="shared" si="84"/>
        <v>0</v>
      </c>
      <c r="BI38" s="61">
        <f t="shared" si="84"/>
        <v>0</v>
      </c>
      <c r="BJ38" s="61">
        <f t="shared" si="84"/>
        <v>0</v>
      </c>
      <c r="BK38" s="61">
        <f t="shared" si="84"/>
        <v>0</v>
      </c>
      <c r="BL38" s="61">
        <f t="shared" si="84"/>
        <v>0</v>
      </c>
      <c r="BM38" s="61">
        <f t="shared" si="85"/>
        <v>0</v>
      </c>
      <c r="BN38" s="61">
        <f t="shared" si="85"/>
        <v>0</v>
      </c>
      <c r="BO38" s="61">
        <f t="shared" si="85"/>
        <v>0</v>
      </c>
      <c r="BP38" s="61">
        <f t="shared" si="85"/>
        <v>0</v>
      </c>
      <c r="BQ38" s="61">
        <f t="shared" si="85"/>
        <v>0</v>
      </c>
      <c r="BR38" s="61">
        <f t="shared" si="85"/>
        <v>0</v>
      </c>
      <c r="BS38" s="61">
        <f t="shared" si="85"/>
        <v>0</v>
      </c>
      <c r="BT38" s="61">
        <f t="shared" si="85"/>
        <v>0</v>
      </c>
      <c r="BU38" s="61">
        <f t="shared" si="85"/>
        <v>0</v>
      </c>
      <c r="BV38" s="61">
        <f t="shared" si="85"/>
        <v>0</v>
      </c>
      <c r="BW38" s="61">
        <f t="shared" si="86"/>
        <v>0</v>
      </c>
      <c r="BX38" s="61">
        <f t="shared" si="86"/>
        <v>0</v>
      </c>
      <c r="BY38" s="61">
        <f t="shared" si="86"/>
        <v>0</v>
      </c>
      <c r="BZ38" s="61">
        <f t="shared" si="86"/>
        <v>0</v>
      </c>
      <c r="CA38" s="61">
        <f t="shared" si="86"/>
        <v>0</v>
      </c>
      <c r="CB38" s="61">
        <f t="shared" si="52"/>
        <v>0</v>
      </c>
      <c r="CD38" s="200">
        <f>(SUMIF(Fonctionnement[Affectation matrice],$AB$3,Fonctionnement[TVA acquittée])+SUMIF(Invest[Affectation matrice],$AB$3,Invest[TVA acquittée]))*BC38</f>
        <v>0</v>
      </c>
      <c r="CE38" s="200">
        <f>(SUMIF(Fonctionnement[Affectation matrice],$AB$3,Fonctionnement[TVA acquittée])+SUMIF(Invest[Affectation matrice],$AB$3,Invest[TVA acquittée]))*BD38</f>
        <v>0</v>
      </c>
      <c r="CF38" s="200">
        <f>(SUMIF(Fonctionnement[Affectation matrice],$AB$3,Fonctionnement[TVA acquittée])+SUMIF(Invest[Affectation matrice],$AB$3,Invest[TVA acquittée]))*BE38</f>
        <v>0</v>
      </c>
      <c r="CG38" s="200">
        <f>(SUMIF(Fonctionnement[Affectation matrice],$AB$3,Fonctionnement[TVA acquittée])+SUMIF(Invest[Affectation matrice],$AB$3,Invest[TVA acquittée]))*BF38</f>
        <v>0</v>
      </c>
      <c r="CH38" s="200">
        <f>(SUMIF(Fonctionnement[Affectation matrice],$AB$3,Fonctionnement[TVA acquittée])+SUMIF(Invest[Affectation matrice],$AB$3,Invest[TVA acquittée]))*BG38</f>
        <v>0</v>
      </c>
      <c r="CI38" s="200">
        <f>(SUMIF(Fonctionnement[Affectation matrice],$AB$3,Fonctionnement[TVA acquittée])+SUMIF(Invest[Affectation matrice],$AB$3,Invest[TVA acquittée]))*BH38</f>
        <v>0</v>
      </c>
      <c r="CJ38" s="200">
        <f>(SUMIF(Fonctionnement[Affectation matrice],$AB$3,Fonctionnement[TVA acquittée])+SUMIF(Invest[Affectation matrice],$AB$3,Invest[TVA acquittée]))*BI38</f>
        <v>0</v>
      </c>
      <c r="CK38" s="200">
        <f>(SUMIF(Fonctionnement[Affectation matrice],$AB$3,Fonctionnement[TVA acquittée])+SUMIF(Invest[Affectation matrice],$AB$3,Invest[TVA acquittée]))*BJ38</f>
        <v>0</v>
      </c>
      <c r="CL38" s="200">
        <f>(SUMIF(Fonctionnement[Affectation matrice],$AB$3,Fonctionnement[TVA acquittée])+SUMIF(Invest[Affectation matrice],$AB$3,Invest[TVA acquittée]))*BK38</f>
        <v>0</v>
      </c>
      <c r="CM38" s="200">
        <f>(SUMIF(Fonctionnement[Affectation matrice],$AB$3,Fonctionnement[TVA acquittée])+SUMIF(Invest[Affectation matrice],$AB$3,Invest[TVA acquittée]))*BL38</f>
        <v>0</v>
      </c>
      <c r="CN38" s="200">
        <f>(SUMIF(Fonctionnement[Affectation matrice],$AB$3,Fonctionnement[TVA acquittée])+SUMIF(Invest[Affectation matrice],$AB$3,Invest[TVA acquittée]))*BM38</f>
        <v>0</v>
      </c>
      <c r="CO38" s="200">
        <f>(SUMIF(Fonctionnement[Affectation matrice],$AB$3,Fonctionnement[TVA acquittée])+SUMIF(Invest[Affectation matrice],$AB$3,Invest[TVA acquittée]))*BN38</f>
        <v>0</v>
      </c>
      <c r="CP38" s="200">
        <f>(SUMIF(Fonctionnement[Affectation matrice],$AB$3,Fonctionnement[TVA acquittée])+SUMIF(Invest[Affectation matrice],$AB$3,Invest[TVA acquittée]))*BO38</f>
        <v>0</v>
      </c>
      <c r="CQ38" s="200">
        <f>(SUMIF(Fonctionnement[Affectation matrice],$AB$3,Fonctionnement[TVA acquittée])+SUMIF(Invest[Affectation matrice],$AB$3,Invest[TVA acquittée]))*BP38</f>
        <v>0</v>
      </c>
      <c r="CR38" s="200">
        <f>(SUMIF(Fonctionnement[Affectation matrice],$AB$3,Fonctionnement[TVA acquittée])+SUMIF(Invest[Affectation matrice],$AB$3,Invest[TVA acquittée]))*BQ38</f>
        <v>0</v>
      </c>
      <c r="CS38" s="200">
        <f>(SUMIF(Fonctionnement[Affectation matrice],$AB$3,Fonctionnement[TVA acquittée])+SUMIF(Invest[Affectation matrice],$AB$3,Invest[TVA acquittée]))*BR38</f>
        <v>0</v>
      </c>
      <c r="CT38" s="200">
        <f>(SUMIF(Fonctionnement[Affectation matrice],$AB$3,Fonctionnement[TVA acquittée])+SUMIF(Invest[Affectation matrice],$AB$3,Invest[TVA acquittée]))*BS38</f>
        <v>0</v>
      </c>
      <c r="CU38" s="200">
        <f>(SUMIF(Fonctionnement[Affectation matrice],$AB$3,Fonctionnement[TVA acquittée])+SUMIF(Invest[Affectation matrice],$AB$3,Invest[TVA acquittée]))*BT38</f>
        <v>0</v>
      </c>
      <c r="CV38" s="200">
        <f>(SUMIF(Fonctionnement[Affectation matrice],$AB$3,Fonctionnement[TVA acquittée])+SUMIF(Invest[Affectation matrice],$AB$3,Invest[TVA acquittée]))*BU38</f>
        <v>0</v>
      </c>
      <c r="CW38" s="200">
        <f>(SUMIF(Fonctionnement[Affectation matrice],$AB$3,Fonctionnement[TVA acquittée])+SUMIF(Invest[Affectation matrice],$AB$3,Invest[TVA acquittée]))*BV38</f>
        <v>0</v>
      </c>
      <c r="CX38" s="200">
        <f>(SUMIF(Fonctionnement[Affectation matrice],$AB$3,Fonctionnement[TVA acquittée])+SUMIF(Invest[Affectation matrice],$AB$3,Invest[TVA acquittée]))*BW38</f>
        <v>0</v>
      </c>
      <c r="CY38" s="200">
        <f>(SUMIF(Fonctionnement[Affectation matrice],$AB$3,Fonctionnement[TVA acquittée])+SUMIF(Invest[Affectation matrice],$AB$3,Invest[TVA acquittée]))*BX38</f>
        <v>0</v>
      </c>
      <c r="CZ38" s="200">
        <f>(SUMIF(Fonctionnement[Affectation matrice],$AB$3,Fonctionnement[TVA acquittée])+SUMIF(Invest[Affectation matrice],$AB$3,Invest[TVA acquittée]))*BY38</f>
        <v>0</v>
      </c>
      <c r="DA38" s="200">
        <f>(SUMIF(Fonctionnement[Affectation matrice],$AB$3,Fonctionnement[TVA acquittée])+SUMIF(Invest[Affectation matrice],$AB$3,Invest[TVA acquittée]))*BZ38</f>
        <v>0</v>
      </c>
      <c r="DB38" s="200">
        <f>(SUMIF(Fonctionnement[Affectation matrice],$AB$3,Fonctionnement[TVA acquittée])+SUMIF(Invest[Affectation matrice],$AB$3,Invest[TVA acquittée]))*CA38</f>
        <v>0</v>
      </c>
    </row>
    <row r="39" spans="1:106" s="22" customFormat="1" ht="12.75" hidden="1" customHeight="1" x14ac:dyDescent="0.25">
      <c r="A39" s="42" t="str">
        <f>Matrice[[#This Row],[Ligne de la matrice]]</f>
        <v>Redevance spéciale</v>
      </c>
      <c r="B39" s="276">
        <f>(SUMIF(Fonctionnement[Affectation matrice],$AB$3,Fonctionnement[Montant (€HT)])+SUMIF(Invest[Affectation matrice],$AB$3,Invest[Amortissement HT + intérêts]))*BC39</f>
        <v>0</v>
      </c>
      <c r="C39" s="276">
        <f>(SUMIF(Fonctionnement[Affectation matrice],$AB$3,Fonctionnement[Montant (€HT)])+SUMIF(Invest[Affectation matrice],$AB$3,Invest[Amortissement HT + intérêts]))*BD39</f>
        <v>0</v>
      </c>
      <c r="D39" s="276">
        <f>(SUMIF(Fonctionnement[Affectation matrice],$AB$3,Fonctionnement[Montant (€HT)])+SUMIF(Invest[Affectation matrice],$AB$3,Invest[Amortissement HT + intérêts]))*BE39</f>
        <v>0</v>
      </c>
      <c r="E39" s="276">
        <f>(SUMIF(Fonctionnement[Affectation matrice],$AB$3,Fonctionnement[Montant (€HT)])+SUMIF(Invest[Affectation matrice],$AB$3,Invest[Amortissement HT + intérêts]))*BF39</f>
        <v>0</v>
      </c>
      <c r="F39" s="276">
        <f>(SUMIF(Fonctionnement[Affectation matrice],$AB$3,Fonctionnement[Montant (€HT)])+SUMIF(Invest[Affectation matrice],$AB$3,Invest[Amortissement HT + intérêts]))*BG39</f>
        <v>0</v>
      </c>
      <c r="G39" s="276">
        <f>(SUMIF(Fonctionnement[Affectation matrice],$AB$3,Fonctionnement[Montant (€HT)])+SUMIF(Invest[Affectation matrice],$AB$3,Invest[Amortissement HT + intérêts]))*BH39</f>
        <v>0</v>
      </c>
      <c r="H39" s="276">
        <f>(SUMIF(Fonctionnement[Affectation matrice],$AB$3,Fonctionnement[Montant (€HT)])+SUMIF(Invest[Affectation matrice],$AB$3,Invest[Amortissement HT + intérêts]))*BI39</f>
        <v>0</v>
      </c>
      <c r="I39" s="276">
        <f>(SUMIF(Fonctionnement[Affectation matrice],$AB$3,Fonctionnement[Montant (€HT)])+SUMIF(Invest[Affectation matrice],$AB$3,Invest[Amortissement HT + intérêts]))*BJ39</f>
        <v>0</v>
      </c>
      <c r="J39" s="276">
        <f>(SUMIF(Fonctionnement[Affectation matrice],$AB$3,Fonctionnement[Montant (€HT)])+SUMIF(Invest[Affectation matrice],$AB$3,Invest[Amortissement HT + intérêts]))*BK39</f>
        <v>0</v>
      </c>
      <c r="K39" s="276">
        <f>(SUMIF(Fonctionnement[Affectation matrice],$AB$3,Fonctionnement[Montant (€HT)])+SUMIF(Invest[Affectation matrice],$AB$3,Invest[Amortissement HT + intérêts]))*BL39</f>
        <v>0</v>
      </c>
      <c r="L39" s="276">
        <f>(SUMIF(Fonctionnement[Affectation matrice],$AB$3,Fonctionnement[Montant (€HT)])+SUMIF(Invest[Affectation matrice],$AB$3,Invest[Amortissement HT + intérêts]))*BM39</f>
        <v>0</v>
      </c>
      <c r="M39" s="276">
        <f>(SUMIF(Fonctionnement[Affectation matrice],$AB$3,Fonctionnement[Montant (€HT)])+SUMIF(Invest[Affectation matrice],$AB$3,Invest[Amortissement HT + intérêts]))*BN39</f>
        <v>0</v>
      </c>
      <c r="N39" s="276">
        <f>(SUMIF(Fonctionnement[Affectation matrice],$AB$3,Fonctionnement[Montant (€HT)])+SUMIF(Invest[Affectation matrice],$AB$3,Invest[Amortissement HT + intérêts]))*BO39</f>
        <v>0</v>
      </c>
      <c r="O39" s="276">
        <f>(SUMIF(Fonctionnement[Affectation matrice],$AB$3,Fonctionnement[Montant (€HT)])+SUMIF(Invest[Affectation matrice],$AB$3,Invest[Amortissement HT + intérêts]))*BP39</f>
        <v>0</v>
      </c>
      <c r="P39" s="276">
        <f>(SUMIF(Fonctionnement[Affectation matrice],$AB$3,Fonctionnement[Montant (€HT)])+SUMIF(Invest[Affectation matrice],$AB$3,Invest[Amortissement HT + intérêts]))*BQ39</f>
        <v>0</v>
      </c>
      <c r="Q39" s="276">
        <f>(SUMIF(Fonctionnement[Affectation matrice],$AB$3,Fonctionnement[Montant (€HT)])+SUMIF(Invest[Affectation matrice],$AB$3,Invest[Amortissement HT + intérêts]))*BR39</f>
        <v>0</v>
      </c>
      <c r="R39" s="276">
        <f>(SUMIF(Fonctionnement[Affectation matrice],$AB$3,Fonctionnement[Montant (€HT)])+SUMIF(Invest[Affectation matrice],$AB$3,Invest[Amortissement HT + intérêts]))*BS39</f>
        <v>0</v>
      </c>
      <c r="S39" s="276">
        <f>(SUMIF(Fonctionnement[Affectation matrice],$AB$3,Fonctionnement[Montant (€HT)])+SUMIF(Invest[Affectation matrice],$AB$3,Invest[Amortissement HT + intérêts]))*BT39</f>
        <v>0</v>
      </c>
      <c r="T39" s="276">
        <f>(SUMIF(Fonctionnement[Affectation matrice],$AB$3,Fonctionnement[Montant (€HT)])+SUMIF(Invest[Affectation matrice],$AB$3,Invest[Amortissement HT + intérêts]))*BU39</f>
        <v>0</v>
      </c>
      <c r="U39" s="276">
        <f>(SUMIF(Fonctionnement[Affectation matrice],$AB$3,Fonctionnement[Montant (€HT)])+SUMIF(Invest[Affectation matrice],$AB$3,Invest[Amortissement HT + intérêts]))*BV39</f>
        <v>0</v>
      </c>
      <c r="V39" s="276">
        <f>(SUMIF(Fonctionnement[Affectation matrice],$AB$3,Fonctionnement[Montant (€HT)])+SUMIF(Invest[Affectation matrice],$AB$3,Invest[Amortissement HT + intérêts]))*BW39</f>
        <v>0</v>
      </c>
      <c r="W39" s="276">
        <f>(SUMIF(Fonctionnement[Affectation matrice],$AB$3,Fonctionnement[Montant (€HT)])+SUMIF(Invest[Affectation matrice],$AB$3,Invest[Amortissement HT + intérêts]))*BX39</f>
        <v>0</v>
      </c>
      <c r="X39" s="276">
        <f>(SUMIF(Fonctionnement[Affectation matrice],$AB$3,Fonctionnement[Montant (€HT)])+SUMIF(Invest[Affectation matrice],$AB$3,Invest[Amortissement HT + intérêts]))*BY39</f>
        <v>0</v>
      </c>
      <c r="Y39" s="276">
        <f>(SUMIF(Fonctionnement[Affectation matrice],$AB$3,Fonctionnement[Montant (€HT)])+SUMIF(Invest[Affectation matrice],$AB$3,Invest[Amortissement HT + intérêts]))*BZ39</f>
        <v>0</v>
      </c>
      <c r="Z39" s="276">
        <f>(SUMIF(Fonctionnement[Affectation matrice],$AB$3,Fonctionnement[Montant (€HT)])+SUMIF(Invest[Affectation matrice],$AB$3,Invest[Amortissement HT + intérêts]))*CA39</f>
        <v>0</v>
      </c>
      <c r="AA39" s="199"/>
      <c r="AB39" s="302" t="str">
        <f t="shared" si="82"/>
        <v/>
      </c>
      <c r="AC39" s="302" t="str">
        <f t="shared" si="82"/>
        <v/>
      </c>
      <c r="AD39" s="302" t="str">
        <f t="shared" si="82"/>
        <v/>
      </c>
      <c r="AE39" s="302" t="str">
        <f t="shared" si="82"/>
        <v/>
      </c>
      <c r="AF39" s="302" t="str">
        <f t="shared" si="82"/>
        <v/>
      </c>
      <c r="AG39" s="302" t="str">
        <f t="shared" si="82"/>
        <v/>
      </c>
      <c r="AH39" s="302" t="str">
        <f t="shared" si="82"/>
        <v/>
      </c>
      <c r="AI39" s="302" t="str">
        <f t="shared" si="82"/>
        <v/>
      </c>
      <c r="AJ39" s="302" t="str">
        <f t="shared" si="82"/>
        <v/>
      </c>
      <c r="AK39" s="302" t="str">
        <f t="shared" si="82"/>
        <v/>
      </c>
      <c r="AL39" s="302" t="str">
        <f t="shared" si="83"/>
        <v/>
      </c>
      <c r="AM39" s="302" t="str">
        <f t="shared" si="83"/>
        <v/>
      </c>
      <c r="AN39" s="302" t="str">
        <f t="shared" si="83"/>
        <v/>
      </c>
      <c r="AO39" s="302" t="str">
        <f t="shared" si="83"/>
        <v/>
      </c>
      <c r="AP39" s="302" t="str">
        <f t="shared" si="83"/>
        <v/>
      </c>
      <c r="AQ39" s="302" t="str">
        <f t="shared" si="83"/>
        <v/>
      </c>
      <c r="AR39" s="302" t="str">
        <f t="shared" si="83"/>
        <v/>
      </c>
      <c r="AS39" s="302" t="str">
        <f t="shared" si="83"/>
        <v/>
      </c>
      <c r="AT39" s="302" t="str">
        <f t="shared" si="83"/>
        <v/>
      </c>
      <c r="AU39" s="302" t="str">
        <f t="shared" si="83"/>
        <v/>
      </c>
      <c r="AV39" s="302" t="str">
        <f t="shared" si="83"/>
        <v/>
      </c>
      <c r="AW39" s="302" t="str">
        <f t="shared" si="83"/>
        <v/>
      </c>
      <c r="AX39" s="302" t="str">
        <f t="shared" si="83"/>
        <v/>
      </c>
      <c r="AY39" s="302" t="str">
        <f t="shared" si="83"/>
        <v/>
      </c>
      <c r="AZ39" s="302" t="str">
        <f t="shared" si="83"/>
        <v/>
      </c>
      <c r="BA39" s="283" t="str">
        <f t="shared" si="83"/>
        <v/>
      </c>
      <c r="BB39" s="7"/>
      <c r="BC39" s="61">
        <f t="shared" si="84"/>
        <v>0</v>
      </c>
      <c r="BD39" s="61">
        <f t="shared" si="84"/>
        <v>0</v>
      </c>
      <c r="BE39" s="61">
        <f t="shared" si="84"/>
        <v>0</v>
      </c>
      <c r="BF39" s="61">
        <f t="shared" si="84"/>
        <v>0</v>
      </c>
      <c r="BG39" s="61">
        <f t="shared" si="84"/>
        <v>0</v>
      </c>
      <c r="BH39" s="61">
        <f t="shared" si="84"/>
        <v>0</v>
      </c>
      <c r="BI39" s="61">
        <f t="shared" si="84"/>
        <v>0</v>
      </c>
      <c r="BJ39" s="61">
        <f t="shared" si="84"/>
        <v>0</v>
      </c>
      <c r="BK39" s="61">
        <f t="shared" si="84"/>
        <v>0</v>
      </c>
      <c r="BL39" s="61">
        <f t="shared" si="84"/>
        <v>0</v>
      </c>
      <c r="BM39" s="61">
        <f t="shared" si="85"/>
        <v>0</v>
      </c>
      <c r="BN39" s="61">
        <f t="shared" si="85"/>
        <v>0</v>
      </c>
      <c r="BO39" s="61">
        <f t="shared" si="85"/>
        <v>0</v>
      </c>
      <c r="BP39" s="61">
        <f t="shared" si="85"/>
        <v>0</v>
      </c>
      <c r="BQ39" s="61">
        <f t="shared" si="85"/>
        <v>0</v>
      </c>
      <c r="BR39" s="61">
        <f t="shared" si="85"/>
        <v>0</v>
      </c>
      <c r="BS39" s="61">
        <f t="shared" si="85"/>
        <v>0</v>
      </c>
      <c r="BT39" s="61">
        <f t="shared" si="85"/>
        <v>0</v>
      </c>
      <c r="BU39" s="61">
        <f t="shared" si="85"/>
        <v>0</v>
      </c>
      <c r="BV39" s="61">
        <f t="shared" si="85"/>
        <v>0</v>
      </c>
      <c r="BW39" s="61">
        <f t="shared" si="86"/>
        <v>0</v>
      </c>
      <c r="BX39" s="61">
        <f t="shared" si="86"/>
        <v>0</v>
      </c>
      <c r="BY39" s="61">
        <f t="shared" si="86"/>
        <v>0</v>
      </c>
      <c r="BZ39" s="61">
        <f t="shared" si="86"/>
        <v>0</v>
      </c>
      <c r="CA39" s="61">
        <f t="shared" si="86"/>
        <v>0</v>
      </c>
      <c r="CB39" s="61">
        <f t="shared" si="52"/>
        <v>0</v>
      </c>
      <c r="CD39" s="200">
        <f>(SUMIF(Fonctionnement[Affectation matrice],$AB$3,Fonctionnement[TVA acquittée])+SUMIF(Invest[Affectation matrice],$AB$3,Invest[TVA acquittée]))*BC39</f>
        <v>0</v>
      </c>
      <c r="CE39" s="200">
        <f>(SUMIF(Fonctionnement[Affectation matrice],$AB$3,Fonctionnement[TVA acquittée])+SUMIF(Invest[Affectation matrice],$AB$3,Invest[TVA acquittée]))*BD39</f>
        <v>0</v>
      </c>
      <c r="CF39" s="200">
        <f>(SUMIF(Fonctionnement[Affectation matrice],$AB$3,Fonctionnement[TVA acquittée])+SUMIF(Invest[Affectation matrice],$AB$3,Invest[TVA acquittée]))*BE39</f>
        <v>0</v>
      </c>
      <c r="CG39" s="200">
        <f>(SUMIF(Fonctionnement[Affectation matrice],$AB$3,Fonctionnement[TVA acquittée])+SUMIF(Invest[Affectation matrice],$AB$3,Invest[TVA acquittée]))*BF39</f>
        <v>0</v>
      </c>
      <c r="CH39" s="200">
        <f>(SUMIF(Fonctionnement[Affectation matrice],$AB$3,Fonctionnement[TVA acquittée])+SUMIF(Invest[Affectation matrice],$AB$3,Invest[TVA acquittée]))*BG39</f>
        <v>0</v>
      </c>
      <c r="CI39" s="200">
        <f>(SUMIF(Fonctionnement[Affectation matrice],$AB$3,Fonctionnement[TVA acquittée])+SUMIF(Invest[Affectation matrice],$AB$3,Invest[TVA acquittée]))*BH39</f>
        <v>0</v>
      </c>
      <c r="CJ39" s="200">
        <f>(SUMIF(Fonctionnement[Affectation matrice],$AB$3,Fonctionnement[TVA acquittée])+SUMIF(Invest[Affectation matrice],$AB$3,Invest[TVA acquittée]))*BI39</f>
        <v>0</v>
      </c>
      <c r="CK39" s="200">
        <f>(SUMIF(Fonctionnement[Affectation matrice],$AB$3,Fonctionnement[TVA acquittée])+SUMIF(Invest[Affectation matrice],$AB$3,Invest[TVA acquittée]))*BJ39</f>
        <v>0</v>
      </c>
      <c r="CL39" s="200">
        <f>(SUMIF(Fonctionnement[Affectation matrice],$AB$3,Fonctionnement[TVA acquittée])+SUMIF(Invest[Affectation matrice],$AB$3,Invest[TVA acquittée]))*BK39</f>
        <v>0</v>
      </c>
      <c r="CM39" s="200">
        <f>(SUMIF(Fonctionnement[Affectation matrice],$AB$3,Fonctionnement[TVA acquittée])+SUMIF(Invest[Affectation matrice],$AB$3,Invest[TVA acquittée]))*BL39</f>
        <v>0</v>
      </c>
      <c r="CN39" s="200">
        <f>(SUMIF(Fonctionnement[Affectation matrice],$AB$3,Fonctionnement[TVA acquittée])+SUMIF(Invest[Affectation matrice],$AB$3,Invest[TVA acquittée]))*BM39</f>
        <v>0</v>
      </c>
      <c r="CO39" s="200">
        <f>(SUMIF(Fonctionnement[Affectation matrice],$AB$3,Fonctionnement[TVA acquittée])+SUMIF(Invest[Affectation matrice],$AB$3,Invest[TVA acquittée]))*BN39</f>
        <v>0</v>
      </c>
      <c r="CP39" s="200">
        <f>(SUMIF(Fonctionnement[Affectation matrice],$AB$3,Fonctionnement[TVA acquittée])+SUMIF(Invest[Affectation matrice],$AB$3,Invest[TVA acquittée]))*BO39</f>
        <v>0</v>
      </c>
      <c r="CQ39" s="200">
        <f>(SUMIF(Fonctionnement[Affectation matrice],$AB$3,Fonctionnement[TVA acquittée])+SUMIF(Invest[Affectation matrice],$AB$3,Invest[TVA acquittée]))*BP39</f>
        <v>0</v>
      </c>
      <c r="CR39" s="200">
        <f>(SUMIF(Fonctionnement[Affectation matrice],$AB$3,Fonctionnement[TVA acquittée])+SUMIF(Invest[Affectation matrice],$AB$3,Invest[TVA acquittée]))*BQ39</f>
        <v>0</v>
      </c>
      <c r="CS39" s="200">
        <f>(SUMIF(Fonctionnement[Affectation matrice],$AB$3,Fonctionnement[TVA acquittée])+SUMIF(Invest[Affectation matrice],$AB$3,Invest[TVA acquittée]))*BR39</f>
        <v>0</v>
      </c>
      <c r="CT39" s="200">
        <f>(SUMIF(Fonctionnement[Affectation matrice],$AB$3,Fonctionnement[TVA acquittée])+SUMIF(Invest[Affectation matrice],$AB$3,Invest[TVA acquittée]))*BS39</f>
        <v>0</v>
      </c>
      <c r="CU39" s="200">
        <f>(SUMIF(Fonctionnement[Affectation matrice],$AB$3,Fonctionnement[TVA acquittée])+SUMIF(Invest[Affectation matrice],$AB$3,Invest[TVA acquittée]))*BT39</f>
        <v>0</v>
      </c>
      <c r="CV39" s="200">
        <f>(SUMIF(Fonctionnement[Affectation matrice],$AB$3,Fonctionnement[TVA acquittée])+SUMIF(Invest[Affectation matrice],$AB$3,Invest[TVA acquittée]))*BU39</f>
        <v>0</v>
      </c>
      <c r="CW39" s="200">
        <f>(SUMIF(Fonctionnement[Affectation matrice],$AB$3,Fonctionnement[TVA acquittée])+SUMIF(Invest[Affectation matrice],$AB$3,Invest[TVA acquittée]))*BV39</f>
        <v>0</v>
      </c>
      <c r="CX39" s="200">
        <f>(SUMIF(Fonctionnement[Affectation matrice],$AB$3,Fonctionnement[TVA acquittée])+SUMIF(Invest[Affectation matrice],$AB$3,Invest[TVA acquittée]))*BW39</f>
        <v>0</v>
      </c>
      <c r="CY39" s="200">
        <f>(SUMIF(Fonctionnement[Affectation matrice],$AB$3,Fonctionnement[TVA acquittée])+SUMIF(Invest[Affectation matrice],$AB$3,Invest[TVA acquittée]))*BX39</f>
        <v>0</v>
      </c>
      <c r="CZ39" s="200">
        <f>(SUMIF(Fonctionnement[Affectation matrice],$AB$3,Fonctionnement[TVA acquittée])+SUMIF(Invest[Affectation matrice],$AB$3,Invest[TVA acquittée]))*BY39</f>
        <v>0</v>
      </c>
      <c r="DA39" s="200">
        <f>(SUMIF(Fonctionnement[Affectation matrice],$AB$3,Fonctionnement[TVA acquittée])+SUMIF(Invest[Affectation matrice],$AB$3,Invest[TVA acquittée]))*BZ39</f>
        <v>0</v>
      </c>
      <c r="DB39" s="200">
        <f>(SUMIF(Fonctionnement[Affectation matrice],$AB$3,Fonctionnement[TVA acquittée])+SUMIF(Invest[Affectation matrice],$AB$3,Invest[TVA acquittée]))*CA39</f>
        <v>0</v>
      </c>
    </row>
    <row r="40" spans="1:106" s="22" customFormat="1" ht="12.75" hidden="1" customHeight="1" x14ac:dyDescent="0.25">
      <c r="A40" s="42" t="str">
        <f>Matrice[[#This Row],[Ligne de la matrice]]</f>
        <v>Facturation à l'usager</v>
      </c>
      <c r="B40" s="276">
        <f>(SUMIF(Fonctionnement[Affectation matrice],$AB$3,Fonctionnement[Montant (€HT)])+SUMIF(Invest[Affectation matrice],$AB$3,Invest[Amortissement HT + intérêts]))*BC40</f>
        <v>0</v>
      </c>
      <c r="C40" s="276">
        <f>(SUMIF(Fonctionnement[Affectation matrice],$AB$3,Fonctionnement[Montant (€HT)])+SUMIF(Invest[Affectation matrice],$AB$3,Invest[Amortissement HT + intérêts]))*BD40</f>
        <v>0</v>
      </c>
      <c r="D40" s="276">
        <f>(SUMIF(Fonctionnement[Affectation matrice],$AB$3,Fonctionnement[Montant (€HT)])+SUMIF(Invest[Affectation matrice],$AB$3,Invest[Amortissement HT + intérêts]))*BE40</f>
        <v>0</v>
      </c>
      <c r="E40" s="276">
        <f>(SUMIF(Fonctionnement[Affectation matrice],$AB$3,Fonctionnement[Montant (€HT)])+SUMIF(Invest[Affectation matrice],$AB$3,Invest[Amortissement HT + intérêts]))*BF40</f>
        <v>0</v>
      </c>
      <c r="F40" s="276">
        <f>(SUMIF(Fonctionnement[Affectation matrice],$AB$3,Fonctionnement[Montant (€HT)])+SUMIF(Invest[Affectation matrice],$AB$3,Invest[Amortissement HT + intérêts]))*BG40</f>
        <v>0</v>
      </c>
      <c r="G40" s="276">
        <f>(SUMIF(Fonctionnement[Affectation matrice],$AB$3,Fonctionnement[Montant (€HT)])+SUMIF(Invest[Affectation matrice],$AB$3,Invest[Amortissement HT + intérêts]))*BH40</f>
        <v>0</v>
      </c>
      <c r="H40" s="276">
        <f>(SUMIF(Fonctionnement[Affectation matrice],$AB$3,Fonctionnement[Montant (€HT)])+SUMIF(Invest[Affectation matrice],$AB$3,Invest[Amortissement HT + intérêts]))*BI40</f>
        <v>0</v>
      </c>
      <c r="I40" s="276">
        <f>(SUMIF(Fonctionnement[Affectation matrice],$AB$3,Fonctionnement[Montant (€HT)])+SUMIF(Invest[Affectation matrice],$AB$3,Invest[Amortissement HT + intérêts]))*BJ40</f>
        <v>0</v>
      </c>
      <c r="J40" s="276">
        <f>(SUMIF(Fonctionnement[Affectation matrice],$AB$3,Fonctionnement[Montant (€HT)])+SUMIF(Invest[Affectation matrice],$AB$3,Invest[Amortissement HT + intérêts]))*BK40</f>
        <v>0</v>
      </c>
      <c r="K40" s="276">
        <f>(SUMIF(Fonctionnement[Affectation matrice],$AB$3,Fonctionnement[Montant (€HT)])+SUMIF(Invest[Affectation matrice],$AB$3,Invest[Amortissement HT + intérêts]))*BL40</f>
        <v>0</v>
      </c>
      <c r="L40" s="276">
        <f>(SUMIF(Fonctionnement[Affectation matrice],$AB$3,Fonctionnement[Montant (€HT)])+SUMIF(Invest[Affectation matrice],$AB$3,Invest[Amortissement HT + intérêts]))*BM40</f>
        <v>0</v>
      </c>
      <c r="M40" s="276">
        <f>(SUMIF(Fonctionnement[Affectation matrice],$AB$3,Fonctionnement[Montant (€HT)])+SUMIF(Invest[Affectation matrice],$AB$3,Invest[Amortissement HT + intérêts]))*BN40</f>
        <v>0</v>
      </c>
      <c r="N40" s="276">
        <f>(SUMIF(Fonctionnement[Affectation matrice],$AB$3,Fonctionnement[Montant (€HT)])+SUMIF(Invest[Affectation matrice],$AB$3,Invest[Amortissement HT + intérêts]))*BO40</f>
        <v>0</v>
      </c>
      <c r="O40" s="276">
        <f>(SUMIF(Fonctionnement[Affectation matrice],$AB$3,Fonctionnement[Montant (€HT)])+SUMIF(Invest[Affectation matrice],$AB$3,Invest[Amortissement HT + intérêts]))*BP40</f>
        <v>0</v>
      </c>
      <c r="P40" s="276">
        <f>(SUMIF(Fonctionnement[Affectation matrice],$AB$3,Fonctionnement[Montant (€HT)])+SUMIF(Invest[Affectation matrice],$AB$3,Invest[Amortissement HT + intérêts]))*BQ40</f>
        <v>0</v>
      </c>
      <c r="Q40" s="276">
        <f>(SUMIF(Fonctionnement[Affectation matrice],$AB$3,Fonctionnement[Montant (€HT)])+SUMIF(Invest[Affectation matrice],$AB$3,Invest[Amortissement HT + intérêts]))*BR40</f>
        <v>0</v>
      </c>
      <c r="R40" s="276">
        <f>(SUMIF(Fonctionnement[Affectation matrice],$AB$3,Fonctionnement[Montant (€HT)])+SUMIF(Invest[Affectation matrice],$AB$3,Invest[Amortissement HT + intérêts]))*BS40</f>
        <v>0</v>
      </c>
      <c r="S40" s="276">
        <f>(SUMIF(Fonctionnement[Affectation matrice],$AB$3,Fonctionnement[Montant (€HT)])+SUMIF(Invest[Affectation matrice],$AB$3,Invest[Amortissement HT + intérêts]))*BT40</f>
        <v>0</v>
      </c>
      <c r="T40" s="276">
        <f>(SUMIF(Fonctionnement[Affectation matrice],$AB$3,Fonctionnement[Montant (€HT)])+SUMIF(Invest[Affectation matrice],$AB$3,Invest[Amortissement HT + intérêts]))*BU40</f>
        <v>0</v>
      </c>
      <c r="U40" s="276">
        <f>(SUMIF(Fonctionnement[Affectation matrice],$AB$3,Fonctionnement[Montant (€HT)])+SUMIF(Invest[Affectation matrice],$AB$3,Invest[Amortissement HT + intérêts]))*BV40</f>
        <v>0</v>
      </c>
      <c r="V40" s="276">
        <f>(SUMIF(Fonctionnement[Affectation matrice],$AB$3,Fonctionnement[Montant (€HT)])+SUMIF(Invest[Affectation matrice],$AB$3,Invest[Amortissement HT + intérêts]))*BW40</f>
        <v>0</v>
      </c>
      <c r="W40" s="276">
        <f>(SUMIF(Fonctionnement[Affectation matrice],$AB$3,Fonctionnement[Montant (€HT)])+SUMIF(Invest[Affectation matrice],$AB$3,Invest[Amortissement HT + intérêts]))*BX40</f>
        <v>0</v>
      </c>
      <c r="X40" s="276">
        <f>(SUMIF(Fonctionnement[Affectation matrice],$AB$3,Fonctionnement[Montant (€HT)])+SUMIF(Invest[Affectation matrice],$AB$3,Invest[Amortissement HT + intérêts]))*BY40</f>
        <v>0</v>
      </c>
      <c r="Y40" s="276">
        <f>(SUMIF(Fonctionnement[Affectation matrice],$AB$3,Fonctionnement[Montant (€HT)])+SUMIF(Invest[Affectation matrice],$AB$3,Invest[Amortissement HT + intérêts]))*BZ40</f>
        <v>0</v>
      </c>
      <c r="Z40" s="276">
        <f>(SUMIF(Fonctionnement[Affectation matrice],$AB$3,Fonctionnement[Montant (€HT)])+SUMIF(Invest[Affectation matrice],$AB$3,Invest[Amortissement HT + intérêts]))*CA40</f>
        <v>0</v>
      </c>
      <c r="AA40" s="199"/>
      <c r="AB40" s="302" t="str">
        <f t="shared" si="82"/>
        <v/>
      </c>
      <c r="AC40" s="302" t="str">
        <f t="shared" si="82"/>
        <v/>
      </c>
      <c r="AD40" s="302" t="str">
        <f t="shared" si="82"/>
        <v/>
      </c>
      <c r="AE40" s="302" t="str">
        <f t="shared" si="82"/>
        <v/>
      </c>
      <c r="AF40" s="302" t="str">
        <f t="shared" si="82"/>
        <v/>
      </c>
      <c r="AG40" s="302" t="str">
        <f t="shared" si="82"/>
        <v/>
      </c>
      <c r="AH40" s="302" t="str">
        <f t="shared" si="82"/>
        <v/>
      </c>
      <c r="AI40" s="302" t="str">
        <f t="shared" si="82"/>
        <v/>
      </c>
      <c r="AJ40" s="302" t="str">
        <f t="shared" si="82"/>
        <v/>
      </c>
      <c r="AK40" s="302" t="str">
        <f t="shared" si="82"/>
        <v/>
      </c>
      <c r="AL40" s="302" t="str">
        <f t="shared" si="83"/>
        <v/>
      </c>
      <c r="AM40" s="302" t="str">
        <f t="shared" si="83"/>
        <v/>
      </c>
      <c r="AN40" s="302" t="str">
        <f t="shared" si="83"/>
        <v/>
      </c>
      <c r="AO40" s="302" t="str">
        <f t="shared" si="83"/>
        <v/>
      </c>
      <c r="AP40" s="302" t="str">
        <f t="shared" si="83"/>
        <v/>
      </c>
      <c r="AQ40" s="302" t="str">
        <f t="shared" si="83"/>
        <v/>
      </c>
      <c r="AR40" s="302" t="str">
        <f t="shared" si="83"/>
        <v/>
      </c>
      <c r="AS40" s="302" t="str">
        <f t="shared" si="83"/>
        <v/>
      </c>
      <c r="AT40" s="302" t="str">
        <f t="shared" si="83"/>
        <v/>
      </c>
      <c r="AU40" s="302" t="str">
        <f t="shared" si="83"/>
        <v/>
      </c>
      <c r="AV40" s="302" t="str">
        <f t="shared" si="83"/>
        <v/>
      </c>
      <c r="AW40" s="302" t="str">
        <f t="shared" si="83"/>
        <v/>
      </c>
      <c r="AX40" s="302" t="str">
        <f t="shared" si="83"/>
        <v/>
      </c>
      <c r="AY40" s="302" t="str">
        <f t="shared" si="83"/>
        <v/>
      </c>
      <c r="AZ40" s="302" t="str">
        <f t="shared" si="83"/>
        <v/>
      </c>
      <c r="BA40" s="283" t="str">
        <f t="shared" si="83"/>
        <v/>
      </c>
      <c r="BB40" s="7"/>
      <c r="BC40" s="61">
        <f t="shared" si="84"/>
        <v>0</v>
      </c>
      <c r="BD40" s="61">
        <f t="shared" si="84"/>
        <v>0</v>
      </c>
      <c r="BE40" s="61">
        <f t="shared" si="84"/>
        <v>0</v>
      </c>
      <c r="BF40" s="61">
        <f t="shared" si="84"/>
        <v>0</v>
      </c>
      <c r="BG40" s="61">
        <f t="shared" si="84"/>
        <v>0</v>
      </c>
      <c r="BH40" s="61">
        <f t="shared" si="84"/>
        <v>0</v>
      </c>
      <c r="BI40" s="61">
        <f t="shared" si="84"/>
        <v>0</v>
      </c>
      <c r="BJ40" s="61">
        <f t="shared" si="84"/>
        <v>0</v>
      </c>
      <c r="BK40" s="61">
        <f t="shared" si="84"/>
        <v>0</v>
      </c>
      <c r="BL40" s="61">
        <f t="shared" si="84"/>
        <v>0</v>
      </c>
      <c r="BM40" s="61">
        <f t="shared" si="85"/>
        <v>0</v>
      </c>
      <c r="BN40" s="61">
        <f t="shared" si="85"/>
        <v>0</v>
      </c>
      <c r="BO40" s="61">
        <f t="shared" si="85"/>
        <v>0</v>
      </c>
      <c r="BP40" s="61">
        <f t="shared" si="85"/>
        <v>0</v>
      </c>
      <c r="BQ40" s="61">
        <f t="shared" si="85"/>
        <v>0</v>
      </c>
      <c r="BR40" s="61">
        <f t="shared" si="85"/>
        <v>0</v>
      </c>
      <c r="BS40" s="61">
        <f t="shared" si="85"/>
        <v>0</v>
      </c>
      <c r="BT40" s="61">
        <f t="shared" si="85"/>
        <v>0</v>
      </c>
      <c r="BU40" s="61">
        <f t="shared" si="85"/>
        <v>0</v>
      </c>
      <c r="BV40" s="61">
        <f t="shared" si="85"/>
        <v>0</v>
      </c>
      <c r="BW40" s="61">
        <f t="shared" si="86"/>
        <v>0</v>
      </c>
      <c r="BX40" s="61">
        <f t="shared" si="86"/>
        <v>0</v>
      </c>
      <c r="BY40" s="61">
        <f t="shared" si="86"/>
        <v>0</v>
      </c>
      <c r="BZ40" s="61">
        <f t="shared" si="86"/>
        <v>0</v>
      </c>
      <c r="CA40" s="61">
        <f t="shared" si="86"/>
        <v>0</v>
      </c>
      <c r="CB40" s="61">
        <f t="shared" si="52"/>
        <v>0</v>
      </c>
      <c r="CD40" s="200">
        <f>(SUMIF(Fonctionnement[Affectation matrice],$AB$3,Fonctionnement[TVA acquittée])+SUMIF(Invest[Affectation matrice],$AB$3,Invest[TVA acquittée]))*BC40</f>
        <v>0</v>
      </c>
      <c r="CE40" s="200">
        <f>(SUMIF(Fonctionnement[Affectation matrice],$AB$3,Fonctionnement[TVA acquittée])+SUMIF(Invest[Affectation matrice],$AB$3,Invest[TVA acquittée]))*BD40</f>
        <v>0</v>
      </c>
      <c r="CF40" s="200">
        <f>(SUMIF(Fonctionnement[Affectation matrice],$AB$3,Fonctionnement[TVA acquittée])+SUMIF(Invest[Affectation matrice],$AB$3,Invest[TVA acquittée]))*BE40</f>
        <v>0</v>
      </c>
      <c r="CG40" s="200">
        <f>(SUMIF(Fonctionnement[Affectation matrice],$AB$3,Fonctionnement[TVA acquittée])+SUMIF(Invest[Affectation matrice],$AB$3,Invest[TVA acquittée]))*BF40</f>
        <v>0</v>
      </c>
      <c r="CH40" s="200">
        <f>(SUMIF(Fonctionnement[Affectation matrice],$AB$3,Fonctionnement[TVA acquittée])+SUMIF(Invest[Affectation matrice],$AB$3,Invest[TVA acquittée]))*BG40</f>
        <v>0</v>
      </c>
      <c r="CI40" s="200">
        <f>(SUMIF(Fonctionnement[Affectation matrice],$AB$3,Fonctionnement[TVA acquittée])+SUMIF(Invest[Affectation matrice],$AB$3,Invest[TVA acquittée]))*BH40</f>
        <v>0</v>
      </c>
      <c r="CJ40" s="200">
        <f>(SUMIF(Fonctionnement[Affectation matrice],$AB$3,Fonctionnement[TVA acquittée])+SUMIF(Invest[Affectation matrice],$AB$3,Invest[TVA acquittée]))*BI40</f>
        <v>0</v>
      </c>
      <c r="CK40" s="200">
        <f>(SUMIF(Fonctionnement[Affectation matrice],$AB$3,Fonctionnement[TVA acquittée])+SUMIF(Invest[Affectation matrice],$AB$3,Invest[TVA acquittée]))*BJ40</f>
        <v>0</v>
      </c>
      <c r="CL40" s="200">
        <f>(SUMIF(Fonctionnement[Affectation matrice],$AB$3,Fonctionnement[TVA acquittée])+SUMIF(Invest[Affectation matrice],$AB$3,Invest[TVA acquittée]))*BK40</f>
        <v>0</v>
      </c>
      <c r="CM40" s="200">
        <f>(SUMIF(Fonctionnement[Affectation matrice],$AB$3,Fonctionnement[TVA acquittée])+SUMIF(Invest[Affectation matrice],$AB$3,Invest[TVA acquittée]))*BL40</f>
        <v>0</v>
      </c>
      <c r="CN40" s="200">
        <f>(SUMIF(Fonctionnement[Affectation matrice],$AB$3,Fonctionnement[TVA acquittée])+SUMIF(Invest[Affectation matrice],$AB$3,Invest[TVA acquittée]))*BM40</f>
        <v>0</v>
      </c>
      <c r="CO40" s="200">
        <f>(SUMIF(Fonctionnement[Affectation matrice],$AB$3,Fonctionnement[TVA acquittée])+SUMIF(Invest[Affectation matrice],$AB$3,Invest[TVA acquittée]))*BN40</f>
        <v>0</v>
      </c>
      <c r="CP40" s="200">
        <f>(SUMIF(Fonctionnement[Affectation matrice],$AB$3,Fonctionnement[TVA acquittée])+SUMIF(Invest[Affectation matrice],$AB$3,Invest[TVA acquittée]))*BO40</f>
        <v>0</v>
      </c>
      <c r="CQ40" s="200">
        <f>(SUMIF(Fonctionnement[Affectation matrice],$AB$3,Fonctionnement[TVA acquittée])+SUMIF(Invest[Affectation matrice],$AB$3,Invest[TVA acquittée]))*BP40</f>
        <v>0</v>
      </c>
      <c r="CR40" s="200">
        <f>(SUMIF(Fonctionnement[Affectation matrice],$AB$3,Fonctionnement[TVA acquittée])+SUMIF(Invest[Affectation matrice],$AB$3,Invest[TVA acquittée]))*BQ40</f>
        <v>0</v>
      </c>
      <c r="CS40" s="200">
        <f>(SUMIF(Fonctionnement[Affectation matrice],$AB$3,Fonctionnement[TVA acquittée])+SUMIF(Invest[Affectation matrice],$AB$3,Invest[TVA acquittée]))*BR40</f>
        <v>0</v>
      </c>
      <c r="CT40" s="200">
        <f>(SUMIF(Fonctionnement[Affectation matrice],$AB$3,Fonctionnement[TVA acquittée])+SUMIF(Invest[Affectation matrice],$AB$3,Invest[TVA acquittée]))*BS40</f>
        <v>0</v>
      </c>
      <c r="CU40" s="200">
        <f>(SUMIF(Fonctionnement[Affectation matrice],$AB$3,Fonctionnement[TVA acquittée])+SUMIF(Invest[Affectation matrice],$AB$3,Invest[TVA acquittée]))*BT40</f>
        <v>0</v>
      </c>
      <c r="CV40" s="200">
        <f>(SUMIF(Fonctionnement[Affectation matrice],$AB$3,Fonctionnement[TVA acquittée])+SUMIF(Invest[Affectation matrice],$AB$3,Invest[TVA acquittée]))*BU40</f>
        <v>0</v>
      </c>
      <c r="CW40" s="200">
        <f>(SUMIF(Fonctionnement[Affectation matrice],$AB$3,Fonctionnement[TVA acquittée])+SUMIF(Invest[Affectation matrice],$AB$3,Invest[TVA acquittée]))*BV40</f>
        <v>0</v>
      </c>
      <c r="CX40" s="200">
        <f>(SUMIF(Fonctionnement[Affectation matrice],$AB$3,Fonctionnement[TVA acquittée])+SUMIF(Invest[Affectation matrice],$AB$3,Invest[TVA acquittée]))*BW40</f>
        <v>0</v>
      </c>
      <c r="CY40" s="200">
        <f>(SUMIF(Fonctionnement[Affectation matrice],$AB$3,Fonctionnement[TVA acquittée])+SUMIF(Invest[Affectation matrice],$AB$3,Invest[TVA acquittée]))*BX40</f>
        <v>0</v>
      </c>
      <c r="CZ40" s="200">
        <f>(SUMIF(Fonctionnement[Affectation matrice],$AB$3,Fonctionnement[TVA acquittée])+SUMIF(Invest[Affectation matrice],$AB$3,Invest[TVA acquittée]))*BY40</f>
        <v>0</v>
      </c>
      <c r="DA40" s="200">
        <f>(SUMIF(Fonctionnement[Affectation matrice],$AB$3,Fonctionnement[TVA acquittée])+SUMIF(Invest[Affectation matrice],$AB$3,Invest[TVA acquittée]))*BZ40</f>
        <v>0</v>
      </c>
      <c r="DB40" s="200">
        <f>(SUMIF(Fonctionnement[Affectation matrice],$AB$3,Fonctionnement[TVA acquittée])+SUMIF(Invest[Affectation matrice],$AB$3,Invest[TVA acquittée]))*CA40</f>
        <v>0</v>
      </c>
    </row>
    <row r="41" spans="1:106" s="22" customFormat="1" ht="12.75" hidden="1" customHeight="1" x14ac:dyDescent="0.25">
      <c r="A41" s="42" t="str">
        <f>Matrice[[#This Row],[Ligne de la matrice]]</f>
        <v>Contribution des collectivités</v>
      </c>
      <c r="B41" s="276">
        <f>(SUMIF(Fonctionnement[Affectation matrice],$AB$3,Fonctionnement[Montant (€HT)])+SUMIF(Invest[Affectation matrice],$AB$3,Invest[Amortissement HT + intérêts]))*BC41</f>
        <v>0</v>
      </c>
      <c r="C41" s="276">
        <f>(SUMIF(Fonctionnement[Affectation matrice],$AB$3,Fonctionnement[Montant (€HT)])+SUMIF(Invest[Affectation matrice],$AB$3,Invest[Amortissement HT + intérêts]))*BD41</f>
        <v>0</v>
      </c>
      <c r="D41" s="276">
        <f>(SUMIF(Fonctionnement[Affectation matrice],$AB$3,Fonctionnement[Montant (€HT)])+SUMIF(Invest[Affectation matrice],$AB$3,Invest[Amortissement HT + intérêts]))*BE41</f>
        <v>0</v>
      </c>
      <c r="E41" s="276">
        <f>(SUMIF(Fonctionnement[Affectation matrice],$AB$3,Fonctionnement[Montant (€HT)])+SUMIF(Invest[Affectation matrice],$AB$3,Invest[Amortissement HT + intérêts]))*BF41</f>
        <v>0</v>
      </c>
      <c r="F41" s="276">
        <f>(SUMIF(Fonctionnement[Affectation matrice],$AB$3,Fonctionnement[Montant (€HT)])+SUMIF(Invest[Affectation matrice],$AB$3,Invest[Amortissement HT + intérêts]))*BG41</f>
        <v>0</v>
      </c>
      <c r="G41" s="276">
        <f>(SUMIF(Fonctionnement[Affectation matrice],$AB$3,Fonctionnement[Montant (€HT)])+SUMIF(Invest[Affectation matrice],$AB$3,Invest[Amortissement HT + intérêts]))*BH41</f>
        <v>0</v>
      </c>
      <c r="H41" s="276">
        <f>(SUMIF(Fonctionnement[Affectation matrice],$AB$3,Fonctionnement[Montant (€HT)])+SUMIF(Invest[Affectation matrice],$AB$3,Invest[Amortissement HT + intérêts]))*BI41</f>
        <v>0</v>
      </c>
      <c r="I41" s="276">
        <f>(SUMIF(Fonctionnement[Affectation matrice],$AB$3,Fonctionnement[Montant (€HT)])+SUMIF(Invest[Affectation matrice],$AB$3,Invest[Amortissement HT + intérêts]))*BJ41</f>
        <v>0</v>
      </c>
      <c r="J41" s="276">
        <f>(SUMIF(Fonctionnement[Affectation matrice],$AB$3,Fonctionnement[Montant (€HT)])+SUMIF(Invest[Affectation matrice],$AB$3,Invest[Amortissement HT + intérêts]))*BK41</f>
        <v>0</v>
      </c>
      <c r="K41" s="276">
        <f>(SUMIF(Fonctionnement[Affectation matrice],$AB$3,Fonctionnement[Montant (€HT)])+SUMIF(Invest[Affectation matrice],$AB$3,Invest[Amortissement HT + intérêts]))*BL41</f>
        <v>0</v>
      </c>
      <c r="L41" s="276">
        <f>(SUMIF(Fonctionnement[Affectation matrice],$AB$3,Fonctionnement[Montant (€HT)])+SUMIF(Invest[Affectation matrice],$AB$3,Invest[Amortissement HT + intérêts]))*BM41</f>
        <v>0</v>
      </c>
      <c r="M41" s="276">
        <f>(SUMIF(Fonctionnement[Affectation matrice],$AB$3,Fonctionnement[Montant (€HT)])+SUMIF(Invest[Affectation matrice],$AB$3,Invest[Amortissement HT + intérêts]))*BN41</f>
        <v>0</v>
      </c>
      <c r="N41" s="276">
        <f>(SUMIF(Fonctionnement[Affectation matrice],$AB$3,Fonctionnement[Montant (€HT)])+SUMIF(Invest[Affectation matrice],$AB$3,Invest[Amortissement HT + intérêts]))*BO41</f>
        <v>0</v>
      </c>
      <c r="O41" s="276">
        <f>(SUMIF(Fonctionnement[Affectation matrice],$AB$3,Fonctionnement[Montant (€HT)])+SUMIF(Invest[Affectation matrice],$AB$3,Invest[Amortissement HT + intérêts]))*BP41</f>
        <v>0</v>
      </c>
      <c r="P41" s="276">
        <f>(SUMIF(Fonctionnement[Affectation matrice],$AB$3,Fonctionnement[Montant (€HT)])+SUMIF(Invest[Affectation matrice],$AB$3,Invest[Amortissement HT + intérêts]))*BQ41</f>
        <v>0</v>
      </c>
      <c r="Q41" s="276">
        <f>(SUMIF(Fonctionnement[Affectation matrice],$AB$3,Fonctionnement[Montant (€HT)])+SUMIF(Invest[Affectation matrice],$AB$3,Invest[Amortissement HT + intérêts]))*BR41</f>
        <v>0</v>
      </c>
      <c r="R41" s="276">
        <f>(SUMIF(Fonctionnement[Affectation matrice],$AB$3,Fonctionnement[Montant (€HT)])+SUMIF(Invest[Affectation matrice],$AB$3,Invest[Amortissement HT + intérêts]))*BS41</f>
        <v>0</v>
      </c>
      <c r="S41" s="276">
        <f>(SUMIF(Fonctionnement[Affectation matrice],$AB$3,Fonctionnement[Montant (€HT)])+SUMIF(Invest[Affectation matrice],$AB$3,Invest[Amortissement HT + intérêts]))*BT41</f>
        <v>0</v>
      </c>
      <c r="T41" s="276">
        <f>(SUMIF(Fonctionnement[Affectation matrice],$AB$3,Fonctionnement[Montant (€HT)])+SUMIF(Invest[Affectation matrice],$AB$3,Invest[Amortissement HT + intérêts]))*BU41</f>
        <v>0</v>
      </c>
      <c r="U41" s="276">
        <f>(SUMIF(Fonctionnement[Affectation matrice],$AB$3,Fonctionnement[Montant (€HT)])+SUMIF(Invest[Affectation matrice],$AB$3,Invest[Amortissement HT + intérêts]))*BV41</f>
        <v>0</v>
      </c>
      <c r="V41" s="276">
        <f>(SUMIF(Fonctionnement[Affectation matrice],$AB$3,Fonctionnement[Montant (€HT)])+SUMIF(Invest[Affectation matrice],$AB$3,Invest[Amortissement HT + intérêts]))*BW41</f>
        <v>0</v>
      </c>
      <c r="W41" s="276">
        <f>(SUMIF(Fonctionnement[Affectation matrice],$AB$3,Fonctionnement[Montant (€HT)])+SUMIF(Invest[Affectation matrice],$AB$3,Invest[Amortissement HT + intérêts]))*BX41</f>
        <v>0</v>
      </c>
      <c r="X41" s="276">
        <f>(SUMIF(Fonctionnement[Affectation matrice],$AB$3,Fonctionnement[Montant (€HT)])+SUMIF(Invest[Affectation matrice],$AB$3,Invest[Amortissement HT + intérêts]))*BY41</f>
        <v>0</v>
      </c>
      <c r="Y41" s="276">
        <f>(SUMIF(Fonctionnement[Affectation matrice],$AB$3,Fonctionnement[Montant (€HT)])+SUMIF(Invest[Affectation matrice],$AB$3,Invest[Amortissement HT + intérêts]))*BZ41</f>
        <v>0</v>
      </c>
      <c r="Z41" s="276">
        <f>(SUMIF(Fonctionnement[Affectation matrice],$AB$3,Fonctionnement[Montant (€HT)])+SUMIF(Invest[Affectation matrice],$AB$3,Invest[Amortissement HT + intérêts]))*CA41</f>
        <v>0</v>
      </c>
      <c r="AA41" s="199"/>
      <c r="AB41" s="302" t="str">
        <f t="shared" si="82"/>
        <v/>
      </c>
      <c r="AC41" s="302" t="str">
        <f t="shared" si="82"/>
        <v/>
      </c>
      <c r="AD41" s="302" t="str">
        <f t="shared" si="82"/>
        <v/>
      </c>
      <c r="AE41" s="302" t="str">
        <f t="shared" si="82"/>
        <v/>
      </c>
      <c r="AF41" s="302" t="str">
        <f t="shared" si="82"/>
        <v/>
      </c>
      <c r="AG41" s="302" t="str">
        <f t="shared" si="82"/>
        <v/>
      </c>
      <c r="AH41" s="302" t="str">
        <f t="shared" si="82"/>
        <v/>
      </c>
      <c r="AI41" s="302" t="str">
        <f t="shared" si="82"/>
        <v/>
      </c>
      <c r="AJ41" s="302" t="str">
        <f t="shared" si="82"/>
        <v/>
      </c>
      <c r="AK41" s="302" t="str">
        <f t="shared" si="82"/>
        <v/>
      </c>
      <c r="AL41" s="302" t="str">
        <f t="shared" si="83"/>
        <v/>
      </c>
      <c r="AM41" s="302" t="str">
        <f t="shared" si="83"/>
        <v/>
      </c>
      <c r="AN41" s="302" t="str">
        <f t="shared" si="83"/>
        <v/>
      </c>
      <c r="AO41" s="302" t="str">
        <f t="shared" si="83"/>
        <v/>
      </c>
      <c r="AP41" s="302" t="str">
        <f t="shared" si="83"/>
        <v/>
      </c>
      <c r="AQ41" s="302" t="str">
        <f t="shared" si="83"/>
        <v/>
      </c>
      <c r="AR41" s="302" t="str">
        <f t="shared" si="83"/>
        <v/>
      </c>
      <c r="AS41" s="302" t="str">
        <f t="shared" si="83"/>
        <v/>
      </c>
      <c r="AT41" s="302" t="str">
        <f t="shared" si="83"/>
        <v/>
      </c>
      <c r="AU41" s="302" t="str">
        <f t="shared" si="83"/>
        <v/>
      </c>
      <c r="AV41" s="302" t="str">
        <f t="shared" si="83"/>
        <v/>
      </c>
      <c r="AW41" s="302" t="str">
        <f t="shared" si="83"/>
        <v/>
      </c>
      <c r="AX41" s="302" t="str">
        <f t="shared" si="83"/>
        <v/>
      </c>
      <c r="AY41" s="302" t="str">
        <f t="shared" si="83"/>
        <v/>
      </c>
      <c r="AZ41" s="302" t="str">
        <f t="shared" si="83"/>
        <v/>
      </c>
      <c r="BA41" s="283" t="str">
        <f t="shared" si="83"/>
        <v/>
      </c>
      <c r="BB41" s="7"/>
      <c r="BC41" s="61">
        <f t="shared" si="84"/>
        <v>0</v>
      </c>
      <c r="BD41" s="61">
        <f t="shared" si="84"/>
        <v>0</v>
      </c>
      <c r="BE41" s="61">
        <f t="shared" si="84"/>
        <v>0</v>
      </c>
      <c r="BF41" s="61">
        <f t="shared" si="84"/>
        <v>0</v>
      </c>
      <c r="BG41" s="61">
        <f t="shared" si="84"/>
        <v>0</v>
      </c>
      <c r="BH41" s="61">
        <f t="shared" si="84"/>
        <v>0</v>
      </c>
      <c r="BI41" s="61">
        <f t="shared" si="84"/>
        <v>0</v>
      </c>
      <c r="BJ41" s="61">
        <f t="shared" si="84"/>
        <v>0</v>
      </c>
      <c r="BK41" s="61">
        <f t="shared" si="84"/>
        <v>0</v>
      </c>
      <c r="BL41" s="61">
        <f t="shared" si="84"/>
        <v>0</v>
      </c>
      <c r="BM41" s="61">
        <f t="shared" si="85"/>
        <v>0</v>
      </c>
      <c r="BN41" s="61">
        <f t="shared" si="85"/>
        <v>0</v>
      </c>
      <c r="BO41" s="61">
        <f t="shared" si="85"/>
        <v>0</v>
      </c>
      <c r="BP41" s="61">
        <f t="shared" si="85"/>
        <v>0</v>
      </c>
      <c r="BQ41" s="61">
        <f t="shared" si="85"/>
        <v>0</v>
      </c>
      <c r="BR41" s="61">
        <f t="shared" si="85"/>
        <v>0</v>
      </c>
      <c r="BS41" s="61">
        <f t="shared" si="85"/>
        <v>0</v>
      </c>
      <c r="BT41" s="61">
        <f t="shared" si="85"/>
        <v>0</v>
      </c>
      <c r="BU41" s="61">
        <f t="shared" si="85"/>
        <v>0</v>
      </c>
      <c r="BV41" s="61">
        <f t="shared" si="85"/>
        <v>0</v>
      </c>
      <c r="BW41" s="61">
        <f t="shared" si="86"/>
        <v>0</v>
      </c>
      <c r="BX41" s="61">
        <f t="shared" si="86"/>
        <v>0</v>
      </c>
      <c r="BY41" s="61">
        <f t="shared" si="86"/>
        <v>0</v>
      </c>
      <c r="BZ41" s="61">
        <f t="shared" si="86"/>
        <v>0</v>
      </c>
      <c r="CA41" s="61">
        <f t="shared" si="86"/>
        <v>0</v>
      </c>
      <c r="CB41" s="61">
        <f t="shared" si="52"/>
        <v>0</v>
      </c>
      <c r="CD41" s="200">
        <f>(SUMIF(Fonctionnement[Affectation matrice],$AB$3,Fonctionnement[TVA acquittée])+SUMIF(Invest[Affectation matrice],$AB$3,Invest[TVA acquittée]))*BC41</f>
        <v>0</v>
      </c>
      <c r="CE41" s="200">
        <f>(SUMIF(Fonctionnement[Affectation matrice],$AB$3,Fonctionnement[TVA acquittée])+SUMIF(Invest[Affectation matrice],$AB$3,Invest[TVA acquittée]))*BD41</f>
        <v>0</v>
      </c>
      <c r="CF41" s="200">
        <f>(SUMIF(Fonctionnement[Affectation matrice],$AB$3,Fonctionnement[TVA acquittée])+SUMIF(Invest[Affectation matrice],$AB$3,Invest[TVA acquittée]))*BE41</f>
        <v>0</v>
      </c>
      <c r="CG41" s="200">
        <f>(SUMIF(Fonctionnement[Affectation matrice],$AB$3,Fonctionnement[TVA acquittée])+SUMIF(Invest[Affectation matrice],$AB$3,Invest[TVA acquittée]))*BF41</f>
        <v>0</v>
      </c>
      <c r="CH41" s="200">
        <f>(SUMIF(Fonctionnement[Affectation matrice],$AB$3,Fonctionnement[TVA acquittée])+SUMIF(Invest[Affectation matrice],$AB$3,Invest[TVA acquittée]))*BG41</f>
        <v>0</v>
      </c>
      <c r="CI41" s="200">
        <f>(SUMIF(Fonctionnement[Affectation matrice],$AB$3,Fonctionnement[TVA acquittée])+SUMIF(Invest[Affectation matrice],$AB$3,Invest[TVA acquittée]))*BH41</f>
        <v>0</v>
      </c>
      <c r="CJ41" s="200">
        <f>(SUMIF(Fonctionnement[Affectation matrice],$AB$3,Fonctionnement[TVA acquittée])+SUMIF(Invest[Affectation matrice],$AB$3,Invest[TVA acquittée]))*BI41</f>
        <v>0</v>
      </c>
      <c r="CK41" s="200">
        <f>(SUMIF(Fonctionnement[Affectation matrice],$AB$3,Fonctionnement[TVA acquittée])+SUMIF(Invest[Affectation matrice],$AB$3,Invest[TVA acquittée]))*BJ41</f>
        <v>0</v>
      </c>
      <c r="CL41" s="200">
        <f>(SUMIF(Fonctionnement[Affectation matrice],$AB$3,Fonctionnement[TVA acquittée])+SUMIF(Invest[Affectation matrice],$AB$3,Invest[TVA acquittée]))*BK41</f>
        <v>0</v>
      </c>
      <c r="CM41" s="200">
        <f>(SUMIF(Fonctionnement[Affectation matrice],$AB$3,Fonctionnement[TVA acquittée])+SUMIF(Invest[Affectation matrice],$AB$3,Invest[TVA acquittée]))*BL41</f>
        <v>0</v>
      </c>
      <c r="CN41" s="200">
        <f>(SUMIF(Fonctionnement[Affectation matrice],$AB$3,Fonctionnement[TVA acquittée])+SUMIF(Invest[Affectation matrice],$AB$3,Invest[TVA acquittée]))*BM41</f>
        <v>0</v>
      </c>
      <c r="CO41" s="200">
        <f>(SUMIF(Fonctionnement[Affectation matrice],$AB$3,Fonctionnement[TVA acquittée])+SUMIF(Invest[Affectation matrice],$AB$3,Invest[TVA acquittée]))*BN41</f>
        <v>0</v>
      </c>
      <c r="CP41" s="200">
        <f>(SUMIF(Fonctionnement[Affectation matrice],$AB$3,Fonctionnement[TVA acquittée])+SUMIF(Invest[Affectation matrice],$AB$3,Invest[TVA acquittée]))*BO41</f>
        <v>0</v>
      </c>
      <c r="CQ41" s="200">
        <f>(SUMIF(Fonctionnement[Affectation matrice],$AB$3,Fonctionnement[TVA acquittée])+SUMIF(Invest[Affectation matrice],$AB$3,Invest[TVA acquittée]))*BP41</f>
        <v>0</v>
      </c>
      <c r="CR41" s="200">
        <f>(SUMIF(Fonctionnement[Affectation matrice],$AB$3,Fonctionnement[TVA acquittée])+SUMIF(Invest[Affectation matrice],$AB$3,Invest[TVA acquittée]))*BQ41</f>
        <v>0</v>
      </c>
      <c r="CS41" s="200">
        <f>(SUMIF(Fonctionnement[Affectation matrice],$AB$3,Fonctionnement[TVA acquittée])+SUMIF(Invest[Affectation matrice],$AB$3,Invest[TVA acquittée]))*BR41</f>
        <v>0</v>
      </c>
      <c r="CT41" s="200">
        <f>(SUMIF(Fonctionnement[Affectation matrice],$AB$3,Fonctionnement[TVA acquittée])+SUMIF(Invest[Affectation matrice],$AB$3,Invest[TVA acquittée]))*BS41</f>
        <v>0</v>
      </c>
      <c r="CU41" s="200">
        <f>(SUMIF(Fonctionnement[Affectation matrice],$AB$3,Fonctionnement[TVA acquittée])+SUMIF(Invest[Affectation matrice],$AB$3,Invest[TVA acquittée]))*BT41</f>
        <v>0</v>
      </c>
      <c r="CV41" s="200">
        <f>(SUMIF(Fonctionnement[Affectation matrice],$AB$3,Fonctionnement[TVA acquittée])+SUMIF(Invest[Affectation matrice],$AB$3,Invest[TVA acquittée]))*BU41</f>
        <v>0</v>
      </c>
      <c r="CW41" s="200">
        <f>(SUMIF(Fonctionnement[Affectation matrice],$AB$3,Fonctionnement[TVA acquittée])+SUMIF(Invest[Affectation matrice],$AB$3,Invest[TVA acquittée]))*BV41</f>
        <v>0</v>
      </c>
      <c r="CX41" s="200">
        <f>(SUMIF(Fonctionnement[Affectation matrice],$AB$3,Fonctionnement[TVA acquittée])+SUMIF(Invest[Affectation matrice],$AB$3,Invest[TVA acquittée]))*BW41</f>
        <v>0</v>
      </c>
      <c r="CY41" s="200">
        <f>(SUMIF(Fonctionnement[Affectation matrice],$AB$3,Fonctionnement[TVA acquittée])+SUMIF(Invest[Affectation matrice],$AB$3,Invest[TVA acquittée]))*BX41</f>
        <v>0</v>
      </c>
      <c r="CZ41" s="200">
        <f>(SUMIF(Fonctionnement[Affectation matrice],$AB$3,Fonctionnement[TVA acquittée])+SUMIF(Invest[Affectation matrice],$AB$3,Invest[TVA acquittée]))*BY41</f>
        <v>0</v>
      </c>
      <c r="DA41" s="200">
        <f>(SUMIF(Fonctionnement[Affectation matrice],$AB$3,Fonctionnement[TVA acquittée])+SUMIF(Invest[Affectation matrice],$AB$3,Invest[TVA acquittée]))*BZ41</f>
        <v>0</v>
      </c>
      <c r="DB41" s="200">
        <f>(SUMIF(Fonctionnement[Affectation matrice],$AB$3,Fonctionnement[TVA acquittée])+SUMIF(Invest[Affectation matrice],$AB$3,Invest[TVA acquittée]))*CA41</f>
        <v>0</v>
      </c>
    </row>
    <row r="42" spans="1:106" s="204" customFormat="1" hidden="1" x14ac:dyDescent="0.25">
      <c r="A42" s="186"/>
      <c r="B42" s="277"/>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02"/>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D42" s="200"/>
      <c r="CE42" s="200"/>
      <c r="CF42" s="200"/>
      <c r="CG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row>
    <row r="43" spans="1:106" s="204" customFormat="1" ht="12.75" hidden="1" customHeight="1" x14ac:dyDescent="0.25">
      <c r="A43" s="186"/>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02"/>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D43" s="200"/>
      <c r="CE43" s="200"/>
      <c r="CF43" s="200"/>
      <c r="CG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row>
    <row r="44" spans="1:106" hidden="1" x14ac:dyDescent="0.25">
      <c r="A44" s="42" t="str">
        <f>Matrice[[#This Row],[Ligne de la matrice]]</f>
        <v>Exemple : REG incinération / énergie</v>
      </c>
      <c r="B44" s="276">
        <f>(SUMIF(Fonctionnement[Affectation matrice],$AB$3,Fonctionnement[Montant (€HT)])+SUMIF(Invest[Affectation matrice],$AB$3,Invest[Amortissement HT + intérêts]))*BC44</f>
        <v>0</v>
      </c>
      <c r="C44" s="276">
        <f>(SUMIF(Fonctionnement[Affectation matrice],$AB$3,Fonctionnement[Montant (€HT)])+SUMIF(Invest[Affectation matrice],$AB$3,Invest[Amortissement HT + intérêts]))*BD44</f>
        <v>0</v>
      </c>
      <c r="D44" s="276">
        <f>(SUMIF(Fonctionnement[Affectation matrice],$AB$3,Fonctionnement[Montant (€HT)])+SUMIF(Invest[Affectation matrice],$AB$3,Invest[Amortissement HT + intérêts]))*BE44</f>
        <v>0</v>
      </c>
      <c r="E44" s="276">
        <f>(SUMIF(Fonctionnement[Affectation matrice],$AB$3,Fonctionnement[Montant (€HT)])+SUMIF(Invest[Affectation matrice],$AB$3,Invest[Amortissement HT + intérêts]))*BF44</f>
        <v>0</v>
      </c>
      <c r="F44" s="276">
        <f>(SUMIF(Fonctionnement[Affectation matrice],$AB$3,Fonctionnement[Montant (€HT)])+SUMIF(Invest[Affectation matrice],$AB$3,Invest[Amortissement HT + intérêts]))*BG44</f>
        <v>0</v>
      </c>
      <c r="G44" s="276">
        <f>(SUMIF(Fonctionnement[Affectation matrice],$AB$3,Fonctionnement[Montant (€HT)])+SUMIF(Invest[Affectation matrice],$AB$3,Invest[Amortissement HT + intérêts]))*BH44</f>
        <v>0</v>
      </c>
      <c r="H44" s="276">
        <f>(SUMIF(Fonctionnement[Affectation matrice],$AB$3,Fonctionnement[Montant (€HT)])+SUMIF(Invest[Affectation matrice],$AB$3,Invest[Amortissement HT + intérêts]))*BI44</f>
        <v>0</v>
      </c>
      <c r="I44" s="276">
        <f>(SUMIF(Fonctionnement[Affectation matrice],$AB$3,Fonctionnement[Montant (€HT)])+SUMIF(Invest[Affectation matrice],$AB$3,Invest[Amortissement HT + intérêts]))*BJ44</f>
        <v>0</v>
      </c>
      <c r="J44" s="276">
        <f>(SUMIF(Fonctionnement[Affectation matrice],$AB$3,Fonctionnement[Montant (€HT)])+SUMIF(Invest[Affectation matrice],$AB$3,Invest[Amortissement HT + intérêts]))*BK44</f>
        <v>0</v>
      </c>
      <c r="K44" s="276">
        <f>(SUMIF(Fonctionnement[Affectation matrice],$AB$3,Fonctionnement[Montant (€HT)])+SUMIF(Invest[Affectation matrice],$AB$3,Invest[Amortissement HT + intérêts]))*BL44</f>
        <v>0</v>
      </c>
      <c r="L44" s="276">
        <f>(SUMIF(Fonctionnement[Affectation matrice],$AB$3,Fonctionnement[Montant (€HT)])+SUMIF(Invest[Affectation matrice],$AB$3,Invest[Amortissement HT + intérêts]))*BM44</f>
        <v>0</v>
      </c>
      <c r="M44" s="276">
        <f>(SUMIF(Fonctionnement[Affectation matrice],$AB$3,Fonctionnement[Montant (€HT)])+SUMIF(Invest[Affectation matrice],$AB$3,Invest[Amortissement HT + intérêts]))*BN44</f>
        <v>0</v>
      </c>
      <c r="N44" s="276">
        <f>(SUMIF(Fonctionnement[Affectation matrice],$AB$3,Fonctionnement[Montant (€HT)])+SUMIF(Invest[Affectation matrice],$AB$3,Invest[Amortissement HT + intérêts]))*BO44</f>
        <v>0</v>
      </c>
      <c r="O44" s="276">
        <f>(SUMIF(Fonctionnement[Affectation matrice],$AB$3,Fonctionnement[Montant (€HT)])+SUMIF(Invest[Affectation matrice],$AB$3,Invest[Amortissement HT + intérêts]))*BP44</f>
        <v>0</v>
      </c>
      <c r="P44" s="276">
        <f>(SUMIF(Fonctionnement[Affectation matrice],$AB$3,Fonctionnement[Montant (€HT)])+SUMIF(Invest[Affectation matrice],$AB$3,Invest[Amortissement HT + intérêts]))*BQ44</f>
        <v>0</v>
      </c>
      <c r="Q44" s="276">
        <f>(SUMIF(Fonctionnement[Affectation matrice],$AB$3,Fonctionnement[Montant (€HT)])+SUMIF(Invest[Affectation matrice],$AB$3,Invest[Amortissement HT + intérêts]))*BR44</f>
        <v>0</v>
      </c>
      <c r="R44" s="276">
        <f>(SUMIF(Fonctionnement[Affectation matrice],$AB$3,Fonctionnement[Montant (€HT)])+SUMIF(Invest[Affectation matrice],$AB$3,Invest[Amortissement HT + intérêts]))*BS44</f>
        <v>0</v>
      </c>
      <c r="S44" s="276">
        <f>(SUMIF(Fonctionnement[Affectation matrice],$AB$3,Fonctionnement[Montant (€HT)])+SUMIF(Invest[Affectation matrice],$AB$3,Invest[Amortissement HT + intérêts]))*BT44</f>
        <v>0</v>
      </c>
      <c r="T44" s="276">
        <f>(SUMIF(Fonctionnement[Affectation matrice],$AB$3,Fonctionnement[Montant (€HT)])+SUMIF(Invest[Affectation matrice],$AB$3,Invest[Amortissement HT + intérêts]))*BU44</f>
        <v>0</v>
      </c>
      <c r="U44" s="276">
        <f>(SUMIF(Fonctionnement[Affectation matrice],$AB$3,Fonctionnement[Montant (€HT)])+SUMIF(Invest[Affectation matrice],$AB$3,Invest[Amortissement HT + intérêts]))*BV44</f>
        <v>0</v>
      </c>
      <c r="V44" s="276">
        <f>(SUMIF(Fonctionnement[Affectation matrice],$AB$3,Fonctionnement[Montant (€HT)])+SUMIF(Invest[Affectation matrice],$AB$3,Invest[Amortissement HT + intérêts]))*BW44</f>
        <v>0</v>
      </c>
      <c r="W44" s="276">
        <f>(SUMIF(Fonctionnement[Affectation matrice],$AB$3,Fonctionnement[Montant (€HT)])+SUMIF(Invest[Affectation matrice],$AB$3,Invest[Amortissement HT + intérêts]))*BX44</f>
        <v>0</v>
      </c>
      <c r="X44" s="276">
        <f>(SUMIF(Fonctionnement[Affectation matrice],$AB$3,Fonctionnement[Montant (€HT)])+SUMIF(Invest[Affectation matrice],$AB$3,Invest[Amortissement HT + intérêts]))*BY44</f>
        <v>0</v>
      </c>
      <c r="Y44" s="276">
        <f>(SUMIF(Fonctionnement[Affectation matrice],$AB$3,Fonctionnement[Montant (€HT)])+SUMIF(Invest[Affectation matrice],$AB$3,Invest[Amortissement HT + intérêts]))*BZ44</f>
        <v>0</v>
      </c>
      <c r="Z44" s="276">
        <f>(SUMIF(Fonctionnement[Affectation matrice],$AB$3,Fonctionnement[Montant (€HT)])+SUMIF(Invest[Affectation matrice],$AB$3,Invest[Amortissement HT + intérêts]))*CA44</f>
        <v>0</v>
      </c>
      <c r="AA44" s="199"/>
      <c r="AB44" s="302" t="str">
        <f t="shared" ref="AB44:AK52" si="87">IFERROR(SUMIF($DC$56:$DC$76,$A44,AB$56:AB$76)/Total,"")</f>
        <v/>
      </c>
      <c r="AC44" s="302" t="str">
        <f t="shared" si="87"/>
        <v/>
      </c>
      <c r="AD44" s="302" t="str">
        <f t="shared" si="87"/>
        <v/>
      </c>
      <c r="AE44" s="302" t="str">
        <f t="shared" si="87"/>
        <v/>
      </c>
      <c r="AF44" s="302" t="str">
        <f t="shared" si="87"/>
        <v/>
      </c>
      <c r="AG44" s="302" t="str">
        <f t="shared" si="87"/>
        <v/>
      </c>
      <c r="AH44" s="302" t="str">
        <f t="shared" si="87"/>
        <v/>
      </c>
      <c r="AI44" s="302" t="str">
        <f t="shared" si="87"/>
        <v/>
      </c>
      <c r="AJ44" s="302" t="str">
        <f t="shared" si="87"/>
        <v/>
      </c>
      <c r="AK44" s="302" t="str">
        <f t="shared" si="87"/>
        <v/>
      </c>
      <c r="AL44" s="302" t="str">
        <f t="shared" ref="AL44:BA52" si="88">IFERROR(SUMIF($DC$56:$DC$76,$A44,AL$56:AL$76)/Total,"")</f>
        <v/>
      </c>
      <c r="AM44" s="302" t="str">
        <f t="shared" si="88"/>
        <v/>
      </c>
      <c r="AN44" s="302" t="str">
        <f t="shared" si="88"/>
        <v/>
      </c>
      <c r="AO44" s="302" t="str">
        <f t="shared" si="88"/>
        <v/>
      </c>
      <c r="AP44" s="302" t="str">
        <f t="shared" si="88"/>
        <v/>
      </c>
      <c r="AQ44" s="302" t="str">
        <f t="shared" si="88"/>
        <v/>
      </c>
      <c r="AR44" s="302" t="str">
        <f t="shared" si="88"/>
        <v/>
      </c>
      <c r="AS44" s="302" t="str">
        <f t="shared" si="88"/>
        <v/>
      </c>
      <c r="AT44" s="302" t="str">
        <f t="shared" si="88"/>
        <v/>
      </c>
      <c r="AU44" s="302" t="str">
        <f t="shared" si="88"/>
        <v/>
      </c>
      <c r="AV44" s="302" t="str">
        <f t="shared" si="88"/>
        <v/>
      </c>
      <c r="AW44" s="302" t="str">
        <f t="shared" si="88"/>
        <v/>
      </c>
      <c r="AX44" s="302" t="str">
        <f t="shared" si="88"/>
        <v/>
      </c>
      <c r="AY44" s="302" t="str">
        <f t="shared" si="88"/>
        <v/>
      </c>
      <c r="AZ44" s="302" t="str">
        <f t="shared" si="88"/>
        <v/>
      </c>
      <c r="BA44" s="283" t="str">
        <f t="shared" si="88"/>
        <v/>
      </c>
      <c r="BC44" s="61">
        <f t="shared" ref="BC44:BC52" si="89">IF($BA$53=0,0,AB44/$BA$53)</f>
        <v>0</v>
      </c>
      <c r="BD44" s="61">
        <f t="shared" ref="BD44:BD52" si="90">IF($BA$53=0,0,AC44/$BA$53)</f>
        <v>0</v>
      </c>
      <c r="BE44" s="61">
        <f t="shared" ref="BE44:BE52" si="91">IF($BA$53=0,0,AD44/$BA$53)</f>
        <v>0</v>
      </c>
      <c r="BF44" s="61">
        <f t="shared" ref="BF44:BF52" si="92">IF($BA$53=0,0,AE44/$BA$53)</f>
        <v>0</v>
      </c>
      <c r="BG44" s="61">
        <f t="shared" ref="BG44:BG52" si="93">IF($BA$53=0,0,AF44/$BA$53)</f>
        <v>0</v>
      </c>
      <c r="BH44" s="61">
        <f t="shared" ref="BH44:BH52" si="94">IF($BA$53=0,0,AG44/$BA$53)</f>
        <v>0</v>
      </c>
      <c r="BI44" s="61">
        <f t="shared" ref="BI44:BI52" si="95">IF($BA$53=0,0,AH44/$BA$53)</f>
        <v>0</v>
      </c>
      <c r="BJ44" s="61">
        <f t="shared" ref="BJ44:BJ52" si="96">IF($BA$53=0,0,AI44/$BA$53)</f>
        <v>0</v>
      </c>
      <c r="BK44" s="61">
        <f t="shared" ref="BK44:BK52" si="97">IF($BA$53=0,0,AJ44/$BA$53)</f>
        <v>0</v>
      </c>
      <c r="BL44" s="61">
        <f t="shared" ref="BL44:BL52" si="98">IF($BA$53=0,0,AK44/$BA$53)</f>
        <v>0</v>
      </c>
      <c r="BM44" s="61">
        <f t="shared" ref="BM44:BM52" si="99">IF($BA$53=0,0,AL44/$BA$53)</f>
        <v>0</v>
      </c>
      <c r="BN44" s="61">
        <f t="shared" ref="BN44:BN52" si="100">IF($BA$53=0,0,AM44/$BA$53)</f>
        <v>0</v>
      </c>
      <c r="BO44" s="61">
        <f t="shared" ref="BO44:BO52" si="101">IF($BA$53=0,0,AN44/$BA$53)</f>
        <v>0</v>
      </c>
      <c r="BP44" s="61">
        <f t="shared" ref="BP44:BP52" si="102">IF($BA$53=0,0,AO44/$BA$53)</f>
        <v>0</v>
      </c>
      <c r="BQ44" s="61">
        <f t="shared" ref="BQ44:BQ52" si="103">IF($BA$53=0,0,AP44/$BA$53)</f>
        <v>0</v>
      </c>
      <c r="BR44" s="61">
        <f t="shared" ref="BR44:BR52" si="104">IF($BA$53=0,0,AQ44/$BA$53)</f>
        <v>0</v>
      </c>
      <c r="BS44" s="61">
        <f t="shared" ref="BS44:BS52" si="105">IF($BA$53=0,0,AR44/$BA$53)</f>
        <v>0</v>
      </c>
      <c r="BT44" s="61">
        <f t="shared" ref="BT44:BT52" si="106">IF($BA$53=0,0,AS44/$BA$53)</f>
        <v>0</v>
      </c>
      <c r="BU44" s="61">
        <f t="shared" ref="BU44:BU52" si="107">IF($BA$53=0,0,AT44/$BA$53)</f>
        <v>0</v>
      </c>
      <c r="BV44" s="61">
        <f t="shared" ref="BV44:BV52" si="108">IF($BA$53=0,0,AU44/$BA$53)</f>
        <v>0</v>
      </c>
      <c r="BW44" s="61">
        <f t="shared" ref="BW44:BW52" si="109">IF($BA$53=0,0,AV44/$BA$53)</f>
        <v>0</v>
      </c>
      <c r="BX44" s="61">
        <f t="shared" ref="BX44:BX52" si="110">IF($BA$53=0,0,AW44/$BA$53)</f>
        <v>0</v>
      </c>
      <c r="BY44" s="61">
        <f t="shared" ref="BY44:BY52" si="111">IF($BA$53=0,0,AX44/$BA$53)</f>
        <v>0</v>
      </c>
      <c r="BZ44" s="61">
        <f t="shared" ref="BZ44:BZ52" si="112">IF($BA$53=0,0,AY44/$BA$53)</f>
        <v>0</v>
      </c>
      <c r="CA44" s="61">
        <f t="shared" ref="CA44:CA52" si="113">IF($BA$53=0,0,AZ44/$BA$53)</f>
        <v>0</v>
      </c>
      <c r="CB44" s="61">
        <f t="shared" si="52"/>
        <v>0</v>
      </c>
      <c r="CD44" s="200">
        <f>(SUMIF(Fonctionnement[Affectation matrice],$AB$3,Fonctionnement[TVA acquittée])+SUMIF(Invest[Affectation matrice],$AB$3,Invest[TVA acquittée]))*BC44</f>
        <v>0</v>
      </c>
      <c r="CE44" s="200">
        <f>(SUMIF(Fonctionnement[Affectation matrice],$AB$3,Fonctionnement[TVA acquittée])+SUMIF(Invest[Affectation matrice],$AB$3,Invest[TVA acquittée]))*BD44</f>
        <v>0</v>
      </c>
      <c r="CF44" s="200">
        <f>(SUMIF(Fonctionnement[Affectation matrice],$AB$3,Fonctionnement[TVA acquittée])+SUMIF(Invest[Affectation matrice],$AB$3,Invest[TVA acquittée]))*BE44</f>
        <v>0</v>
      </c>
      <c r="CG44" s="200">
        <f>(SUMIF(Fonctionnement[Affectation matrice],$AB$3,Fonctionnement[TVA acquittée])+SUMIF(Invest[Affectation matrice],$AB$3,Invest[TVA acquittée]))*BF44</f>
        <v>0</v>
      </c>
      <c r="CH44" s="200">
        <f>(SUMIF(Fonctionnement[Affectation matrice],$AB$3,Fonctionnement[TVA acquittée])+SUMIF(Invest[Affectation matrice],$AB$3,Invest[TVA acquittée]))*BG44</f>
        <v>0</v>
      </c>
      <c r="CI44" s="200">
        <f>(SUMIF(Fonctionnement[Affectation matrice],$AB$3,Fonctionnement[TVA acquittée])+SUMIF(Invest[Affectation matrice],$AB$3,Invest[TVA acquittée]))*BH44</f>
        <v>0</v>
      </c>
      <c r="CJ44" s="200">
        <f>(SUMIF(Fonctionnement[Affectation matrice],$AB$3,Fonctionnement[TVA acquittée])+SUMIF(Invest[Affectation matrice],$AB$3,Invest[TVA acquittée]))*BI44</f>
        <v>0</v>
      </c>
      <c r="CK44" s="200">
        <f>(SUMIF(Fonctionnement[Affectation matrice],$AB$3,Fonctionnement[TVA acquittée])+SUMIF(Invest[Affectation matrice],$AB$3,Invest[TVA acquittée]))*BJ44</f>
        <v>0</v>
      </c>
      <c r="CL44" s="200">
        <f>(SUMIF(Fonctionnement[Affectation matrice],$AB$3,Fonctionnement[TVA acquittée])+SUMIF(Invest[Affectation matrice],$AB$3,Invest[TVA acquittée]))*BK44</f>
        <v>0</v>
      </c>
      <c r="CM44" s="200">
        <f>(SUMIF(Fonctionnement[Affectation matrice],$AB$3,Fonctionnement[TVA acquittée])+SUMIF(Invest[Affectation matrice],$AB$3,Invest[TVA acquittée]))*BL44</f>
        <v>0</v>
      </c>
      <c r="CN44" s="200">
        <f>(SUMIF(Fonctionnement[Affectation matrice],$AB$3,Fonctionnement[TVA acquittée])+SUMIF(Invest[Affectation matrice],$AB$3,Invest[TVA acquittée]))*BM44</f>
        <v>0</v>
      </c>
      <c r="CO44" s="200">
        <f>(SUMIF(Fonctionnement[Affectation matrice],$AB$3,Fonctionnement[TVA acquittée])+SUMIF(Invest[Affectation matrice],$AB$3,Invest[TVA acquittée]))*BN44</f>
        <v>0</v>
      </c>
      <c r="CP44" s="200">
        <f>(SUMIF(Fonctionnement[Affectation matrice],$AB$3,Fonctionnement[TVA acquittée])+SUMIF(Invest[Affectation matrice],$AB$3,Invest[TVA acquittée]))*BO44</f>
        <v>0</v>
      </c>
      <c r="CQ44" s="200">
        <f>(SUMIF(Fonctionnement[Affectation matrice],$AB$3,Fonctionnement[TVA acquittée])+SUMIF(Invest[Affectation matrice],$AB$3,Invest[TVA acquittée]))*BP44</f>
        <v>0</v>
      </c>
      <c r="CR44" s="200">
        <f>(SUMIF(Fonctionnement[Affectation matrice],$AB$3,Fonctionnement[TVA acquittée])+SUMIF(Invest[Affectation matrice],$AB$3,Invest[TVA acquittée]))*BQ44</f>
        <v>0</v>
      </c>
      <c r="CS44" s="200">
        <f>(SUMIF(Fonctionnement[Affectation matrice],$AB$3,Fonctionnement[TVA acquittée])+SUMIF(Invest[Affectation matrice],$AB$3,Invest[TVA acquittée]))*BR44</f>
        <v>0</v>
      </c>
      <c r="CT44" s="200">
        <f>(SUMIF(Fonctionnement[Affectation matrice],$AB$3,Fonctionnement[TVA acquittée])+SUMIF(Invest[Affectation matrice],$AB$3,Invest[TVA acquittée]))*BS44</f>
        <v>0</v>
      </c>
      <c r="CU44" s="200">
        <f>(SUMIF(Fonctionnement[Affectation matrice],$AB$3,Fonctionnement[TVA acquittée])+SUMIF(Invest[Affectation matrice],$AB$3,Invest[TVA acquittée]))*BT44</f>
        <v>0</v>
      </c>
      <c r="CV44" s="200">
        <f>(SUMIF(Fonctionnement[Affectation matrice],$AB$3,Fonctionnement[TVA acquittée])+SUMIF(Invest[Affectation matrice],$AB$3,Invest[TVA acquittée]))*BU44</f>
        <v>0</v>
      </c>
      <c r="CW44" s="200">
        <f>(SUMIF(Fonctionnement[Affectation matrice],$AB$3,Fonctionnement[TVA acquittée])+SUMIF(Invest[Affectation matrice],$AB$3,Invest[TVA acquittée]))*BV44</f>
        <v>0</v>
      </c>
      <c r="CX44" s="200">
        <f>(SUMIF(Fonctionnement[Affectation matrice],$AB$3,Fonctionnement[TVA acquittée])+SUMIF(Invest[Affectation matrice],$AB$3,Invest[TVA acquittée]))*BW44</f>
        <v>0</v>
      </c>
      <c r="CY44" s="200">
        <f>(SUMIF(Fonctionnement[Affectation matrice],$AB$3,Fonctionnement[TVA acquittée])+SUMIF(Invest[Affectation matrice],$AB$3,Invest[TVA acquittée]))*BX44</f>
        <v>0</v>
      </c>
      <c r="CZ44" s="200">
        <f>(SUMIF(Fonctionnement[Affectation matrice],$AB$3,Fonctionnement[TVA acquittée])+SUMIF(Invest[Affectation matrice],$AB$3,Invest[TVA acquittée]))*BY44</f>
        <v>0</v>
      </c>
      <c r="DA44" s="200">
        <f>(SUMIF(Fonctionnement[Affectation matrice],$AB$3,Fonctionnement[TVA acquittée])+SUMIF(Invest[Affectation matrice],$AB$3,Invest[TVA acquittée]))*BZ44</f>
        <v>0</v>
      </c>
      <c r="DB44" s="200">
        <f>(SUMIF(Fonctionnement[Affectation matrice],$AB$3,Fonctionnement[TVA acquittée])+SUMIF(Invest[Affectation matrice],$AB$3,Invest[TVA acquittée]))*CA44</f>
        <v>0</v>
      </c>
    </row>
    <row r="45" spans="1:106" hidden="1" x14ac:dyDescent="0.25">
      <c r="A45" s="42">
        <f>Matrice[[#This Row],[Ligne de la matrice]]</f>
        <v>0</v>
      </c>
      <c r="B45" s="276">
        <f>(SUMIF(Fonctionnement[Affectation matrice],$AB$3,Fonctionnement[Montant (€HT)])+SUMIF(Invest[Affectation matrice],$AB$3,Invest[Amortissement HT + intérêts]))*BC45</f>
        <v>0</v>
      </c>
      <c r="C45" s="276">
        <f>(SUMIF(Fonctionnement[Affectation matrice],$AB$3,Fonctionnement[Montant (€HT)])+SUMIF(Invest[Affectation matrice],$AB$3,Invest[Amortissement HT + intérêts]))*BD45</f>
        <v>0</v>
      </c>
      <c r="D45" s="276">
        <f>(SUMIF(Fonctionnement[Affectation matrice],$AB$3,Fonctionnement[Montant (€HT)])+SUMIF(Invest[Affectation matrice],$AB$3,Invest[Amortissement HT + intérêts]))*BE45</f>
        <v>0</v>
      </c>
      <c r="E45" s="276">
        <f>(SUMIF(Fonctionnement[Affectation matrice],$AB$3,Fonctionnement[Montant (€HT)])+SUMIF(Invest[Affectation matrice],$AB$3,Invest[Amortissement HT + intérêts]))*BF45</f>
        <v>0</v>
      </c>
      <c r="F45" s="276">
        <f>(SUMIF(Fonctionnement[Affectation matrice],$AB$3,Fonctionnement[Montant (€HT)])+SUMIF(Invest[Affectation matrice],$AB$3,Invest[Amortissement HT + intérêts]))*BG45</f>
        <v>0</v>
      </c>
      <c r="G45" s="276">
        <f>(SUMIF(Fonctionnement[Affectation matrice],$AB$3,Fonctionnement[Montant (€HT)])+SUMIF(Invest[Affectation matrice],$AB$3,Invest[Amortissement HT + intérêts]))*BH45</f>
        <v>0</v>
      </c>
      <c r="H45" s="276">
        <f>(SUMIF(Fonctionnement[Affectation matrice],$AB$3,Fonctionnement[Montant (€HT)])+SUMIF(Invest[Affectation matrice],$AB$3,Invest[Amortissement HT + intérêts]))*BI45</f>
        <v>0</v>
      </c>
      <c r="I45" s="276">
        <f>(SUMIF(Fonctionnement[Affectation matrice],$AB$3,Fonctionnement[Montant (€HT)])+SUMIF(Invest[Affectation matrice],$AB$3,Invest[Amortissement HT + intérêts]))*BJ45</f>
        <v>0</v>
      </c>
      <c r="J45" s="276">
        <f>(SUMIF(Fonctionnement[Affectation matrice],$AB$3,Fonctionnement[Montant (€HT)])+SUMIF(Invest[Affectation matrice],$AB$3,Invest[Amortissement HT + intérêts]))*BK45</f>
        <v>0</v>
      </c>
      <c r="K45" s="276">
        <f>(SUMIF(Fonctionnement[Affectation matrice],$AB$3,Fonctionnement[Montant (€HT)])+SUMIF(Invest[Affectation matrice],$AB$3,Invest[Amortissement HT + intérêts]))*BL45</f>
        <v>0</v>
      </c>
      <c r="L45" s="276">
        <f>(SUMIF(Fonctionnement[Affectation matrice],$AB$3,Fonctionnement[Montant (€HT)])+SUMIF(Invest[Affectation matrice],$AB$3,Invest[Amortissement HT + intérêts]))*BM45</f>
        <v>0</v>
      </c>
      <c r="M45" s="276">
        <f>(SUMIF(Fonctionnement[Affectation matrice],$AB$3,Fonctionnement[Montant (€HT)])+SUMIF(Invest[Affectation matrice],$AB$3,Invest[Amortissement HT + intérêts]))*BN45</f>
        <v>0</v>
      </c>
      <c r="N45" s="276">
        <f>(SUMIF(Fonctionnement[Affectation matrice],$AB$3,Fonctionnement[Montant (€HT)])+SUMIF(Invest[Affectation matrice],$AB$3,Invest[Amortissement HT + intérêts]))*BO45</f>
        <v>0</v>
      </c>
      <c r="O45" s="276">
        <f>(SUMIF(Fonctionnement[Affectation matrice],$AB$3,Fonctionnement[Montant (€HT)])+SUMIF(Invest[Affectation matrice],$AB$3,Invest[Amortissement HT + intérêts]))*BP45</f>
        <v>0</v>
      </c>
      <c r="P45" s="276">
        <f>(SUMIF(Fonctionnement[Affectation matrice],$AB$3,Fonctionnement[Montant (€HT)])+SUMIF(Invest[Affectation matrice],$AB$3,Invest[Amortissement HT + intérêts]))*BQ45</f>
        <v>0</v>
      </c>
      <c r="Q45" s="276">
        <f>(SUMIF(Fonctionnement[Affectation matrice],$AB$3,Fonctionnement[Montant (€HT)])+SUMIF(Invest[Affectation matrice],$AB$3,Invest[Amortissement HT + intérêts]))*BR45</f>
        <v>0</v>
      </c>
      <c r="R45" s="276">
        <f>(SUMIF(Fonctionnement[Affectation matrice],$AB$3,Fonctionnement[Montant (€HT)])+SUMIF(Invest[Affectation matrice],$AB$3,Invest[Amortissement HT + intérêts]))*BS45</f>
        <v>0</v>
      </c>
      <c r="S45" s="276">
        <f>(SUMIF(Fonctionnement[Affectation matrice],$AB$3,Fonctionnement[Montant (€HT)])+SUMIF(Invest[Affectation matrice],$AB$3,Invest[Amortissement HT + intérêts]))*BT45</f>
        <v>0</v>
      </c>
      <c r="T45" s="276">
        <f>(SUMIF(Fonctionnement[Affectation matrice],$AB$3,Fonctionnement[Montant (€HT)])+SUMIF(Invest[Affectation matrice],$AB$3,Invest[Amortissement HT + intérêts]))*BU45</f>
        <v>0</v>
      </c>
      <c r="U45" s="276">
        <f>(SUMIF(Fonctionnement[Affectation matrice],$AB$3,Fonctionnement[Montant (€HT)])+SUMIF(Invest[Affectation matrice],$AB$3,Invest[Amortissement HT + intérêts]))*BV45</f>
        <v>0</v>
      </c>
      <c r="V45" s="276">
        <f>(SUMIF(Fonctionnement[Affectation matrice],$AB$3,Fonctionnement[Montant (€HT)])+SUMIF(Invest[Affectation matrice],$AB$3,Invest[Amortissement HT + intérêts]))*BW45</f>
        <v>0</v>
      </c>
      <c r="W45" s="276">
        <f>(SUMIF(Fonctionnement[Affectation matrice],$AB$3,Fonctionnement[Montant (€HT)])+SUMIF(Invest[Affectation matrice],$AB$3,Invest[Amortissement HT + intérêts]))*BX45</f>
        <v>0</v>
      </c>
      <c r="X45" s="276">
        <f>(SUMIF(Fonctionnement[Affectation matrice],$AB$3,Fonctionnement[Montant (€HT)])+SUMIF(Invest[Affectation matrice],$AB$3,Invest[Amortissement HT + intérêts]))*BY45</f>
        <v>0</v>
      </c>
      <c r="Y45" s="276">
        <f>(SUMIF(Fonctionnement[Affectation matrice],$AB$3,Fonctionnement[Montant (€HT)])+SUMIF(Invest[Affectation matrice],$AB$3,Invest[Amortissement HT + intérêts]))*BZ45</f>
        <v>0</v>
      </c>
      <c r="Z45" s="276">
        <f>(SUMIF(Fonctionnement[Affectation matrice],$AB$3,Fonctionnement[Montant (€HT)])+SUMIF(Invest[Affectation matrice],$AB$3,Invest[Amortissement HT + intérêts]))*CA45</f>
        <v>0</v>
      </c>
      <c r="AA45" s="199"/>
      <c r="AB45" s="302" t="str">
        <f t="shared" si="87"/>
        <v/>
      </c>
      <c r="AC45" s="302" t="str">
        <f t="shared" si="87"/>
        <v/>
      </c>
      <c r="AD45" s="302" t="str">
        <f t="shared" si="87"/>
        <v/>
      </c>
      <c r="AE45" s="302" t="str">
        <f t="shared" si="87"/>
        <v/>
      </c>
      <c r="AF45" s="302" t="str">
        <f t="shared" si="87"/>
        <v/>
      </c>
      <c r="AG45" s="302" t="str">
        <f t="shared" si="87"/>
        <v/>
      </c>
      <c r="AH45" s="302" t="str">
        <f t="shared" si="87"/>
        <v/>
      </c>
      <c r="AI45" s="302" t="str">
        <f t="shared" si="87"/>
        <v/>
      </c>
      <c r="AJ45" s="302" t="str">
        <f t="shared" si="87"/>
        <v/>
      </c>
      <c r="AK45" s="302" t="str">
        <f t="shared" si="87"/>
        <v/>
      </c>
      <c r="AL45" s="302" t="str">
        <f t="shared" si="88"/>
        <v/>
      </c>
      <c r="AM45" s="302" t="str">
        <f t="shared" si="88"/>
        <v/>
      </c>
      <c r="AN45" s="302" t="str">
        <f t="shared" si="88"/>
        <v/>
      </c>
      <c r="AO45" s="302" t="str">
        <f t="shared" si="88"/>
        <v/>
      </c>
      <c r="AP45" s="302" t="str">
        <f t="shared" si="88"/>
        <v/>
      </c>
      <c r="AQ45" s="302" t="str">
        <f t="shared" si="88"/>
        <v/>
      </c>
      <c r="AR45" s="302" t="str">
        <f t="shared" si="88"/>
        <v/>
      </c>
      <c r="AS45" s="302" t="str">
        <f t="shared" si="88"/>
        <v/>
      </c>
      <c r="AT45" s="302" t="str">
        <f t="shared" si="88"/>
        <v/>
      </c>
      <c r="AU45" s="302" t="str">
        <f t="shared" si="88"/>
        <v/>
      </c>
      <c r="AV45" s="302" t="str">
        <f t="shared" si="88"/>
        <v/>
      </c>
      <c r="AW45" s="302" t="str">
        <f t="shared" si="88"/>
        <v/>
      </c>
      <c r="AX45" s="302" t="str">
        <f t="shared" si="88"/>
        <v/>
      </c>
      <c r="AY45" s="302" t="str">
        <f t="shared" si="88"/>
        <v/>
      </c>
      <c r="AZ45" s="302" t="str">
        <f t="shared" si="88"/>
        <v/>
      </c>
      <c r="BA45" s="283" t="str">
        <f t="shared" si="88"/>
        <v/>
      </c>
      <c r="BC45" s="61">
        <f t="shared" si="89"/>
        <v>0</v>
      </c>
      <c r="BD45" s="61">
        <f t="shared" si="90"/>
        <v>0</v>
      </c>
      <c r="BE45" s="61">
        <f t="shared" si="91"/>
        <v>0</v>
      </c>
      <c r="BF45" s="61">
        <f t="shared" si="92"/>
        <v>0</v>
      </c>
      <c r="BG45" s="61">
        <f t="shared" si="93"/>
        <v>0</v>
      </c>
      <c r="BH45" s="61">
        <f t="shared" si="94"/>
        <v>0</v>
      </c>
      <c r="BI45" s="61">
        <f t="shared" si="95"/>
        <v>0</v>
      </c>
      <c r="BJ45" s="61">
        <f t="shared" si="96"/>
        <v>0</v>
      </c>
      <c r="BK45" s="61">
        <f t="shared" si="97"/>
        <v>0</v>
      </c>
      <c r="BL45" s="61">
        <f t="shared" si="98"/>
        <v>0</v>
      </c>
      <c r="BM45" s="61">
        <f t="shared" si="99"/>
        <v>0</v>
      </c>
      <c r="BN45" s="61">
        <f t="shared" si="100"/>
        <v>0</v>
      </c>
      <c r="BO45" s="61">
        <f t="shared" si="101"/>
        <v>0</v>
      </c>
      <c r="BP45" s="61">
        <f t="shared" si="102"/>
        <v>0</v>
      </c>
      <c r="BQ45" s="61">
        <f t="shared" si="103"/>
        <v>0</v>
      </c>
      <c r="BR45" s="61">
        <f t="shared" si="104"/>
        <v>0</v>
      </c>
      <c r="BS45" s="61">
        <f t="shared" si="105"/>
        <v>0</v>
      </c>
      <c r="BT45" s="61">
        <f t="shared" si="106"/>
        <v>0</v>
      </c>
      <c r="BU45" s="61">
        <f t="shared" si="107"/>
        <v>0</v>
      </c>
      <c r="BV45" s="61">
        <f t="shared" si="108"/>
        <v>0</v>
      </c>
      <c r="BW45" s="61">
        <f t="shared" si="109"/>
        <v>0</v>
      </c>
      <c r="BX45" s="61">
        <f t="shared" si="110"/>
        <v>0</v>
      </c>
      <c r="BY45" s="61">
        <f t="shared" si="111"/>
        <v>0</v>
      </c>
      <c r="BZ45" s="61">
        <f t="shared" si="112"/>
        <v>0</v>
      </c>
      <c r="CA45" s="61">
        <f t="shared" si="113"/>
        <v>0</v>
      </c>
      <c r="CB45" s="61">
        <f t="shared" si="52"/>
        <v>0</v>
      </c>
      <c r="CD45" s="200">
        <f>(SUMIF(Fonctionnement[Affectation matrice],$AB$3,Fonctionnement[TVA acquittée])+SUMIF(Invest[Affectation matrice],$AB$3,Invest[TVA acquittée]))*BC45</f>
        <v>0</v>
      </c>
      <c r="CE45" s="200">
        <f>(SUMIF(Fonctionnement[Affectation matrice],$AB$3,Fonctionnement[TVA acquittée])+SUMIF(Invest[Affectation matrice],$AB$3,Invest[TVA acquittée]))*BD45</f>
        <v>0</v>
      </c>
      <c r="CF45" s="200">
        <f>(SUMIF(Fonctionnement[Affectation matrice],$AB$3,Fonctionnement[TVA acquittée])+SUMIF(Invest[Affectation matrice],$AB$3,Invest[TVA acquittée]))*BE45</f>
        <v>0</v>
      </c>
      <c r="CG45" s="200">
        <f>(SUMIF(Fonctionnement[Affectation matrice],$AB$3,Fonctionnement[TVA acquittée])+SUMIF(Invest[Affectation matrice],$AB$3,Invest[TVA acquittée]))*BF45</f>
        <v>0</v>
      </c>
      <c r="CH45" s="200">
        <f>(SUMIF(Fonctionnement[Affectation matrice],$AB$3,Fonctionnement[TVA acquittée])+SUMIF(Invest[Affectation matrice],$AB$3,Invest[TVA acquittée]))*BG45</f>
        <v>0</v>
      </c>
      <c r="CI45" s="200">
        <f>(SUMIF(Fonctionnement[Affectation matrice],$AB$3,Fonctionnement[TVA acquittée])+SUMIF(Invest[Affectation matrice],$AB$3,Invest[TVA acquittée]))*BH45</f>
        <v>0</v>
      </c>
      <c r="CJ45" s="200">
        <f>(SUMIF(Fonctionnement[Affectation matrice],$AB$3,Fonctionnement[TVA acquittée])+SUMIF(Invest[Affectation matrice],$AB$3,Invest[TVA acquittée]))*BI45</f>
        <v>0</v>
      </c>
      <c r="CK45" s="200">
        <f>(SUMIF(Fonctionnement[Affectation matrice],$AB$3,Fonctionnement[TVA acquittée])+SUMIF(Invest[Affectation matrice],$AB$3,Invest[TVA acquittée]))*BJ45</f>
        <v>0</v>
      </c>
      <c r="CL45" s="200">
        <f>(SUMIF(Fonctionnement[Affectation matrice],$AB$3,Fonctionnement[TVA acquittée])+SUMIF(Invest[Affectation matrice],$AB$3,Invest[TVA acquittée]))*BK45</f>
        <v>0</v>
      </c>
      <c r="CM45" s="200">
        <f>(SUMIF(Fonctionnement[Affectation matrice],$AB$3,Fonctionnement[TVA acquittée])+SUMIF(Invest[Affectation matrice],$AB$3,Invest[TVA acquittée]))*BL45</f>
        <v>0</v>
      </c>
      <c r="CN45" s="200">
        <f>(SUMIF(Fonctionnement[Affectation matrice],$AB$3,Fonctionnement[TVA acquittée])+SUMIF(Invest[Affectation matrice],$AB$3,Invest[TVA acquittée]))*BM45</f>
        <v>0</v>
      </c>
      <c r="CO45" s="200">
        <f>(SUMIF(Fonctionnement[Affectation matrice],$AB$3,Fonctionnement[TVA acquittée])+SUMIF(Invest[Affectation matrice],$AB$3,Invest[TVA acquittée]))*BN45</f>
        <v>0</v>
      </c>
      <c r="CP45" s="200">
        <f>(SUMIF(Fonctionnement[Affectation matrice],$AB$3,Fonctionnement[TVA acquittée])+SUMIF(Invest[Affectation matrice],$AB$3,Invest[TVA acquittée]))*BO45</f>
        <v>0</v>
      </c>
      <c r="CQ45" s="200">
        <f>(SUMIF(Fonctionnement[Affectation matrice],$AB$3,Fonctionnement[TVA acquittée])+SUMIF(Invest[Affectation matrice],$AB$3,Invest[TVA acquittée]))*BP45</f>
        <v>0</v>
      </c>
      <c r="CR45" s="200">
        <f>(SUMIF(Fonctionnement[Affectation matrice],$AB$3,Fonctionnement[TVA acquittée])+SUMIF(Invest[Affectation matrice],$AB$3,Invest[TVA acquittée]))*BQ45</f>
        <v>0</v>
      </c>
      <c r="CS45" s="200">
        <f>(SUMIF(Fonctionnement[Affectation matrice],$AB$3,Fonctionnement[TVA acquittée])+SUMIF(Invest[Affectation matrice],$AB$3,Invest[TVA acquittée]))*BR45</f>
        <v>0</v>
      </c>
      <c r="CT45" s="200">
        <f>(SUMIF(Fonctionnement[Affectation matrice],$AB$3,Fonctionnement[TVA acquittée])+SUMIF(Invest[Affectation matrice],$AB$3,Invest[TVA acquittée]))*BS45</f>
        <v>0</v>
      </c>
      <c r="CU45" s="200">
        <f>(SUMIF(Fonctionnement[Affectation matrice],$AB$3,Fonctionnement[TVA acquittée])+SUMIF(Invest[Affectation matrice],$AB$3,Invest[TVA acquittée]))*BT45</f>
        <v>0</v>
      </c>
      <c r="CV45" s="200">
        <f>(SUMIF(Fonctionnement[Affectation matrice],$AB$3,Fonctionnement[TVA acquittée])+SUMIF(Invest[Affectation matrice],$AB$3,Invest[TVA acquittée]))*BU45</f>
        <v>0</v>
      </c>
      <c r="CW45" s="200">
        <f>(SUMIF(Fonctionnement[Affectation matrice],$AB$3,Fonctionnement[TVA acquittée])+SUMIF(Invest[Affectation matrice],$AB$3,Invest[TVA acquittée]))*BV45</f>
        <v>0</v>
      </c>
      <c r="CX45" s="200">
        <f>(SUMIF(Fonctionnement[Affectation matrice],$AB$3,Fonctionnement[TVA acquittée])+SUMIF(Invest[Affectation matrice],$AB$3,Invest[TVA acquittée]))*BW45</f>
        <v>0</v>
      </c>
      <c r="CY45" s="200">
        <f>(SUMIF(Fonctionnement[Affectation matrice],$AB$3,Fonctionnement[TVA acquittée])+SUMIF(Invest[Affectation matrice],$AB$3,Invest[TVA acquittée]))*BX45</f>
        <v>0</v>
      </c>
      <c r="CZ45" s="200">
        <f>(SUMIF(Fonctionnement[Affectation matrice],$AB$3,Fonctionnement[TVA acquittée])+SUMIF(Invest[Affectation matrice],$AB$3,Invest[TVA acquittée]))*BY45</f>
        <v>0</v>
      </c>
      <c r="DA45" s="200">
        <f>(SUMIF(Fonctionnement[Affectation matrice],$AB$3,Fonctionnement[TVA acquittée])+SUMIF(Invest[Affectation matrice],$AB$3,Invest[TVA acquittée]))*BZ45</f>
        <v>0</v>
      </c>
      <c r="DB45" s="200">
        <f>(SUMIF(Fonctionnement[Affectation matrice],$AB$3,Fonctionnement[TVA acquittée])+SUMIF(Invest[Affectation matrice],$AB$3,Invest[TVA acquittée]))*CA45</f>
        <v>0</v>
      </c>
    </row>
    <row r="46" spans="1:106" ht="12.75" hidden="1" customHeight="1" x14ac:dyDescent="0.25">
      <c r="A46" s="42">
        <f>Matrice[[#This Row],[Ligne de la matrice]]</f>
        <v>0</v>
      </c>
      <c r="B46" s="276">
        <f>(SUMIF(Fonctionnement[Affectation matrice],$AB$3,Fonctionnement[Montant (€HT)])+SUMIF(Invest[Affectation matrice],$AB$3,Invest[Amortissement HT + intérêts]))*BC46</f>
        <v>0</v>
      </c>
      <c r="C46" s="276">
        <f>(SUMIF(Fonctionnement[Affectation matrice],$AB$3,Fonctionnement[Montant (€HT)])+SUMIF(Invest[Affectation matrice],$AB$3,Invest[Amortissement HT + intérêts]))*BD46</f>
        <v>0</v>
      </c>
      <c r="D46" s="276">
        <f>(SUMIF(Fonctionnement[Affectation matrice],$AB$3,Fonctionnement[Montant (€HT)])+SUMIF(Invest[Affectation matrice],$AB$3,Invest[Amortissement HT + intérêts]))*BE46</f>
        <v>0</v>
      </c>
      <c r="E46" s="276">
        <f>(SUMIF(Fonctionnement[Affectation matrice],$AB$3,Fonctionnement[Montant (€HT)])+SUMIF(Invest[Affectation matrice],$AB$3,Invest[Amortissement HT + intérêts]))*BF46</f>
        <v>0</v>
      </c>
      <c r="F46" s="276">
        <f>(SUMIF(Fonctionnement[Affectation matrice],$AB$3,Fonctionnement[Montant (€HT)])+SUMIF(Invest[Affectation matrice],$AB$3,Invest[Amortissement HT + intérêts]))*BG46</f>
        <v>0</v>
      </c>
      <c r="G46" s="276">
        <f>(SUMIF(Fonctionnement[Affectation matrice],$AB$3,Fonctionnement[Montant (€HT)])+SUMIF(Invest[Affectation matrice],$AB$3,Invest[Amortissement HT + intérêts]))*BH46</f>
        <v>0</v>
      </c>
      <c r="H46" s="276">
        <f>(SUMIF(Fonctionnement[Affectation matrice],$AB$3,Fonctionnement[Montant (€HT)])+SUMIF(Invest[Affectation matrice],$AB$3,Invest[Amortissement HT + intérêts]))*BI46</f>
        <v>0</v>
      </c>
      <c r="I46" s="276">
        <f>(SUMIF(Fonctionnement[Affectation matrice],$AB$3,Fonctionnement[Montant (€HT)])+SUMIF(Invest[Affectation matrice],$AB$3,Invest[Amortissement HT + intérêts]))*BJ46</f>
        <v>0</v>
      </c>
      <c r="J46" s="276">
        <f>(SUMIF(Fonctionnement[Affectation matrice],$AB$3,Fonctionnement[Montant (€HT)])+SUMIF(Invest[Affectation matrice],$AB$3,Invest[Amortissement HT + intérêts]))*BK46</f>
        <v>0</v>
      </c>
      <c r="K46" s="276">
        <f>(SUMIF(Fonctionnement[Affectation matrice],$AB$3,Fonctionnement[Montant (€HT)])+SUMIF(Invest[Affectation matrice],$AB$3,Invest[Amortissement HT + intérêts]))*BL46</f>
        <v>0</v>
      </c>
      <c r="L46" s="276">
        <f>(SUMIF(Fonctionnement[Affectation matrice],$AB$3,Fonctionnement[Montant (€HT)])+SUMIF(Invest[Affectation matrice],$AB$3,Invest[Amortissement HT + intérêts]))*BM46</f>
        <v>0</v>
      </c>
      <c r="M46" s="276">
        <f>(SUMIF(Fonctionnement[Affectation matrice],$AB$3,Fonctionnement[Montant (€HT)])+SUMIF(Invest[Affectation matrice],$AB$3,Invest[Amortissement HT + intérêts]))*BN46</f>
        <v>0</v>
      </c>
      <c r="N46" s="276">
        <f>(SUMIF(Fonctionnement[Affectation matrice],$AB$3,Fonctionnement[Montant (€HT)])+SUMIF(Invest[Affectation matrice],$AB$3,Invest[Amortissement HT + intérêts]))*BO46</f>
        <v>0</v>
      </c>
      <c r="O46" s="276">
        <f>(SUMIF(Fonctionnement[Affectation matrice],$AB$3,Fonctionnement[Montant (€HT)])+SUMIF(Invest[Affectation matrice],$AB$3,Invest[Amortissement HT + intérêts]))*BP46</f>
        <v>0</v>
      </c>
      <c r="P46" s="276">
        <f>(SUMIF(Fonctionnement[Affectation matrice],$AB$3,Fonctionnement[Montant (€HT)])+SUMIF(Invest[Affectation matrice],$AB$3,Invest[Amortissement HT + intérêts]))*BQ46</f>
        <v>0</v>
      </c>
      <c r="Q46" s="276">
        <f>(SUMIF(Fonctionnement[Affectation matrice],$AB$3,Fonctionnement[Montant (€HT)])+SUMIF(Invest[Affectation matrice],$AB$3,Invest[Amortissement HT + intérêts]))*BR46</f>
        <v>0</v>
      </c>
      <c r="R46" s="276">
        <f>(SUMIF(Fonctionnement[Affectation matrice],$AB$3,Fonctionnement[Montant (€HT)])+SUMIF(Invest[Affectation matrice],$AB$3,Invest[Amortissement HT + intérêts]))*BS46</f>
        <v>0</v>
      </c>
      <c r="S46" s="276">
        <f>(SUMIF(Fonctionnement[Affectation matrice],$AB$3,Fonctionnement[Montant (€HT)])+SUMIF(Invest[Affectation matrice],$AB$3,Invest[Amortissement HT + intérêts]))*BT46</f>
        <v>0</v>
      </c>
      <c r="T46" s="276">
        <f>(SUMIF(Fonctionnement[Affectation matrice],$AB$3,Fonctionnement[Montant (€HT)])+SUMIF(Invest[Affectation matrice],$AB$3,Invest[Amortissement HT + intérêts]))*BU46</f>
        <v>0</v>
      </c>
      <c r="U46" s="276">
        <f>(SUMIF(Fonctionnement[Affectation matrice],$AB$3,Fonctionnement[Montant (€HT)])+SUMIF(Invest[Affectation matrice],$AB$3,Invest[Amortissement HT + intérêts]))*BV46</f>
        <v>0</v>
      </c>
      <c r="V46" s="276">
        <f>(SUMIF(Fonctionnement[Affectation matrice],$AB$3,Fonctionnement[Montant (€HT)])+SUMIF(Invest[Affectation matrice],$AB$3,Invest[Amortissement HT + intérêts]))*BW46</f>
        <v>0</v>
      </c>
      <c r="W46" s="276">
        <f>(SUMIF(Fonctionnement[Affectation matrice],$AB$3,Fonctionnement[Montant (€HT)])+SUMIF(Invest[Affectation matrice],$AB$3,Invest[Amortissement HT + intérêts]))*BX46</f>
        <v>0</v>
      </c>
      <c r="X46" s="276">
        <f>(SUMIF(Fonctionnement[Affectation matrice],$AB$3,Fonctionnement[Montant (€HT)])+SUMIF(Invest[Affectation matrice],$AB$3,Invest[Amortissement HT + intérêts]))*BY46</f>
        <v>0</v>
      </c>
      <c r="Y46" s="276">
        <f>(SUMIF(Fonctionnement[Affectation matrice],$AB$3,Fonctionnement[Montant (€HT)])+SUMIF(Invest[Affectation matrice],$AB$3,Invest[Amortissement HT + intérêts]))*BZ46</f>
        <v>0</v>
      </c>
      <c r="Z46" s="276">
        <f>(SUMIF(Fonctionnement[Affectation matrice],$AB$3,Fonctionnement[Montant (€HT)])+SUMIF(Invest[Affectation matrice],$AB$3,Invest[Amortissement HT + intérêts]))*CA46</f>
        <v>0</v>
      </c>
      <c r="AA46" s="199"/>
      <c r="AB46" s="302" t="str">
        <f t="shared" si="87"/>
        <v/>
      </c>
      <c r="AC46" s="302" t="str">
        <f t="shared" si="87"/>
        <v/>
      </c>
      <c r="AD46" s="302" t="str">
        <f t="shared" si="87"/>
        <v/>
      </c>
      <c r="AE46" s="302" t="str">
        <f t="shared" si="87"/>
        <v/>
      </c>
      <c r="AF46" s="302" t="str">
        <f t="shared" si="87"/>
        <v/>
      </c>
      <c r="AG46" s="302" t="str">
        <f t="shared" si="87"/>
        <v/>
      </c>
      <c r="AH46" s="302" t="str">
        <f t="shared" si="87"/>
        <v/>
      </c>
      <c r="AI46" s="302" t="str">
        <f t="shared" si="87"/>
        <v/>
      </c>
      <c r="AJ46" s="302" t="str">
        <f t="shared" si="87"/>
        <v/>
      </c>
      <c r="AK46" s="302" t="str">
        <f t="shared" si="87"/>
        <v/>
      </c>
      <c r="AL46" s="302" t="str">
        <f t="shared" si="88"/>
        <v/>
      </c>
      <c r="AM46" s="302" t="str">
        <f t="shared" si="88"/>
        <v/>
      </c>
      <c r="AN46" s="302" t="str">
        <f t="shared" si="88"/>
        <v/>
      </c>
      <c r="AO46" s="302" t="str">
        <f t="shared" si="88"/>
        <v/>
      </c>
      <c r="AP46" s="302" t="str">
        <f t="shared" si="88"/>
        <v/>
      </c>
      <c r="AQ46" s="302" t="str">
        <f t="shared" si="88"/>
        <v/>
      </c>
      <c r="AR46" s="302" t="str">
        <f t="shared" si="88"/>
        <v/>
      </c>
      <c r="AS46" s="302" t="str">
        <f t="shared" si="88"/>
        <v/>
      </c>
      <c r="AT46" s="302" t="str">
        <f t="shared" si="88"/>
        <v/>
      </c>
      <c r="AU46" s="302" t="str">
        <f t="shared" si="88"/>
        <v/>
      </c>
      <c r="AV46" s="302" t="str">
        <f t="shared" si="88"/>
        <v/>
      </c>
      <c r="AW46" s="302" t="str">
        <f t="shared" si="88"/>
        <v/>
      </c>
      <c r="AX46" s="302" t="str">
        <f t="shared" si="88"/>
        <v/>
      </c>
      <c r="AY46" s="302" t="str">
        <f t="shared" si="88"/>
        <v/>
      </c>
      <c r="AZ46" s="302" t="str">
        <f t="shared" si="88"/>
        <v/>
      </c>
      <c r="BA46" s="283" t="str">
        <f t="shared" si="88"/>
        <v/>
      </c>
      <c r="BC46" s="61">
        <f t="shared" si="89"/>
        <v>0</v>
      </c>
      <c r="BD46" s="61">
        <f t="shared" si="90"/>
        <v>0</v>
      </c>
      <c r="BE46" s="61">
        <f t="shared" si="91"/>
        <v>0</v>
      </c>
      <c r="BF46" s="61">
        <f t="shared" si="92"/>
        <v>0</v>
      </c>
      <c r="BG46" s="61">
        <f t="shared" si="93"/>
        <v>0</v>
      </c>
      <c r="BH46" s="61">
        <f t="shared" si="94"/>
        <v>0</v>
      </c>
      <c r="BI46" s="61">
        <f t="shared" si="95"/>
        <v>0</v>
      </c>
      <c r="BJ46" s="61">
        <f t="shared" si="96"/>
        <v>0</v>
      </c>
      <c r="BK46" s="61">
        <f t="shared" si="97"/>
        <v>0</v>
      </c>
      <c r="BL46" s="61">
        <f t="shared" si="98"/>
        <v>0</v>
      </c>
      <c r="BM46" s="61">
        <f t="shared" si="99"/>
        <v>0</v>
      </c>
      <c r="BN46" s="61">
        <f t="shared" si="100"/>
        <v>0</v>
      </c>
      <c r="BO46" s="61">
        <f t="shared" si="101"/>
        <v>0</v>
      </c>
      <c r="BP46" s="61">
        <f t="shared" si="102"/>
        <v>0</v>
      </c>
      <c r="BQ46" s="61">
        <f t="shared" si="103"/>
        <v>0</v>
      </c>
      <c r="BR46" s="61">
        <f t="shared" si="104"/>
        <v>0</v>
      </c>
      <c r="BS46" s="61">
        <f t="shared" si="105"/>
        <v>0</v>
      </c>
      <c r="BT46" s="61">
        <f t="shared" si="106"/>
        <v>0</v>
      </c>
      <c r="BU46" s="61">
        <f t="shared" si="107"/>
        <v>0</v>
      </c>
      <c r="BV46" s="61">
        <f t="shared" si="108"/>
        <v>0</v>
      </c>
      <c r="BW46" s="61">
        <f t="shared" si="109"/>
        <v>0</v>
      </c>
      <c r="BX46" s="61">
        <f t="shared" si="110"/>
        <v>0</v>
      </c>
      <c r="BY46" s="61">
        <f t="shared" si="111"/>
        <v>0</v>
      </c>
      <c r="BZ46" s="61">
        <f t="shared" si="112"/>
        <v>0</v>
      </c>
      <c r="CA46" s="61">
        <f t="shared" si="113"/>
        <v>0</v>
      </c>
      <c r="CB46" s="61">
        <f t="shared" si="52"/>
        <v>0</v>
      </c>
      <c r="CD46" s="200">
        <f>(SUMIF(Fonctionnement[Affectation matrice],$AB$3,Fonctionnement[TVA acquittée])+SUMIF(Invest[Affectation matrice],$AB$3,Invest[TVA acquittée]))*BC46</f>
        <v>0</v>
      </c>
      <c r="CE46" s="200">
        <f>(SUMIF(Fonctionnement[Affectation matrice],$AB$3,Fonctionnement[TVA acquittée])+SUMIF(Invest[Affectation matrice],$AB$3,Invest[TVA acquittée]))*BD46</f>
        <v>0</v>
      </c>
      <c r="CF46" s="200">
        <f>(SUMIF(Fonctionnement[Affectation matrice],$AB$3,Fonctionnement[TVA acquittée])+SUMIF(Invest[Affectation matrice],$AB$3,Invest[TVA acquittée]))*BE46</f>
        <v>0</v>
      </c>
      <c r="CG46" s="200">
        <f>(SUMIF(Fonctionnement[Affectation matrice],$AB$3,Fonctionnement[TVA acquittée])+SUMIF(Invest[Affectation matrice],$AB$3,Invest[TVA acquittée]))*BF46</f>
        <v>0</v>
      </c>
      <c r="CH46" s="200">
        <f>(SUMIF(Fonctionnement[Affectation matrice],$AB$3,Fonctionnement[TVA acquittée])+SUMIF(Invest[Affectation matrice],$AB$3,Invest[TVA acquittée]))*BG46</f>
        <v>0</v>
      </c>
      <c r="CI46" s="200">
        <f>(SUMIF(Fonctionnement[Affectation matrice],$AB$3,Fonctionnement[TVA acquittée])+SUMIF(Invest[Affectation matrice],$AB$3,Invest[TVA acquittée]))*BH46</f>
        <v>0</v>
      </c>
      <c r="CJ46" s="200">
        <f>(SUMIF(Fonctionnement[Affectation matrice],$AB$3,Fonctionnement[TVA acquittée])+SUMIF(Invest[Affectation matrice],$AB$3,Invest[TVA acquittée]))*BI46</f>
        <v>0</v>
      </c>
      <c r="CK46" s="200">
        <f>(SUMIF(Fonctionnement[Affectation matrice],$AB$3,Fonctionnement[TVA acquittée])+SUMIF(Invest[Affectation matrice],$AB$3,Invest[TVA acquittée]))*BJ46</f>
        <v>0</v>
      </c>
      <c r="CL46" s="200">
        <f>(SUMIF(Fonctionnement[Affectation matrice],$AB$3,Fonctionnement[TVA acquittée])+SUMIF(Invest[Affectation matrice],$AB$3,Invest[TVA acquittée]))*BK46</f>
        <v>0</v>
      </c>
      <c r="CM46" s="200">
        <f>(SUMIF(Fonctionnement[Affectation matrice],$AB$3,Fonctionnement[TVA acquittée])+SUMIF(Invest[Affectation matrice],$AB$3,Invest[TVA acquittée]))*BL46</f>
        <v>0</v>
      </c>
      <c r="CN46" s="200">
        <f>(SUMIF(Fonctionnement[Affectation matrice],$AB$3,Fonctionnement[TVA acquittée])+SUMIF(Invest[Affectation matrice],$AB$3,Invest[TVA acquittée]))*BM46</f>
        <v>0</v>
      </c>
      <c r="CO46" s="200">
        <f>(SUMIF(Fonctionnement[Affectation matrice],$AB$3,Fonctionnement[TVA acquittée])+SUMIF(Invest[Affectation matrice],$AB$3,Invest[TVA acquittée]))*BN46</f>
        <v>0</v>
      </c>
      <c r="CP46" s="200">
        <f>(SUMIF(Fonctionnement[Affectation matrice],$AB$3,Fonctionnement[TVA acquittée])+SUMIF(Invest[Affectation matrice],$AB$3,Invest[TVA acquittée]))*BO46</f>
        <v>0</v>
      </c>
      <c r="CQ46" s="200">
        <f>(SUMIF(Fonctionnement[Affectation matrice],$AB$3,Fonctionnement[TVA acquittée])+SUMIF(Invest[Affectation matrice],$AB$3,Invest[TVA acquittée]))*BP46</f>
        <v>0</v>
      </c>
      <c r="CR46" s="200">
        <f>(SUMIF(Fonctionnement[Affectation matrice],$AB$3,Fonctionnement[TVA acquittée])+SUMIF(Invest[Affectation matrice],$AB$3,Invest[TVA acquittée]))*BQ46</f>
        <v>0</v>
      </c>
      <c r="CS46" s="200">
        <f>(SUMIF(Fonctionnement[Affectation matrice],$AB$3,Fonctionnement[TVA acquittée])+SUMIF(Invest[Affectation matrice],$AB$3,Invest[TVA acquittée]))*BR46</f>
        <v>0</v>
      </c>
      <c r="CT46" s="200">
        <f>(SUMIF(Fonctionnement[Affectation matrice],$AB$3,Fonctionnement[TVA acquittée])+SUMIF(Invest[Affectation matrice],$AB$3,Invest[TVA acquittée]))*BS46</f>
        <v>0</v>
      </c>
      <c r="CU46" s="200">
        <f>(SUMIF(Fonctionnement[Affectation matrice],$AB$3,Fonctionnement[TVA acquittée])+SUMIF(Invest[Affectation matrice],$AB$3,Invest[TVA acquittée]))*BT46</f>
        <v>0</v>
      </c>
      <c r="CV46" s="200">
        <f>(SUMIF(Fonctionnement[Affectation matrice],$AB$3,Fonctionnement[TVA acquittée])+SUMIF(Invest[Affectation matrice],$AB$3,Invest[TVA acquittée]))*BU46</f>
        <v>0</v>
      </c>
      <c r="CW46" s="200">
        <f>(SUMIF(Fonctionnement[Affectation matrice],$AB$3,Fonctionnement[TVA acquittée])+SUMIF(Invest[Affectation matrice],$AB$3,Invest[TVA acquittée]))*BV46</f>
        <v>0</v>
      </c>
      <c r="CX46" s="200">
        <f>(SUMIF(Fonctionnement[Affectation matrice],$AB$3,Fonctionnement[TVA acquittée])+SUMIF(Invest[Affectation matrice],$AB$3,Invest[TVA acquittée]))*BW46</f>
        <v>0</v>
      </c>
      <c r="CY46" s="200">
        <f>(SUMIF(Fonctionnement[Affectation matrice],$AB$3,Fonctionnement[TVA acquittée])+SUMIF(Invest[Affectation matrice],$AB$3,Invest[TVA acquittée]))*BX46</f>
        <v>0</v>
      </c>
      <c r="CZ46" s="200">
        <f>(SUMIF(Fonctionnement[Affectation matrice],$AB$3,Fonctionnement[TVA acquittée])+SUMIF(Invest[Affectation matrice],$AB$3,Invest[TVA acquittée]))*BY46</f>
        <v>0</v>
      </c>
      <c r="DA46" s="200">
        <f>(SUMIF(Fonctionnement[Affectation matrice],$AB$3,Fonctionnement[TVA acquittée])+SUMIF(Invest[Affectation matrice],$AB$3,Invest[TVA acquittée]))*BZ46</f>
        <v>0</v>
      </c>
      <c r="DB46" s="200">
        <f>(SUMIF(Fonctionnement[Affectation matrice],$AB$3,Fonctionnement[TVA acquittée])+SUMIF(Invest[Affectation matrice],$AB$3,Invest[TVA acquittée]))*CA46</f>
        <v>0</v>
      </c>
    </row>
    <row r="47" spans="1:106" ht="12.75" hidden="1" customHeight="1" x14ac:dyDescent="0.25">
      <c r="A47" s="42">
        <f>Matrice[[#This Row],[Ligne de la matrice]]</f>
        <v>0</v>
      </c>
      <c r="B47" s="276">
        <f>(SUMIF(Fonctionnement[Affectation matrice],$AB$3,Fonctionnement[Montant (€HT)])+SUMIF(Invest[Affectation matrice],$AB$3,Invest[Amortissement HT + intérêts]))*BC47</f>
        <v>0</v>
      </c>
      <c r="C47" s="276">
        <f>(SUMIF(Fonctionnement[Affectation matrice],$AB$3,Fonctionnement[Montant (€HT)])+SUMIF(Invest[Affectation matrice],$AB$3,Invest[Amortissement HT + intérêts]))*BD47</f>
        <v>0</v>
      </c>
      <c r="D47" s="276">
        <f>(SUMIF(Fonctionnement[Affectation matrice],$AB$3,Fonctionnement[Montant (€HT)])+SUMIF(Invest[Affectation matrice],$AB$3,Invest[Amortissement HT + intérêts]))*BE47</f>
        <v>0</v>
      </c>
      <c r="E47" s="276">
        <f>(SUMIF(Fonctionnement[Affectation matrice],$AB$3,Fonctionnement[Montant (€HT)])+SUMIF(Invest[Affectation matrice],$AB$3,Invest[Amortissement HT + intérêts]))*BF47</f>
        <v>0</v>
      </c>
      <c r="F47" s="276">
        <f>(SUMIF(Fonctionnement[Affectation matrice],$AB$3,Fonctionnement[Montant (€HT)])+SUMIF(Invest[Affectation matrice],$AB$3,Invest[Amortissement HT + intérêts]))*BG47</f>
        <v>0</v>
      </c>
      <c r="G47" s="276">
        <f>(SUMIF(Fonctionnement[Affectation matrice],$AB$3,Fonctionnement[Montant (€HT)])+SUMIF(Invest[Affectation matrice],$AB$3,Invest[Amortissement HT + intérêts]))*BH47</f>
        <v>0</v>
      </c>
      <c r="H47" s="276">
        <f>(SUMIF(Fonctionnement[Affectation matrice],$AB$3,Fonctionnement[Montant (€HT)])+SUMIF(Invest[Affectation matrice],$AB$3,Invest[Amortissement HT + intérêts]))*BI47</f>
        <v>0</v>
      </c>
      <c r="I47" s="276">
        <f>(SUMIF(Fonctionnement[Affectation matrice],$AB$3,Fonctionnement[Montant (€HT)])+SUMIF(Invest[Affectation matrice],$AB$3,Invest[Amortissement HT + intérêts]))*BJ47</f>
        <v>0</v>
      </c>
      <c r="J47" s="276">
        <f>(SUMIF(Fonctionnement[Affectation matrice],$AB$3,Fonctionnement[Montant (€HT)])+SUMIF(Invest[Affectation matrice],$AB$3,Invest[Amortissement HT + intérêts]))*BK47</f>
        <v>0</v>
      </c>
      <c r="K47" s="276">
        <f>(SUMIF(Fonctionnement[Affectation matrice],$AB$3,Fonctionnement[Montant (€HT)])+SUMIF(Invest[Affectation matrice],$AB$3,Invest[Amortissement HT + intérêts]))*BL47</f>
        <v>0</v>
      </c>
      <c r="L47" s="276">
        <f>(SUMIF(Fonctionnement[Affectation matrice],$AB$3,Fonctionnement[Montant (€HT)])+SUMIF(Invest[Affectation matrice],$AB$3,Invest[Amortissement HT + intérêts]))*BM47</f>
        <v>0</v>
      </c>
      <c r="M47" s="276">
        <f>(SUMIF(Fonctionnement[Affectation matrice],$AB$3,Fonctionnement[Montant (€HT)])+SUMIF(Invest[Affectation matrice],$AB$3,Invest[Amortissement HT + intérêts]))*BN47</f>
        <v>0</v>
      </c>
      <c r="N47" s="276">
        <f>(SUMIF(Fonctionnement[Affectation matrice],$AB$3,Fonctionnement[Montant (€HT)])+SUMIF(Invest[Affectation matrice],$AB$3,Invest[Amortissement HT + intérêts]))*BO47</f>
        <v>0</v>
      </c>
      <c r="O47" s="276">
        <f>(SUMIF(Fonctionnement[Affectation matrice],$AB$3,Fonctionnement[Montant (€HT)])+SUMIF(Invest[Affectation matrice],$AB$3,Invest[Amortissement HT + intérêts]))*BP47</f>
        <v>0</v>
      </c>
      <c r="P47" s="276">
        <f>(SUMIF(Fonctionnement[Affectation matrice],$AB$3,Fonctionnement[Montant (€HT)])+SUMIF(Invest[Affectation matrice],$AB$3,Invest[Amortissement HT + intérêts]))*BQ47</f>
        <v>0</v>
      </c>
      <c r="Q47" s="276">
        <f>(SUMIF(Fonctionnement[Affectation matrice],$AB$3,Fonctionnement[Montant (€HT)])+SUMIF(Invest[Affectation matrice],$AB$3,Invest[Amortissement HT + intérêts]))*BR47</f>
        <v>0</v>
      </c>
      <c r="R47" s="276">
        <f>(SUMIF(Fonctionnement[Affectation matrice],$AB$3,Fonctionnement[Montant (€HT)])+SUMIF(Invest[Affectation matrice],$AB$3,Invest[Amortissement HT + intérêts]))*BS47</f>
        <v>0</v>
      </c>
      <c r="S47" s="276">
        <f>(SUMIF(Fonctionnement[Affectation matrice],$AB$3,Fonctionnement[Montant (€HT)])+SUMIF(Invest[Affectation matrice],$AB$3,Invest[Amortissement HT + intérêts]))*BT47</f>
        <v>0</v>
      </c>
      <c r="T47" s="276">
        <f>(SUMIF(Fonctionnement[Affectation matrice],$AB$3,Fonctionnement[Montant (€HT)])+SUMIF(Invest[Affectation matrice],$AB$3,Invest[Amortissement HT + intérêts]))*BU47</f>
        <v>0</v>
      </c>
      <c r="U47" s="276">
        <f>(SUMIF(Fonctionnement[Affectation matrice],$AB$3,Fonctionnement[Montant (€HT)])+SUMIF(Invest[Affectation matrice],$AB$3,Invest[Amortissement HT + intérêts]))*BV47</f>
        <v>0</v>
      </c>
      <c r="V47" s="276">
        <f>(SUMIF(Fonctionnement[Affectation matrice],$AB$3,Fonctionnement[Montant (€HT)])+SUMIF(Invest[Affectation matrice],$AB$3,Invest[Amortissement HT + intérêts]))*BW47</f>
        <v>0</v>
      </c>
      <c r="W47" s="276">
        <f>(SUMIF(Fonctionnement[Affectation matrice],$AB$3,Fonctionnement[Montant (€HT)])+SUMIF(Invest[Affectation matrice],$AB$3,Invest[Amortissement HT + intérêts]))*BX47</f>
        <v>0</v>
      </c>
      <c r="X47" s="276">
        <f>(SUMIF(Fonctionnement[Affectation matrice],$AB$3,Fonctionnement[Montant (€HT)])+SUMIF(Invest[Affectation matrice],$AB$3,Invest[Amortissement HT + intérêts]))*BY47</f>
        <v>0</v>
      </c>
      <c r="Y47" s="276">
        <f>(SUMIF(Fonctionnement[Affectation matrice],$AB$3,Fonctionnement[Montant (€HT)])+SUMIF(Invest[Affectation matrice],$AB$3,Invest[Amortissement HT + intérêts]))*BZ47</f>
        <v>0</v>
      </c>
      <c r="Z47" s="276">
        <f>(SUMIF(Fonctionnement[Affectation matrice],$AB$3,Fonctionnement[Montant (€HT)])+SUMIF(Invest[Affectation matrice],$AB$3,Invest[Amortissement HT + intérêts]))*CA47</f>
        <v>0</v>
      </c>
      <c r="AA47" s="199"/>
      <c r="AB47" s="302" t="str">
        <f t="shared" si="87"/>
        <v/>
      </c>
      <c r="AC47" s="302" t="str">
        <f t="shared" si="87"/>
        <v/>
      </c>
      <c r="AD47" s="302" t="str">
        <f t="shared" si="87"/>
        <v/>
      </c>
      <c r="AE47" s="302" t="str">
        <f t="shared" si="87"/>
        <v/>
      </c>
      <c r="AF47" s="302" t="str">
        <f t="shared" si="87"/>
        <v/>
      </c>
      <c r="AG47" s="302" t="str">
        <f t="shared" si="87"/>
        <v/>
      </c>
      <c r="AH47" s="302" t="str">
        <f t="shared" si="87"/>
        <v/>
      </c>
      <c r="AI47" s="302" t="str">
        <f t="shared" si="87"/>
        <v/>
      </c>
      <c r="AJ47" s="302" t="str">
        <f t="shared" si="87"/>
        <v/>
      </c>
      <c r="AK47" s="302" t="str">
        <f t="shared" si="87"/>
        <v/>
      </c>
      <c r="AL47" s="302" t="str">
        <f t="shared" si="88"/>
        <v/>
      </c>
      <c r="AM47" s="302" t="str">
        <f t="shared" si="88"/>
        <v/>
      </c>
      <c r="AN47" s="302" t="str">
        <f t="shared" si="88"/>
        <v/>
      </c>
      <c r="AO47" s="302" t="str">
        <f t="shared" si="88"/>
        <v/>
      </c>
      <c r="AP47" s="302" t="str">
        <f t="shared" si="88"/>
        <v/>
      </c>
      <c r="AQ47" s="302" t="str">
        <f t="shared" si="88"/>
        <v/>
      </c>
      <c r="AR47" s="302" t="str">
        <f t="shared" si="88"/>
        <v/>
      </c>
      <c r="AS47" s="302" t="str">
        <f t="shared" si="88"/>
        <v/>
      </c>
      <c r="AT47" s="302" t="str">
        <f t="shared" si="88"/>
        <v/>
      </c>
      <c r="AU47" s="302" t="str">
        <f t="shared" si="88"/>
        <v/>
      </c>
      <c r="AV47" s="302" t="str">
        <f t="shared" si="88"/>
        <v/>
      </c>
      <c r="AW47" s="302" t="str">
        <f t="shared" si="88"/>
        <v/>
      </c>
      <c r="AX47" s="302" t="str">
        <f t="shared" si="88"/>
        <v/>
      </c>
      <c r="AY47" s="302" t="str">
        <f t="shared" si="88"/>
        <v/>
      </c>
      <c r="AZ47" s="302" t="str">
        <f t="shared" si="88"/>
        <v/>
      </c>
      <c r="BA47" s="283" t="str">
        <f t="shared" si="88"/>
        <v/>
      </c>
      <c r="BC47" s="61">
        <f t="shared" si="89"/>
        <v>0</v>
      </c>
      <c r="BD47" s="61">
        <f t="shared" si="90"/>
        <v>0</v>
      </c>
      <c r="BE47" s="61">
        <f t="shared" si="91"/>
        <v>0</v>
      </c>
      <c r="BF47" s="61">
        <f t="shared" si="92"/>
        <v>0</v>
      </c>
      <c r="BG47" s="61">
        <f t="shared" si="93"/>
        <v>0</v>
      </c>
      <c r="BH47" s="61">
        <f t="shared" si="94"/>
        <v>0</v>
      </c>
      <c r="BI47" s="61">
        <f t="shared" si="95"/>
        <v>0</v>
      </c>
      <c r="BJ47" s="61">
        <f t="shared" si="96"/>
        <v>0</v>
      </c>
      <c r="BK47" s="61">
        <f t="shared" si="97"/>
        <v>0</v>
      </c>
      <c r="BL47" s="61">
        <f t="shared" si="98"/>
        <v>0</v>
      </c>
      <c r="BM47" s="61">
        <f t="shared" si="99"/>
        <v>0</v>
      </c>
      <c r="BN47" s="61">
        <f t="shared" si="100"/>
        <v>0</v>
      </c>
      <c r="BO47" s="61">
        <f t="shared" si="101"/>
        <v>0</v>
      </c>
      <c r="BP47" s="61">
        <f t="shared" si="102"/>
        <v>0</v>
      </c>
      <c r="BQ47" s="61">
        <f t="shared" si="103"/>
        <v>0</v>
      </c>
      <c r="BR47" s="61">
        <f t="shared" si="104"/>
        <v>0</v>
      </c>
      <c r="BS47" s="61">
        <f t="shared" si="105"/>
        <v>0</v>
      </c>
      <c r="BT47" s="61">
        <f t="shared" si="106"/>
        <v>0</v>
      </c>
      <c r="BU47" s="61">
        <f t="shared" si="107"/>
        <v>0</v>
      </c>
      <c r="BV47" s="61">
        <f t="shared" si="108"/>
        <v>0</v>
      </c>
      <c r="BW47" s="61">
        <f t="shared" si="109"/>
        <v>0</v>
      </c>
      <c r="BX47" s="61">
        <f t="shared" si="110"/>
        <v>0</v>
      </c>
      <c r="BY47" s="61">
        <f t="shared" si="111"/>
        <v>0</v>
      </c>
      <c r="BZ47" s="61">
        <f t="shared" si="112"/>
        <v>0</v>
      </c>
      <c r="CA47" s="61">
        <f t="shared" si="113"/>
        <v>0</v>
      </c>
      <c r="CB47" s="61">
        <f t="shared" si="52"/>
        <v>0</v>
      </c>
      <c r="CD47" s="200">
        <f>(SUMIF(Fonctionnement[Affectation matrice],$AB$3,Fonctionnement[TVA acquittée])+SUMIF(Invest[Affectation matrice],$AB$3,Invest[TVA acquittée]))*BC47</f>
        <v>0</v>
      </c>
      <c r="CE47" s="200">
        <f>(SUMIF(Fonctionnement[Affectation matrice],$AB$3,Fonctionnement[TVA acquittée])+SUMIF(Invest[Affectation matrice],$AB$3,Invest[TVA acquittée]))*BD47</f>
        <v>0</v>
      </c>
      <c r="CF47" s="200">
        <f>(SUMIF(Fonctionnement[Affectation matrice],$AB$3,Fonctionnement[TVA acquittée])+SUMIF(Invest[Affectation matrice],$AB$3,Invest[TVA acquittée]))*BE47</f>
        <v>0</v>
      </c>
      <c r="CG47" s="200">
        <f>(SUMIF(Fonctionnement[Affectation matrice],$AB$3,Fonctionnement[TVA acquittée])+SUMIF(Invest[Affectation matrice],$AB$3,Invest[TVA acquittée]))*BF47</f>
        <v>0</v>
      </c>
      <c r="CH47" s="200">
        <f>(SUMIF(Fonctionnement[Affectation matrice],$AB$3,Fonctionnement[TVA acquittée])+SUMIF(Invest[Affectation matrice],$AB$3,Invest[TVA acquittée]))*BG47</f>
        <v>0</v>
      </c>
      <c r="CI47" s="200">
        <f>(SUMIF(Fonctionnement[Affectation matrice],$AB$3,Fonctionnement[TVA acquittée])+SUMIF(Invest[Affectation matrice],$AB$3,Invest[TVA acquittée]))*BH47</f>
        <v>0</v>
      </c>
      <c r="CJ47" s="200">
        <f>(SUMIF(Fonctionnement[Affectation matrice],$AB$3,Fonctionnement[TVA acquittée])+SUMIF(Invest[Affectation matrice],$AB$3,Invest[TVA acquittée]))*BI47</f>
        <v>0</v>
      </c>
      <c r="CK47" s="200">
        <f>(SUMIF(Fonctionnement[Affectation matrice],$AB$3,Fonctionnement[TVA acquittée])+SUMIF(Invest[Affectation matrice],$AB$3,Invest[TVA acquittée]))*BJ47</f>
        <v>0</v>
      </c>
      <c r="CL47" s="200">
        <f>(SUMIF(Fonctionnement[Affectation matrice],$AB$3,Fonctionnement[TVA acquittée])+SUMIF(Invest[Affectation matrice],$AB$3,Invest[TVA acquittée]))*BK47</f>
        <v>0</v>
      </c>
      <c r="CM47" s="200">
        <f>(SUMIF(Fonctionnement[Affectation matrice],$AB$3,Fonctionnement[TVA acquittée])+SUMIF(Invest[Affectation matrice],$AB$3,Invest[TVA acquittée]))*BL47</f>
        <v>0</v>
      </c>
      <c r="CN47" s="200">
        <f>(SUMIF(Fonctionnement[Affectation matrice],$AB$3,Fonctionnement[TVA acquittée])+SUMIF(Invest[Affectation matrice],$AB$3,Invest[TVA acquittée]))*BM47</f>
        <v>0</v>
      </c>
      <c r="CO47" s="200">
        <f>(SUMIF(Fonctionnement[Affectation matrice],$AB$3,Fonctionnement[TVA acquittée])+SUMIF(Invest[Affectation matrice],$AB$3,Invest[TVA acquittée]))*BN47</f>
        <v>0</v>
      </c>
      <c r="CP47" s="200">
        <f>(SUMIF(Fonctionnement[Affectation matrice],$AB$3,Fonctionnement[TVA acquittée])+SUMIF(Invest[Affectation matrice],$AB$3,Invest[TVA acquittée]))*BO47</f>
        <v>0</v>
      </c>
      <c r="CQ47" s="200">
        <f>(SUMIF(Fonctionnement[Affectation matrice],$AB$3,Fonctionnement[TVA acquittée])+SUMIF(Invest[Affectation matrice],$AB$3,Invest[TVA acquittée]))*BP47</f>
        <v>0</v>
      </c>
      <c r="CR47" s="200">
        <f>(SUMIF(Fonctionnement[Affectation matrice],$AB$3,Fonctionnement[TVA acquittée])+SUMIF(Invest[Affectation matrice],$AB$3,Invest[TVA acquittée]))*BQ47</f>
        <v>0</v>
      </c>
      <c r="CS47" s="200">
        <f>(SUMIF(Fonctionnement[Affectation matrice],$AB$3,Fonctionnement[TVA acquittée])+SUMIF(Invest[Affectation matrice],$AB$3,Invest[TVA acquittée]))*BR47</f>
        <v>0</v>
      </c>
      <c r="CT47" s="200">
        <f>(SUMIF(Fonctionnement[Affectation matrice],$AB$3,Fonctionnement[TVA acquittée])+SUMIF(Invest[Affectation matrice],$AB$3,Invest[TVA acquittée]))*BS47</f>
        <v>0</v>
      </c>
      <c r="CU47" s="200">
        <f>(SUMIF(Fonctionnement[Affectation matrice],$AB$3,Fonctionnement[TVA acquittée])+SUMIF(Invest[Affectation matrice],$AB$3,Invest[TVA acquittée]))*BT47</f>
        <v>0</v>
      </c>
      <c r="CV47" s="200">
        <f>(SUMIF(Fonctionnement[Affectation matrice],$AB$3,Fonctionnement[TVA acquittée])+SUMIF(Invest[Affectation matrice],$AB$3,Invest[TVA acquittée]))*BU47</f>
        <v>0</v>
      </c>
      <c r="CW47" s="200">
        <f>(SUMIF(Fonctionnement[Affectation matrice],$AB$3,Fonctionnement[TVA acquittée])+SUMIF(Invest[Affectation matrice],$AB$3,Invest[TVA acquittée]))*BV47</f>
        <v>0</v>
      </c>
      <c r="CX47" s="200">
        <f>(SUMIF(Fonctionnement[Affectation matrice],$AB$3,Fonctionnement[TVA acquittée])+SUMIF(Invest[Affectation matrice],$AB$3,Invest[TVA acquittée]))*BW47</f>
        <v>0</v>
      </c>
      <c r="CY47" s="200">
        <f>(SUMIF(Fonctionnement[Affectation matrice],$AB$3,Fonctionnement[TVA acquittée])+SUMIF(Invest[Affectation matrice],$AB$3,Invest[TVA acquittée]))*BX47</f>
        <v>0</v>
      </c>
      <c r="CZ47" s="200">
        <f>(SUMIF(Fonctionnement[Affectation matrice],$AB$3,Fonctionnement[TVA acquittée])+SUMIF(Invest[Affectation matrice],$AB$3,Invest[TVA acquittée]))*BY47</f>
        <v>0</v>
      </c>
      <c r="DA47" s="200">
        <f>(SUMIF(Fonctionnement[Affectation matrice],$AB$3,Fonctionnement[TVA acquittée])+SUMIF(Invest[Affectation matrice],$AB$3,Invest[TVA acquittée]))*BZ47</f>
        <v>0</v>
      </c>
      <c r="DB47" s="200">
        <f>(SUMIF(Fonctionnement[Affectation matrice],$AB$3,Fonctionnement[TVA acquittée])+SUMIF(Invest[Affectation matrice],$AB$3,Invest[TVA acquittée]))*CA47</f>
        <v>0</v>
      </c>
    </row>
    <row r="48" spans="1:106" ht="12.75" hidden="1" customHeight="1" x14ac:dyDescent="0.25">
      <c r="A48" s="42">
        <f>Matrice[[#This Row],[Ligne de la matrice]]</f>
        <v>0</v>
      </c>
      <c r="B48" s="276">
        <f>(SUMIF(Fonctionnement[Affectation matrice],$AB$3,Fonctionnement[Montant (€HT)])+SUMIF(Invest[Affectation matrice],$AB$3,Invest[Amortissement HT + intérêts]))*BC48</f>
        <v>0</v>
      </c>
      <c r="C48" s="276">
        <f>(SUMIF(Fonctionnement[Affectation matrice],$AB$3,Fonctionnement[Montant (€HT)])+SUMIF(Invest[Affectation matrice],$AB$3,Invest[Amortissement HT + intérêts]))*BD48</f>
        <v>0</v>
      </c>
      <c r="D48" s="276">
        <f>(SUMIF(Fonctionnement[Affectation matrice],$AB$3,Fonctionnement[Montant (€HT)])+SUMIF(Invest[Affectation matrice],$AB$3,Invest[Amortissement HT + intérêts]))*BE48</f>
        <v>0</v>
      </c>
      <c r="E48" s="276">
        <f>(SUMIF(Fonctionnement[Affectation matrice],$AB$3,Fonctionnement[Montant (€HT)])+SUMIF(Invest[Affectation matrice],$AB$3,Invest[Amortissement HT + intérêts]))*BF48</f>
        <v>0</v>
      </c>
      <c r="F48" s="276">
        <f>(SUMIF(Fonctionnement[Affectation matrice],$AB$3,Fonctionnement[Montant (€HT)])+SUMIF(Invest[Affectation matrice],$AB$3,Invest[Amortissement HT + intérêts]))*BG48</f>
        <v>0</v>
      </c>
      <c r="G48" s="276">
        <f>(SUMIF(Fonctionnement[Affectation matrice],$AB$3,Fonctionnement[Montant (€HT)])+SUMIF(Invest[Affectation matrice],$AB$3,Invest[Amortissement HT + intérêts]))*BH48</f>
        <v>0</v>
      </c>
      <c r="H48" s="276">
        <f>(SUMIF(Fonctionnement[Affectation matrice],$AB$3,Fonctionnement[Montant (€HT)])+SUMIF(Invest[Affectation matrice],$AB$3,Invest[Amortissement HT + intérêts]))*BI48</f>
        <v>0</v>
      </c>
      <c r="I48" s="276">
        <f>(SUMIF(Fonctionnement[Affectation matrice],$AB$3,Fonctionnement[Montant (€HT)])+SUMIF(Invest[Affectation matrice],$AB$3,Invest[Amortissement HT + intérêts]))*BJ48</f>
        <v>0</v>
      </c>
      <c r="J48" s="276">
        <f>(SUMIF(Fonctionnement[Affectation matrice],$AB$3,Fonctionnement[Montant (€HT)])+SUMIF(Invest[Affectation matrice],$AB$3,Invest[Amortissement HT + intérêts]))*BK48</f>
        <v>0</v>
      </c>
      <c r="K48" s="276">
        <f>(SUMIF(Fonctionnement[Affectation matrice],$AB$3,Fonctionnement[Montant (€HT)])+SUMIF(Invest[Affectation matrice],$AB$3,Invest[Amortissement HT + intérêts]))*BL48</f>
        <v>0</v>
      </c>
      <c r="L48" s="276">
        <f>(SUMIF(Fonctionnement[Affectation matrice],$AB$3,Fonctionnement[Montant (€HT)])+SUMIF(Invest[Affectation matrice],$AB$3,Invest[Amortissement HT + intérêts]))*BM48</f>
        <v>0</v>
      </c>
      <c r="M48" s="276">
        <f>(SUMIF(Fonctionnement[Affectation matrice],$AB$3,Fonctionnement[Montant (€HT)])+SUMIF(Invest[Affectation matrice],$AB$3,Invest[Amortissement HT + intérêts]))*BN48</f>
        <v>0</v>
      </c>
      <c r="N48" s="276">
        <f>(SUMIF(Fonctionnement[Affectation matrice],$AB$3,Fonctionnement[Montant (€HT)])+SUMIF(Invest[Affectation matrice],$AB$3,Invest[Amortissement HT + intérêts]))*BO48</f>
        <v>0</v>
      </c>
      <c r="O48" s="276">
        <f>(SUMIF(Fonctionnement[Affectation matrice],$AB$3,Fonctionnement[Montant (€HT)])+SUMIF(Invest[Affectation matrice],$AB$3,Invest[Amortissement HT + intérêts]))*BP48</f>
        <v>0</v>
      </c>
      <c r="P48" s="276">
        <f>(SUMIF(Fonctionnement[Affectation matrice],$AB$3,Fonctionnement[Montant (€HT)])+SUMIF(Invest[Affectation matrice],$AB$3,Invest[Amortissement HT + intérêts]))*BQ48</f>
        <v>0</v>
      </c>
      <c r="Q48" s="276">
        <f>(SUMIF(Fonctionnement[Affectation matrice],$AB$3,Fonctionnement[Montant (€HT)])+SUMIF(Invest[Affectation matrice],$AB$3,Invest[Amortissement HT + intérêts]))*BR48</f>
        <v>0</v>
      </c>
      <c r="R48" s="276">
        <f>(SUMIF(Fonctionnement[Affectation matrice],$AB$3,Fonctionnement[Montant (€HT)])+SUMIF(Invest[Affectation matrice],$AB$3,Invest[Amortissement HT + intérêts]))*BS48</f>
        <v>0</v>
      </c>
      <c r="S48" s="276">
        <f>(SUMIF(Fonctionnement[Affectation matrice],$AB$3,Fonctionnement[Montant (€HT)])+SUMIF(Invest[Affectation matrice],$AB$3,Invest[Amortissement HT + intérêts]))*BT48</f>
        <v>0</v>
      </c>
      <c r="T48" s="276">
        <f>(SUMIF(Fonctionnement[Affectation matrice],$AB$3,Fonctionnement[Montant (€HT)])+SUMIF(Invest[Affectation matrice],$AB$3,Invest[Amortissement HT + intérêts]))*BU48</f>
        <v>0</v>
      </c>
      <c r="U48" s="276">
        <f>(SUMIF(Fonctionnement[Affectation matrice],$AB$3,Fonctionnement[Montant (€HT)])+SUMIF(Invest[Affectation matrice],$AB$3,Invest[Amortissement HT + intérêts]))*BV48</f>
        <v>0</v>
      </c>
      <c r="V48" s="276">
        <f>(SUMIF(Fonctionnement[Affectation matrice],$AB$3,Fonctionnement[Montant (€HT)])+SUMIF(Invest[Affectation matrice],$AB$3,Invest[Amortissement HT + intérêts]))*BW48</f>
        <v>0</v>
      </c>
      <c r="W48" s="276">
        <f>(SUMIF(Fonctionnement[Affectation matrice],$AB$3,Fonctionnement[Montant (€HT)])+SUMIF(Invest[Affectation matrice],$AB$3,Invest[Amortissement HT + intérêts]))*BX48</f>
        <v>0</v>
      </c>
      <c r="X48" s="276">
        <f>(SUMIF(Fonctionnement[Affectation matrice],$AB$3,Fonctionnement[Montant (€HT)])+SUMIF(Invest[Affectation matrice],$AB$3,Invest[Amortissement HT + intérêts]))*BY48</f>
        <v>0</v>
      </c>
      <c r="Y48" s="276">
        <f>(SUMIF(Fonctionnement[Affectation matrice],$AB$3,Fonctionnement[Montant (€HT)])+SUMIF(Invest[Affectation matrice],$AB$3,Invest[Amortissement HT + intérêts]))*BZ48</f>
        <v>0</v>
      </c>
      <c r="Z48" s="276">
        <f>(SUMIF(Fonctionnement[Affectation matrice],$AB$3,Fonctionnement[Montant (€HT)])+SUMIF(Invest[Affectation matrice],$AB$3,Invest[Amortissement HT + intérêts]))*CA48</f>
        <v>0</v>
      </c>
      <c r="AA48" s="199"/>
      <c r="AB48" s="302" t="str">
        <f t="shared" si="87"/>
        <v/>
      </c>
      <c r="AC48" s="302" t="str">
        <f t="shared" si="87"/>
        <v/>
      </c>
      <c r="AD48" s="302" t="str">
        <f t="shared" si="87"/>
        <v/>
      </c>
      <c r="AE48" s="302" t="str">
        <f t="shared" si="87"/>
        <v/>
      </c>
      <c r="AF48" s="302" t="str">
        <f t="shared" si="87"/>
        <v/>
      </c>
      <c r="AG48" s="302" t="str">
        <f t="shared" si="87"/>
        <v/>
      </c>
      <c r="AH48" s="302" t="str">
        <f t="shared" si="87"/>
        <v/>
      </c>
      <c r="AI48" s="302" t="str">
        <f t="shared" si="87"/>
        <v/>
      </c>
      <c r="AJ48" s="302" t="str">
        <f t="shared" si="87"/>
        <v/>
      </c>
      <c r="AK48" s="302" t="str">
        <f t="shared" si="87"/>
        <v/>
      </c>
      <c r="AL48" s="302" t="str">
        <f t="shared" si="88"/>
        <v/>
      </c>
      <c r="AM48" s="302" t="str">
        <f t="shared" si="88"/>
        <v/>
      </c>
      <c r="AN48" s="302" t="str">
        <f t="shared" si="88"/>
        <v/>
      </c>
      <c r="AO48" s="302" t="str">
        <f t="shared" si="88"/>
        <v/>
      </c>
      <c r="AP48" s="302" t="str">
        <f t="shared" si="88"/>
        <v/>
      </c>
      <c r="AQ48" s="302" t="str">
        <f t="shared" si="88"/>
        <v/>
      </c>
      <c r="AR48" s="302" t="str">
        <f t="shared" si="88"/>
        <v/>
      </c>
      <c r="AS48" s="302" t="str">
        <f t="shared" si="88"/>
        <v/>
      </c>
      <c r="AT48" s="302" t="str">
        <f t="shared" si="88"/>
        <v/>
      </c>
      <c r="AU48" s="302" t="str">
        <f t="shared" si="88"/>
        <v/>
      </c>
      <c r="AV48" s="302" t="str">
        <f t="shared" si="88"/>
        <v/>
      </c>
      <c r="AW48" s="302" t="str">
        <f t="shared" si="88"/>
        <v/>
      </c>
      <c r="AX48" s="302" t="str">
        <f t="shared" si="88"/>
        <v/>
      </c>
      <c r="AY48" s="302" t="str">
        <f t="shared" si="88"/>
        <v/>
      </c>
      <c r="AZ48" s="302" t="str">
        <f t="shared" si="88"/>
        <v/>
      </c>
      <c r="BA48" s="283" t="str">
        <f t="shared" si="88"/>
        <v/>
      </c>
      <c r="BC48" s="61">
        <f t="shared" si="89"/>
        <v>0</v>
      </c>
      <c r="BD48" s="61">
        <f t="shared" si="90"/>
        <v>0</v>
      </c>
      <c r="BE48" s="61">
        <f t="shared" si="91"/>
        <v>0</v>
      </c>
      <c r="BF48" s="61">
        <f t="shared" si="92"/>
        <v>0</v>
      </c>
      <c r="BG48" s="61">
        <f t="shared" si="93"/>
        <v>0</v>
      </c>
      <c r="BH48" s="61">
        <f t="shared" si="94"/>
        <v>0</v>
      </c>
      <c r="BI48" s="61">
        <f t="shared" si="95"/>
        <v>0</v>
      </c>
      <c r="BJ48" s="61">
        <f t="shared" si="96"/>
        <v>0</v>
      </c>
      <c r="BK48" s="61">
        <f t="shared" si="97"/>
        <v>0</v>
      </c>
      <c r="BL48" s="61">
        <f t="shared" si="98"/>
        <v>0</v>
      </c>
      <c r="BM48" s="61">
        <f t="shared" si="99"/>
        <v>0</v>
      </c>
      <c r="BN48" s="61">
        <f t="shared" si="100"/>
        <v>0</v>
      </c>
      <c r="BO48" s="61">
        <f t="shared" si="101"/>
        <v>0</v>
      </c>
      <c r="BP48" s="61">
        <f t="shared" si="102"/>
        <v>0</v>
      </c>
      <c r="BQ48" s="61">
        <f t="shared" si="103"/>
        <v>0</v>
      </c>
      <c r="BR48" s="61">
        <f t="shared" si="104"/>
        <v>0</v>
      </c>
      <c r="BS48" s="61">
        <f t="shared" si="105"/>
        <v>0</v>
      </c>
      <c r="BT48" s="61">
        <f t="shared" si="106"/>
        <v>0</v>
      </c>
      <c r="BU48" s="61">
        <f t="shared" si="107"/>
        <v>0</v>
      </c>
      <c r="BV48" s="61">
        <f t="shared" si="108"/>
        <v>0</v>
      </c>
      <c r="BW48" s="61">
        <f t="shared" si="109"/>
        <v>0</v>
      </c>
      <c r="BX48" s="61">
        <f t="shared" si="110"/>
        <v>0</v>
      </c>
      <c r="BY48" s="61">
        <f t="shared" si="111"/>
        <v>0</v>
      </c>
      <c r="BZ48" s="61">
        <f t="shared" si="112"/>
        <v>0</v>
      </c>
      <c r="CA48" s="61">
        <f t="shared" si="113"/>
        <v>0</v>
      </c>
      <c r="CB48" s="61">
        <f t="shared" si="52"/>
        <v>0</v>
      </c>
      <c r="CD48" s="200">
        <f>(SUMIF(Fonctionnement[Affectation matrice],$AB$3,Fonctionnement[TVA acquittée])+SUMIF(Invest[Affectation matrice],$AB$3,Invest[TVA acquittée]))*BC48</f>
        <v>0</v>
      </c>
      <c r="CE48" s="200">
        <f>(SUMIF(Fonctionnement[Affectation matrice],$AB$3,Fonctionnement[TVA acquittée])+SUMIF(Invest[Affectation matrice],$AB$3,Invest[TVA acquittée]))*BD48</f>
        <v>0</v>
      </c>
      <c r="CF48" s="200">
        <f>(SUMIF(Fonctionnement[Affectation matrice],$AB$3,Fonctionnement[TVA acquittée])+SUMIF(Invest[Affectation matrice],$AB$3,Invest[TVA acquittée]))*BE48</f>
        <v>0</v>
      </c>
      <c r="CG48" s="200">
        <f>(SUMIF(Fonctionnement[Affectation matrice],$AB$3,Fonctionnement[TVA acquittée])+SUMIF(Invest[Affectation matrice],$AB$3,Invest[TVA acquittée]))*BF48</f>
        <v>0</v>
      </c>
      <c r="CH48" s="200">
        <f>(SUMIF(Fonctionnement[Affectation matrice],$AB$3,Fonctionnement[TVA acquittée])+SUMIF(Invest[Affectation matrice],$AB$3,Invest[TVA acquittée]))*BG48</f>
        <v>0</v>
      </c>
      <c r="CI48" s="200">
        <f>(SUMIF(Fonctionnement[Affectation matrice],$AB$3,Fonctionnement[TVA acquittée])+SUMIF(Invest[Affectation matrice],$AB$3,Invest[TVA acquittée]))*BH48</f>
        <v>0</v>
      </c>
      <c r="CJ48" s="200">
        <f>(SUMIF(Fonctionnement[Affectation matrice],$AB$3,Fonctionnement[TVA acquittée])+SUMIF(Invest[Affectation matrice],$AB$3,Invest[TVA acquittée]))*BI48</f>
        <v>0</v>
      </c>
      <c r="CK48" s="200">
        <f>(SUMIF(Fonctionnement[Affectation matrice],$AB$3,Fonctionnement[TVA acquittée])+SUMIF(Invest[Affectation matrice],$AB$3,Invest[TVA acquittée]))*BJ48</f>
        <v>0</v>
      </c>
      <c r="CL48" s="200">
        <f>(SUMIF(Fonctionnement[Affectation matrice],$AB$3,Fonctionnement[TVA acquittée])+SUMIF(Invest[Affectation matrice],$AB$3,Invest[TVA acquittée]))*BK48</f>
        <v>0</v>
      </c>
      <c r="CM48" s="200">
        <f>(SUMIF(Fonctionnement[Affectation matrice],$AB$3,Fonctionnement[TVA acquittée])+SUMIF(Invest[Affectation matrice],$AB$3,Invest[TVA acquittée]))*BL48</f>
        <v>0</v>
      </c>
      <c r="CN48" s="200">
        <f>(SUMIF(Fonctionnement[Affectation matrice],$AB$3,Fonctionnement[TVA acquittée])+SUMIF(Invest[Affectation matrice],$AB$3,Invest[TVA acquittée]))*BM48</f>
        <v>0</v>
      </c>
      <c r="CO48" s="200">
        <f>(SUMIF(Fonctionnement[Affectation matrice],$AB$3,Fonctionnement[TVA acquittée])+SUMIF(Invest[Affectation matrice],$AB$3,Invest[TVA acquittée]))*BN48</f>
        <v>0</v>
      </c>
      <c r="CP48" s="200">
        <f>(SUMIF(Fonctionnement[Affectation matrice],$AB$3,Fonctionnement[TVA acquittée])+SUMIF(Invest[Affectation matrice],$AB$3,Invest[TVA acquittée]))*BO48</f>
        <v>0</v>
      </c>
      <c r="CQ48" s="200">
        <f>(SUMIF(Fonctionnement[Affectation matrice],$AB$3,Fonctionnement[TVA acquittée])+SUMIF(Invest[Affectation matrice],$AB$3,Invest[TVA acquittée]))*BP48</f>
        <v>0</v>
      </c>
      <c r="CR48" s="200">
        <f>(SUMIF(Fonctionnement[Affectation matrice],$AB$3,Fonctionnement[TVA acquittée])+SUMIF(Invest[Affectation matrice],$AB$3,Invest[TVA acquittée]))*BQ48</f>
        <v>0</v>
      </c>
      <c r="CS48" s="200">
        <f>(SUMIF(Fonctionnement[Affectation matrice],$AB$3,Fonctionnement[TVA acquittée])+SUMIF(Invest[Affectation matrice],$AB$3,Invest[TVA acquittée]))*BR48</f>
        <v>0</v>
      </c>
      <c r="CT48" s="200">
        <f>(SUMIF(Fonctionnement[Affectation matrice],$AB$3,Fonctionnement[TVA acquittée])+SUMIF(Invest[Affectation matrice],$AB$3,Invest[TVA acquittée]))*BS48</f>
        <v>0</v>
      </c>
      <c r="CU48" s="200">
        <f>(SUMIF(Fonctionnement[Affectation matrice],$AB$3,Fonctionnement[TVA acquittée])+SUMIF(Invest[Affectation matrice],$AB$3,Invest[TVA acquittée]))*BT48</f>
        <v>0</v>
      </c>
      <c r="CV48" s="200">
        <f>(SUMIF(Fonctionnement[Affectation matrice],$AB$3,Fonctionnement[TVA acquittée])+SUMIF(Invest[Affectation matrice],$AB$3,Invest[TVA acquittée]))*BU48</f>
        <v>0</v>
      </c>
      <c r="CW48" s="200">
        <f>(SUMIF(Fonctionnement[Affectation matrice],$AB$3,Fonctionnement[TVA acquittée])+SUMIF(Invest[Affectation matrice],$AB$3,Invest[TVA acquittée]))*BV48</f>
        <v>0</v>
      </c>
      <c r="CX48" s="200">
        <f>(SUMIF(Fonctionnement[Affectation matrice],$AB$3,Fonctionnement[TVA acquittée])+SUMIF(Invest[Affectation matrice],$AB$3,Invest[TVA acquittée]))*BW48</f>
        <v>0</v>
      </c>
      <c r="CY48" s="200">
        <f>(SUMIF(Fonctionnement[Affectation matrice],$AB$3,Fonctionnement[TVA acquittée])+SUMIF(Invest[Affectation matrice],$AB$3,Invest[TVA acquittée]))*BX48</f>
        <v>0</v>
      </c>
      <c r="CZ48" s="200">
        <f>(SUMIF(Fonctionnement[Affectation matrice],$AB$3,Fonctionnement[TVA acquittée])+SUMIF(Invest[Affectation matrice],$AB$3,Invest[TVA acquittée]))*BY48</f>
        <v>0</v>
      </c>
      <c r="DA48" s="200">
        <f>(SUMIF(Fonctionnement[Affectation matrice],$AB$3,Fonctionnement[TVA acquittée])+SUMIF(Invest[Affectation matrice],$AB$3,Invest[TVA acquittée]))*BZ48</f>
        <v>0</v>
      </c>
      <c r="DB48" s="200">
        <f>(SUMIF(Fonctionnement[Affectation matrice],$AB$3,Fonctionnement[TVA acquittée])+SUMIF(Invest[Affectation matrice],$AB$3,Invest[TVA acquittée]))*CA48</f>
        <v>0</v>
      </c>
    </row>
    <row r="49" spans="1:107" ht="12.75" hidden="1" customHeight="1" x14ac:dyDescent="0.25">
      <c r="A49" s="42">
        <f>Matrice[[#This Row],[Ligne de la matrice]]</f>
        <v>0</v>
      </c>
      <c r="B49" s="276">
        <f>(SUMIF(Fonctionnement[Affectation matrice],$AB$3,Fonctionnement[Montant (€HT)])+SUMIF(Invest[Affectation matrice],$AB$3,Invest[Amortissement HT + intérêts]))*BC49</f>
        <v>0</v>
      </c>
      <c r="C49" s="276">
        <f>(SUMIF(Fonctionnement[Affectation matrice],$AB$3,Fonctionnement[Montant (€HT)])+SUMIF(Invest[Affectation matrice],$AB$3,Invest[Amortissement HT + intérêts]))*BD49</f>
        <v>0</v>
      </c>
      <c r="D49" s="276">
        <f>(SUMIF(Fonctionnement[Affectation matrice],$AB$3,Fonctionnement[Montant (€HT)])+SUMIF(Invest[Affectation matrice],$AB$3,Invest[Amortissement HT + intérêts]))*BE49</f>
        <v>0</v>
      </c>
      <c r="E49" s="276">
        <f>(SUMIF(Fonctionnement[Affectation matrice],$AB$3,Fonctionnement[Montant (€HT)])+SUMIF(Invest[Affectation matrice],$AB$3,Invest[Amortissement HT + intérêts]))*BF49</f>
        <v>0</v>
      </c>
      <c r="F49" s="276">
        <f>(SUMIF(Fonctionnement[Affectation matrice],$AB$3,Fonctionnement[Montant (€HT)])+SUMIF(Invest[Affectation matrice],$AB$3,Invest[Amortissement HT + intérêts]))*BG49</f>
        <v>0</v>
      </c>
      <c r="G49" s="276">
        <f>(SUMIF(Fonctionnement[Affectation matrice],$AB$3,Fonctionnement[Montant (€HT)])+SUMIF(Invest[Affectation matrice],$AB$3,Invest[Amortissement HT + intérêts]))*BH49</f>
        <v>0</v>
      </c>
      <c r="H49" s="276">
        <f>(SUMIF(Fonctionnement[Affectation matrice],$AB$3,Fonctionnement[Montant (€HT)])+SUMIF(Invest[Affectation matrice],$AB$3,Invest[Amortissement HT + intérêts]))*BI49</f>
        <v>0</v>
      </c>
      <c r="I49" s="276">
        <f>(SUMIF(Fonctionnement[Affectation matrice],$AB$3,Fonctionnement[Montant (€HT)])+SUMIF(Invest[Affectation matrice],$AB$3,Invest[Amortissement HT + intérêts]))*BJ49</f>
        <v>0</v>
      </c>
      <c r="J49" s="276">
        <f>(SUMIF(Fonctionnement[Affectation matrice],$AB$3,Fonctionnement[Montant (€HT)])+SUMIF(Invest[Affectation matrice],$AB$3,Invest[Amortissement HT + intérêts]))*BK49</f>
        <v>0</v>
      </c>
      <c r="K49" s="276">
        <f>(SUMIF(Fonctionnement[Affectation matrice],$AB$3,Fonctionnement[Montant (€HT)])+SUMIF(Invest[Affectation matrice],$AB$3,Invest[Amortissement HT + intérêts]))*BL49</f>
        <v>0</v>
      </c>
      <c r="L49" s="276">
        <f>(SUMIF(Fonctionnement[Affectation matrice],$AB$3,Fonctionnement[Montant (€HT)])+SUMIF(Invest[Affectation matrice],$AB$3,Invest[Amortissement HT + intérêts]))*BM49</f>
        <v>0</v>
      </c>
      <c r="M49" s="276">
        <f>(SUMIF(Fonctionnement[Affectation matrice],$AB$3,Fonctionnement[Montant (€HT)])+SUMIF(Invest[Affectation matrice],$AB$3,Invest[Amortissement HT + intérêts]))*BN49</f>
        <v>0</v>
      </c>
      <c r="N49" s="276">
        <f>(SUMIF(Fonctionnement[Affectation matrice],$AB$3,Fonctionnement[Montant (€HT)])+SUMIF(Invest[Affectation matrice],$AB$3,Invest[Amortissement HT + intérêts]))*BO49</f>
        <v>0</v>
      </c>
      <c r="O49" s="276">
        <f>(SUMIF(Fonctionnement[Affectation matrice],$AB$3,Fonctionnement[Montant (€HT)])+SUMIF(Invest[Affectation matrice],$AB$3,Invest[Amortissement HT + intérêts]))*BP49</f>
        <v>0</v>
      </c>
      <c r="P49" s="276">
        <f>(SUMIF(Fonctionnement[Affectation matrice],$AB$3,Fonctionnement[Montant (€HT)])+SUMIF(Invest[Affectation matrice],$AB$3,Invest[Amortissement HT + intérêts]))*BQ49</f>
        <v>0</v>
      </c>
      <c r="Q49" s="276">
        <f>(SUMIF(Fonctionnement[Affectation matrice],$AB$3,Fonctionnement[Montant (€HT)])+SUMIF(Invest[Affectation matrice],$AB$3,Invest[Amortissement HT + intérêts]))*BR49</f>
        <v>0</v>
      </c>
      <c r="R49" s="276">
        <f>(SUMIF(Fonctionnement[Affectation matrice],$AB$3,Fonctionnement[Montant (€HT)])+SUMIF(Invest[Affectation matrice],$AB$3,Invest[Amortissement HT + intérêts]))*BS49</f>
        <v>0</v>
      </c>
      <c r="S49" s="276">
        <f>(SUMIF(Fonctionnement[Affectation matrice],$AB$3,Fonctionnement[Montant (€HT)])+SUMIF(Invest[Affectation matrice],$AB$3,Invest[Amortissement HT + intérêts]))*BT49</f>
        <v>0</v>
      </c>
      <c r="T49" s="276">
        <f>(SUMIF(Fonctionnement[Affectation matrice],$AB$3,Fonctionnement[Montant (€HT)])+SUMIF(Invest[Affectation matrice],$AB$3,Invest[Amortissement HT + intérêts]))*BU49</f>
        <v>0</v>
      </c>
      <c r="U49" s="276">
        <f>(SUMIF(Fonctionnement[Affectation matrice],$AB$3,Fonctionnement[Montant (€HT)])+SUMIF(Invest[Affectation matrice],$AB$3,Invest[Amortissement HT + intérêts]))*BV49</f>
        <v>0</v>
      </c>
      <c r="V49" s="276">
        <f>(SUMIF(Fonctionnement[Affectation matrice],$AB$3,Fonctionnement[Montant (€HT)])+SUMIF(Invest[Affectation matrice],$AB$3,Invest[Amortissement HT + intérêts]))*BW49</f>
        <v>0</v>
      </c>
      <c r="W49" s="276">
        <f>(SUMIF(Fonctionnement[Affectation matrice],$AB$3,Fonctionnement[Montant (€HT)])+SUMIF(Invest[Affectation matrice],$AB$3,Invest[Amortissement HT + intérêts]))*BX49</f>
        <v>0</v>
      </c>
      <c r="X49" s="276">
        <f>(SUMIF(Fonctionnement[Affectation matrice],$AB$3,Fonctionnement[Montant (€HT)])+SUMIF(Invest[Affectation matrice],$AB$3,Invest[Amortissement HT + intérêts]))*BY49</f>
        <v>0</v>
      </c>
      <c r="Y49" s="276">
        <f>(SUMIF(Fonctionnement[Affectation matrice],$AB$3,Fonctionnement[Montant (€HT)])+SUMIF(Invest[Affectation matrice],$AB$3,Invest[Amortissement HT + intérêts]))*BZ49</f>
        <v>0</v>
      </c>
      <c r="Z49" s="276">
        <f>(SUMIF(Fonctionnement[Affectation matrice],$AB$3,Fonctionnement[Montant (€HT)])+SUMIF(Invest[Affectation matrice],$AB$3,Invest[Amortissement HT + intérêts]))*CA49</f>
        <v>0</v>
      </c>
      <c r="AA49" s="199"/>
      <c r="AB49" s="302" t="str">
        <f t="shared" si="87"/>
        <v/>
      </c>
      <c r="AC49" s="302" t="str">
        <f t="shared" si="87"/>
        <v/>
      </c>
      <c r="AD49" s="302" t="str">
        <f t="shared" si="87"/>
        <v/>
      </c>
      <c r="AE49" s="302" t="str">
        <f t="shared" si="87"/>
        <v/>
      </c>
      <c r="AF49" s="302" t="str">
        <f t="shared" si="87"/>
        <v/>
      </c>
      <c r="AG49" s="302" t="str">
        <f t="shared" si="87"/>
        <v/>
      </c>
      <c r="AH49" s="302" t="str">
        <f t="shared" si="87"/>
        <v/>
      </c>
      <c r="AI49" s="302" t="str">
        <f t="shared" si="87"/>
        <v/>
      </c>
      <c r="AJ49" s="302" t="str">
        <f t="shared" si="87"/>
        <v/>
      </c>
      <c r="AK49" s="302" t="str">
        <f t="shared" si="87"/>
        <v/>
      </c>
      <c r="AL49" s="302" t="str">
        <f t="shared" si="88"/>
        <v/>
      </c>
      <c r="AM49" s="302" t="str">
        <f t="shared" si="88"/>
        <v/>
      </c>
      <c r="AN49" s="302" t="str">
        <f t="shared" si="88"/>
        <v/>
      </c>
      <c r="AO49" s="302" t="str">
        <f t="shared" si="88"/>
        <v/>
      </c>
      <c r="AP49" s="302" t="str">
        <f t="shared" si="88"/>
        <v/>
      </c>
      <c r="AQ49" s="302" t="str">
        <f t="shared" si="88"/>
        <v/>
      </c>
      <c r="AR49" s="302" t="str">
        <f t="shared" si="88"/>
        <v/>
      </c>
      <c r="AS49" s="302" t="str">
        <f t="shared" si="88"/>
        <v/>
      </c>
      <c r="AT49" s="302" t="str">
        <f t="shared" si="88"/>
        <v/>
      </c>
      <c r="AU49" s="302" t="str">
        <f t="shared" si="88"/>
        <v/>
      </c>
      <c r="AV49" s="302" t="str">
        <f t="shared" si="88"/>
        <v/>
      </c>
      <c r="AW49" s="302" t="str">
        <f t="shared" si="88"/>
        <v/>
      </c>
      <c r="AX49" s="302" t="str">
        <f t="shared" si="88"/>
        <v/>
      </c>
      <c r="AY49" s="302" t="str">
        <f t="shared" si="88"/>
        <v/>
      </c>
      <c r="AZ49" s="302" t="str">
        <f t="shared" si="88"/>
        <v/>
      </c>
      <c r="BA49" s="283" t="str">
        <f t="shared" si="88"/>
        <v/>
      </c>
      <c r="BC49" s="61">
        <f t="shared" si="89"/>
        <v>0</v>
      </c>
      <c r="BD49" s="61">
        <f t="shared" si="90"/>
        <v>0</v>
      </c>
      <c r="BE49" s="61">
        <f t="shared" si="91"/>
        <v>0</v>
      </c>
      <c r="BF49" s="61">
        <f t="shared" si="92"/>
        <v>0</v>
      </c>
      <c r="BG49" s="61">
        <f t="shared" si="93"/>
        <v>0</v>
      </c>
      <c r="BH49" s="61">
        <f t="shared" si="94"/>
        <v>0</v>
      </c>
      <c r="BI49" s="61">
        <f t="shared" si="95"/>
        <v>0</v>
      </c>
      <c r="BJ49" s="61">
        <f t="shared" si="96"/>
        <v>0</v>
      </c>
      <c r="BK49" s="61">
        <f t="shared" si="97"/>
        <v>0</v>
      </c>
      <c r="BL49" s="61">
        <f t="shared" si="98"/>
        <v>0</v>
      </c>
      <c r="BM49" s="61">
        <f t="shared" si="99"/>
        <v>0</v>
      </c>
      <c r="BN49" s="61">
        <f t="shared" si="100"/>
        <v>0</v>
      </c>
      <c r="BO49" s="61">
        <f t="shared" si="101"/>
        <v>0</v>
      </c>
      <c r="BP49" s="61">
        <f t="shared" si="102"/>
        <v>0</v>
      </c>
      <c r="BQ49" s="61">
        <f t="shared" si="103"/>
        <v>0</v>
      </c>
      <c r="BR49" s="61">
        <f t="shared" si="104"/>
        <v>0</v>
      </c>
      <c r="BS49" s="61">
        <f t="shared" si="105"/>
        <v>0</v>
      </c>
      <c r="BT49" s="61">
        <f t="shared" si="106"/>
        <v>0</v>
      </c>
      <c r="BU49" s="61">
        <f t="shared" si="107"/>
        <v>0</v>
      </c>
      <c r="BV49" s="61">
        <f t="shared" si="108"/>
        <v>0</v>
      </c>
      <c r="BW49" s="61">
        <f t="shared" si="109"/>
        <v>0</v>
      </c>
      <c r="BX49" s="61">
        <f t="shared" si="110"/>
        <v>0</v>
      </c>
      <c r="BY49" s="61">
        <f t="shared" si="111"/>
        <v>0</v>
      </c>
      <c r="BZ49" s="61">
        <f t="shared" si="112"/>
        <v>0</v>
      </c>
      <c r="CA49" s="61">
        <f t="shared" si="113"/>
        <v>0</v>
      </c>
      <c r="CB49" s="61">
        <f t="shared" si="52"/>
        <v>0</v>
      </c>
      <c r="CD49" s="200">
        <f>(SUMIF(Fonctionnement[Affectation matrice],$AB$3,Fonctionnement[TVA acquittée])+SUMIF(Invest[Affectation matrice],$AB$3,Invest[TVA acquittée]))*BC49</f>
        <v>0</v>
      </c>
      <c r="CE49" s="200">
        <f>(SUMIF(Fonctionnement[Affectation matrice],$AB$3,Fonctionnement[TVA acquittée])+SUMIF(Invest[Affectation matrice],$AB$3,Invest[TVA acquittée]))*BD49</f>
        <v>0</v>
      </c>
      <c r="CF49" s="200">
        <f>(SUMIF(Fonctionnement[Affectation matrice],$AB$3,Fonctionnement[TVA acquittée])+SUMIF(Invest[Affectation matrice],$AB$3,Invest[TVA acquittée]))*BE49</f>
        <v>0</v>
      </c>
      <c r="CG49" s="200">
        <f>(SUMIF(Fonctionnement[Affectation matrice],$AB$3,Fonctionnement[TVA acquittée])+SUMIF(Invest[Affectation matrice],$AB$3,Invest[TVA acquittée]))*BF49</f>
        <v>0</v>
      </c>
      <c r="CH49" s="200">
        <f>(SUMIF(Fonctionnement[Affectation matrice],$AB$3,Fonctionnement[TVA acquittée])+SUMIF(Invest[Affectation matrice],$AB$3,Invest[TVA acquittée]))*BG49</f>
        <v>0</v>
      </c>
      <c r="CI49" s="200">
        <f>(SUMIF(Fonctionnement[Affectation matrice],$AB$3,Fonctionnement[TVA acquittée])+SUMIF(Invest[Affectation matrice],$AB$3,Invest[TVA acquittée]))*BH49</f>
        <v>0</v>
      </c>
      <c r="CJ49" s="200">
        <f>(SUMIF(Fonctionnement[Affectation matrice],$AB$3,Fonctionnement[TVA acquittée])+SUMIF(Invest[Affectation matrice],$AB$3,Invest[TVA acquittée]))*BI49</f>
        <v>0</v>
      </c>
      <c r="CK49" s="200">
        <f>(SUMIF(Fonctionnement[Affectation matrice],$AB$3,Fonctionnement[TVA acquittée])+SUMIF(Invest[Affectation matrice],$AB$3,Invest[TVA acquittée]))*BJ49</f>
        <v>0</v>
      </c>
      <c r="CL49" s="200">
        <f>(SUMIF(Fonctionnement[Affectation matrice],$AB$3,Fonctionnement[TVA acquittée])+SUMIF(Invest[Affectation matrice],$AB$3,Invest[TVA acquittée]))*BK49</f>
        <v>0</v>
      </c>
      <c r="CM49" s="200">
        <f>(SUMIF(Fonctionnement[Affectation matrice],$AB$3,Fonctionnement[TVA acquittée])+SUMIF(Invest[Affectation matrice],$AB$3,Invest[TVA acquittée]))*BL49</f>
        <v>0</v>
      </c>
      <c r="CN49" s="200">
        <f>(SUMIF(Fonctionnement[Affectation matrice],$AB$3,Fonctionnement[TVA acquittée])+SUMIF(Invest[Affectation matrice],$AB$3,Invest[TVA acquittée]))*BM49</f>
        <v>0</v>
      </c>
      <c r="CO49" s="200">
        <f>(SUMIF(Fonctionnement[Affectation matrice],$AB$3,Fonctionnement[TVA acquittée])+SUMIF(Invest[Affectation matrice],$AB$3,Invest[TVA acquittée]))*BN49</f>
        <v>0</v>
      </c>
      <c r="CP49" s="200">
        <f>(SUMIF(Fonctionnement[Affectation matrice],$AB$3,Fonctionnement[TVA acquittée])+SUMIF(Invest[Affectation matrice],$AB$3,Invest[TVA acquittée]))*BO49</f>
        <v>0</v>
      </c>
      <c r="CQ49" s="200">
        <f>(SUMIF(Fonctionnement[Affectation matrice],$AB$3,Fonctionnement[TVA acquittée])+SUMIF(Invest[Affectation matrice],$AB$3,Invest[TVA acquittée]))*BP49</f>
        <v>0</v>
      </c>
      <c r="CR49" s="200">
        <f>(SUMIF(Fonctionnement[Affectation matrice],$AB$3,Fonctionnement[TVA acquittée])+SUMIF(Invest[Affectation matrice],$AB$3,Invest[TVA acquittée]))*BQ49</f>
        <v>0</v>
      </c>
      <c r="CS49" s="200">
        <f>(SUMIF(Fonctionnement[Affectation matrice],$AB$3,Fonctionnement[TVA acquittée])+SUMIF(Invest[Affectation matrice],$AB$3,Invest[TVA acquittée]))*BR49</f>
        <v>0</v>
      </c>
      <c r="CT49" s="200">
        <f>(SUMIF(Fonctionnement[Affectation matrice],$AB$3,Fonctionnement[TVA acquittée])+SUMIF(Invest[Affectation matrice],$AB$3,Invest[TVA acquittée]))*BS49</f>
        <v>0</v>
      </c>
      <c r="CU49" s="200">
        <f>(SUMIF(Fonctionnement[Affectation matrice],$AB$3,Fonctionnement[TVA acquittée])+SUMIF(Invest[Affectation matrice],$AB$3,Invest[TVA acquittée]))*BT49</f>
        <v>0</v>
      </c>
      <c r="CV49" s="200">
        <f>(SUMIF(Fonctionnement[Affectation matrice],$AB$3,Fonctionnement[TVA acquittée])+SUMIF(Invest[Affectation matrice],$AB$3,Invest[TVA acquittée]))*BU49</f>
        <v>0</v>
      </c>
      <c r="CW49" s="200">
        <f>(SUMIF(Fonctionnement[Affectation matrice],$AB$3,Fonctionnement[TVA acquittée])+SUMIF(Invest[Affectation matrice],$AB$3,Invest[TVA acquittée]))*BV49</f>
        <v>0</v>
      </c>
      <c r="CX49" s="200">
        <f>(SUMIF(Fonctionnement[Affectation matrice],$AB$3,Fonctionnement[TVA acquittée])+SUMIF(Invest[Affectation matrice],$AB$3,Invest[TVA acquittée]))*BW49</f>
        <v>0</v>
      </c>
      <c r="CY49" s="200">
        <f>(SUMIF(Fonctionnement[Affectation matrice],$AB$3,Fonctionnement[TVA acquittée])+SUMIF(Invest[Affectation matrice],$AB$3,Invest[TVA acquittée]))*BX49</f>
        <v>0</v>
      </c>
      <c r="CZ49" s="200">
        <f>(SUMIF(Fonctionnement[Affectation matrice],$AB$3,Fonctionnement[TVA acquittée])+SUMIF(Invest[Affectation matrice],$AB$3,Invest[TVA acquittée]))*BY49</f>
        <v>0</v>
      </c>
      <c r="DA49" s="200">
        <f>(SUMIF(Fonctionnement[Affectation matrice],$AB$3,Fonctionnement[TVA acquittée])+SUMIF(Invest[Affectation matrice],$AB$3,Invest[TVA acquittée]))*BZ49</f>
        <v>0</v>
      </c>
      <c r="DB49" s="200">
        <f>(SUMIF(Fonctionnement[Affectation matrice],$AB$3,Fonctionnement[TVA acquittée])+SUMIF(Invest[Affectation matrice],$AB$3,Invest[TVA acquittée]))*CA49</f>
        <v>0</v>
      </c>
    </row>
    <row r="50" spans="1:107" ht="12.75" hidden="1" customHeight="1" x14ac:dyDescent="0.25">
      <c r="A50" s="42">
        <f>Matrice[[#This Row],[Ligne de la matrice]]</f>
        <v>0</v>
      </c>
      <c r="B50" s="276">
        <f>(SUMIF(Fonctionnement[Affectation matrice],$AB$3,Fonctionnement[Montant (€HT)])+SUMIF(Invest[Affectation matrice],$AB$3,Invest[Amortissement HT + intérêts]))*BC50</f>
        <v>0</v>
      </c>
      <c r="C50" s="276">
        <f>(SUMIF(Fonctionnement[Affectation matrice],$AB$3,Fonctionnement[Montant (€HT)])+SUMIF(Invest[Affectation matrice],$AB$3,Invest[Amortissement HT + intérêts]))*BD50</f>
        <v>0</v>
      </c>
      <c r="D50" s="276">
        <f>(SUMIF(Fonctionnement[Affectation matrice],$AB$3,Fonctionnement[Montant (€HT)])+SUMIF(Invest[Affectation matrice],$AB$3,Invest[Amortissement HT + intérêts]))*BE50</f>
        <v>0</v>
      </c>
      <c r="E50" s="276">
        <f>(SUMIF(Fonctionnement[Affectation matrice],$AB$3,Fonctionnement[Montant (€HT)])+SUMIF(Invest[Affectation matrice],$AB$3,Invest[Amortissement HT + intérêts]))*BF50</f>
        <v>0</v>
      </c>
      <c r="F50" s="276">
        <f>(SUMIF(Fonctionnement[Affectation matrice],$AB$3,Fonctionnement[Montant (€HT)])+SUMIF(Invest[Affectation matrice],$AB$3,Invest[Amortissement HT + intérêts]))*BG50</f>
        <v>0</v>
      </c>
      <c r="G50" s="276">
        <f>(SUMIF(Fonctionnement[Affectation matrice],$AB$3,Fonctionnement[Montant (€HT)])+SUMIF(Invest[Affectation matrice],$AB$3,Invest[Amortissement HT + intérêts]))*BH50</f>
        <v>0</v>
      </c>
      <c r="H50" s="276">
        <f>(SUMIF(Fonctionnement[Affectation matrice],$AB$3,Fonctionnement[Montant (€HT)])+SUMIF(Invest[Affectation matrice],$AB$3,Invest[Amortissement HT + intérêts]))*BI50</f>
        <v>0</v>
      </c>
      <c r="I50" s="276">
        <f>(SUMIF(Fonctionnement[Affectation matrice],$AB$3,Fonctionnement[Montant (€HT)])+SUMIF(Invest[Affectation matrice],$AB$3,Invest[Amortissement HT + intérêts]))*BJ50</f>
        <v>0</v>
      </c>
      <c r="J50" s="276">
        <f>(SUMIF(Fonctionnement[Affectation matrice],$AB$3,Fonctionnement[Montant (€HT)])+SUMIF(Invest[Affectation matrice],$AB$3,Invest[Amortissement HT + intérêts]))*BK50</f>
        <v>0</v>
      </c>
      <c r="K50" s="276">
        <f>(SUMIF(Fonctionnement[Affectation matrice],$AB$3,Fonctionnement[Montant (€HT)])+SUMIF(Invest[Affectation matrice],$AB$3,Invest[Amortissement HT + intérêts]))*BL50</f>
        <v>0</v>
      </c>
      <c r="L50" s="276">
        <f>(SUMIF(Fonctionnement[Affectation matrice],$AB$3,Fonctionnement[Montant (€HT)])+SUMIF(Invest[Affectation matrice],$AB$3,Invest[Amortissement HT + intérêts]))*BM50</f>
        <v>0</v>
      </c>
      <c r="M50" s="276">
        <f>(SUMIF(Fonctionnement[Affectation matrice],$AB$3,Fonctionnement[Montant (€HT)])+SUMIF(Invest[Affectation matrice],$AB$3,Invest[Amortissement HT + intérêts]))*BN50</f>
        <v>0</v>
      </c>
      <c r="N50" s="276">
        <f>(SUMIF(Fonctionnement[Affectation matrice],$AB$3,Fonctionnement[Montant (€HT)])+SUMIF(Invest[Affectation matrice],$AB$3,Invest[Amortissement HT + intérêts]))*BO50</f>
        <v>0</v>
      </c>
      <c r="O50" s="276">
        <f>(SUMIF(Fonctionnement[Affectation matrice],$AB$3,Fonctionnement[Montant (€HT)])+SUMIF(Invest[Affectation matrice],$AB$3,Invest[Amortissement HT + intérêts]))*BP50</f>
        <v>0</v>
      </c>
      <c r="P50" s="276">
        <f>(SUMIF(Fonctionnement[Affectation matrice],$AB$3,Fonctionnement[Montant (€HT)])+SUMIF(Invest[Affectation matrice],$AB$3,Invest[Amortissement HT + intérêts]))*BQ50</f>
        <v>0</v>
      </c>
      <c r="Q50" s="276">
        <f>(SUMIF(Fonctionnement[Affectation matrice],$AB$3,Fonctionnement[Montant (€HT)])+SUMIF(Invest[Affectation matrice],$AB$3,Invest[Amortissement HT + intérêts]))*BR50</f>
        <v>0</v>
      </c>
      <c r="R50" s="276">
        <f>(SUMIF(Fonctionnement[Affectation matrice],$AB$3,Fonctionnement[Montant (€HT)])+SUMIF(Invest[Affectation matrice],$AB$3,Invest[Amortissement HT + intérêts]))*BS50</f>
        <v>0</v>
      </c>
      <c r="S50" s="276">
        <f>(SUMIF(Fonctionnement[Affectation matrice],$AB$3,Fonctionnement[Montant (€HT)])+SUMIF(Invest[Affectation matrice],$AB$3,Invest[Amortissement HT + intérêts]))*BT50</f>
        <v>0</v>
      </c>
      <c r="T50" s="276">
        <f>(SUMIF(Fonctionnement[Affectation matrice],$AB$3,Fonctionnement[Montant (€HT)])+SUMIF(Invest[Affectation matrice],$AB$3,Invest[Amortissement HT + intérêts]))*BU50</f>
        <v>0</v>
      </c>
      <c r="U50" s="276">
        <f>(SUMIF(Fonctionnement[Affectation matrice],$AB$3,Fonctionnement[Montant (€HT)])+SUMIF(Invest[Affectation matrice],$AB$3,Invest[Amortissement HT + intérêts]))*BV50</f>
        <v>0</v>
      </c>
      <c r="V50" s="276">
        <f>(SUMIF(Fonctionnement[Affectation matrice],$AB$3,Fonctionnement[Montant (€HT)])+SUMIF(Invest[Affectation matrice],$AB$3,Invest[Amortissement HT + intérêts]))*BW50</f>
        <v>0</v>
      </c>
      <c r="W50" s="276">
        <f>(SUMIF(Fonctionnement[Affectation matrice],$AB$3,Fonctionnement[Montant (€HT)])+SUMIF(Invest[Affectation matrice],$AB$3,Invest[Amortissement HT + intérêts]))*BX50</f>
        <v>0</v>
      </c>
      <c r="X50" s="276">
        <f>(SUMIF(Fonctionnement[Affectation matrice],$AB$3,Fonctionnement[Montant (€HT)])+SUMIF(Invest[Affectation matrice],$AB$3,Invest[Amortissement HT + intérêts]))*BY50</f>
        <v>0</v>
      </c>
      <c r="Y50" s="276">
        <f>(SUMIF(Fonctionnement[Affectation matrice],$AB$3,Fonctionnement[Montant (€HT)])+SUMIF(Invest[Affectation matrice],$AB$3,Invest[Amortissement HT + intérêts]))*BZ50</f>
        <v>0</v>
      </c>
      <c r="Z50" s="276">
        <f>(SUMIF(Fonctionnement[Affectation matrice],$AB$3,Fonctionnement[Montant (€HT)])+SUMIF(Invest[Affectation matrice],$AB$3,Invest[Amortissement HT + intérêts]))*CA50</f>
        <v>0</v>
      </c>
      <c r="AA50" s="199"/>
      <c r="AB50" s="302" t="str">
        <f t="shared" si="87"/>
        <v/>
      </c>
      <c r="AC50" s="302" t="str">
        <f t="shared" si="87"/>
        <v/>
      </c>
      <c r="AD50" s="302" t="str">
        <f t="shared" si="87"/>
        <v/>
      </c>
      <c r="AE50" s="302" t="str">
        <f t="shared" si="87"/>
        <v/>
      </c>
      <c r="AF50" s="302" t="str">
        <f t="shared" si="87"/>
        <v/>
      </c>
      <c r="AG50" s="302" t="str">
        <f t="shared" si="87"/>
        <v/>
      </c>
      <c r="AH50" s="302" t="str">
        <f t="shared" si="87"/>
        <v/>
      </c>
      <c r="AI50" s="302" t="str">
        <f t="shared" si="87"/>
        <v/>
      </c>
      <c r="AJ50" s="302" t="str">
        <f t="shared" si="87"/>
        <v/>
      </c>
      <c r="AK50" s="302" t="str">
        <f t="shared" si="87"/>
        <v/>
      </c>
      <c r="AL50" s="302" t="str">
        <f t="shared" si="88"/>
        <v/>
      </c>
      <c r="AM50" s="302" t="str">
        <f t="shared" si="88"/>
        <v/>
      </c>
      <c r="AN50" s="302" t="str">
        <f t="shared" si="88"/>
        <v/>
      </c>
      <c r="AO50" s="302" t="str">
        <f t="shared" si="88"/>
        <v/>
      </c>
      <c r="AP50" s="302" t="str">
        <f t="shared" si="88"/>
        <v/>
      </c>
      <c r="AQ50" s="302" t="str">
        <f t="shared" si="88"/>
        <v/>
      </c>
      <c r="AR50" s="302" t="str">
        <f t="shared" si="88"/>
        <v/>
      </c>
      <c r="AS50" s="302" t="str">
        <f t="shared" si="88"/>
        <v/>
      </c>
      <c r="AT50" s="302" t="str">
        <f t="shared" si="88"/>
        <v/>
      </c>
      <c r="AU50" s="302" t="str">
        <f t="shared" si="88"/>
        <v/>
      </c>
      <c r="AV50" s="302" t="str">
        <f t="shared" si="88"/>
        <v/>
      </c>
      <c r="AW50" s="302" t="str">
        <f t="shared" si="88"/>
        <v/>
      </c>
      <c r="AX50" s="302" t="str">
        <f t="shared" si="88"/>
        <v/>
      </c>
      <c r="AY50" s="302" t="str">
        <f t="shared" si="88"/>
        <v/>
      </c>
      <c r="AZ50" s="302" t="str">
        <f t="shared" si="88"/>
        <v/>
      </c>
      <c r="BA50" s="283" t="str">
        <f t="shared" si="88"/>
        <v/>
      </c>
      <c r="BC50" s="61">
        <f t="shared" si="89"/>
        <v>0</v>
      </c>
      <c r="BD50" s="61">
        <f t="shared" si="90"/>
        <v>0</v>
      </c>
      <c r="BE50" s="61">
        <f t="shared" si="91"/>
        <v>0</v>
      </c>
      <c r="BF50" s="61">
        <f t="shared" si="92"/>
        <v>0</v>
      </c>
      <c r="BG50" s="61">
        <f t="shared" si="93"/>
        <v>0</v>
      </c>
      <c r="BH50" s="61">
        <f t="shared" si="94"/>
        <v>0</v>
      </c>
      <c r="BI50" s="61">
        <f t="shared" si="95"/>
        <v>0</v>
      </c>
      <c r="BJ50" s="61">
        <f t="shared" si="96"/>
        <v>0</v>
      </c>
      <c r="BK50" s="61">
        <f t="shared" si="97"/>
        <v>0</v>
      </c>
      <c r="BL50" s="61">
        <f t="shared" si="98"/>
        <v>0</v>
      </c>
      <c r="BM50" s="61">
        <f t="shared" si="99"/>
        <v>0</v>
      </c>
      <c r="BN50" s="61">
        <f t="shared" si="100"/>
        <v>0</v>
      </c>
      <c r="BO50" s="61">
        <f t="shared" si="101"/>
        <v>0</v>
      </c>
      <c r="BP50" s="61">
        <f t="shared" si="102"/>
        <v>0</v>
      </c>
      <c r="BQ50" s="61">
        <f t="shared" si="103"/>
        <v>0</v>
      </c>
      <c r="BR50" s="61">
        <f t="shared" si="104"/>
        <v>0</v>
      </c>
      <c r="BS50" s="61">
        <f t="shared" si="105"/>
        <v>0</v>
      </c>
      <c r="BT50" s="61">
        <f t="shared" si="106"/>
        <v>0</v>
      </c>
      <c r="BU50" s="61">
        <f t="shared" si="107"/>
        <v>0</v>
      </c>
      <c r="BV50" s="61">
        <f t="shared" si="108"/>
        <v>0</v>
      </c>
      <c r="BW50" s="61">
        <f t="shared" si="109"/>
        <v>0</v>
      </c>
      <c r="BX50" s="61">
        <f t="shared" si="110"/>
        <v>0</v>
      </c>
      <c r="BY50" s="61">
        <f t="shared" si="111"/>
        <v>0</v>
      </c>
      <c r="BZ50" s="61">
        <f t="shared" si="112"/>
        <v>0</v>
      </c>
      <c r="CA50" s="61">
        <f t="shared" si="113"/>
        <v>0</v>
      </c>
      <c r="CB50" s="61">
        <f t="shared" si="52"/>
        <v>0</v>
      </c>
      <c r="CD50" s="200">
        <f>(SUMIF(Fonctionnement[Affectation matrice],$AB$3,Fonctionnement[TVA acquittée])+SUMIF(Invest[Affectation matrice],$AB$3,Invest[TVA acquittée]))*BC50</f>
        <v>0</v>
      </c>
      <c r="CE50" s="200">
        <f>(SUMIF(Fonctionnement[Affectation matrice],$AB$3,Fonctionnement[TVA acquittée])+SUMIF(Invest[Affectation matrice],$AB$3,Invest[TVA acquittée]))*BD50</f>
        <v>0</v>
      </c>
      <c r="CF50" s="200">
        <f>(SUMIF(Fonctionnement[Affectation matrice],$AB$3,Fonctionnement[TVA acquittée])+SUMIF(Invest[Affectation matrice],$AB$3,Invest[TVA acquittée]))*BE50</f>
        <v>0</v>
      </c>
      <c r="CG50" s="200">
        <f>(SUMIF(Fonctionnement[Affectation matrice],$AB$3,Fonctionnement[TVA acquittée])+SUMIF(Invest[Affectation matrice],$AB$3,Invest[TVA acquittée]))*BF50</f>
        <v>0</v>
      </c>
      <c r="CH50" s="200">
        <f>(SUMIF(Fonctionnement[Affectation matrice],$AB$3,Fonctionnement[TVA acquittée])+SUMIF(Invest[Affectation matrice],$AB$3,Invest[TVA acquittée]))*BG50</f>
        <v>0</v>
      </c>
      <c r="CI50" s="200">
        <f>(SUMIF(Fonctionnement[Affectation matrice],$AB$3,Fonctionnement[TVA acquittée])+SUMIF(Invest[Affectation matrice],$AB$3,Invest[TVA acquittée]))*BH50</f>
        <v>0</v>
      </c>
      <c r="CJ50" s="200">
        <f>(SUMIF(Fonctionnement[Affectation matrice],$AB$3,Fonctionnement[TVA acquittée])+SUMIF(Invest[Affectation matrice],$AB$3,Invest[TVA acquittée]))*BI50</f>
        <v>0</v>
      </c>
      <c r="CK50" s="200">
        <f>(SUMIF(Fonctionnement[Affectation matrice],$AB$3,Fonctionnement[TVA acquittée])+SUMIF(Invest[Affectation matrice],$AB$3,Invest[TVA acquittée]))*BJ50</f>
        <v>0</v>
      </c>
      <c r="CL50" s="200">
        <f>(SUMIF(Fonctionnement[Affectation matrice],$AB$3,Fonctionnement[TVA acquittée])+SUMIF(Invest[Affectation matrice],$AB$3,Invest[TVA acquittée]))*BK50</f>
        <v>0</v>
      </c>
      <c r="CM50" s="200">
        <f>(SUMIF(Fonctionnement[Affectation matrice],$AB$3,Fonctionnement[TVA acquittée])+SUMIF(Invest[Affectation matrice],$AB$3,Invest[TVA acquittée]))*BL50</f>
        <v>0</v>
      </c>
      <c r="CN50" s="200">
        <f>(SUMIF(Fonctionnement[Affectation matrice],$AB$3,Fonctionnement[TVA acquittée])+SUMIF(Invest[Affectation matrice],$AB$3,Invest[TVA acquittée]))*BM50</f>
        <v>0</v>
      </c>
      <c r="CO50" s="200">
        <f>(SUMIF(Fonctionnement[Affectation matrice],$AB$3,Fonctionnement[TVA acquittée])+SUMIF(Invest[Affectation matrice],$AB$3,Invest[TVA acquittée]))*BN50</f>
        <v>0</v>
      </c>
      <c r="CP50" s="200">
        <f>(SUMIF(Fonctionnement[Affectation matrice],$AB$3,Fonctionnement[TVA acquittée])+SUMIF(Invest[Affectation matrice],$AB$3,Invest[TVA acquittée]))*BO50</f>
        <v>0</v>
      </c>
      <c r="CQ50" s="200">
        <f>(SUMIF(Fonctionnement[Affectation matrice],$AB$3,Fonctionnement[TVA acquittée])+SUMIF(Invest[Affectation matrice],$AB$3,Invest[TVA acquittée]))*BP50</f>
        <v>0</v>
      </c>
      <c r="CR50" s="200">
        <f>(SUMIF(Fonctionnement[Affectation matrice],$AB$3,Fonctionnement[TVA acquittée])+SUMIF(Invest[Affectation matrice],$AB$3,Invest[TVA acquittée]))*BQ50</f>
        <v>0</v>
      </c>
      <c r="CS50" s="200">
        <f>(SUMIF(Fonctionnement[Affectation matrice],$AB$3,Fonctionnement[TVA acquittée])+SUMIF(Invest[Affectation matrice],$AB$3,Invest[TVA acquittée]))*BR50</f>
        <v>0</v>
      </c>
      <c r="CT50" s="200">
        <f>(SUMIF(Fonctionnement[Affectation matrice],$AB$3,Fonctionnement[TVA acquittée])+SUMIF(Invest[Affectation matrice],$AB$3,Invest[TVA acquittée]))*BS50</f>
        <v>0</v>
      </c>
      <c r="CU50" s="200">
        <f>(SUMIF(Fonctionnement[Affectation matrice],$AB$3,Fonctionnement[TVA acquittée])+SUMIF(Invest[Affectation matrice],$AB$3,Invest[TVA acquittée]))*BT50</f>
        <v>0</v>
      </c>
      <c r="CV50" s="200">
        <f>(SUMIF(Fonctionnement[Affectation matrice],$AB$3,Fonctionnement[TVA acquittée])+SUMIF(Invest[Affectation matrice],$AB$3,Invest[TVA acquittée]))*BU50</f>
        <v>0</v>
      </c>
      <c r="CW50" s="200">
        <f>(SUMIF(Fonctionnement[Affectation matrice],$AB$3,Fonctionnement[TVA acquittée])+SUMIF(Invest[Affectation matrice],$AB$3,Invest[TVA acquittée]))*BV50</f>
        <v>0</v>
      </c>
      <c r="CX50" s="200">
        <f>(SUMIF(Fonctionnement[Affectation matrice],$AB$3,Fonctionnement[TVA acquittée])+SUMIF(Invest[Affectation matrice],$AB$3,Invest[TVA acquittée]))*BW50</f>
        <v>0</v>
      </c>
      <c r="CY50" s="200">
        <f>(SUMIF(Fonctionnement[Affectation matrice],$AB$3,Fonctionnement[TVA acquittée])+SUMIF(Invest[Affectation matrice],$AB$3,Invest[TVA acquittée]))*BX50</f>
        <v>0</v>
      </c>
      <c r="CZ50" s="200">
        <f>(SUMIF(Fonctionnement[Affectation matrice],$AB$3,Fonctionnement[TVA acquittée])+SUMIF(Invest[Affectation matrice],$AB$3,Invest[TVA acquittée]))*BY50</f>
        <v>0</v>
      </c>
      <c r="DA50" s="200">
        <f>(SUMIF(Fonctionnement[Affectation matrice],$AB$3,Fonctionnement[TVA acquittée])+SUMIF(Invest[Affectation matrice],$AB$3,Invest[TVA acquittée]))*BZ50</f>
        <v>0</v>
      </c>
      <c r="DB50" s="200">
        <f>(SUMIF(Fonctionnement[Affectation matrice],$AB$3,Fonctionnement[TVA acquittée])+SUMIF(Invest[Affectation matrice],$AB$3,Invest[TVA acquittée]))*CA50</f>
        <v>0</v>
      </c>
    </row>
    <row r="51" spans="1:107" ht="12.75" hidden="1" customHeight="1" x14ac:dyDescent="0.25">
      <c r="A51" s="42">
        <f>Matrice[[#This Row],[Ligne de la matrice]]</f>
        <v>0</v>
      </c>
      <c r="B51" s="276">
        <f>(SUMIF(Fonctionnement[Affectation matrice],$AB$3,Fonctionnement[Montant (€HT)])+SUMIF(Invest[Affectation matrice],$AB$3,Invest[Amortissement HT + intérêts]))*BC51</f>
        <v>0</v>
      </c>
      <c r="C51" s="276">
        <f>(SUMIF(Fonctionnement[Affectation matrice],$AB$3,Fonctionnement[Montant (€HT)])+SUMIF(Invest[Affectation matrice],$AB$3,Invest[Amortissement HT + intérêts]))*BD51</f>
        <v>0</v>
      </c>
      <c r="D51" s="276">
        <f>(SUMIF(Fonctionnement[Affectation matrice],$AB$3,Fonctionnement[Montant (€HT)])+SUMIF(Invest[Affectation matrice],$AB$3,Invest[Amortissement HT + intérêts]))*BE51</f>
        <v>0</v>
      </c>
      <c r="E51" s="276">
        <f>(SUMIF(Fonctionnement[Affectation matrice],$AB$3,Fonctionnement[Montant (€HT)])+SUMIF(Invest[Affectation matrice],$AB$3,Invest[Amortissement HT + intérêts]))*BF51</f>
        <v>0</v>
      </c>
      <c r="F51" s="276">
        <f>(SUMIF(Fonctionnement[Affectation matrice],$AB$3,Fonctionnement[Montant (€HT)])+SUMIF(Invest[Affectation matrice],$AB$3,Invest[Amortissement HT + intérêts]))*BG51</f>
        <v>0</v>
      </c>
      <c r="G51" s="276">
        <f>(SUMIF(Fonctionnement[Affectation matrice],$AB$3,Fonctionnement[Montant (€HT)])+SUMIF(Invest[Affectation matrice],$AB$3,Invest[Amortissement HT + intérêts]))*BH51</f>
        <v>0</v>
      </c>
      <c r="H51" s="276">
        <f>(SUMIF(Fonctionnement[Affectation matrice],$AB$3,Fonctionnement[Montant (€HT)])+SUMIF(Invest[Affectation matrice],$AB$3,Invest[Amortissement HT + intérêts]))*BI51</f>
        <v>0</v>
      </c>
      <c r="I51" s="276">
        <f>(SUMIF(Fonctionnement[Affectation matrice],$AB$3,Fonctionnement[Montant (€HT)])+SUMIF(Invest[Affectation matrice],$AB$3,Invest[Amortissement HT + intérêts]))*BJ51</f>
        <v>0</v>
      </c>
      <c r="J51" s="276">
        <f>(SUMIF(Fonctionnement[Affectation matrice],$AB$3,Fonctionnement[Montant (€HT)])+SUMIF(Invest[Affectation matrice],$AB$3,Invest[Amortissement HT + intérêts]))*BK51</f>
        <v>0</v>
      </c>
      <c r="K51" s="276">
        <f>(SUMIF(Fonctionnement[Affectation matrice],$AB$3,Fonctionnement[Montant (€HT)])+SUMIF(Invest[Affectation matrice],$AB$3,Invest[Amortissement HT + intérêts]))*BL51</f>
        <v>0</v>
      </c>
      <c r="L51" s="276">
        <f>(SUMIF(Fonctionnement[Affectation matrice],$AB$3,Fonctionnement[Montant (€HT)])+SUMIF(Invest[Affectation matrice],$AB$3,Invest[Amortissement HT + intérêts]))*BM51</f>
        <v>0</v>
      </c>
      <c r="M51" s="276">
        <f>(SUMIF(Fonctionnement[Affectation matrice],$AB$3,Fonctionnement[Montant (€HT)])+SUMIF(Invest[Affectation matrice],$AB$3,Invest[Amortissement HT + intérêts]))*BN51</f>
        <v>0</v>
      </c>
      <c r="N51" s="276">
        <f>(SUMIF(Fonctionnement[Affectation matrice],$AB$3,Fonctionnement[Montant (€HT)])+SUMIF(Invest[Affectation matrice],$AB$3,Invest[Amortissement HT + intérêts]))*BO51</f>
        <v>0</v>
      </c>
      <c r="O51" s="276">
        <f>(SUMIF(Fonctionnement[Affectation matrice],$AB$3,Fonctionnement[Montant (€HT)])+SUMIF(Invest[Affectation matrice],$AB$3,Invest[Amortissement HT + intérêts]))*BP51</f>
        <v>0</v>
      </c>
      <c r="P51" s="276">
        <f>(SUMIF(Fonctionnement[Affectation matrice],$AB$3,Fonctionnement[Montant (€HT)])+SUMIF(Invest[Affectation matrice],$AB$3,Invest[Amortissement HT + intérêts]))*BQ51</f>
        <v>0</v>
      </c>
      <c r="Q51" s="276">
        <f>(SUMIF(Fonctionnement[Affectation matrice],$AB$3,Fonctionnement[Montant (€HT)])+SUMIF(Invest[Affectation matrice],$AB$3,Invest[Amortissement HT + intérêts]))*BR51</f>
        <v>0</v>
      </c>
      <c r="R51" s="276">
        <f>(SUMIF(Fonctionnement[Affectation matrice],$AB$3,Fonctionnement[Montant (€HT)])+SUMIF(Invest[Affectation matrice],$AB$3,Invest[Amortissement HT + intérêts]))*BS51</f>
        <v>0</v>
      </c>
      <c r="S51" s="276">
        <f>(SUMIF(Fonctionnement[Affectation matrice],$AB$3,Fonctionnement[Montant (€HT)])+SUMIF(Invest[Affectation matrice],$AB$3,Invest[Amortissement HT + intérêts]))*BT51</f>
        <v>0</v>
      </c>
      <c r="T51" s="276">
        <f>(SUMIF(Fonctionnement[Affectation matrice],$AB$3,Fonctionnement[Montant (€HT)])+SUMIF(Invest[Affectation matrice],$AB$3,Invest[Amortissement HT + intérêts]))*BU51</f>
        <v>0</v>
      </c>
      <c r="U51" s="276">
        <f>(SUMIF(Fonctionnement[Affectation matrice],$AB$3,Fonctionnement[Montant (€HT)])+SUMIF(Invest[Affectation matrice],$AB$3,Invest[Amortissement HT + intérêts]))*BV51</f>
        <v>0</v>
      </c>
      <c r="V51" s="276">
        <f>(SUMIF(Fonctionnement[Affectation matrice],$AB$3,Fonctionnement[Montant (€HT)])+SUMIF(Invest[Affectation matrice],$AB$3,Invest[Amortissement HT + intérêts]))*BW51</f>
        <v>0</v>
      </c>
      <c r="W51" s="276">
        <f>(SUMIF(Fonctionnement[Affectation matrice],$AB$3,Fonctionnement[Montant (€HT)])+SUMIF(Invest[Affectation matrice],$AB$3,Invest[Amortissement HT + intérêts]))*BX51</f>
        <v>0</v>
      </c>
      <c r="X51" s="276">
        <f>(SUMIF(Fonctionnement[Affectation matrice],$AB$3,Fonctionnement[Montant (€HT)])+SUMIF(Invest[Affectation matrice],$AB$3,Invest[Amortissement HT + intérêts]))*BY51</f>
        <v>0</v>
      </c>
      <c r="Y51" s="276">
        <f>(SUMIF(Fonctionnement[Affectation matrice],$AB$3,Fonctionnement[Montant (€HT)])+SUMIF(Invest[Affectation matrice],$AB$3,Invest[Amortissement HT + intérêts]))*BZ51</f>
        <v>0</v>
      </c>
      <c r="Z51" s="276">
        <f>(SUMIF(Fonctionnement[Affectation matrice],$AB$3,Fonctionnement[Montant (€HT)])+SUMIF(Invest[Affectation matrice],$AB$3,Invest[Amortissement HT + intérêts]))*CA51</f>
        <v>0</v>
      </c>
      <c r="AA51" s="199"/>
      <c r="AB51" s="302" t="str">
        <f t="shared" si="87"/>
        <v/>
      </c>
      <c r="AC51" s="302" t="str">
        <f t="shared" si="87"/>
        <v/>
      </c>
      <c r="AD51" s="302" t="str">
        <f t="shared" si="87"/>
        <v/>
      </c>
      <c r="AE51" s="302" t="str">
        <f t="shared" si="87"/>
        <v/>
      </c>
      <c r="AF51" s="302" t="str">
        <f t="shared" si="87"/>
        <v/>
      </c>
      <c r="AG51" s="302" t="str">
        <f t="shared" si="87"/>
        <v/>
      </c>
      <c r="AH51" s="302" t="str">
        <f t="shared" si="87"/>
        <v/>
      </c>
      <c r="AI51" s="302" t="str">
        <f t="shared" si="87"/>
        <v/>
      </c>
      <c r="AJ51" s="302" t="str">
        <f t="shared" si="87"/>
        <v/>
      </c>
      <c r="AK51" s="302" t="str">
        <f t="shared" si="87"/>
        <v/>
      </c>
      <c r="AL51" s="302" t="str">
        <f t="shared" si="88"/>
        <v/>
      </c>
      <c r="AM51" s="302" t="str">
        <f t="shared" si="88"/>
        <v/>
      </c>
      <c r="AN51" s="302" t="str">
        <f t="shared" si="88"/>
        <v/>
      </c>
      <c r="AO51" s="302" t="str">
        <f t="shared" si="88"/>
        <v/>
      </c>
      <c r="AP51" s="302" t="str">
        <f t="shared" si="88"/>
        <v/>
      </c>
      <c r="AQ51" s="302" t="str">
        <f t="shared" si="88"/>
        <v/>
      </c>
      <c r="AR51" s="302" t="str">
        <f t="shared" si="88"/>
        <v/>
      </c>
      <c r="AS51" s="302" t="str">
        <f t="shared" si="88"/>
        <v/>
      </c>
      <c r="AT51" s="302" t="str">
        <f t="shared" si="88"/>
        <v/>
      </c>
      <c r="AU51" s="302" t="str">
        <f t="shared" si="88"/>
        <v/>
      </c>
      <c r="AV51" s="302" t="str">
        <f t="shared" si="88"/>
        <v/>
      </c>
      <c r="AW51" s="302" t="str">
        <f t="shared" si="88"/>
        <v/>
      </c>
      <c r="AX51" s="302" t="str">
        <f t="shared" si="88"/>
        <v/>
      </c>
      <c r="AY51" s="302" t="str">
        <f t="shared" si="88"/>
        <v/>
      </c>
      <c r="AZ51" s="302" t="str">
        <f t="shared" si="88"/>
        <v/>
      </c>
      <c r="BA51" s="283" t="str">
        <f t="shared" si="88"/>
        <v/>
      </c>
      <c r="BC51" s="61">
        <f t="shared" si="89"/>
        <v>0</v>
      </c>
      <c r="BD51" s="61">
        <f t="shared" si="90"/>
        <v>0</v>
      </c>
      <c r="BE51" s="61">
        <f t="shared" si="91"/>
        <v>0</v>
      </c>
      <c r="BF51" s="61">
        <f t="shared" si="92"/>
        <v>0</v>
      </c>
      <c r="BG51" s="61">
        <f t="shared" si="93"/>
        <v>0</v>
      </c>
      <c r="BH51" s="61">
        <f t="shared" si="94"/>
        <v>0</v>
      </c>
      <c r="BI51" s="61">
        <f t="shared" si="95"/>
        <v>0</v>
      </c>
      <c r="BJ51" s="61">
        <f t="shared" si="96"/>
        <v>0</v>
      </c>
      <c r="BK51" s="61">
        <f t="shared" si="97"/>
        <v>0</v>
      </c>
      <c r="BL51" s="61">
        <f t="shared" si="98"/>
        <v>0</v>
      </c>
      <c r="BM51" s="61">
        <f t="shared" si="99"/>
        <v>0</v>
      </c>
      <c r="BN51" s="61">
        <f t="shared" si="100"/>
        <v>0</v>
      </c>
      <c r="BO51" s="61">
        <f t="shared" si="101"/>
        <v>0</v>
      </c>
      <c r="BP51" s="61">
        <f t="shared" si="102"/>
        <v>0</v>
      </c>
      <c r="BQ51" s="61">
        <f t="shared" si="103"/>
        <v>0</v>
      </c>
      <c r="BR51" s="61">
        <f t="shared" si="104"/>
        <v>0</v>
      </c>
      <c r="BS51" s="61">
        <f t="shared" si="105"/>
        <v>0</v>
      </c>
      <c r="BT51" s="61">
        <f t="shared" si="106"/>
        <v>0</v>
      </c>
      <c r="BU51" s="61">
        <f t="shared" si="107"/>
        <v>0</v>
      </c>
      <c r="BV51" s="61">
        <f t="shared" si="108"/>
        <v>0</v>
      </c>
      <c r="BW51" s="61">
        <f t="shared" si="109"/>
        <v>0</v>
      </c>
      <c r="BX51" s="61">
        <f t="shared" si="110"/>
        <v>0</v>
      </c>
      <c r="BY51" s="61">
        <f t="shared" si="111"/>
        <v>0</v>
      </c>
      <c r="BZ51" s="61">
        <f t="shared" si="112"/>
        <v>0</v>
      </c>
      <c r="CA51" s="61">
        <f t="shared" si="113"/>
        <v>0</v>
      </c>
      <c r="CB51" s="61">
        <f t="shared" si="52"/>
        <v>0</v>
      </c>
      <c r="CD51" s="200">
        <f>(SUMIF(Fonctionnement[Affectation matrice],$AB$3,Fonctionnement[TVA acquittée])+SUMIF(Invest[Affectation matrice],$AB$3,Invest[TVA acquittée]))*BC51</f>
        <v>0</v>
      </c>
      <c r="CE51" s="200">
        <f>(SUMIF(Fonctionnement[Affectation matrice],$AB$3,Fonctionnement[TVA acquittée])+SUMIF(Invest[Affectation matrice],$AB$3,Invest[TVA acquittée]))*BD51</f>
        <v>0</v>
      </c>
      <c r="CF51" s="200">
        <f>(SUMIF(Fonctionnement[Affectation matrice],$AB$3,Fonctionnement[TVA acquittée])+SUMIF(Invest[Affectation matrice],$AB$3,Invest[TVA acquittée]))*BE51</f>
        <v>0</v>
      </c>
      <c r="CG51" s="200">
        <f>(SUMIF(Fonctionnement[Affectation matrice],$AB$3,Fonctionnement[TVA acquittée])+SUMIF(Invest[Affectation matrice],$AB$3,Invest[TVA acquittée]))*BF51</f>
        <v>0</v>
      </c>
      <c r="CH51" s="200">
        <f>(SUMIF(Fonctionnement[Affectation matrice],$AB$3,Fonctionnement[TVA acquittée])+SUMIF(Invest[Affectation matrice],$AB$3,Invest[TVA acquittée]))*BG51</f>
        <v>0</v>
      </c>
      <c r="CI51" s="200">
        <f>(SUMIF(Fonctionnement[Affectation matrice],$AB$3,Fonctionnement[TVA acquittée])+SUMIF(Invest[Affectation matrice],$AB$3,Invest[TVA acquittée]))*BH51</f>
        <v>0</v>
      </c>
      <c r="CJ51" s="200">
        <f>(SUMIF(Fonctionnement[Affectation matrice],$AB$3,Fonctionnement[TVA acquittée])+SUMIF(Invest[Affectation matrice],$AB$3,Invest[TVA acquittée]))*BI51</f>
        <v>0</v>
      </c>
      <c r="CK51" s="200">
        <f>(SUMIF(Fonctionnement[Affectation matrice],$AB$3,Fonctionnement[TVA acquittée])+SUMIF(Invest[Affectation matrice],$AB$3,Invest[TVA acquittée]))*BJ51</f>
        <v>0</v>
      </c>
      <c r="CL51" s="200">
        <f>(SUMIF(Fonctionnement[Affectation matrice],$AB$3,Fonctionnement[TVA acquittée])+SUMIF(Invest[Affectation matrice],$AB$3,Invest[TVA acquittée]))*BK51</f>
        <v>0</v>
      </c>
      <c r="CM51" s="200">
        <f>(SUMIF(Fonctionnement[Affectation matrice],$AB$3,Fonctionnement[TVA acquittée])+SUMIF(Invest[Affectation matrice],$AB$3,Invest[TVA acquittée]))*BL51</f>
        <v>0</v>
      </c>
      <c r="CN51" s="200">
        <f>(SUMIF(Fonctionnement[Affectation matrice],$AB$3,Fonctionnement[TVA acquittée])+SUMIF(Invest[Affectation matrice],$AB$3,Invest[TVA acquittée]))*BM51</f>
        <v>0</v>
      </c>
      <c r="CO51" s="200">
        <f>(SUMIF(Fonctionnement[Affectation matrice],$AB$3,Fonctionnement[TVA acquittée])+SUMIF(Invest[Affectation matrice],$AB$3,Invest[TVA acquittée]))*BN51</f>
        <v>0</v>
      </c>
      <c r="CP51" s="200">
        <f>(SUMIF(Fonctionnement[Affectation matrice],$AB$3,Fonctionnement[TVA acquittée])+SUMIF(Invest[Affectation matrice],$AB$3,Invest[TVA acquittée]))*BO51</f>
        <v>0</v>
      </c>
      <c r="CQ51" s="200">
        <f>(SUMIF(Fonctionnement[Affectation matrice],$AB$3,Fonctionnement[TVA acquittée])+SUMIF(Invest[Affectation matrice],$AB$3,Invest[TVA acquittée]))*BP51</f>
        <v>0</v>
      </c>
      <c r="CR51" s="200">
        <f>(SUMIF(Fonctionnement[Affectation matrice],$AB$3,Fonctionnement[TVA acquittée])+SUMIF(Invest[Affectation matrice],$AB$3,Invest[TVA acquittée]))*BQ51</f>
        <v>0</v>
      </c>
      <c r="CS51" s="200">
        <f>(SUMIF(Fonctionnement[Affectation matrice],$AB$3,Fonctionnement[TVA acquittée])+SUMIF(Invest[Affectation matrice],$AB$3,Invest[TVA acquittée]))*BR51</f>
        <v>0</v>
      </c>
      <c r="CT51" s="200">
        <f>(SUMIF(Fonctionnement[Affectation matrice],$AB$3,Fonctionnement[TVA acquittée])+SUMIF(Invest[Affectation matrice],$AB$3,Invest[TVA acquittée]))*BS51</f>
        <v>0</v>
      </c>
      <c r="CU51" s="200">
        <f>(SUMIF(Fonctionnement[Affectation matrice],$AB$3,Fonctionnement[TVA acquittée])+SUMIF(Invest[Affectation matrice],$AB$3,Invest[TVA acquittée]))*BT51</f>
        <v>0</v>
      </c>
      <c r="CV51" s="200">
        <f>(SUMIF(Fonctionnement[Affectation matrice],$AB$3,Fonctionnement[TVA acquittée])+SUMIF(Invest[Affectation matrice],$AB$3,Invest[TVA acquittée]))*BU51</f>
        <v>0</v>
      </c>
      <c r="CW51" s="200">
        <f>(SUMIF(Fonctionnement[Affectation matrice],$AB$3,Fonctionnement[TVA acquittée])+SUMIF(Invest[Affectation matrice],$AB$3,Invest[TVA acquittée]))*BV51</f>
        <v>0</v>
      </c>
      <c r="CX51" s="200">
        <f>(SUMIF(Fonctionnement[Affectation matrice],$AB$3,Fonctionnement[TVA acquittée])+SUMIF(Invest[Affectation matrice],$AB$3,Invest[TVA acquittée]))*BW51</f>
        <v>0</v>
      </c>
      <c r="CY51" s="200">
        <f>(SUMIF(Fonctionnement[Affectation matrice],$AB$3,Fonctionnement[TVA acquittée])+SUMIF(Invest[Affectation matrice],$AB$3,Invest[TVA acquittée]))*BX51</f>
        <v>0</v>
      </c>
      <c r="CZ51" s="200">
        <f>(SUMIF(Fonctionnement[Affectation matrice],$AB$3,Fonctionnement[TVA acquittée])+SUMIF(Invest[Affectation matrice],$AB$3,Invest[TVA acquittée]))*BY51</f>
        <v>0</v>
      </c>
      <c r="DA51" s="200">
        <f>(SUMIF(Fonctionnement[Affectation matrice],$AB$3,Fonctionnement[TVA acquittée])+SUMIF(Invest[Affectation matrice],$AB$3,Invest[TVA acquittée]))*BZ51</f>
        <v>0</v>
      </c>
      <c r="DB51" s="200">
        <f>(SUMIF(Fonctionnement[Affectation matrice],$AB$3,Fonctionnement[TVA acquittée])+SUMIF(Invest[Affectation matrice],$AB$3,Invest[TVA acquittée]))*CA51</f>
        <v>0</v>
      </c>
    </row>
    <row r="52" spans="1:107" hidden="1" x14ac:dyDescent="0.25">
      <c r="A52" s="42">
        <f>Matrice[[#This Row],[Ligne de la matrice]]</f>
        <v>0</v>
      </c>
      <c r="B52" s="276">
        <f>(SUMIF(Fonctionnement[Affectation matrice],$AB$3,Fonctionnement[Montant (€HT)])+SUMIF(Invest[Affectation matrice],$AB$3,Invest[Amortissement HT + intérêts]))*BC52</f>
        <v>0</v>
      </c>
      <c r="C52" s="276">
        <f>(SUMIF(Fonctionnement[Affectation matrice],$AB$3,Fonctionnement[Montant (€HT)])+SUMIF(Invest[Affectation matrice],$AB$3,Invest[Amortissement HT + intérêts]))*BD52</f>
        <v>0</v>
      </c>
      <c r="D52" s="276">
        <f>(SUMIF(Fonctionnement[Affectation matrice],$AB$3,Fonctionnement[Montant (€HT)])+SUMIF(Invest[Affectation matrice],$AB$3,Invest[Amortissement HT + intérêts]))*BE52</f>
        <v>0</v>
      </c>
      <c r="E52" s="276">
        <f>(SUMIF(Fonctionnement[Affectation matrice],$AB$3,Fonctionnement[Montant (€HT)])+SUMIF(Invest[Affectation matrice],$AB$3,Invest[Amortissement HT + intérêts]))*BF52</f>
        <v>0</v>
      </c>
      <c r="F52" s="276">
        <f>(SUMIF(Fonctionnement[Affectation matrice],$AB$3,Fonctionnement[Montant (€HT)])+SUMIF(Invest[Affectation matrice],$AB$3,Invest[Amortissement HT + intérêts]))*BG52</f>
        <v>0</v>
      </c>
      <c r="G52" s="276">
        <f>(SUMIF(Fonctionnement[Affectation matrice],$AB$3,Fonctionnement[Montant (€HT)])+SUMIF(Invest[Affectation matrice],$AB$3,Invest[Amortissement HT + intérêts]))*BH52</f>
        <v>0</v>
      </c>
      <c r="H52" s="276">
        <f>(SUMIF(Fonctionnement[Affectation matrice],$AB$3,Fonctionnement[Montant (€HT)])+SUMIF(Invest[Affectation matrice],$AB$3,Invest[Amortissement HT + intérêts]))*BI52</f>
        <v>0</v>
      </c>
      <c r="I52" s="276">
        <f>(SUMIF(Fonctionnement[Affectation matrice],$AB$3,Fonctionnement[Montant (€HT)])+SUMIF(Invest[Affectation matrice],$AB$3,Invest[Amortissement HT + intérêts]))*BJ52</f>
        <v>0</v>
      </c>
      <c r="J52" s="276">
        <f>(SUMIF(Fonctionnement[Affectation matrice],$AB$3,Fonctionnement[Montant (€HT)])+SUMIF(Invest[Affectation matrice],$AB$3,Invest[Amortissement HT + intérêts]))*BK52</f>
        <v>0</v>
      </c>
      <c r="K52" s="276">
        <f>(SUMIF(Fonctionnement[Affectation matrice],$AB$3,Fonctionnement[Montant (€HT)])+SUMIF(Invest[Affectation matrice],$AB$3,Invest[Amortissement HT + intérêts]))*BL52</f>
        <v>0</v>
      </c>
      <c r="L52" s="276">
        <f>(SUMIF(Fonctionnement[Affectation matrice],$AB$3,Fonctionnement[Montant (€HT)])+SUMIF(Invest[Affectation matrice],$AB$3,Invest[Amortissement HT + intérêts]))*BM52</f>
        <v>0</v>
      </c>
      <c r="M52" s="276">
        <f>(SUMIF(Fonctionnement[Affectation matrice],$AB$3,Fonctionnement[Montant (€HT)])+SUMIF(Invest[Affectation matrice],$AB$3,Invest[Amortissement HT + intérêts]))*BN52</f>
        <v>0</v>
      </c>
      <c r="N52" s="276">
        <f>(SUMIF(Fonctionnement[Affectation matrice],$AB$3,Fonctionnement[Montant (€HT)])+SUMIF(Invest[Affectation matrice],$AB$3,Invest[Amortissement HT + intérêts]))*BO52</f>
        <v>0</v>
      </c>
      <c r="O52" s="276">
        <f>(SUMIF(Fonctionnement[Affectation matrice],$AB$3,Fonctionnement[Montant (€HT)])+SUMIF(Invest[Affectation matrice],$AB$3,Invest[Amortissement HT + intérêts]))*BP52</f>
        <v>0</v>
      </c>
      <c r="P52" s="276">
        <f>(SUMIF(Fonctionnement[Affectation matrice],$AB$3,Fonctionnement[Montant (€HT)])+SUMIF(Invest[Affectation matrice],$AB$3,Invest[Amortissement HT + intérêts]))*BQ52</f>
        <v>0</v>
      </c>
      <c r="Q52" s="276">
        <f>(SUMIF(Fonctionnement[Affectation matrice],$AB$3,Fonctionnement[Montant (€HT)])+SUMIF(Invest[Affectation matrice],$AB$3,Invest[Amortissement HT + intérêts]))*BR52</f>
        <v>0</v>
      </c>
      <c r="R52" s="276">
        <f>(SUMIF(Fonctionnement[Affectation matrice],$AB$3,Fonctionnement[Montant (€HT)])+SUMIF(Invest[Affectation matrice],$AB$3,Invest[Amortissement HT + intérêts]))*BS52</f>
        <v>0</v>
      </c>
      <c r="S52" s="276">
        <f>(SUMIF(Fonctionnement[Affectation matrice],$AB$3,Fonctionnement[Montant (€HT)])+SUMIF(Invest[Affectation matrice],$AB$3,Invest[Amortissement HT + intérêts]))*BT52</f>
        <v>0</v>
      </c>
      <c r="T52" s="276">
        <f>(SUMIF(Fonctionnement[Affectation matrice],$AB$3,Fonctionnement[Montant (€HT)])+SUMIF(Invest[Affectation matrice],$AB$3,Invest[Amortissement HT + intérêts]))*BU52</f>
        <v>0</v>
      </c>
      <c r="U52" s="276">
        <f>(SUMIF(Fonctionnement[Affectation matrice],$AB$3,Fonctionnement[Montant (€HT)])+SUMIF(Invest[Affectation matrice],$AB$3,Invest[Amortissement HT + intérêts]))*BV52</f>
        <v>0</v>
      </c>
      <c r="V52" s="276">
        <f>(SUMIF(Fonctionnement[Affectation matrice],$AB$3,Fonctionnement[Montant (€HT)])+SUMIF(Invest[Affectation matrice],$AB$3,Invest[Amortissement HT + intérêts]))*BW52</f>
        <v>0</v>
      </c>
      <c r="W52" s="276">
        <f>(SUMIF(Fonctionnement[Affectation matrice],$AB$3,Fonctionnement[Montant (€HT)])+SUMIF(Invest[Affectation matrice],$AB$3,Invest[Amortissement HT + intérêts]))*BX52</f>
        <v>0</v>
      </c>
      <c r="X52" s="276">
        <f>(SUMIF(Fonctionnement[Affectation matrice],$AB$3,Fonctionnement[Montant (€HT)])+SUMIF(Invest[Affectation matrice],$AB$3,Invest[Amortissement HT + intérêts]))*BY52</f>
        <v>0</v>
      </c>
      <c r="Y52" s="276">
        <f>(SUMIF(Fonctionnement[Affectation matrice],$AB$3,Fonctionnement[Montant (€HT)])+SUMIF(Invest[Affectation matrice],$AB$3,Invest[Amortissement HT + intérêts]))*BZ52</f>
        <v>0</v>
      </c>
      <c r="Z52" s="276">
        <f>(SUMIF(Fonctionnement[Affectation matrice],$AB$3,Fonctionnement[Montant (€HT)])+SUMIF(Invest[Affectation matrice],$AB$3,Invest[Amortissement HT + intérêts]))*CA52</f>
        <v>0</v>
      </c>
      <c r="AA52" s="199"/>
      <c r="AB52" s="302" t="str">
        <f t="shared" si="87"/>
        <v/>
      </c>
      <c r="AC52" s="302" t="str">
        <f t="shared" si="87"/>
        <v/>
      </c>
      <c r="AD52" s="302" t="str">
        <f t="shared" si="87"/>
        <v/>
      </c>
      <c r="AE52" s="302" t="str">
        <f t="shared" si="87"/>
        <v/>
      </c>
      <c r="AF52" s="302" t="str">
        <f t="shared" si="87"/>
        <v/>
      </c>
      <c r="AG52" s="302" t="str">
        <f t="shared" si="87"/>
        <v/>
      </c>
      <c r="AH52" s="302" t="str">
        <f t="shared" si="87"/>
        <v/>
      </c>
      <c r="AI52" s="302" t="str">
        <f t="shared" si="87"/>
        <v/>
      </c>
      <c r="AJ52" s="302" t="str">
        <f t="shared" si="87"/>
        <v/>
      </c>
      <c r="AK52" s="302" t="str">
        <f t="shared" si="87"/>
        <v/>
      </c>
      <c r="AL52" s="302" t="str">
        <f t="shared" si="88"/>
        <v/>
      </c>
      <c r="AM52" s="302" t="str">
        <f t="shared" si="88"/>
        <v/>
      </c>
      <c r="AN52" s="302" t="str">
        <f t="shared" si="88"/>
        <v/>
      </c>
      <c r="AO52" s="302" t="str">
        <f t="shared" si="88"/>
        <v/>
      </c>
      <c r="AP52" s="302" t="str">
        <f t="shared" si="88"/>
        <v/>
      </c>
      <c r="AQ52" s="302" t="str">
        <f t="shared" si="88"/>
        <v/>
      </c>
      <c r="AR52" s="302" t="str">
        <f t="shared" si="88"/>
        <v/>
      </c>
      <c r="AS52" s="302" t="str">
        <f t="shared" si="88"/>
        <v/>
      </c>
      <c r="AT52" s="302" t="str">
        <f t="shared" si="88"/>
        <v/>
      </c>
      <c r="AU52" s="302" t="str">
        <f t="shared" si="88"/>
        <v/>
      </c>
      <c r="AV52" s="302" t="str">
        <f t="shared" si="88"/>
        <v/>
      </c>
      <c r="AW52" s="302" t="str">
        <f t="shared" si="88"/>
        <v/>
      </c>
      <c r="AX52" s="302" t="str">
        <f t="shared" si="88"/>
        <v/>
      </c>
      <c r="AY52" s="302" t="str">
        <f t="shared" si="88"/>
        <v/>
      </c>
      <c r="AZ52" s="302" t="str">
        <f t="shared" si="88"/>
        <v/>
      </c>
      <c r="BA52" s="283" t="str">
        <f t="shared" si="88"/>
        <v/>
      </c>
      <c r="BC52" s="61">
        <f t="shared" si="89"/>
        <v>0</v>
      </c>
      <c r="BD52" s="61">
        <f t="shared" si="90"/>
        <v>0</v>
      </c>
      <c r="BE52" s="61">
        <f t="shared" si="91"/>
        <v>0</v>
      </c>
      <c r="BF52" s="61">
        <f t="shared" si="92"/>
        <v>0</v>
      </c>
      <c r="BG52" s="61">
        <f t="shared" si="93"/>
        <v>0</v>
      </c>
      <c r="BH52" s="61">
        <f t="shared" si="94"/>
        <v>0</v>
      </c>
      <c r="BI52" s="61">
        <f t="shared" si="95"/>
        <v>0</v>
      </c>
      <c r="BJ52" s="61">
        <f t="shared" si="96"/>
        <v>0</v>
      </c>
      <c r="BK52" s="61">
        <f t="shared" si="97"/>
        <v>0</v>
      </c>
      <c r="BL52" s="61">
        <f t="shared" si="98"/>
        <v>0</v>
      </c>
      <c r="BM52" s="61">
        <f t="shared" si="99"/>
        <v>0</v>
      </c>
      <c r="BN52" s="61">
        <f t="shared" si="100"/>
        <v>0</v>
      </c>
      <c r="BO52" s="61">
        <f t="shared" si="101"/>
        <v>0</v>
      </c>
      <c r="BP52" s="61">
        <f t="shared" si="102"/>
        <v>0</v>
      </c>
      <c r="BQ52" s="61">
        <f t="shared" si="103"/>
        <v>0</v>
      </c>
      <c r="BR52" s="61">
        <f t="shared" si="104"/>
        <v>0</v>
      </c>
      <c r="BS52" s="61">
        <f t="shared" si="105"/>
        <v>0</v>
      </c>
      <c r="BT52" s="61">
        <f t="shared" si="106"/>
        <v>0</v>
      </c>
      <c r="BU52" s="61">
        <f t="shared" si="107"/>
        <v>0</v>
      </c>
      <c r="BV52" s="61">
        <f t="shared" si="108"/>
        <v>0</v>
      </c>
      <c r="BW52" s="61">
        <f t="shared" si="109"/>
        <v>0</v>
      </c>
      <c r="BX52" s="61">
        <f t="shared" si="110"/>
        <v>0</v>
      </c>
      <c r="BY52" s="61">
        <f t="shared" si="111"/>
        <v>0</v>
      </c>
      <c r="BZ52" s="61">
        <f t="shared" si="112"/>
        <v>0</v>
      </c>
      <c r="CA52" s="61">
        <f t="shared" si="113"/>
        <v>0</v>
      </c>
      <c r="CB52" s="61">
        <f t="shared" si="52"/>
        <v>0</v>
      </c>
      <c r="CD52" s="200">
        <f>(SUMIF(Fonctionnement[Affectation matrice],$AB$3,Fonctionnement[TVA acquittée])+SUMIF(Invest[Affectation matrice],$AB$3,Invest[TVA acquittée]))*BC52</f>
        <v>0</v>
      </c>
      <c r="CE52" s="200">
        <f>(SUMIF(Fonctionnement[Affectation matrice],$AB$3,Fonctionnement[TVA acquittée])+SUMIF(Invest[Affectation matrice],$AB$3,Invest[TVA acquittée]))*BD52</f>
        <v>0</v>
      </c>
      <c r="CF52" s="200">
        <f>(SUMIF(Fonctionnement[Affectation matrice],$AB$3,Fonctionnement[TVA acquittée])+SUMIF(Invest[Affectation matrice],$AB$3,Invest[TVA acquittée]))*BE52</f>
        <v>0</v>
      </c>
      <c r="CG52" s="200">
        <f>(SUMIF(Fonctionnement[Affectation matrice],$AB$3,Fonctionnement[TVA acquittée])+SUMIF(Invest[Affectation matrice],$AB$3,Invest[TVA acquittée]))*BF52</f>
        <v>0</v>
      </c>
      <c r="CH52" s="200">
        <f>(SUMIF(Fonctionnement[Affectation matrice],$AB$3,Fonctionnement[TVA acquittée])+SUMIF(Invest[Affectation matrice],$AB$3,Invest[TVA acquittée]))*BG52</f>
        <v>0</v>
      </c>
      <c r="CI52" s="200">
        <f>(SUMIF(Fonctionnement[Affectation matrice],$AB$3,Fonctionnement[TVA acquittée])+SUMIF(Invest[Affectation matrice],$AB$3,Invest[TVA acquittée]))*BH52</f>
        <v>0</v>
      </c>
      <c r="CJ52" s="200">
        <f>(SUMIF(Fonctionnement[Affectation matrice],$AB$3,Fonctionnement[TVA acquittée])+SUMIF(Invest[Affectation matrice],$AB$3,Invest[TVA acquittée]))*BI52</f>
        <v>0</v>
      </c>
      <c r="CK52" s="200">
        <f>(SUMIF(Fonctionnement[Affectation matrice],$AB$3,Fonctionnement[TVA acquittée])+SUMIF(Invest[Affectation matrice],$AB$3,Invest[TVA acquittée]))*BJ52</f>
        <v>0</v>
      </c>
      <c r="CL52" s="200">
        <f>(SUMIF(Fonctionnement[Affectation matrice],$AB$3,Fonctionnement[TVA acquittée])+SUMIF(Invest[Affectation matrice],$AB$3,Invest[TVA acquittée]))*BK52</f>
        <v>0</v>
      </c>
      <c r="CM52" s="200">
        <f>(SUMIF(Fonctionnement[Affectation matrice],$AB$3,Fonctionnement[TVA acquittée])+SUMIF(Invest[Affectation matrice],$AB$3,Invest[TVA acquittée]))*BL52</f>
        <v>0</v>
      </c>
      <c r="CN52" s="200">
        <f>(SUMIF(Fonctionnement[Affectation matrice],$AB$3,Fonctionnement[TVA acquittée])+SUMIF(Invest[Affectation matrice],$AB$3,Invest[TVA acquittée]))*BM52</f>
        <v>0</v>
      </c>
      <c r="CO52" s="200">
        <f>(SUMIF(Fonctionnement[Affectation matrice],$AB$3,Fonctionnement[TVA acquittée])+SUMIF(Invest[Affectation matrice],$AB$3,Invest[TVA acquittée]))*BN52</f>
        <v>0</v>
      </c>
      <c r="CP52" s="200">
        <f>(SUMIF(Fonctionnement[Affectation matrice],$AB$3,Fonctionnement[TVA acquittée])+SUMIF(Invest[Affectation matrice],$AB$3,Invest[TVA acquittée]))*BO52</f>
        <v>0</v>
      </c>
      <c r="CQ52" s="200">
        <f>(SUMIF(Fonctionnement[Affectation matrice],$AB$3,Fonctionnement[TVA acquittée])+SUMIF(Invest[Affectation matrice],$AB$3,Invest[TVA acquittée]))*BP52</f>
        <v>0</v>
      </c>
      <c r="CR52" s="200">
        <f>(SUMIF(Fonctionnement[Affectation matrice],$AB$3,Fonctionnement[TVA acquittée])+SUMIF(Invest[Affectation matrice],$AB$3,Invest[TVA acquittée]))*BQ52</f>
        <v>0</v>
      </c>
      <c r="CS52" s="200">
        <f>(SUMIF(Fonctionnement[Affectation matrice],$AB$3,Fonctionnement[TVA acquittée])+SUMIF(Invest[Affectation matrice],$AB$3,Invest[TVA acquittée]))*BR52</f>
        <v>0</v>
      </c>
      <c r="CT52" s="200">
        <f>(SUMIF(Fonctionnement[Affectation matrice],$AB$3,Fonctionnement[TVA acquittée])+SUMIF(Invest[Affectation matrice],$AB$3,Invest[TVA acquittée]))*BS52</f>
        <v>0</v>
      </c>
      <c r="CU52" s="200">
        <f>(SUMIF(Fonctionnement[Affectation matrice],$AB$3,Fonctionnement[TVA acquittée])+SUMIF(Invest[Affectation matrice],$AB$3,Invest[TVA acquittée]))*BT52</f>
        <v>0</v>
      </c>
      <c r="CV52" s="200">
        <f>(SUMIF(Fonctionnement[Affectation matrice],$AB$3,Fonctionnement[TVA acquittée])+SUMIF(Invest[Affectation matrice],$AB$3,Invest[TVA acquittée]))*BU52</f>
        <v>0</v>
      </c>
      <c r="CW52" s="200">
        <f>(SUMIF(Fonctionnement[Affectation matrice],$AB$3,Fonctionnement[TVA acquittée])+SUMIF(Invest[Affectation matrice],$AB$3,Invest[TVA acquittée]))*BV52</f>
        <v>0</v>
      </c>
      <c r="CX52" s="200">
        <f>(SUMIF(Fonctionnement[Affectation matrice],$AB$3,Fonctionnement[TVA acquittée])+SUMIF(Invest[Affectation matrice],$AB$3,Invest[TVA acquittée]))*BW52</f>
        <v>0</v>
      </c>
      <c r="CY52" s="200">
        <f>(SUMIF(Fonctionnement[Affectation matrice],$AB$3,Fonctionnement[TVA acquittée])+SUMIF(Invest[Affectation matrice],$AB$3,Invest[TVA acquittée]))*BX52</f>
        <v>0</v>
      </c>
      <c r="CZ52" s="200">
        <f>(SUMIF(Fonctionnement[Affectation matrice],$AB$3,Fonctionnement[TVA acquittée])+SUMIF(Invest[Affectation matrice],$AB$3,Invest[TVA acquittée]))*BY52</f>
        <v>0</v>
      </c>
      <c r="DA52" s="200">
        <f>(SUMIF(Fonctionnement[Affectation matrice],$AB$3,Fonctionnement[TVA acquittée])+SUMIF(Invest[Affectation matrice],$AB$3,Invest[TVA acquittée]))*BZ52</f>
        <v>0</v>
      </c>
      <c r="DB52" s="200">
        <f>(SUMIF(Fonctionnement[Affectation matrice],$AB$3,Fonctionnement[TVA acquittée])+SUMIF(Invest[Affectation matrice],$AB$3,Invest[TVA acquittée]))*CA52</f>
        <v>0</v>
      </c>
    </row>
    <row r="53" spans="1:107" x14ac:dyDescent="0.25">
      <c r="A53" s="206" t="s">
        <v>1101</v>
      </c>
      <c r="B53" s="278">
        <f>SUM(B5:B52)</f>
        <v>0</v>
      </c>
      <c r="C53" s="278">
        <f t="shared" ref="C53:Z53" si="114">SUM(C5:C52)</f>
        <v>0</v>
      </c>
      <c r="D53" s="278">
        <f t="shared" si="114"/>
        <v>0</v>
      </c>
      <c r="E53" s="278">
        <f t="shared" si="114"/>
        <v>0</v>
      </c>
      <c r="F53" s="278">
        <f t="shared" si="114"/>
        <v>0</v>
      </c>
      <c r="G53" s="278">
        <f t="shared" si="114"/>
        <v>0</v>
      </c>
      <c r="H53" s="278">
        <f t="shared" si="114"/>
        <v>0</v>
      </c>
      <c r="I53" s="278">
        <f t="shared" si="114"/>
        <v>0</v>
      </c>
      <c r="J53" s="278">
        <f t="shared" si="114"/>
        <v>0</v>
      </c>
      <c r="K53" s="278">
        <f t="shared" si="114"/>
        <v>0</v>
      </c>
      <c r="L53" s="278">
        <f t="shared" si="114"/>
        <v>0</v>
      </c>
      <c r="M53" s="278">
        <f t="shared" si="114"/>
        <v>0</v>
      </c>
      <c r="N53" s="278">
        <f t="shared" si="114"/>
        <v>0</v>
      </c>
      <c r="O53" s="278">
        <f t="shared" si="114"/>
        <v>0</v>
      </c>
      <c r="P53" s="278">
        <f t="shared" si="114"/>
        <v>0</v>
      </c>
      <c r="Q53" s="278">
        <f t="shared" si="114"/>
        <v>0</v>
      </c>
      <c r="R53" s="278">
        <f t="shared" si="114"/>
        <v>0</v>
      </c>
      <c r="S53" s="278">
        <f t="shared" si="114"/>
        <v>0</v>
      </c>
      <c r="T53" s="278">
        <f t="shared" si="114"/>
        <v>0</v>
      </c>
      <c r="U53" s="278">
        <f t="shared" si="114"/>
        <v>0</v>
      </c>
      <c r="V53" s="278">
        <f t="shared" si="114"/>
        <v>0</v>
      </c>
      <c r="W53" s="278">
        <f t="shared" si="114"/>
        <v>0</v>
      </c>
      <c r="X53" s="278">
        <f t="shared" si="114"/>
        <v>0</v>
      </c>
      <c r="Y53" s="278">
        <f t="shared" si="114"/>
        <v>0</v>
      </c>
      <c r="Z53" s="278">
        <f t="shared" si="114"/>
        <v>0</v>
      </c>
      <c r="AA53" s="199"/>
      <c r="AB53" s="61">
        <f>SUM(AB5:AB52)</f>
        <v>0</v>
      </c>
      <c r="AC53" s="61">
        <f t="shared" ref="AC53:BA53" si="115">SUM(AC5:AC52)</f>
        <v>0</v>
      </c>
      <c r="AD53" s="61">
        <f t="shared" si="115"/>
        <v>0</v>
      </c>
      <c r="AE53" s="61">
        <f t="shared" si="115"/>
        <v>0</v>
      </c>
      <c r="AF53" s="61">
        <f t="shared" si="115"/>
        <v>0</v>
      </c>
      <c r="AG53" s="61">
        <f t="shared" si="115"/>
        <v>0</v>
      </c>
      <c r="AH53" s="61">
        <f t="shared" si="115"/>
        <v>0</v>
      </c>
      <c r="AI53" s="61">
        <f t="shared" si="115"/>
        <v>0</v>
      </c>
      <c r="AJ53" s="61">
        <f t="shared" si="115"/>
        <v>0</v>
      </c>
      <c r="AK53" s="61">
        <f t="shared" si="115"/>
        <v>0</v>
      </c>
      <c r="AL53" s="61">
        <f t="shared" si="115"/>
        <v>0</v>
      </c>
      <c r="AM53" s="61">
        <f t="shared" si="115"/>
        <v>0</v>
      </c>
      <c r="AN53" s="61">
        <f t="shared" si="115"/>
        <v>0</v>
      </c>
      <c r="AO53" s="61">
        <f t="shared" si="115"/>
        <v>0</v>
      </c>
      <c r="AP53" s="61">
        <f t="shared" si="115"/>
        <v>0</v>
      </c>
      <c r="AQ53" s="61">
        <f t="shared" si="115"/>
        <v>0</v>
      </c>
      <c r="AR53" s="61">
        <f t="shared" si="115"/>
        <v>0</v>
      </c>
      <c r="AS53" s="61">
        <f t="shared" si="115"/>
        <v>0</v>
      </c>
      <c r="AT53" s="61">
        <f t="shared" si="115"/>
        <v>0</v>
      </c>
      <c r="AU53" s="61">
        <f t="shared" si="115"/>
        <v>0</v>
      </c>
      <c r="AV53" s="61">
        <f t="shared" si="115"/>
        <v>0</v>
      </c>
      <c r="AW53" s="61">
        <f t="shared" si="115"/>
        <v>0</v>
      </c>
      <c r="AX53" s="61">
        <f t="shared" si="115"/>
        <v>0</v>
      </c>
      <c r="AY53" s="61">
        <f t="shared" si="115"/>
        <v>0</v>
      </c>
      <c r="AZ53" s="61">
        <f t="shared" si="115"/>
        <v>0</v>
      </c>
      <c r="BA53" s="207">
        <f t="shared" si="115"/>
        <v>0</v>
      </c>
      <c r="BC53" s="61">
        <f t="shared" ref="BC53:CB53" si="116">SUM(BC5:BC52)</f>
        <v>0</v>
      </c>
      <c r="BD53" s="61">
        <f t="shared" si="116"/>
        <v>0</v>
      </c>
      <c r="BE53" s="61">
        <f t="shared" si="116"/>
        <v>0</v>
      </c>
      <c r="BF53" s="61">
        <f t="shared" si="116"/>
        <v>0</v>
      </c>
      <c r="BG53" s="61">
        <f t="shared" si="116"/>
        <v>0</v>
      </c>
      <c r="BH53" s="61">
        <f t="shared" si="116"/>
        <v>0</v>
      </c>
      <c r="BI53" s="61">
        <f t="shared" si="116"/>
        <v>0</v>
      </c>
      <c r="BJ53" s="61">
        <f t="shared" si="116"/>
        <v>0</v>
      </c>
      <c r="BK53" s="61">
        <f t="shared" si="116"/>
        <v>0</v>
      </c>
      <c r="BL53" s="61">
        <f t="shared" si="116"/>
        <v>0</v>
      </c>
      <c r="BM53" s="61">
        <f t="shared" si="116"/>
        <v>0</v>
      </c>
      <c r="BN53" s="61">
        <f t="shared" si="116"/>
        <v>0</v>
      </c>
      <c r="BO53" s="61">
        <f t="shared" si="116"/>
        <v>0</v>
      </c>
      <c r="BP53" s="61">
        <f t="shared" si="116"/>
        <v>0</v>
      </c>
      <c r="BQ53" s="61">
        <f t="shared" si="116"/>
        <v>0</v>
      </c>
      <c r="BR53" s="61">
        <f t="shared" si="116"/>
        <v>0</v>
      </c>
      <c r="BS53" s="61">
        <f t="shared" si="116"/>
        <v>0</v>
      </c>
      <c r="BT53" s="61">
        <f t="shared" si="116"/>
        <v>0</v>
      </c>
      <c r="BU53" s="61">
        <f t="shared" si="116"/>
        <v>0</v>
      </c>
      <c r="BV53" s="61">
        <f t="shared" si="116"/>
        <v>0</v>
      </c>
      <c r="BW53" s="61">
        <f t="shared" si="116"/>
        <v>0</v>
      </c>
      <c r="BX53" s="61">
        <f t="shared" si="116"/>
        <v>0</v>
      </c>
      <c r="BY53" s="61">
        <f t="shared" si="116"/>
        <v>0</v>
      </c>
      <c r="BZ53" s="61">
        <f t="shared" si="116"/>
        <v>0</v>
      </c>
      <c r="CA53" s="61">
        <f t="shared" si="116"/>
        <v>0</v>
      </c>
      <c r="CB53" s="207">
        <f t="shared" si="116"/>
        <v>0</v>
      </c>
      <c r="CD53" s="208">
        <f>(SUMIF(Fonctionnement[Affectation matrice],$AB$3,Fonctionnement[TVA acquittée])+SUMIF(Invest[Affectation matrice],$AB$3,Invest[TVA acquittée]))*BC53</f>
        <v>0</v>
      </c>
      <c r="CE53" s="208">
        <f>(SUMIF(Fonctionnement[Affectation matrice],$AB$3,Fonctionnement[TVA acquittée])+SUMIF(Invest[Affectation matrice],$AB$3,Invest[TVA acquittée]))*BD53</f>
        <v>0</v>
      </c>
      <c r="CF53" s="208">
        <f>(SUMIF(Fonctionnement[Affectation matrice],$AB$3,Fonctionnement[TVA acquittée])+SUMIF(Invest[Affectation matrice],$AB$3,Invest[TVA acquittée]))*BE53</f>
        <v>0</v>
      </c>
      <c r="CG53" s="208">
        <f>(SUMIF(Fonctionnement[Affectation matrice],$AB$3,Fonctionnement[TVA acquittée])+SUMIF(Invest[Affectation matrice],$AB$3,Invest[TVA acquittée]))*BF53</f>
        <v>0</v>
      </c>
      <c r="CH53" s="208">
        <f>(SUMIF(Fonctionnement[Affectation matrice],$AB$3,Fonctionnement[TVA acquittée])+SUMIF(Invest[Affectation matrice],$AB$3,Invest[TVA acquittée]))*BG53</f>
        <v>0</v>
      </c>
      <c r="CI53" s="208">
        <f>(SUMIF(Fonctionnement[Affectation matrice],$AB$3,Fonctionnement[TVA acquittée])+SUMIF(Invest[Affectation matrice],$AB$3,Invest[TVA acquittée]))*BH53</f>
        <v>0</v>
      </c>
      <c r="CJ53" s="208">
        <f>(SUMIF(Fonctionnement[Affectation matrice],$AB$3,Fonctionnement[TVA acquittée])+SUMIF(Invest[Affectation matrice],$AB$3,Invest[TVA acquittée]))*BI53</f>
        <v>0</v>
      </c>
      <c r="CK53" s="208">
        <f>(SUMIF(Fonctionnement[Affectation matrice],$AB$3,Fonctionnement[TVA acquittée])+SUMIF(Invest[Affectation matrice],$AB$3,Invest[TVA acquittée]))*BJ53</f>
        <v>0</v>
      </c>
      <c r="CL53" s="208">
        <f>(SUMIF(Fonctionnement[Affectation matrice],$AB$3,Fonctionnement[TVA acquittée])+SUMIF(Invest[Affectation matrice],$AB$3,Invest[TVA acquittée]))*BK53</f>
        <v>0</v>
      </c>
      <c r="CM53" s="208">
        <f>(SUMIF(Fonctionnement[Affectation matrice],$AB$3,Fonctionnement[TVA acquittée])+SUMIF(Invest[Affectation matrice],$AB$3,Invest[TVA acquittée]))*BL53</f>
        <v>0</v>
      </c>
      <c r="CN53" s="208">
        <f>(SUMIF(Fonctionnement[Affectation matrice],$AB$3,Fonctionnement[TVA acquittée])+SUMIF(Invest[Affectation matrice],$AB$3,Invest[TVA acquittée]))*BM53</f>
        <v>0</v>
      </c>
      <c r="CO53" s="208">
        <f>(SUMIF(Fonctionnement[Affectation matrice],$AB$3,Fonctionnement[TVA acquittée])+SUMIF(Invest[Affectation matrice],$AB$3,Invest[TVA acquittée]))*BN53</f>
        <v>0</v>
      </c>
      <c r="CP53" s="208">
        <f>(SUMIF(Fonctionnement[Affectation matrice],$AB$3,Fonctionnement[TVA acquittée])+SUMIF(Invest[Affectation matrice],$AB$3,Invest[TVA acquittée]))*BO53</f>
        <v>0</v>
      </c>
      <c r="CQ53" s="208">
        <f>(SUMIF(Fonctionnement[Affectation matrice],$AB$3,Fonctionnement[TVA acquittée])+SUMIF(Invest[Affectation matrice],$AB$3,Invest[TVA acquittée]))*BP53</f>
        <v>0</v>
      </c>
      <c r="CR53" s="208">
        <f>(SUMIF(Fonctionnement[Affectation matrice],$AB$3,Fonctionnement[TVA acquittée])+SUMIF(Invest[Affectation matrice],$AB$3,Invest[TVA acquittée]))*BQ53</f>
        <v>0</v>
      </c>
      <c r="CS53" s="208">
        <f>(SUMIF(Fonctionnement[Affectation matrice],$AB$3,Fonctionnement[TVA acquittée])+SUMIF(Invest[Affectation matrice],$AB$3,Invest[TVA acquittée]))*BR53</f>
        <v>0</v>
      </c>
      <c r="CT53" s="208">
        <f>(SUMIF(Fonctionnement[Affectation matrice],$AB$3,Fonctionnement[TVA acquittée])+SUMIF(Invest[Affectation matrice],$AB$3,Invest[TVA acquittée]))*BS53</f>
        <v>0</v>
      </c>
      <c r="CU53" s="208">
        <f>(SUMIF(Fonctionnement[Affectation matrice],$AB$3,Fonctionnement[TVA acquittée])+SUMIF(Invest[Affectation matrice],$AB$3,Invest[TVA acquittée]))*BT53</f>
        <v>0</v>
      </c>
      <c r="CV53" s="208">
        <f>(SUMIF(Fonctionnement[Affectation matrice],$AB$3,Fonctionnement[TVA acquittée])+SUMIF(Invest[Affectation matrice],$AB$3,Invest[TVA acquittée]))*BU53</f>
        <v>0</v>
      </c>
      <c r="CW53" s="208">
        <f>(SUMIF(Fonctionnement[Affectation matrice],$AB$3,Fonctionnement[TVA acquittée])+SUMIF(Invest[Affectation matrice],$AB$3,Invest[TVA acquittée]))*BV53</f>
        <v>0</v>
      </c>
      <c r="CX53" s="208">
        <f>(SUMIF(Fonctionnement[Affectation matrice],$AB$3,Fonctionnement[TVA acquittée])+SUMIF(Invest[Affectation matrice],$AB$3,Invest[TVA acquittée]))*BW53</f>
        <v>0</v>
      </c>
      <c r="CY53" s="208">
        <f>(SUMIF(Fonctionnement[Affectation matrice],$AB$3,Fonctionnement[TVA acquittée])+SUMIF(Invest[Affectation matrice],$AB$3,Invest[TVA acquittée]))*BX53</f>
        <v>0</v>
      </c>
      <c r="CZ53" s="208">
        <f>(SUMIF(Fonctionnement[Affectation matrice],$AB$3,Fonctionnement[TVA acquittée])+SUMIF(Invest[Affectation matrice],$AB$3,Invest[TVA acquittée]))*BY53</f>
        <v>0</v>
      </c>
      <c r="DA53" s="208">
        <f>(SUMIF(Fonctionnement[Affectation matrice],$AB$3,Fonctionnement[TVA acquittée])+SUMIF(Invest[Affectation matrice],$AB$3,Invest[TVA acquittée]))*BZ53</f>
        <v>0</v>
      </c>
      <c r="DB53" s="208">
        <f>(SUMIF(Fonctionnement[Affectation matrice],$AB$3,Fonctionnement[TVA acquittée])+SUMIF(Invest[Affectation matrice],$AB$3,Invest[TVA acquittée]))*CA53</f>
        <v>0</v>
      </c>
    </row>
    <row r="55" spans="1:107" x14ac:dyDescent="0.25">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C55" s="209"/>
      <c r="BD55" s="209"/>
      <c r="BE55" s="209"/>
      <c r="BF55" s="209"/>
      <c r="BG55" s="209"/>
      <c r="BH55" s="209"/>
      <c r="BI55" s="209"/>
      <c r="BJ55" s="209"/>
      <c r="BK55" s="209"/>
      <c r="BL55" s="209"/>
      <c r="BM55" s="209"/>
      <c r="BN55" s="209"/>
      <c r="BO55" s="209"/>
      <c r="BP55" s="209"/>
      <c r="BQ55" s="209"/>
      <c r="BR55" s="209"/>
      <c r="BS55" s="209"/>
      <c r="BT55" s="209"/>
      <c r="BU55" s="209"/>
      <c r="BV55" s="209"/>
      <c r="BW55" s="209"/>
      <c r="BX55" s="209"/>
      <c r="BY55" s="209"/>
      <c r="BZ55" s="209"/>
      <c r="CA55" s="209"/>
      <c r="CB55" s="209"/>
    </row>
    <row r="56" spans="1:107" x14ac:dyDescent="0.25">
      <c r="A56" s="395" t="s">
        <v>1108</v>
      </c>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18"/>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272"/>
    </row>
    <row r="57" spans="1:107" x14ac:dyDescent="0.25">
      <c r="A57" s="395" t="s">
        <v>1109</v>
      </c>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18"/>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272"/>
    </row>
    <row r="58" spans="1:107" x14ac:dyDescent="0.25">
      <c r="A58" s="395" t="s">
        <v>1110</v>
      </c>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18"/>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272"/>
    </row>
    <row r="59" spans="1:107" x14ac:dyDescent="0.25">
      <c r="A59" s="395" t="s">
        <v>1111</v>
      </c>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18"/>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272"/>
    </row>
    <row r="60" spans="1:107" x14ac:dyDescent="0.25">
      <c r="A60" s="395" t="s">
        <v>1112</v>
      </c>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18"/>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272"/>
    </row>
    <row r="61" spans="1:107" x14ac:dyDescent="0.25">
      <c r="A61" s="395" t="s">
        <v>1113</v>
      </c>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18"/>
      <c r="AB61" s="273"/>
      <c r="AC61" s="273"/>
      <c r="AD61" s="273"/>
      <c r="AE61" s="273"/>
      <c r="AF61" s="273"/>
      <c r="AG61" s="273"/>
      <c r="AH61" s="273"/>
      <c r="AI61" s="273"/>
      <c r="AJ61" s="273"/>
      <c r="AK61" s="273"/>
      <c r="AL61" s="273"/>
      <c r="AM61" s="273"/>
      <c r="AN61" s="273"/>
      <c r="AO61" s="273"/>
      <c r="AP61" s="273"/>
      <c r="AQ61" s="273"/>
      <c r="AR61" s="273"/>
      <c r="AS61" s="273"/>
      <c r="AT61" s="273"/>
      <c r="AU61" s="273"/>
      <c r="AV61" s="273"/>
      <c r="AW61" s="273"/>
      <c r="AX61" s="273"/>
      <c r="AY61" s="273"/>
      <c r="AZ61" s="273"/>
      <c r="BA61" s="273"/>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272"/>
    </row>
    <row r="62" spans="1:107" hidden="1" x14ac:dyDescent="0.25">
      <c r="A62" s="395" t="s">
        <v>1114</v>
      </c>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18"/>
      <c r="AB62" s="273"/>
      <c r="AC62" s="273"/>
      <c r="AD62" s="273"/>
      <c r="AE62" s="273"/>
      <c r="AF62" s="273"/>
      <c r="AG62" s="273"/>
      <c r="AH62" s="273"/>
      <c r="AI62" s="273"/>
      <c r="AJ62" s="273"/>
      <c r="AK62" s="273"/>
      <c r="AL62" s="273"/>
      <c r="AM62" s="273"/>
      <c r="AN62" s="273"/>
      <c r="AO62" s="273"/>
      <c r="AP62" s="273"/>
      <c r="AQ62" s="273"/>
      <c r="AR62" s="273"/>
      <c r="AS62" s="273"/>
      <c r="AT62" s="273"/>
      <c r="AU62" s="273"/>
      <c r="AV62" s="273"/>
      <c r="AW62" s="273"/>
      <c r="AX62" s="273"/>
      <c r="AY62" s="273"/>
      <c r="AZ62" s="273"/>
      <c r="BA62" s="273"/>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272"/>
    </row>
    <row r="63" spans="1:107" hidden="1" x14ac:dyDescent="0.25">
      <c r="A63" s="395" t="s">
        <v>1115</v>
      </c>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18"/>
      <c r="AB63" s="273"/>
      <c r="AC63" s="273"/>
      <c r="AD63" s="273"/>
      <c r="AE63" s="273"/>
      <c r="AF63" s="273"/>
      <c r="AG63" s="273"/>
      <c r="AH63" s="273"/>
      <c r="AI63" s="273"/>
      <c r="AJ63" s="273"/>
      <c r="AK63" s="273"/>
      <c r="AL63" s="273"/>
      <c r="AM63" s="273"/>
      <c r="AN63" s="273"/>
      <c r="AO63" s="273"/>
      <c r="AP63" s="273"/>
      <c r="AQ63" s="273"/>
      <c r="AR63" s="273"/>
      <c r="AS63" s="273"/>
      <c r="AT63" s="273"/>
      <c r="AU63" s="273"/>
      <c r="AV63" s="273"/>
      <c r="AW63" s="273"/>
      <c r="AX63" s="273"/>
      <c r="AY63" s="273"/>
      <c r="AZ63" s="273"/>
      <c r="BA63" s="273"/>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272"/>
    </row>
    <row r="64" spans="1:107" hidden="1" x14ac:dyDescent="0.25">
      <c r="A64" s="395" t="s">
        <v>1116</v>
      </c>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18"/>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272"/>
    </row>
    <row r="65" spans="1:107" hidden="1" x14ac:dyDescent="0.25">
      <c r="A65" s="395" t="s">
        <v>1117</v>
      </c>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18"/>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272"/>
    </row>
    <row r="66" spans="1:107" hidden="1" x14ac:dyDescent="0.25">
      <c r="A66" s="395" t="s">
        <v>1118</v>
      </c>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18"/>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3"/>
      <c r="AY66" s="273"/>
      <c r="AZ66" s="273"/>
      <c r="BA66" s="273"/>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272"/>
    </row>
    <row r="67" spans="1:107" hidden="1" x14ac:dyDescent="0.25">
      <c r="A67" s="395" t="s">
        <v>1119</v>
      </c>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18"/>
      <c r="AB67" s="273"/>
      <c r="AC67" s="273"/>
      <c r="AD67" s="273"/>
      <c r="AE67" s="273"/>
      <c r="AF67" s="273"/>
      <c r="AG67" s="273"/>
      <c r="AH67" s="273"/>
      <c r="AI67" s="273"/>
      <c r="AJ67" s="273"/>
      <c r="AK67" s="273"/>
      <c r="AL67" s="273"/>
      <c r="AM67" s="273"/>
      <c r="AN67" s="273"/>
      <c r="AO67" s="273"/>
      <c r="AP67" s="273"/>
      <c r="AQ67" s="273"/>
      <c r="AR67" s="273"/>
      <c r="AS67" s="273"/>
      <c r="AT67" s="273"/>
      <c r="AU67" s="273"/>
      <c r="AV67" s="273"/>
      <c r="AW67" s="273"/>
      <c r="AX67" s="273"/>
      <c r="AY67" s="273"/>
      <c r="AZ67" s="273"/>
      <c r="BA67" s="273"/>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272"/>
    </row>
    <row r="68" spans="1:107" hidden="1" x14ac:dyDescent="0.25">
      <c r="A68" s="395" t="s">
        <v>1120</v>
      </c>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18"/>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272"/>
    </row>
    <row r="69" spans="1:107" hidden="1" x14ac:dyDescent="0.25">
      <c r="A69" s="395" t="s">
        <v>1121</v>
      </c>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18"/>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272"/>
    </row>
    <row r="70" spans="1:107" hidden="1" x14ac:dyDescent="0.25">
      <c r="A70" s="395" t="s">
        <v>1122</v>
      </c>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18"/>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273"/>
      <c r="AZ70" s="273"/>
      <c r="BA70" s="273"/>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272"/>
    </row>
    <row r="71" spans="1:107" hidden="1" x14ac:dyDescent="0.25">
      <c r="A71" s="395" t="s">
        <v>1123</v>
      </c>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18"/>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272"/>
    </row>
    <row r="72" spans="1:107" hidden="1" x14ac:dyDescent="0.25">
      <c r="A72" s="395" t="s">
        <v>1124</v>
      </c>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18"/>
      <c r="AB72" s="273"/>
      <c r="AC72" s="273"/>
      <c r="AD72" s="273"/>
      <c r="AE72" s="273"/>
      <c r="AF72" s="273"/>
      <c r="AG72" s="273"/>
      <c r="AH72" s="273"/>
      <c r="AI72" s="273"/>
      <c r="AJ72" s="273"/>
      <c r="AK72" s="273"/>
      <c r="AL72" s="273"/>
      <c r="AM72" s="273"/>
      <c r="AN72" s="273"/>
      <c r="AO72" s="273"/>
      <c r="AP72" s="273"/>
      <c r="AQ72" s="273"/>
      <c r="AR72" s="273"/>
      <c r="AS72" s="273"/>
      <c r="AT72" s="273"/>
      <c r="AU72" s="273"/>
      <c r="AV72" s="273"/>
      <c r="AW72" s="273"/>
      <c r="AX72" s="273"/>
      <c r="AY72" s="273"/>
      <c r="AZ72" s="273"/>
      <c r="BA72" s="273"/>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272"/>
    </row>
    <row r="73" spans="1:107" hidden="1" x14ac:dyDescent="0.25">
      <c r="A73" s="395" t="s">
        <v>1125</v>
      </c>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18"/>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272"/>
    </row>
    <row r="74" spans="1:107" hidden="1" x14ac:dyDescent="0.25">
      <c r="A74" s="395" t="s">
        <v>1126</v>
      </c>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18"/>
      <c r="AB74" s="273"/>
      <c r="AC74" s="273"/>
      <c r="AD74" s="273"/>
      <c r="AE74" s="273"/>
      <c r="AF74" s="273"/>
      <c r="AG74" s="273"/>
      <c r="AH74" s="273"/>
      <c r="AI74" s="273"/>
      <c r="AJ74" s="273"/>
      <c r="AK74" s="273"/>
      <c r="AL74" s="273"/>
      <c r="AM74" s="273"/>
      <c r="AN74" s="273"/>
      <c r="AO74" s="273"/>
      <c r="AP74" s="273"/>
      <c r="AQ74" s="273"/>
      <c r="AR74" s="273"/>
      <c r="AS74" s="273"/>
      <c r="AT74" s="273"/>
      <c r="AU74" s="273"/>
      <c r="AV74" s="273"/>
      <c r="AW74" s="273"/>
      <c r="AX74" s="273"/>
      <c r="AY74" s="273"/>
      <c r="AZ74" s="273"/>
      <c r="BA74" s="273"/>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272"/>
    </row>
    <row r="75" spans="1:107" hidden="1" x14ac:dyDescent="0.25">
      <c r="A75" s="395" t="s">
        <v>1127</v>
      </c>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18"/>
      <c r="AB75" s="273"/>
      <c r="AC75" s="273"/>
      <c r="AD75" s="273"/>
      <c r="AE75" s="273"/>
      <c r="AF75" s="273"/>
      <c r="AG75" s="273"/>
      <c r="AH75" s="273"/>
      <c r="AI75" s="273"/>
      <c r="AJ75" s="273"/>
      <c r="AK75" s="273"/>
      <c r="AL75" s="273"/>
      <c r="AM75" s="273"/>
      <c r="AN75" s="273"/>
      <c r="AO75" s="273"/>
      <c r="AP75" s="273"/>
      <c r="AQ75" s="273"/>
      <c r="AR75" s="273"/>
      <c r="AS75" s="273"/>
      <c r="AT75" s="273"/>
      <c r="AU75" s="273"/>
      <c r="AV75" s="273"/>
      <c r="AW75" s="273"/>
      <c r="AX75" s="273"/>
      <c r="AY75" s="273"/>
      <c r="AZ75" s="273"/>
      <c r="BA75" s="273"/>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272"/>
    </row>
    <row r="76" spans="1:107" hidden="1" x14ac:dyDescent="0.25">
      <c r="A76" s="395" t="s">
        <v>1128</v>
      </c>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18"/>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272"/>
    </row>
    <row r="77" spans="1:107" s="259" customFormat="1" x14ac:dyDescent="0.25">
      <c r="A77" s="397" t="s">
        <v>172</v>
      </c>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9"/>
      <c r="AB77" s="274">
        <f>SUM(AB56:AB76)</f>
        <v>0</v>
      </c>
      <c r="AC77" s="274">
        <f t="shared" ref="AC77:BA77" si="117">SUM(AC56:AC76)</f>
        <v>0</v>
      </c>
      <c r="AD77" s="274">
        <f t="shared" si="117"/>
        <v>0</v>
      </c>
      <c r="AE77" s="274">
        <f t="shared" si="117"/>
        <v>0</v>
      </c>
      <c r="AF77" s="274">
        <f t="shared" si="117"/>
        <v>0</v>
      </c>
      <c r="AG77" s="274">
        <f t="shared" si="117"/>
        <v>0</v>
      </c>
      <c r="AH77" s="274">
        <f t="shared" si="117"/>
        <v>0</v>
      </c>
      <c r="AI77" s="274">
        <f t="shared" si="117"/>
        <v>0</v>
      </c>
      <c r="AJ77" s="274">
        <f t="shared" si="117"/>
        <v>0</v>
      </c>
      <c r="AK77" s="274">
        <f t="shared" si="117"/>
        <v>0</v>
      </c>
      <c r="AL77" s="274">
        <f t="shared" si="117"/>
        <v>0</v>
      </c>
      <c r="AM77" s="274">
        <f t="shared" si="117"/>
        <v>0</v>
      </c>
      <c r="AN77" s="274">
        <f t="shared" si="117"/>
        <v>0</v>
      </c>
      <c r="AO77" s="274">
        <f t="shared" si="117"/>
        <v>0</v>
      </c>
      <c r="AP77" s="274">
        <f t="shared" si="117"/>
        <v>0</v>
      </c>
      <c r="AQ77" s="274">
        <f t="shared" si="117"/>
        <v>0</v>
      </c>
      <c r="AR77" s="274">
        <f t="shared" si="117"/>
        <v>0</v>
      </c>
      <c r="AS77" s="274">
        <f t="shared" si="117"/>
        <v>0</v>
      </c>
      <c r="AT77" s="274">
        <f t="shared" si="117"/>
        <v>0</v>
      </c>
      <c r="AU77" s="274">
        <f t="shared" si="117"/>
        <v>0</v>
      </c>
      <c r="AV77" s="274">
        <f t="shared" si="117"/>
        <v>0</v>
      </c>
      <c r="AW77" s="274">
        <f t="shared" si="117"/>
        <v>0</v>
      </c>
      <c r="AX77" s="274">
        <f t="shared" si="117"/>
        <v>0</v>
      </c>
      <c r="AY77" s="274">
        <f t="shared" si="117"/>
        <v>0</v>
      </c>
      <c r="AZ77" s="274">
        <f t="shared" si="117"/>
        <v>0</v>
      </c>
      <c r="BA77" s="274">
        <f t="shared" si="117"/>
        <v>0</v>
      </c>
      <c r="BB77" s="399"/>
      <c r="BC77" s="399"/>
      <c r="BD77" s="399"/>
      <c r="BE77" s="399"/>
      <c r="BF77" s="399"/>
      <c r="BG77" s="399"/>
      <c r="BH77" s="399"/>
      <c r="BI77" s="399"/>
      <c r="BJ77" s="399"/>
      <c r="BK77" s="399"/>
      <c r="BL77" s="399"/>
      <c r="BM77" s="399"/>
      <c r="BN77" s="399"/>
      <c r="BO77" s="399"/>
      <c r="BP77" s="399"/>
      <c r="BQ77" s="399"/>
      <c r="BR77" s="399"/>
      <c r="BS77" s="399"/>
      <c r="BT77" s="399"/>
      <c r="BU77" s="399"/>
      <c r="BV77" s="399"/>
      <c r="BW77" s="399"/>
      <c r="BX77" s="399"/>
      <c r="BY77" s="399"/>
      <c r="BZ77" s="399"/>
      <c r="CA77" s="399"/>
      <c r="CB77" s="399"/>
      <c r="CC77" s="399"/>
      <c r="CD77" s="399"/>
      <c r="CE77" s="399"/>
      <c r="CF77" s="399"/>
      <c r="CG77" s="399"/>
      <c r="CH77" s="399"/>
      <c r="CI77" s="399"/>
      <c r="CJ77" s="399"/>
      <c r="CK77" s="399"/>
      <c r="CL77" s="399"/>
      <c r="CM77" s="399"/>
      <c r="CN77" s="399"/>
      <c r="CO77" s="399"/>
      <c r="CP77" s="399"/>
      <c r="CQ77" s="399"/>
      <c r="CR77" s="399"/>
      <c r="CS77" s="399"/>
      <c r="CT77" s="399"/>
      <c r="CU77" s="399"/>
      <c r="CV77" s="399"/>
      <c r="CW77" s="399"/>
      <c r="CX77" s="399"/>
      <c r="CY77" s="399"/>
      <c r="CZ77" s="399"/>
      <c r="DA77" s="399"/>
      <c r="DB77" s="399"/>
      <c r="DC77" s="399"/>
    </row>
    <row r="81" spans="1:107" ht="21" x14ac:dyDescent="0.4">
      <c r="A81" s="257" t="s">
        <v>1102</v>
      </c>
    </row>
    <row r="83" spans="1:107" x14ac:dyDescent="0.25">
      <c r="A83" s="270"/>
      <c r="B83"/>
      <c r="C83"/>
      <c r="D83"/>
      <c r="E83"/>
      <c r="F83"/>
      <c r="G83"/>
      <c r="H83"/>
      <c r="I83"/>
      <c r="J83"/>
      <c r="K83"/>
      <c r="L83"/>
      <c r="M83"/>
      <c r="N83"/>
      <c r="O83"/>
      <c r="P83"/>
      <c r="Q83"/>
      <c r="R83"/>
      <c r="S83"/>
      <c r="T83"/>
      <c r="U83"/>
      <c r="V83"/>
      <c r="W83"/>
      <c r="X83"/>
      <c r="Y83"/>
      <c r="Z83"/>
      <c r="AA83"/>
      <c r="AB83" s="61">
        <f>SUMIF(CODE,$A83,'4 - Codes matrice'!CF$4:CF$99)</f>
        <v>0</v>
      </c>
      <c r="AC83" s="61">
        <f>SUMIF(CODE,$A83,'4 - Codes matrice'!CG$4:CG$99)</f>
        <v>0</v>
      </c>
      <c r="AD83" s="61">
        <f>SUMIF(CODE,$A83,'4 - Codes matrice'!CH$4:CH$99)</f>
        <v>0</v>
      </c>
      <c r="AE83" s="61">
        <f>SUMIF(CODE,$A83,'4 - Codes matrice'!CI$4:CI$99)</f>
        <v>0</v>
      </c>
      <c r="AF83" s="61">
        <f>SUMIF(CODE,$A83,'4 - Codes matrice'!CJ$4:CJ$99)</f>
        <v>0</v>
      </c>
      <c r="AG83" s="61">
        <f>SUMIF(CODE,$A83,'4 - Codes matrice'!CK$4:CK$99)</f>
        <v>0</v>
      </c>
      <c r="AH83" s="61">
        <f>SUMIF(CODE,$A83,'4 - Codes matrice'!CL$4:CL$99)</f>
        <v>0</v>
      </c>
      <c r="AI83" s="61">
        <f>SUMIF(CODE,$A83,'4 - Codes matrice'!CM$4:CM$99)</f>
        <v>0</v>
      </c>
      <c r="AJ83" s="61">
        <f>SUMIF(CODE,$A83,'4 - Codes matrice'!CN$4:CN$99)</f>
        <v>0</v>
      </c>
      <c r="AK83" s="61">
        <f>SUMIF(CODE,$A83,'4 - Codes matrice'!CO$4:CO$99)</f>
        <v>0</v>
      </c>
      <c r="AL83" s="61">
        <f>SUMIF(CODE,$A83,'4 - Codes matrice'!CP$4:CP$99)</f>
        <v>0</v>
      </c>
      <c r="AM83" s="61">
        <f>SUMIF(CODE,$A83,'4 - Codes matrice'!CQ$4:CQ$99)</f>
        <v>0</v>
      </c>
      <c r="AN83" s="61">
        <f>SUMIF(CODE,$A83,'4 - Codes matrice'!CR$4:CR$99)</f>
        <v>0</v>
      </c>
      <c r="AO83" s="61">
        <f>SUMIF(CODE,$A83,'4 - Codes matrice'!CS$4:CS$99)</f>
        <v>0</v>
      </c>
      <c r="AP83" s="61">
        <f>SUMIF(CODE,$A83,'4 - Codes matrice'!CT$4:CT$99)</f>
        <v>0</v>
      </c>
      <c r="AQ83" s="61">
        <f>SUMIF(CODE,$A83,'4 - Codes matrice'!CU$4:CU$99)</f>
        <v>0</v>
      </c>
      <c r="AR83" s="61">
        <f>SUMIF(CODE,$A83,'4 - Codes matrice'!CV$4:CV$99)</f>
        <v>0</v>
      </c>
      <c r="AS83" s="61">
        <f>SUMIF(CODE,$A83,'4 - Codes matrice'!CW$4:CW$99)</f>
        <v>0</v>
      </c>
      <c r="AT83" s="61">
        <f>SUMIF(CODE,$A83,'4 - Codes matrice'!CX$4:CX$99)</f>
        <v>0</v>
      </c>
      <c r="AU83" s="61">
        <f>SUMIF(CODE,$A83,'4 - Codes matrice'!CY$4:CY$99)</f>
        <v>0</v>
      </c>
      <c r="AV83" s="61">
        <f>SUMIF(CODE,$A83,'4 - Codes matrice'!CZ$4:CZ$99)</f>
        <v>0</v>
      </c>
      <c r="AW83" s="61">
        <f>SUMIF(CODE,$A83,'4 - Codes matrice'!DA$4:DA$99)</f>
        <v>0</v>
      </c>
      <c r="AX83" s="61">
        <f>SUMIF(CODE,$A83,'4 - Codes matrice'!DB$4:DB$99)</f>
        <v>0</v>
      </c>
      <c r="AY83" s="61">
        <f>SUMIF(CODE,$A83,'4 - Codes matrice'!DC$4:DC$99)</f>
        <v>0</v>
      </c>
      <c r="AZ83" s="61">
        <f>SUMIF(CODE,$A83,'4 - Codes matrice'!DD$4:DD$99)</f>
        <v>0</v>
      </c>
      <c r="BA83" s="284">
        <f>SUM(AB83:AZ83)</f>
        <v>0</v>
      </c>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row>
    <row r="84" spans="1:107" x14ac:dyDescent="0.25">
      <c r="A84" s="270"/>
      <c r="B84"/>
      <c r="C84"/>
      <c r="D84"/>
      <c r="E84"/>
      <c r="F84"/>
      <c r="G84"/>
      <c r="H84"/>
      <c r="I84"/>
      <c r="J84"/>
      <c r="K84"/>
      <c r="L84"/>
      <c r="M84"/>
      <c r="N84"/>
      <c r="O84"/>
      <c r="P84"/>
      <c r="Q84"/>
      <c r="R84"/>
      <c r="S84"/>
      <c r="T84"/>
      <c r="U84"/>
      <c r="V84"/>
      <c r="W84"/>
      <c r="X84"/>
      <c r="Y84"/>
      <c r="Z84"/>
      <c r="AA84"/>
      <c r="AB84" s="61">
        <f>SUMIF(CODE,$A84,'4 - Codes matrice'!CF$4:CF$99)</f>
        <v>0</v>
      </c>
      <c r="AC84" s="61">
        <f>SUMIF(CODE,$A84,'4 - Codes matrice'!CG$4:CG$99)</f>
        <v>0</v>
      </c>
      <c r="AD84" s="61">
        <f>SUMIF(CODE,$A84,'4 - Codes matrice'!CH$4:CH$99)</f>
        <v>0</v>
      </c>
      <c r="AE84" s="61">
        <f>SUMIF(CODE,$A84,'4 - Codes matrice'!CI$4:CI$99)</f>
        <v>0</v>
      </c>
      <c r="AF84" s="61">
        <f>SUMIF(CODE,$A84,'4 - Codes matrice'!CJ$4:CJ$99)</f>
        <v>0</v>
      </c>
      <c r="AG84" s="61">
        <f>SUMIF(CODE,$A84,'4 - Codes matrice'!CK$4:CK$99)</f>
        <v>0</v>
      </c>
      <c r="AH84" s="61">
        <f>SUMIF(CODE,$A84,'4 - Codes matrice'!CL$4:CL$99)</f>
        <v>0</v>
      </c>
      <c r="AI84" s="61">
        <f>SUMIF(CODE,$A84,'4 - Codes matrice'!CM$4:CM$99)</f>
        <v>0</v>
      </c>
      <c r="AJ84" s="61">
        <f>SUMIF(CODE,$A84,'4 - Codes matrice'!CN$4:CN$99)</f>
        <v>0</v>
      </c>
      <c r="AK84" s="61">
        <f>SUMIF(CODE,$A84,'4 - Codes matrice'!CO$4:CO$99)</f>
        <v>0</v>
      </c>
      <c r="AL84" s="61">
        <f>SUMIF(CODE,$A84,'4 - Codes matrice'!CP$4:CP$99)</f>
        <v>0</v>
      </c>
      <c r="AM84" s="61">
        <f>SUMIF(CODE,$A84,'4 - Codes matrice'!CQ$4:CQ$99)</f>
        <v>0</v>
      </c>
      <c r="AN84" s="61">
        <f>SUMIF(CODE,$A84,'4 - Codes matrice'!CR$4:CR$99)</f>
        <v>0</v>
      </c>
      <c r="AO84" s="61">
        <f>SUMIF(CODE,$A84,'4 - Codes matrice'!CS$4:CS$99)</f>
        <v>0</v>
      </c>
      <c r="AP84" s="61">
        <f>SUMIF(CODE,$A84,'4 - Codes matrice'!CT$4:CT$99)</f>
        <v>0</v>
      </c>
      <c r="AQ84" s="61">
        <f>SUMIF(CODE,$A84,'4 - Codes matrice'!CU$4:CU$99)</f>
        <v>0</v>
      </c>
      <c r="AR84" s="61">
        <f>SUMIF(CODE,$A84,'4 - Codes matrice'!CV$4:CV$99)</f>
        <v>0</v>
      </c>
      <c r="AS84" s="61">
        <f>SUMIF(CODE,$A84,'4 - Codes matrice'!CW$4:CW$99)</f>
        <v>0</v>
      </c>
      <c r="AT84" s="61">
        <f>SUMIF(CODE,$A84,'4 - Codes matrice'!CX$4:CX$99)</f>
        <v>0</v>
      </c>
      <c r="AU84" s="61">
        <f>SUMIF(CODE,$A84,'4 - Codes matrice'!CY$4:CY$99)</f>
        <v>0</v>
      </c>
      <c r="AV84" s="61">
        <f>SUMIF(CODE,$A84,'4 - Codes matrice'!CZ$4:CZ$99)</f>
        <v>0</v>
      </c>
      <c r="AW84" s="61">
        <f>SUMIF(CODE,$A84,'4 - Codes matrice'!DA$4:DA$99)</f>
        <v>0</v>
      </c>
      <c r="AX84" s="61">
        <f>SUMIF(CODE,$A84,'4 - Codes matrice'!DB$4:DB$99)</f>
        <v>0</v>
      </c>
      <c r="AY84" s="61">
        <f>SUMIF(CODE,$A84,'4 - Codes matrice'!DC$4:DC$99)</f>
        <v>0</v>
      </c>
      <c r="AZ84" s="61">
        <f>SUMIF(CODE,$A84,'4 - Codes matrice'!DD$4:DD$99)</f>
        <v>0</v>
      </c>
      <c r="BA84" s="284">
        <f t="shared" ref="BA84:BA89" si="118">SUM(AB84:AZ84)</f>
        <v>0</v>
      </c>
    </row>
    <row r="85" spans="1:107" x14ac:dyDescent="0.25">
      <c r="A85" s="270"/>
      <c r="B85"/>
      <c r="C85"/>
      <c r="D85"/>
      <c r="E85"/>
      <c r="F85"/>
      <c r="G85"/>
      <c r="H85"/>
      <c r="I85"/>
      <c r="J85"/>
      <c r="K85"/>
      <c r="L85"/>
      <c r="M85"/>
      <c r="N85"/>
      <c r="O85"/>
      <c r="P85"/>
      <c r="Q85"/>
      <c r="R85"/>
      <c r="S85"/>
      <c r="T85"/>
      <c r="U85"/>
      <c r="V85"/>
      <c r="W85"/>
      <c r="X85"/>
      <c r="Y85"/>
      <c r="Z85"/>
      <c r="AA85"/>
      <c r="AB85" s="61">
        <f>SUMIF(CODE,$A85,'4 - Codes matrice'!CF$4:CF$99)</f>
        <v>0</v>
      </c>
      <c r="AC85" s="61">
        <f>SUMIF(CODE,$A85,'4 - Codes matrice'!CG$4:CG$99)</f>
        <v>0</v>
      </c>
      <c r="AD85" s="61">
        <f>SUMIF(CODE,$A85,'4 - Codes matrice'!CH$4:CH$99)</f>
        <v>0</v>
      </c>
      <c r="AE85" s="61">
        <f>SUMIF(CODE,$A85,'4 - Codes matrice'!CI$4:CI$99)</f>
        <v>0</v>
      </c>
      <c r="AF85" s="61">
        <f>SUMIF(CODE,$A85,'4 - Codes matrice'!CJ$4:CJ$99)</f>
        <v>0</v>
      </c>
      <c r="AG85" s="61">
        <f>SUMIF(CODE,$A85,'4 - Codes matrice'!CK$4:CK$99)</f>
        <v>0</v>
      </c>
      <c r="AH85" s="61">
        <f>SUMIF(CODE,$A85,'4 - Codes matrice'!CL$4:CL$99)</f>
        <v>0</v>
      </c>
      <c r="AI85" s="61">
        <f>SUMIF(CODE,$A85,'4 - Codes matrice'!CM$4:CM$99)</f>
        <v>0</v>
      </c>
      <c r="AJ85" s="61">
        <f>SUMIF(CODE,$A85,'4 - Codes matrice'!CN$4:CN$99)</f>
        <v>0</v>
      </c>
      <c r="AK85" s="61">
        <f>SUMIF(CODE,$A85,'4 - Codes matrice'!CO$4:CO$99)</f>
        <v>0</v>
      </c>
      <c r="AL85" s="61">
        <f>SUMIF(CODE,$A85,'4 - Codes matrice'!CP$4:CP$99)</f>
        <v>0</v>
      </c>
      <c r="AM85" s="61">
        <f>SUMIF(CODE,$A85,'4 - Codes matrice'!CQ$4:CQ$99)</f>
        <v>0</v>
      </c>
      <c r="AN85" s="61">
        <f>SUMIF(CODE,$A85,'4 - Codes matrice'!CR$4:CR$99)</f>
        <v>0</v>
      </c>
      <c r="AO85" s="61">
        <f>SUMIF(CODE,$A85,'4 - Codes matrice'!CS$4:CS$99)</f>
        <v>0</v>
      </c>
      <c r="AP85" s="61">
        <f>SUMIF(CODE,$A85,'4 - Codes matrice'!CT$4:CT$99)</f>
        <v>0</v>
      </c>
      <c r="AQ85" s="61">
        <f>SUMIF(CODE,$A85,'4 - Codes matrice'!CU$4:CU$99)</f>
        <v>0</v>
      </c>
      <c r="AR85" s="61">
        <f>SUMIF(CODE,$A85,'4 - Codes matrice'!CV$4:CV$99)</f>
        <v>0</v>
      </c>
      <c r="AS85" s="61">
        <f>SUMIF(CODE,$A85,'4 - Codes matrice'!CW$4:CW$99)</f>
        <v>0</v>
      </c>
      <c r="AT85" s="61">
        <f>SUMIF(CODE,$A85,'4 - Codes matrice'!CX$4:CX$99)</f>
        <v>0</v>
      </c>
      <c r="AU85" s="61">
        <f>SUMIF(CODE,$A85,'4 - Codes matrice'!CY$4:CY$99)</f>
        <v>0</v>
      </c>
      <c r="AV85" s="61">
        <f>SUMIF(CODE,$A85,'4 - Codes matrice'!CZ$4:CZ$99)</f>
        <v>0</v>
      </c>
      <c r="AW85" s="61">
        <f>SUMIF(CODE,$A85,'4 - Codes matrice'!DA$4:DA$99)</f>
        <v>0</v>
      </c>
      <c r="AX85" s="61">
        <f>SUMIF(CODE,$A85,'4 - Codes matrice'!DB$4:DB$99)</f>
        <v>0</v>
      </c>
      <c r="AY85" s="61">
        <f>SUMIF(CODE,$A85,'4 - Codes matrice'!DC$4:DC$99)</f>
        <v>0</v>
      </c>
      <c r="AZ85" s="61">
        <f>SUMIF(CODE,$A85,'4 - Codes matrice'!DD$4:DD$99)</f>
        <v>0</v>
      </c>
      <c r="BA85" s="284">
        <f t="shared" si="118"/>
        <v>0</v>
      </c>
    </row>
    <row r="86" spans="1:107" x14ac:dyDescent="0.25">
      <c r="A86" s="270"/>
      <c r="B86"/>
      <c r="C86"/>
      <c r="D86"/>
      <c r="E86"/>
      <c r="F86"/>
      <c r="G86"/>
      <c r="H86"/>
      <c r="I86"/>
      <c r="J86"/>
      <c r="K86"/>
      <c r="L86"/>
      <c r="M86"/>
      <c r="N86"/>
      <c r="O86"/>
      <c r="P86"/>
      <c r="Q86"/>
      <c r="R86"/>
      <c r="S86"/>
      <c r="T86"/>
      <c r="U86"/>
      <c r="V86"/>
      <c r="W86"/>
      <c r="X86"/>
      <c r="Y86"/>
      <c r="Z86"/>
      <c r="AA86"/>
      <c r="AB86" s="61">
        <f>SUMIF(CODE,$A86,'4 - Codes matrice'!CF$4:CF$99)</f>
        <v>0</v>
      </c>
      <c r="AC86" s="61">
        <f>SUMIF(CODE,$A86,'4 - Codes matrice'!CG$4:CG$99)</f>
        <v>0</v>
      </c>
      <c r="AD86" s="61">
        <f>SUMIF(CODE,$A86,'4 - Codes matrice'!CH$4:CH$99)</f>
        <v>0</v>
      </c>
      <c r="AE86" s="61">
        <f>SUMIF(CODE,$A86,'4 - Codes matrice'!CI$4:CI$99)</f>
        <v>0</v>
      </c>
      <c r="AF86" s="61">
        <f>SUMIF(CODE,$A86,'4 - Codes matrice'!CJ$4:CJ$99)</f>
        <v>0</v>
      </c>
      <c r="AG86" s="61">
        <f>SUMIF(CODE,$A86,'4 - Codes matrice'!CK$4:CK$99)</f>
        <v>0</v>
      </c>
      <c r="AH86" s="61">
        <f>SUMIF(CODE,$A86,'4 - Codes matrice'!CL$4:CL$99)</f>
        <v>0</v>
      </c>
      <c r="AI86" s="61">
        <f>SUMIF(CODE,$A86,'4 - Codes matrice'!CM$4:CM$99)</f>
        <v>0</v>
      </c>
      <c r="AJ86" s="61">
        <f>SUMIF(CODE,$A86,'4 - Codes matrice'!CN$4:CN$99)</f>
        <v>0</v>
      </c>
      <c r="AK86" s="61">
        <f>SUMIF(CODE,$A86,'4 - Codes matrice'!CO$4:CO$99)</f>
        <v>0</v>
      </c>
      <c r="AL86" s="61">
        <f>SUMIF(CODE,$A86,'4 - Codes matrice'!CP$4:CP$99)</f>
        <v>0</v>
      </c>
      <c r="AM86" s="61">
        <f>SUMIF(CODE,$A86,'4 - Codes matrice'!CQ$4:CQ$99)</f>
        <v>0</v>
      </c>
      <c r="AN86" s="61">
        <f>SUMIF(CODE,$A86,'4 - Codes matrice'!CR$4:CR$99)</f>
        <v>0</v>
      </c>
      <c r="AO86" s="61">
        <f>SUMIF(CODE,$A86,'4 - Codes matrice'!CS$4:CS$99)</f>
        <v>0</v>
      </c>
      <c r="AP86" s="61">
        <f>SUMIF(CODE,$A86,'4 - Codes matrice'!CT$4:CT$99)</f>
        <v>0</v>
      </c>
      <c r="AQ86" s="61">
        <f>SUMIF(CODE,$A86,'4 - Codes matrice'!CU$4:CU$99)</f>
        <v>0</v>
      </c>
      <c r="AR86" s="61">
        <f>SUMIF(CODE,$A86,'4 - Codes matrice'!CV$4:CV$99)</f>
        <v>0</v>
      </c>
      <c r="AS86" s="61">
        <f>SUMIF(CODE,$A86,'4 - Codes matrice'!CW$4:CW$99)</f>
        <v>0</v>
      </c>
      <c r="AT86" s="61">
        <f>SUMIF(CODE,$A86,'4 - Codes matrice'!CX$4:CX$99)</f>
        <v>0</v>
      </c>
      <c r="AU86" s="61">
        <f>SUMIF(CODE,$A86,'4 - Codes matrice'!CY$4:CY$99)</f>
        <v>0</v>
      </c>
      <c r="AV86" s="61">
        <f>SUMIF(CODE,$A86,'4 - Codes matrice'!CZ$4:CZ$99)</f>
        <v>0</v>
      </c>
      <c r="AW86" s="61">
        <f>SUMIF(CODE,$A86,'4 - Codes matrice'!DA$4:DA$99)</f>
        <v>0</v>
      </c>
      <c r="AX86" s="61">
        <f>SUMIF(CODE,$A86,'4 - Codes matrice'!DB$4:DB$99)</f>
        <v>0</v>
      </c>
      <c r="AY86" s="61">
        <f>SUMIF(CODE,$A86,'4 - Codes matrice'!DC$4:DC$99)</f>
        <v>0</v>
      </c>
      <c r="AZ86" s="61">
        <f>SUMIF(CODE,$A86,'4 - Codes matrice'!DD$4:DD$99)</f>
        <v>0</v>
      </c>
      <c r="BA86" s="284">
        <f t="shared" si="118"/>
        <v>0</v>
      </c>
    </row>
    <row r="87" spans="1:107" x14ac:dyDescent="0.25">
      <c r="A87" s="270"/>
      <c r="B87"/>
      <c r="C87"/>
      <c r="D87"/>
      <c r="E87"/>
      <c r="F87"/>
      <c r="G87"/>
      <c r="H87"/>
      <c r="I87"/>
      <c r="J87"/>
      <c r="K87"/>
      <c r="L87"/>
      <c r="M87"/>
      <c r="N87"/>
      <c r="O87"/>
      <c r="P87"/>
      <c r="Q87"/>
      <c r="R87"/>
      <c r="S87"/>
      <c r="T87"/>
      <c r="U87"/>
      <c r="V87"/>
      <c r="W87"/>
      <c r="X87"/>
      <c r="Y87"/>
      <c r="Z87"/>
      <c r="AA87"/>
      <c r="AB87" s="61">
        <f>SUMIF(CODE,$A87,'4 - Codes matrice'!CF$4:CF$99)</f>
        <v>0</v>
      </c>
      <c r="AC87" s="61">
        <f>SUMIF(CODE,$A87,'4 - Codes matrice'!CG$4:CG$99)</f>
        <v>0</v>
      </c>
      <c r="AD87" s="61">
        <f>SUMIF(CODE,$A87,'4 - Codes matrice'!CH$4:CH$99)</f>
        <v>0</v>
      </c>
      <c r="AE87" s="61">
        <f>SUMIF(CODE,$A87,'4 - Codes matrice'!CI$4:CI$99)</f>
        <v>0</v>
      </c>
      <c r="AF87" s="61">
        <f>SUMIF(CODE,$A87,'4 - Codes matrice'!CJ$4:CJ$99)</f>
        <v>0</v>
      </c>
      <c r="AG87" s="61">
        <f>SUMIF(CODE,$A87,'4 - Codes matrice'!CK$4:CK$99)</f>
        <v>0</v>
      </c>
      <c r="AH87" s="61">
        <f>SUMIF(CODE,$A87,'4 - Codes matrice'!CL$4:CL$99)</f>
        <v>0</v>
      </c>
      <c r="AI87" s="61">
        <f>SUMIF(CODE,$A87,'4 - Codes matrice'!CM$4:CM$99)</f>
        <v>0</v>
      </c>
      <c r="AJ87" s="61">
        <f>SUMIF(CODE,$A87,'4 - Codes matrice'!CN$4:CN$99)</f>
        <v>0</v>
      </c>
      <c r="AK87" s="61">
        <f>SUMIF(CODE,$A87,'4 - Codes matrice'!CO$4:CO$99)</f>
        <v>0</v>
      </c>
      <c r="AL87" s="61">
        <f>SUMIF(CODE,$A87,'4 - Codes matrice'!CP$4:CP$99)</f>
        <v>0</v>
      </c>
      <c r="AM87" s="61">
        <f>SUMIF(CODE,$A87,'4 - Codes matrice'!CQ$4:CQ$99)</f>
        <v>0</v>
      </c>
      <c r="AN87" s="61">
        <f>SUMIF(CODE,$A87,'4 - Codes matrice'!CR$4:CR$99)</f>
        <v>0</v>
      </c>
      <c r="AO87" s="61">
        <f>SUMIF(CODE,$A87,'4 - Codes matrice'!CS$4:CS$99)</f>
        <v>0</v>
      </c>
      <c r="AP87" s="61">
        <f>SUMIF(CODE,$A87,'4 - Codes matrice'!CT$4:CT$99)</f>
        <v>0</v>
      </c>
      <c r="AQ87" s="61">
        <f>SUMIF(CODE,$A87,'4 - Codes matrice'!CU$4:CU$99)</f>
        <v>0</v>
      </c>
      <c r="AR87" s="61">
        <f>SUMIF(CODE,$A87,'4 - Codes matrice'!CV$4:CV$99)</f>
        <v>0</v>
      </c>
      <c r="AS87" s="61">
        <f>SUMIF(CODE,$A87,'4 - Codes matrice'!CW$4:CW$99)</f>
        <v>0</v>
      </c>
      <c r="AT87" s="61">
        <f>SUMIF(CODE,$A87,'4 - Codes matrice'!CX$4:CX$99)</f>
        <v>0</v>
      </c>
      <c r="AU87" s="61">
        <f>SUMIF(CODE,$A87,'4 - Codes matrice'!CY$4:CY$99)</f>
        <v>0</v>
      </c>
      <c r="AV87" s="61">
        <f>SUMIF(CODE,$A87,'4 - Codes matrice'!CZ$4:CZ$99)</f>
        <v>0</v>
      </c>
      <c r="AW87" s="61">
        <f>SUMIF(CODE,$A87,'4 - Codes matrice'!DA$4:DA$99)</f>
        <v>0</v>
      </c>
      <c r="AX87" s="61">
        <f>SUMIF(CODE,$A87,'4 - Codes matrice'!DB$4:DB$99)</f>
        <v>0</v>
      </c>
      <c r="AY87" s="61">
        <f>SUMIF(CODE,$A87,'4 - Codes matrice'!DC$4:DC$99)</f>
        <v>0</v>
      </c>
      <c r="AZ87" s="61">
        <f>SUMIF(CODE,$A87,'4 - Codes matrice'!DD$4:DD$99)</f>
        <v>0</v>
      </c>
      <c r="BA87" s="284">
        <f t="shared" si="118"/>
        <v>0</v>
      </c>
    </row>
    <row r="88" spans="1:107" x14ac:dyDescent="0.25">
      <c r="A88" s="270"/>
      <c r="B88"/>
      <c r="C88"/>
      <c r="D88"/>
      <c r="E88"/>
      <c r="F88"/>
      <c r="G88"/>
      <c r="H88"/>
      <c r="I88"/>
      <c r="J88"/>
      <c r="K88"/>
      <c r="L88"/>
      <c r="M88"/>
      <c r="N88"/>
      <c r="O88"/>
      <c r="P88"/>
      <c r="Q88"/>
      <c r="R88"/>
      <c r="S88"/>
      <c r="T88"/>
      <c r="U88"/>
      <c r="V88"/>
      <c r="W88"/>
      <c r="X88"/>
      <c r="Y88"/>
      <c r="Z88"/>
      <c r="AA88"/>
      <c r="AB88" s="61">
        <f>SUMIF(CODE,$A88,'4 - Codes matrice'!CF$4:CF$99)</f>
        <v>0</v>
      </c>
      <c r="AC88" s="61">
        <f>SUMIF(CODE,$A88,'4 - Codes matrice'!CG$4:CG$99)</f>
        <v>0</v>
      </c>
      <c r="AD88" s="61">
        <f>SUMIF(CODE,$A88,'4 - Codes matrice'!CH$4:CH$99)</f>
        <v>0</v>
      </c>
      <c r="AE88" s="61">
        <f>SUMIF(CODE,$A88,'4 - Codes matrice'!CI$4:CI$99)</f>
        <v>0</v>
      </c>
      <c r="AF88" s="61">
        <f>SUMIF(CODE,$A88,'4 - Codes matrice'!CJ$4:CJ$99)</f>
        <v>0</v>
      </c>
      <c r="AG88" s="61">
        <f>SUMIF(CODE,$A88,'4 - Codes matrice'!CK$4:CK$99)</f>
        <v>0</v>
      </c>
      <c r="AH88" s="61">
        <f>SUMIF(CODE,$A88,'4 - Codes matrice'!CL$4:CL$99)</f>
        <v>0</v>
      </c>
      <c r="AI88" s="61">
        <f>SUMIF(CODE,$A88,'4 - Codes matrice'!CM$4:CM$99)</f>
        <v>0</v>
      </c>
      <c r="AJ88" s="61">
        <f>SUMIF(CODE,$A88,'4 - Codes matrice'!CN$4:CN$99)</f>
        <v>0</v>
      </c>
      <c r="AK88" s="61">
        <f>SUMIF(CODE,$A88,'4 - Codes matrice'!CO$4:CO$99)</f>
        <v>0</v>
      </c>
      <c r="AL88" s="61">
        <f>SUMIF(CODE,$A88,'4 - Codes matrice'!CP$4:CP$99)</f>
        <v>0</v>
      </c>
      <c r="AM88" s="61">
        <f>SUMIF(CODE,$A88,'4 - Codes matrice'!CQ$4:CQ$99)</f>
        <v>0</v>
      </c>
      <c r="AN88" s="61">
        <f>SUMIF(CODE,$A88,'4 - Codes matrice'!CR$4:CR$99)</f>
        <v>0</v>
      </c>
      <c r="AO88" s="61">
        <f>SUMIF(CODE,$A88,'4 - Codes matrice'!CS$4:CS$99)</f>
        <v>0</v>
      </c>
      <c r="AP88" s="61">
        <f>SUMIF(CODE,$A88,'4 - Codes matrice'!CT$4:CT$99)</f>
        <v>0</v>
      </c>
      <c r="AQ88" s="61">
        <f>SUMIF(CODE,$A88,'4 - Codes matrice'!CU$4:CU$99)</f>
        <v>0</v>
      </c>
      <c r="AR88" s="61">
        <f>SUMIF(CODE,$A88,'4 - Codes matrice'!CV$4:CV$99)</f>
        <v>0</v>
      </c>
      <c r="AS88" s="61">
        <f>SUMIF(CODE,$A88,'4 - Codes matrice'!CW$4:CW$99)</f>
        <v>0</v>
      </c>
      <c r="AT88" s="61">
        <f>SUMIF(CODE,$A88,'4 - Codes matrice'!CX$4:CX$99)</f>
        <v>0</v>
      </c>
      <c r="AU88" s="61">
        <f>SUMIF(CODE,$A88,'4 - Codes matrice'!CY$4:CY$99)</f>
        <v>0</v>
      </c>
      <c r="AV88" s="61">
        <f>SUMIF(CODE,$A88,'4 - Codes matrice'!CZ$4:CZ$99)</f>
        <v>0</v>
      </c>
      <c r="AW88" s="61">
        <f>SUMIF(CODE,$A88,'4 - Codes matrice'!DA$4:DA$99)</f>
        <v>0</v>
      </c>
      <c r="AX88" s="61">
        <f>SUMIF(CODE,$A88,'4 - Codes matrice'!DB$4:DB$99)</f>
        <v>0</v>
      </c>
      <c r="AY88" s="61">
        <f>SUMIF(CODE,$A88,'4 - Codes matrice'!DC$4:DC$99)</f>
        <v>0</v>
      </c>
      <c r="AZ88" s="61">
        <f>SUMIF(CODE,$A88,'4 - Codes matrice'!DD$4:DD$99)</f>
        <v>0</v>
      </c>
      <c r="BA88" s="284">
        <f t="shared" si="118"/>
        <v>0</v>
      </c>
    </row>
    <row r="89" spans="1:107" x14ac:dyDescent="0.25">
      <c r="A89" s="270"/>
      <c r="B89"/>
      <c r="C89"/>
      <c r="D89"/>
      <c r="E89"/>
      <c r="F89"/>
      <c r="G89"/>
      <c r="H89"/>
      <c r="I89"/>
      <c r="J89"/>
      <c r="K89"/>
      <c r="L89"/>
      <c r="M89"/>
      <c r="N89"/>
      <c r="O89"/>
      <c r="P89"/>
      <c r="Q89"/>
      <c r="R89"/>
      <c r="S89"/>
      <c r="T89"/>
      <c r="U89"/>
      <c r="V89"/>
      <c r="W89"/>
      <c r="X89"/>
      <c r="Y89"/>
      <c r="Z89"/>
      <c r="AA89"/>
      <c r="AB89" s="61">
        <f>SUMIF(CODE,$A89,'4 - Codes matrice'!CF$4:CF$99)</f>
        <v>0</v>
      </c>
      <c r="AC89" s="61">
        <f>SUMIF(CODE,$A89,'4 - Codes matrice'!CG$4:CG$99)</f>
        <v>0</v>
      </c>
      <c r="AD89" s="61">
        <f>SUMIF(CODE,$A89,'4 - Codes matrice'!CH$4:CH$99)</f>
        <v>0</v>
      </c>
      <c r="AE89" s="61">
        <f>SUMIF(CODE,$A89,'4 - Codes matrice'!CI$4:CI$99)</f>
        <v>0</v>
      </c>
      <c r="AF89" s="61">
        <f>SUMIF(CODE,$A89,'4 - Codes matrice'!CJ$4:CJ$99)</f>
        <v>0</v>
      </c>
      <c r="AG89" s="61">
        <f>SUMIF(CODE,$A89,'4 - Codes matrice'!CK$4:CK$99)</f>
        <v>0</v>
      </c>
      <c r="AH89" s="61">
        <f>SUMIF(CODE,$A89,'4 - Codes matrice'!CL$4:CL$99)</f>
        <v>0</v>
      </c>
      <c r="AI89" s="61">
        <f>SUMIF(CODE,$A89,'4 - Codes matrice'!CM$4:CM$99)</f>
        <v>0</v>
      </c>
      <c r="AJ89" s="61">
        <f>SUMIF(CODE,$A89,'4 - Codes matrice'!CN$4:CN$99)</f>
        <v>0</v>
      </c>
      <c r="AK89" s="61">
        <f>SUMIF(CODE,$A89,'4 - Codes matrice'!CO$4:CO$99)</f>
        <v>0</v>
      </c>
      <c r="AL89" s="61">
        <f>SUMIF(CODE,$A89,'4 - Codes matrice'!CP$4:CP$99)</f>
        <v>0</v>
      </c>
      <c r="AM89" s="61">
        <f>SUMIF(CODE,$A89,'4 - Codes matrice'!CQ$4:CQ$99)</f>
        <v>0</v>
      </c>
      <c r="AN89" s="61">
        <f>SUMIF(CODE,$A89,'4 - Codes matrice'!CR$4:CR$99)</f>
        <v>0</v>
      </c>
      <c r="AO89" s="61">
        <f>SUMIF(CODE,$A89,'4 - Codes matrice'!CS$4:CS$99)</f>
        <v>0</v>
      </c>
      <c r="AP89" s="61">
        <f>SUMIF(CODE,$A89,'4 - Codes matrice'!CT$4:CT$99)</f>
        <v>0</v>
      </c>
      <c r="AQ89" s="61">
        <f>SUMIF(CODE,$A89,'4 - Codes matrice'!CU$4:CU$99)</f>
        <v>0</v>
      </c>
      <c r="AR89" s="61">
        <f>SUMIF(CODE,$A89,'4 - Codes matrice'!CV$4:CV$99)</f>
        <v>0</v>
      </c>
      <c r="AS89" s="61">
        <f>SUMIF(CODE,$A89,'4 - Codes matrice'!CW$4:CW$99)</f>
        <v>0</v>
      </c>
      <c r="AT89" s="61">
        <f>SUMIF(CODE,$A89,'4 - Codes matrice'!CX$4:CX$99)</f>
        <v>0</v>
      </c>
      <c r="AU89" s="61">
        <f>SUMIF(CODE,$A89,'4 - Codes matrice'!CY$4:CY$99)</f>
        <v>0</v>
      </c>
      <c r="AV89" s="61">
        <f>SUMIF(CODE,$A89,'4 - Codes matrice'!CZ$4:CZ$99)</f>
        <v>0</v>
      </c>
      <c r="AW89" s="61">
        <f>SUMIF(CODE,$A89,'4 - Codes matrice'!DA$4:DA$99)</f>
        <v>0</v>
      </c>
      <c r="AX89" s="61">
        <f>SUMIF(CODE,$A89,'4 - Codes matrice'!DB$4:DB$99)</f>
        <v>0</v>
      </c>
      <c r="AY89" s="61">
        <f>SUMIF(CODE,$A89,'4 - Codes matrice'!DC$4:DC$99)</f>
        <v>0</v>
      </c>
      <c r="AZ89" s="61">
        <f>SUMIF(CODE,$A89,'4 - Codes matrice'!DD$4:DD$99)</f>
        <v>0</v>
      </c>
      <c r="BA89" s="284">
        <f t="shared" si="118"/>
        <v>0</v>
      </c>
    </row>
    <row r="91" spans="1:107" ht="21" x14ac:dyDescent="0.4">
      <c r="A91" s="257" t="s">
        <v>1103</v>
      </c>
    </row>
    <row r="93" spans="1:107" x14ac:dyDescent="0.25">
      <c r="A93" s="253" t="s">
        <v>219</v>
      </c>
      <c r="B93"/>
      <c r="C93"/>
      <c r="D93"/>
      <c r="E93"/>
      <c r="F93"/>
      <c r="G93"/>
      <c r="H93"/>
      <c r="I93"/>
      <c r="J93"/>
      <c r="K93"/>
      <c r="L93"/>
      <c r="M93"/>
      <c r="N93"/>
      <c r="O93"/>
      <c r="P93"/>
      <c r="Q93"/>
      <c r="R93"/>
      <c r="S93"/>
      <c r="T93"/>
      <c r="U93"/>
      <c r="V93"/>
      <c r="W93"/>
      <c r="X93"/>
      <c r="Y93"/>
      <c r="Z93"/>
      <c r="AA93"/>
      <c r="AB93" s="282">
        <f>'2 - Matrice finale'!B58</f>
        <v>0</v>
      </c>
      <c r="AC93" s="282">
        <f>'2 - Matrice finale'!C58</f>
        <v>0</v>
      </c>
      <c r="AD93" s="282">
        <f>'2 - Matrice finale'!D58</f>
        <v>0</v>
      </c>
      <c r="AE93" s="282">
        <f>'2 - Matrice finale'!E58</f>
        <v>0</v>
      </c>
      <c r="AF93" s="282">
        <f>'2 - Matrice finale'!F58</f>
        <v>0</v>
      </c>
      <c r="AG93" s="282">
        <f>'2 - Matrice finale'!G58</f>
        <v>0</v>
      </c>
      <c r="AH93" s="282">
        <f>'2 - Matrice finale'!H58</f>
        <v>0</v>
      </c>
      <c r="AI93" s="282">
        <f>'2 - Matrice finale'!I58</f>
        <v>0</v>
      </c>
      <c r="AJ93" s="282">
        <f>'2 - Matrice finale'!J58</f>
        <v>0</v>
      </c>
      <c r="AK93" s="282">
        <f>'2 - Matrice finale'!K58</f>
        <v>0</v>
      </c>
      <c r="AL93" s="282">
        <f>'2 - Matrice finale'!L58</f>
        <v>0</v>
      </c>
      <c r="AM93" s="282">
        <f>'2 - Matrice finale'!M58</f>
        <v>0</v>
      </c>
      <c r="AN93" s="282">
        <f>'2 - Matrice finale'!N58</f>
        <v>0</v>
      </c>
      <c r="AO93" s="282">
        <f>'2 - Matrice finale'!O58</f>
        <v>0</v>
      </c>
      <c r="AP93" s="282">
        <f>'2 - Matrice finale'!P58</f>
        <v>0</v>
      </c>
      <c r="AQ93" s="282">
        <f>'2 - Matrice finale'!Q58</f>
        <v>0</v>
      </c>
      <c r="AR93" s="282">
        <f>'2 - Matrice finale'!R58</f>
        <v>0</v>
      </c>
      <c r="AS93" s="282">
        <f>'2 - Matrice finale'!S58</f>
        <v>0</v>
      </c>
      <c r="AT93" s="282">
        <f>'2 - Matrice finale'!T58</f>
        <v>0</v>
      </c>
      <c r="AU93" s="282">
        <f>'2 - Matrice finale'!U58</f>
        <v>0</v>
      </c>
      <c r="AV93" s="282">
        <f>'2 - Matrice finale'!V58</f>
        <v>0</v>
      </c>
      <c r="AW93" s="282">
        <f>'2 - Matrice finale'!W58</f>
        <v>0</v>
      </c>
      <c r="AX93" s="282">
        <f>'2 - Matrice finale'!X58</f>
        <v>0</v>
      </c>
      <c r="AY93" s="282">
        <f>'2 - Matrice finale'!Y58</f>
        <v>0</v>
      </c>
      <c r="AZ93" s="282">
        <f>'2 - Matrice finale'!Z58</f>
        <v>0</v>
      </c>
      <c r="BA93" s="285"/>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row>
  </sheetData>
  <sheetProtection sheet="1" objects="1" scenarios="1" formatCells="0" formatColumns="0" formatRows="0"/>
  <mergeCells count="7">
    <mergeCell ref="B3:Z3"/>
    <mergeCell ref="BA3:BA4"/>
    <mergeCell ref="CB3:CB4"/>
    <mergeCell ref="AC2:AE2"/>
    <mergeCell ref="CD3:DB3"/>
    <mergeCell ref="AC3:AZ3"/>
    <mergeCell ref="BC3:CA3"/>
  </mergeCells>
  <conditionalFormatting sqref="A83:A89">
    <cfRule type="expression" dxfId="50" priority="2">
      <formula>OR(XFD83="Amortissement extra-comptable",XFD83="Reprise extra-comptable",XFD83="Non incorporable")</formula>
    </cfRule>
    <cfRule type="expression" dxfId="49" priority="3">
      <formula>AND(A83=0,OR(XFD83="Incorporable",XFD83="Supplétif",XFD83="Reprise",XFD83="Amortissement",XFD83="Atténuation de produit",XFD83="atténuation de charge"))</formula>
    </cfRule>
  </conditionalFormatting>
  <conditionalFormatting sqref="A93">
    <cfRule type="duplicateValues" dxfId="48" priority="1"/>
  </conditionalFormatting>
  <dataValidations count="2">
    <dataValidation type="list" showInputMessage="1" showErrorMessage="1" sqref="AB3 A83:A89" xr:uid="{00000000-0002-0000-1200-000000000000}">
      <formula1>OFFSET(CODE_1,0,0,COUNTA(CODE),1)</formula1>
    </dataValidation>
    <dataValidation type="list" showInputMessage="1" showErrorMessage="1" promptTitle="ATTENTION" prompt="Dans le menu déroulant, les lignes correspondant aux recettes sont après quelques lignes vides, sous les charges." sqref="DC56:DC76" xr:uid="{00000000-0002-0000-1200-000001000000}">
      <formula1>Lignes_sinoe</formula1>
    </dataValidation>
  </dataValidations>
  <pageMargins left="0.70866141732283472" right="0.70866141732283472" top="0.74803149606299213" bottom="0.74803149606299213" header="0.31496062992125984" footer="0.31496062992125984"/>
  <pageSetup paperSize="9" orientation="portrait" r:id="rId1"/>
  <ignoredErrors>
    <ignoredError sqref="AB23:AZ23 AB5:AZ5 AB6:AZ22 AB34:AZ34 AB24:AZ33 AB42:AZ43 AB35:AZ41 AB44:AZ52 BA23 BA34 BA42:BA43 BA5:BA22 BA44:BA52 BA35:BA41 BA24:BA33" unlockedFormula="1"/>
  </ignoredError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1">
    <tabColor rgb="FFFFFF00"/>
  </sheetPr>
  <dimension ref="A1:AI48"/>
  <sheetViews>
    <sheetView showGridLines="0" topLeftCell="A7" workbookViewId="0">
      <selection activeCell="D26" sqref="D26"/>
    </sheetView>
  </sheetViews>
  <sheetFormatPr baseColWidth="10" defaultColWidth="11.44140625" defaultRowHeight="13.2" x14ac:dyDescent="0.25"/>
  <cols>
    <col min="1" max="1" width="45" style="62" customWidth="1"/>
    <col min="2" max="2" width="18.44140625" style="62" customWidth="1"/>
    <col min="3" max="6" width="13.44140625" style="62" customWidth="1"/>
    <col min="7" max="8" width="13.44140625" style="62" hidden="1" customWidth="1"/>
    <col min="9" max="9" width="15.88671875" style="62" hidden="1" customWidth="1"/>
    <col min="10" max="27" width="2.44140625" style="62" hidden="1" customWidth="1"/>
    <col min="28" max="28" width="15.33203125" style="62" customWidth="1"/>
    <col min="29" max="16384" width="11.44140625" style="62"/>
  </cols>
  <sheetData>
    <row r="1" spans="1:35" ht="21" x14ac:dyDescent="0.4">
      <c r="A1" s="19" t="s">
        <v>1129</v>
      </c>
      <c r="B1" s="20"/>
      <c r="C1" s="20"/>
      <c r="D1" s="20"/>
      <c r="E1" s="20"/>
      <c r="F1" s="20"/>
      <c r="G1" s="20"/>
      <c r="H1" s="7"/>
      <c r="I1" s="7"/>
      <c r="J1" s="7"/>
      <c r="K1" s="7"/>
      <c r="L1" s="7"/>
      <c r="M1" s="7"/>
      <c r="N1" s="20"/>
      <c r="O1" s="20"/>
      <c r="P1" s="20"/>
      <c r="Q1" s="20"/>
      <c r="R1" s="20"/>
      <c r="S1" s="20"/>
      <c r="T1" s="20"/>
      <c r="U1" s="20"/>
      <c r="V1" s="20"/>
      <c r="W1" s="20"/>
      <c r="X1" s="20"/>
      <c r="Y1" s="20"/>
      <c r="Z1" s="20"/>
      <c r="AA1" s="7"/>
      <c r="AB1" s="7"/>
      <c r="AC1" s="7"/>
      <c r="AD1" s="7"/>
      <c r="AE1" s="7"/>
      <c r="AF1" s="7"/>
      <c r="AG1" s="7"/>
      <c r="AH1" s="7"/>
      <c r="AI1" s="7"/>
    </row>
    <row r="2" spans="1:35" ht="13.8" thickBot="1" x14ac:dyDescent="0.3"/>
    <row r="3" spans="1:35" ht="25.5" customHeight="1" thickTop="1" thickBot="1" x14ac:dyDescent="0.3">
      <c r="B3" s="482" t="s">
        <v>1130</v>
      </c>
      <c r="C3" s="467" t="str">
        <f>Matrice[[#Headers],[OMR]]</f>
        <v>OMR</v>
      </c>
      <c r="D3" s="66" t="str">
        <f>Matrice[[#Headers],[Verre]]</f>
        <v>Verre</v>
      </c>
      <c r="E3" s="66" t="str">
        <f>Matrice[[#Headers],[RSOM hors verre]]</f>
        <v>RSOM hors verre</v>
      </c>
      <c r="F3" s="66" t="str">
        <f>Matrice[[#Headers],[Déchets des déchèteries]]</f>
        <v>Déchets des déchèteries</v>
      </c>
      <c r="G3" s="66" t="str">
        <f>Matrice[[#Headers],[Flux 5]]</f>
        <v>Flux 5</v>
      </c>
      <c r="H3" s="66" t="str">
        <f>Matrice[[#Headers],[Flux 6]]</f>
        <v>Flux 6</v>
      </c>
      <c r="I3" s="66" t="str">
        <f>Matrice[[#Headers],[Flux 7]]</f>
        <v>Flux 7</v>
      </c>
      <c r="J3" s="66" t="str">
        <f>Matrice[[#Headers],[Flux 8]]</f>
        <v>Flux 8</v>
      </c>
      <c r="K3" s="66" t="str">
        <f>Matrice[[#Headers],[Flux 9]]</f>
        <v>Flux 9</v>
      </c>
      <c r="L3" s="66" t="str">
        <f>Matrice[[#Headers],[Flux 10]]</f>
        <v>Flux 10</v>
      </c>
      <c r="M3" s="66" t="str">
        <f>Matrice[[#Headers],[Flux 11]]</f>
        <v>Flux 11</v>
      </c>
      <c r="N3" s="66" t="str">
        <f>Matrice[[#Headers],[Flux 12]]</f>
        <v>Flux 12</v>
      </c>
      <c r="O3" s="66" t="str">
        <f>Matrice[[#Headers],[Flux 13]]</f>
        <v>Flux 13</v>
      </c>
      <c r="P3" s="66" t="str">
        <f>Matrice[[#Headers],[Flux 14]]</f>
        <v>Flux 14</v>
      </c>
      <c r="Q3" s="66" t="str">
        <f>Matrice[[#Headers],[Flux 15]]</f>
        <v>Flux 15</v>
      </c>
      <c r="R3" s="66" t="str">
        <f>Matrice[[#Headers],[Flux 16]]</f>
        <v>Flux 16</v>
      </c>
      <c r="S3" s="66" t="str">
        <f>Matrice[[#Headers],[Flux 17]]</f>
        <v>Flux 17</v>
      </c>
      <c r="T3" s="66" t="str">
        <f>Matrice[[#Headers],[Flux 18]]</f>
        <v>Flux 18</v>
      </c>
      <c r="U3" s="66" t="str">
        <f>Matrice[[#Headers],[Flux 19]]</f>
        <v>Flux 19</v>
      </c>
      <c r="V3" s="66" t="str">
        <f>Matrice[[#Headers],[Flux 20]]</f>
        <v>Flux 20</v>
      </c>
      <c r="W3" s="66" t="str">
        <f>Matrice[[#Headers],[Flux 21]]</f>
        <v>Flux 21</v>
      </c>
      <c r="X3" s="66" t="str">
        <f>Matrice[[#Headers],[Flux 22]]</f>
        <v>Flux 22</v>
      </c>
      <c r="Y3" s="66" t="str">
        <f>Matrice[[#Headers],[Flux 23]]</f>
        <v>Flux 23</v>
      </c>
      <c r="Z3" s="66" t="str">
        <f>Matrice[[#Headers],[Flux 24]]</f>
        <v>Flux 24</v>
      </c>
      <c r="AA3" s="66" t="str">
        <f>Matrice[[#Headers],[Flux 25]]</f>
        <v>Flux 25</v>
      </c>
      <c r="AB3" s="66" t="s">
        <v>172</v>
      </c>
    </row>
    <row r="4" spans="1:35" ht="14.4" thickTop="1" thickBot="1" x14ac:dyDescent="0.3">
      <c r="A4" s="468" t="s">
        <v>1131</v>
      </c>
      <c r="B4" s="480"/>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7"/>
    </row>
    <row r="5" spans="1:35" ht="13.8" thickTop="1" x14ac:dyDescent="0.25">
      <c r="A5" s="477" t="s">
        <v>1132</v>
      </c>
      <c r="B5" s="483"/>
      <c r="C5" s="478"/>
      <c r="D5" s="67"/>
      <c r="E5" s="67"/>
      <c r="F5" s="67"/>
      <c r="G5" s="67"/>
      <c r="H5" s="67"/>
      <c r="I5" s="67"/>
      <c r="J5" s="67"/>
      <c r="K5" s="67"/>
      <c r="L5" s="67"/>
      <c r="M5" s="67"/>
      <c r="N5" s="67"/>
      <c r="O5" s="67"/>
      <c r="P5" s="67"/>
      <c r="Q5" s="67"/>
      <c r="R5" s="67"/>
      <c r="S5" s="67"/>
      <c r="T5" s="67"/>
      <c r="U5" s="67"/>
      <c r="V5" s="67"/>
      <c r="W5" s="67"/>
      <c r="X5" s="67"/>
      <c r="Y5" s="67"/>
      <c r="Z5" s="67"/>
      <c r="AA5" s="67"/>
      <c r="AB5" s="68"/>
    </row>
    <row r="6" spans="1:35" x14ac:dyDescent="0.25">
      <c r="A6" s="477" t="s">
        <v>1133</v>
      </c>
      <c r="B6" s="484"/>
      <c r="C6" s="478"/>
      <c r="D6" s="67"/>
      <c r="E6" s="67"/>
      <c r="F6" s="67"/>
      <c r="G6" s="67"/>
      <c r="H6" s="67"/>
      <c r="I6" s="67"/>
      <c r="J6" s="67"/>
      <c r="K6" s="67"/>
      <c r="L6" s="67"/>
      <c r="M6" s="67"/>
      <c r="N6" s="67"/>
      <c r="O6" s="67"/>
      <c r="P6" s="67"/>
      <c r="Q6" s="67"/>
      <c r="R6" s="67"/>
      <c r="S6" s="67"/>
      <c r="T6" s="67"/>
      <c r="U6" s="67"/>
      <c r="V6" s="67"/>
      <c r="W6" s="67"/>
      <c r="X6" s="67"/>
      <c r="Y6" s="67"/>
      <c r="Z6" s="67"/>
      <c r="AA6" s="67"/>
      <c r="AB6" s="68"/>
    </row>
    <row r="7" spans="1:35" x14ac:dyDescent="0.25">
      <c r="A7" s="477" t="s">
        <v>1134</v>
      </c>
      <c r="B7" s="484"/>
      <c r="C7" s="478"/>
      <c r="D7" s="67"/>
      <c r="E7" s="67"/>
      <c r="F7" s="67"/>
      <c r="G7" s="67"/>
      <c r="H7" s="67"/>
      <c r="I7" s="67"/>
      <c r="J7" s="67"/>
      <c r="K7" s="67"/>
      <c r="L7" s="67"/>
      <c r="M7" s="67"/>
      <c r="N7" s="67"/>
      <c r="O7" s="67"/>
      <c r="P7" s="67"/>
      <c r="Q7" s="67"/>
      <c r="R7" s="67"/>
      <c r="S7" s="67"/>
      <c r="T7" s="67"/>
      <c r="U7" s="67"/>
      <c r="V7" s="67"/>
      <c r="W7" s="67"/>
      <c r="X7" s="67"/>
      <c r="Y7" s="67"/>
      <c r="Z7" s="67"/>
      <c r="AA7" s="67"/>
      <c r="AB7" s="68"/>
    </row>
    <row r="8" spans="1:35" x14ac:dyDescent="0.25">
      <c r="A8" s="477" t="s">
        <v>1135</v>
      </c>
      <c r="B8" s="484"/>
      <c r="C8" s="478"/>
      <c r="D8" s="67"/>
      <c r="E8" s="67"/>
      <c r="F8" s="67"/>
      <c r="G8" s="67"/>
      <c r="H8" s="67"/>
      <c r="I8" s="67"/>
      <c r="J8" s="67"/>
      <c r="K8" s="67"/>
      <c r="L8" s="67"/>
      <c r="M8" s="67"/>
      <c r="N8" s="67"/>
      <c r="O8" s="67"/>
      <c r="P8" s="67"/>
      <c r="Q8" s="67"/>
      <c r="R8" s="67"/>
      <c r="S8" s="67"/>
      <c r="T8" s="67"/>
      <c r="U8" s="67"/>
      <c r="V8" s="67"/>
      <c r="W8" s="67"/>
      <c r="X8" s="67"/>
      <c r="Y8" s="67"/>
      <c r="Z8" s="67"/>
      <c r="AA8" s="67"/>
      <c r="AB8" s="68"/>
    </row>
    <row r="9" spans="1:35" x14ac:dyDescent="0.25">
      <c r="A9" s="477" t="s">
        <v>1136</v>
      </c>
      <c r="B9" s="484"/>
      <c r="C9" s="478"/>
      <c r="D9" s="67"/>
      <c r="E9" s="67"/>
      <c r="F9" s="67"/>
      <c r="G9" s="67"/>
      <c r="H9" s="67"/>
      <c r="I9" s="67"/>
      <c r="J9" s="67"/>
      <c r="K9" s="67"/>
      <c r="L9" s="67"/>
      <c r="M9" s="67"/>
      <c r="N9" s="67"/>
      <c r="O9" s="67"/>
      <c r="P9" s="67"/>
      <c r="Q9" s="67"/>
      <c r="R9" s="67"/>
      <c r="S9" s="67"/>
      <c r="T9" s="67"/>
      <c r="U9" s="67"/>
      <c r="V9" s="67"/>
      <c r="W9" s="67"/>
      <c r="X9" s="67"/>
      <c r="Y9" s="67"/>
      <c r="Z9" s="67"/>
      <c r="AA9" s="67"/>
      <c r="AB9" s="68"/>
    </row>
    <row r="10" spans="1:35" x14ac:dyDescent="0.25">
      <c r="A10" s="477" t="s">
        <v>1137</v>
      </c>
      <c r="B10" s="484"/>
      <c r="C10" s="478"/>
      <c r="D10" s="67"/>
      <c r="E10" s="67"/>
      <c r="F10" s="67"/>
      <c r="G10" s="67"/>
      <c r="H10" s="67"/>
      <c r="I10" s="67"/>
      <c r="J10" s="67"/>
      <c r="K10" s="67"/>
      <c r="L10" s="67"/>
      <c r="M10" s="67"/>
      <c r="N10" s="67"/>
      <c r="O10" s="67"/>
      <c r="P10" s="67"/>
      <c r="Q10" s="67"/>
      <c r="R10" s="67"/>
      <c r="S10" s="67"/>
      <c r="T10" s="67"/>
      <c r="U10" s="67"/>
      <c r="V10" s="67"/>
      <c r="W10" s="67"/>
      <c r="X10" s="67"/>
      <c r="Y10" s="67"/>
      <c r="Z10" s="67"/>
      <c r="AA10" s="67"/>
      <c r="AB10" s="68"/>
    </row>
    <row r="11" spans="1:35" x14ac:dyDescent="0.25">
      <c r="A11" s="477" t="s">
        <v>1138</v>
      </c>
      <c r="B11" s="484"/>
      <c r="C11" s="478"/>
      <c r="D11" s="67"/>
      <c r="E11" s="67"/>
      <c r="F11" s="67"/>
      <c r="G11" s="67"/>
      <c r="H11" s="67"/>
      <c r="I11" s="67"/>
      <c r="J11" s="67"/>
      <c r="K11" s="67"/>
      <c r="L11" s="67"/>
      <c r="M11" s="67"/>
      <c r="N11" s="67"/>
      <c r="O11" s="67"/>
      <c r="P11" s="67"/>
      <c r="Q11" s="67"/>
      <c r="R11" s="67"/>
      <c r="S11" s="67"/>
      <c r="T11" s="67"/>
      <c r="U11" s="67"/>
      <c r="V11" s="67"/>
      <c r="W11" s="67"/>
      <c r="X11" s="67"/>
      <c r="Y11" s="67"/>
      <c r="Z11" s="67"/>
      <c r="AA11" s="67"/>
      <c r="AB11" s="68"/>
    </row>
    <row r="12" spans="1:35" x14ac:dyDescent="0.25">
      <c r="A12" s="477" t="s">
        <v>21</v>
      </c>
      <c r="B12" s="484"/>
      <c r="C12" s="478"/>
      <c r="D12" s="67"/>
      <c r="E12" s="67"/>
      <c r="F12" s="67"/>
      <c r="G12" s="67"/>
      <c r="H12" s="67"/>
      <c r="I12" s="67"/>
      <c r="J12" s="67"/>
      <c r="K12" s="67"/>
      <c r="L12" s="67"/>
      <c r="M12" s="67"/>
      <c r="N12" s="67"/>
      <c r="O12" s="67"/>
      <c r="P12" s="67"/>
      <c r="Q12" s="67"/>
      <c r="R12" s="67"/>
      <c r="S12" s="67"/>
      <c r="T12" s="67"/>
      <c r="U12" s="67"/>
      <c r="V12" s="67"/>
      <c r="W12" s="67"/>
      <c r="X12" s="67"/>
      <c r="Y12" s="67"/>
      <c r="Z12" s="67"/>
      <c r="AA12" s="67"/>
      <c r="AB12" s="68"/>
    </row>
    <row r="13" spans="1:35" s="8" customFormat="1" ht="13.8" thickBot="1" x14ac:dyDescent="0.3">
      <c r="A13" s="465" t="s">
        <v>1139</v>
      </c>
      <c r="B13" s="485">
        <f t="shared" ref="B13:AA13" si="0">SUM(B5:B12)</f>
        <v>0</v>
      </c>
      <c r="C13" s="469">
        <f t="shared" si="0"/>
        <v>0</v>
      </c>
      <c r="D13" s="69">
        <f t="shared" si="0"/>
        <v>0</v>
      </c>
      <c r="E13" s="69">
        <f t="shared" si="0"/>
        <v>0</v>
      </c>
      <c r="F13" s="69">
        <f t="shared" si="0"/>
        <v>0</v>
      </c>
      <c r="G13" s="69">
        <f t="shared" si="0"/>
        <v>0</v>
      </c>
      <c r="H13" s="69">
        <f t="shared" si="0"/>
        <v>0</v>
      </c>
      <c r="I13" s="69">
        <f t="shared" si="0"/>
        <v>0</v>
      </c>
      <c r="J13" s="69">
        <f t="shared" si="0"/>
        <v>0</v>
      </c>
      <c r="K13" s="69">
        <f t="shared" si="0"/>
        <v>0</v>
      </c>
      <c r="L13" s="69">
        <f t="shared" si="0"/>
        <v>0</v>
      </c>
      <c r="M13" s="69">
        <f t="shared" si="0"/>
        <v>0</v>
      </c>
      <c r="N13" s="69">
        <f t="shared" si="0"/>
        <v>0</v>
      </c>
      <c r="O13" s="69">
        <f t="shared" si="0"/>
        <v>0</v>
      </c>
      <c r="P13" s="69">
        <f t="shared" si="0"/>
        <v>0</v>
      </c>
      <c r="Q13" s="69">
        <f t="shared" si="0"/>
        <v>0</v>
      </c>
      <c r="R13" s="69">
        <f t="shared" si="0"/>
        <v>0</v>
      </c>
      <c r="S13" s="69">
        <f t="shared" si="0"/>
        <v>0</v>
      </c>
      <c r="T13" s="69">
        <f t="shared" si="0"/>
        <v>0</v>
      </c>
      <c r="U13" s="69">
        <f t="shared" si="0"/>
        <v>0</v>
      </c>
      <c r="V13" s="69">
        <f t="shared" si="0"/>
        <v>0</v>
      </c>
      <c r="W13" s="69">
        <f t="shared" si="0"/>
        <v>0</v>
      </c>
      <c r="X13" s="69">
        <f t="shared" si="0"/>
        <v>0</v>
      </c>
      <c r="Y13" s="69">
        <f t="shared" si="0"/>
        <v>0</v>
      </c>
      <c r="Z13" s="69">
        <f t="shared" si="0"/>
        <v>0</v>
      </c>
      <c r="AA13" s="69">
        <f t="shared" si="0"/>
        <v>0</v>
      </c>
      <c r="AB13" s="69">
        <f>SUM(C13:AA13)</f>
        <v>0</v>
      </c>
    </row>
    <row r="14" spans="1:35" s="8" customFormat="1" ht="6.6" customHeight="1" thickTop="1" x14ac:dyDescent="0.25">
      <c r="A14" s="470"/>
      <c r="B14" s="481"/>
      <c r="C14" s="472"/>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3"/>
    </row>
    <row r="15" spans="1:35" s="8" customFormat="1" x14ac:dyDescent="0.25">
      <c r="A15" s="752" t="s">
        <v>1140</v>
      </c>
      <c r="B15" s="753"/>
      <c r="C15" s="70" t="e">
        <f>C13/$AB$13</f>
        <v>#DIV/0!</v>
      </c>
      <c r="D15" s="70" t="e">
        <f t="shared" ref="D15:AA15" si="1">D13/$AB$13</f>
        <v>#DIV/0!</v>
      </c>
      <c r="E15" s="70" t="e">
        <f t="shared" si="1"/>
        <v>#DIV/0!</v>
      </c>
      <c r="F15" s="70" t="e">
        <f t="shared" si="1"/>
        <v>#DIV/0!</v>
      </c>
      <c r="G15" s="70" t="e">
        <f t="shared" si="1"/>
        <v>#DIV/0!</v>
      </c>
      <c r="H15" s="70" t="e">
        <f t="shared" si="1"/>
        <v>#DIV/0!</v>
      </c>
      <c r="I15" s="70" t="e">
        <f t="shared" si="1"/>
        <v>#DIV/0!</v>
      </c>
      <c r="J15" s="70" t="e">
        <f t="shared" si="1"/>
        <v>#DIV/0!</v>
      </c>
      <c r="K15" s="70" t="e">
        <f t="shared" si="1"/>
        <v>#DIV/0!</v>
      </c>
      <c r="L15" s="70" t="e">
        <f t="shared" si="1"/>
        <v>#DIV/0!</v>
      </c>
      <c r="M15" s="70" t="e">
        <f t="shared" si="1"/>
        <v>#DIV/0!</v>
      </c>
      <c r="N15" s="70" t="e">
        <f t="shared" si="1"/>
        <v>#DIV/0!</v>
      </c>
      <c r="O15" s="70" t="e">
        <f t="shared" si="1"/>
        <v>#DIV/0!</v>
      </c>
      <c r="P15" s="70" t="e">
        <f t="shared" si="1"/>
        <v>#DIV/0!</v>
      </c>
      <c r="Q15" s="70" t="e">
        <f t="shared" si="1"/>
        <v>#DIV/0!</v>
      </c>
      <c r="R15" s="70" t="e">
        <f t="shared" si="1"/>
        <v>#DIV/0!</v>
      </c>
      <c r="S15" s="70" t="e">
        <f t="shared" si="1"/>
        <v>#DIV/0!</v>
      </c>
      <c r="T15" s="70" t="e">
        <f t="shared" si="1"/>
        <v>#DIV/0!</v>
      </c>
      <c r="U15" s="70" t="e">
        <f t="shared" si="1"/>
        <v>#DIV/0!</v>
      </c>
      <c r="V15" s="70" t="e">
        <f t="shared" si="1"/>
        <v>#DIV/0!</v>
      </c>
      <c r="W15" s="70" t="e">
        <f t="shared" si="1"/>
        <v>#DIV/0!</v>
      </c>
      <c r="X15" s="70" t="e">
        <f t="shared" si="1"/>
        <v>#DIV/0!</v>
      </c>
      <c r="Y15" s="70" t="e">
        <f t="shared" si="1"/>
        <v>#DIV/0!</v>
      </c>
      <c r="Z15" s="70" t="e">
        <f t="shared" si="1"/>
        <v>#DIV/0!</v>
      </c>
      <c r="AA15" s="70" t="e">
        <f t="shared" si="1"/>
        <v>#DIV/0!</v>
      </c>
      <c r="AB15" s="70" t="e">
        <f>SUM(D15:AA15)</f>
        <v>#DIV/0!</v>
      </c>
    </row>
    <row r="16" spans="1:35" s="8" customFormat="1" ht="6.6" customHeight="1" x14ac:dyDescent="0.25">
      <c r="A16" s="470"/>
      <c r="B16" s="481"/>
      <c r="C16" s="472"/>
      <c r="D16" s="471"/>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3"/>
    </row>
    <row r="17" spans="1:28" ht="13.8" thickBot="1" x14ac:dyDescent="0.3">
      <c r="A17" s="468" t="s">
        <v>1141</v>
      </c>
      <c r="B17" s="479"/>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7"/>
    </row>
    <row r="18" spans="1:28" ht="13.8" thickTop="1" x14ac:dyDescent="0.25">
      <c r="A18" s="474" t="s">
        <v>1142</v>
      </c>
      <c r="B18" s="483"/>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475"/>
      <c r="AA18" s="475"/>
      <c r="AB18" s="476"/>
    </row>
    <row r="19" spans="1:28" x14ac:dyDescent="0.25">
      <c r="A19" s="474" t="s">
        <v>1143</v>
      </c>
      <c r="B19" s="484"/>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6"/>
    </row>
    <row r="20" spans="1:28" x14ac:dyDescent="0.25">
      <c r="A20" s="474" t="s">
        <v>1144</v>
      </c>
      <c r="B20" s="484"/>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6"/>
    </row>
    <row r="21" spans="1:28" x14ac:dyDescent="0.25">
      <c r="A21" s="474" t="s">
        <v>1145</v>
      </c>
      <c r="B21" s="484"/>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6"/>
    </row>
    <row r="22" spans="1:28" ht="13.8" thickBot="1" x14ac:dyDescent="0.3">
      <c r="A22" s="465" t="s">
        <v>1146</v>
      </c>
      <c r="B22" s="485">
        <f t="shared" ref="B22:AA22" si="2">SUM(B18:B21)</f>
        <v>0</v>
      </c>
      <c r="C22" s="69">
        <f t="shared" si="2"/>
        <v>0</v>
      </c>
      <c r="D22" s="69">
        <f t="shared" si="2"/>
        <v>0</v>
      </c>
      <c r="E22" s="69">
        <f t="shared" si="2"/>
        <v>0</v>
      </c>
      <c r="F22" s="69">
        <f t="shared" si="2"/>
        <v>0</v>
      </c>
      <c r="G22" s="69">
        <f t="shared" si="2"/>
        <v>0</v>
      </c>
      <c r="H22" s="69">
        <f t="shared" si="2"/>
        <v>0</v>
      </c>
      <c r="I22" s="69">
        <f t="shared" si="2"/>
        <v>0</v>
      </c>
      <c r="J22" s="69">
        <f t="shared" si="2"/>
        <v>0</v>
      </c>
      <c r="K22" s="69">
        <f t="shared" si="2"/>
        <v>0</v>
      </c>
      <c r="L22" s="69">
        <f t="shared" si="2"/>
        <v>0</v>
      </c>
      <c r="M22" s="69">
        <f t="shared" si="2"/>
        <v>0</v>
      </c>
      <c r="N22" s="69">
        <f t="shared" si="2"/>
        <v>0</v>
      </c>
      <c r="O22" s="69">
        <f t="shared" si="2"/>
        <v>0</v>
      </c>
      <c r="P22" s="69">
        <f t="shared" si="2"/>
        <v>0</v>
      </c>
      <c r="Q22" s="69">
        <f t="shared" si="2"/>
        <v>0</v>
      </c>
      <c r="R22" s="69">
        <f t="shared" si="2"/>
        <v>0</v>
      </c>
      <c r="S22" s="69">
        <f t="shared" si="2"/>
        <v>0</v>
      </c>
      <c r="T22" s="69">
        <f t="shared" si="2"/>
        <v>0</v>
      </c>
      <c r="U22" s="69">
        <f t="shared" si="2"/>
        <v>0</v>
      </c>
      <c r="V22" s="69">
        <f t="shared" si="2"/>
        <v>0</v>
      </c>
      <c r="W22" s="69">
        <f t="shared" si="2"/>
        <v>0</v>
      </c>
      <c r="X22" s="69">
        <f t="shared" si="2"/>
        <v>0</v>
      </c>
      <c r="Y22" s="69">
        <f t="shared" si="2"/>
        <v>0</v>
      </c>
      <c r="Z22" s="69">
        <f t="shared" si="2"/>
        <v>0</v>
      </c>
      <c r="AA22" s="69">
        <f t="shared" si="2"/>
        <v>0</v>
      </c>
      <c r="AB22" s="72">
        <f>SUM(C22:AA22)</f>
        <v>0</v>
      </c>
    </row>
    <row r="23" spans="1:28" s="8" customFormat="1" ht="6.6" customHeight="1" thickTop="1" x14ac:dyDescent="0.25">
      <c r="A23" s="470"/>
      <c r="B23" s="481"/>
      <c r="C23" s="472"/>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3"/>
    </row>
    <row r="24" spans="1:28" ht="13.8" thickBot="1" x14ac:dyDescent="0.3">
      <c r="A24" s="468" t="s">
        <v>1147</v>
      </c>
      <c r="B24" s="479"/>
      <c r="C24" s="466"/>
      <c r="D24" s="466"/>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7"/>
    </row>
    <row r="25" spans="1:28" ht="13.8" thickTop="1" x14ac:dyDescent="0.25">
      <c r="A25" s="474" t="s">
        <v>1148</v>
      </c>
      <c r="B25" s="483"/>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6"/>
    </row>
    <row r="26" spans="1:28" x14ac:dyDescent="0.25">
      <c r="A26" s="474" t="s">
        <v>1149</v>
      </c>
      <c r="B26" s="484"/>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6"/>
    </row>
    <row r="27" spans="1:28" x14ac:dyDescent="0.25">
      <c r="A27" s="474" t="s">
        <v>1150</v>
      </c>
      <c r="B27" s="484"/>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6"/>
    </row>
    <row r="28" spans="1:28" ht="13.8" thickBot="1" x14ac:dyDescent="0.3">
      <c r="A28" s="465" t="s">
        <v>1151</v>
      </c>
      <c r="B28" s="485">
        <f t="shared" ref="B28:AA28" si="3">SUM(B25:B27)</f>
        <v>0</v>
      </c>
      <c r="C28" s="69">
        <f t="shared" si="3"/>
        <v>0</v>
      </c>
      <c r="D28" s="69">
        <f t="shared" si="3"/>
        <v>0</v>
      </c>
      <c r="E28" s="69">
        <f t="shared" si="3"/>
        <v>0</v>
      </c>
      <c r="F28" s="69">
        <f t="shared" si="3"/>
        <v>0</v>
      </c>
      <c r="G28" s="69">
        <f t="shared" si="3"/>
        <v>0</v>
      </c>
      <c r="H28" s="69">
        <f t="shared" si="3"/>
        <v>0</v>
      </c>
      <c r="I28" s="69">
        <f t="shared" si="3"/>
        <v>0</v>
      </c>
      <c r="J28" s="69">
        <f t="shared" si="3"/>
        <v>0</v>
      </c>
      <c r="K28" s="69">
        <f t="shared" si="3"/>
        <v>0</v>
      </c>
      <c r="L28" s="69">
        <f t="shared" si="3"/>
        <v>0</v>
      </c>
      <c r="M28" s="69">
        <f t="shared" si="3"/>
        <v>0</v>
      </c>
      <c r="N28" s="69">
        <f t="shared" si="3"/>
        <v>0</v>
      </c>
      <c r="O28" s="69">
        <f t="shared" si="3"/>
        <v>0</v>
      </c>
      <c r="P28" s="69">
        <f t="shared" si="3"/>
        <v>0</v>
      </c>
      <c r="Q28" s="69">
        <f t="shared" si="3"/>
        <v>0</v>
      </c>
      <c r="R28" s="69">
        <f t="shared" si="3"/>
        <v>0</v>
      </c>
      <c r="S28" s="69">
        <f t="shared" si="3"/>
        <v>0</v>
      </c>
      <c r="T28" s="69">
        <f t="shared" si="3"/>
        <v>0</v>
      </c>
      <c r="U28" s="69">
        <f t="shared" si="3"/>
        <v>0</v>
      </c>
      <c r="V28" s="69">
        <f t="shared" si="3"/>
        <v>0</v>
      </c>
      <c r="W28" s="69">
        <f t="shared" si="3"/>
        <v>0</v>
      </c>
      <c r="X28" s="69">
        <f t="shared" si="3"/>
        <v>0</v>
      </c>
      <c r="Y28" s="69">
        <f t="shared" si="3"/>
        <v>0</v>
      </c>
      <c r="Z28" s="69">
        <f t="shared" si="3"/>
        <v>0</v>
      </c>
      <c r="AA28" s="69">
        <f t="shared" si="3"/>
        <v>0</v>
      </c>
      <c r="AB28" s="72">
        <f>SUM(C28:AA28)</f>
        <v>0</v>
      </c>
    </row>
    <row r="29" spans="1:28" s="8" customFormat="1" ht="6.6" customHeight="1" thickTop="1" thickBot="1" x14ac:dyDescent="0.3">
      <c r="A29" s="470"/>
      <c r="B29" s="488"/>
      <c r="C29" s="472"/>
      <c r="D29" s="471"/>
      <c r="E29" s="471"/>
      <c r="F29" s="471"/>
      <c r="G29" s="471"/>
      <c r="H29" s="471"/>
      <c r="I29" s="471"/>
      <c r="J29" s="471"/>
      <c r="K29" s="471"/>
      <c r="L29" s="471"/>
      <c r="M29" s="471"/>
      <c r="N29" s="471"/>
      <c r="O29" s="471"/>
      <c r="P29" s="471"/>
      <c r="Q29" s="471"/>
      <c r="R29" s="471"/>
      <c r="S29" s="471"/>
      <c r="T29" s="471"/>
      <c r="U29" s="471"/>
      <c r="V29" s="471"/>
      <c r="W29" s="471"/>
      <c r="X29" s="471"/>
      <c r="Y29" s="471"/>
      <c r="Z29" s="471"/>
      <c r="AA29" s="471"/>
      <c r="AB29" s="473"/>
    </row>
    <row r="30" spans="1:28" ht="14.4" thickTop="1" thickBot="1" x14ac:dyDescent="0.3">
      <c r="A30" s="486" t="s">
        <v>1152</v>
      </c>
      <c r="B30" s="489"/>
      <c r="C30" s="487" t="e">
        <f>$B30*C$15</f>
        <v>#DIV/0!</v>
      </c>
      <c r="D30" s="71" t="e">
        <f>$B30*D$15</f>
        <v>#DIV/0!</v>
      </c>
      <c r="E30" s="71" t="e">
        <f t="shared" ref="E30:AA30" si="4">$B30*E$15</f>
        <v>#DIV/0!</v>
      </c>
      <c r="F30" s="71" t="e">
        <f t="shared" si="4"/>
        <v>#DIV/0!</v>
      </c>
      <c r="G30" s="71" t="e">
        <f t="shared" si="4"/>
        <v>#DIV/0!</v>
      </c>
      <c r="H30" s="71" t="e">
        <f t="shared" si="4"/>
        <v>#DIV/0!</v>
      </c>
      <c r="I30" s="71" t="e">
        <f t="shared" si="4"/>
        <v>#DIV/0!</v>
      </c>
      <c r="J30" s="71" t="e">
        <f t="shared" si="4"/>
        <v>#DIV/0!</v>
      </c>
      <c r="K30" s="71" t="e">
        <f t="shared" si="4"/>
        <v>#DIV/0!</v>
      </c>
      <c r="L30" s="71" t="e">
        <f t="shared" si="4"/>
        <v>#DIV/0!</v>
      </c>
      <c r="M30" s="71" t="e">
        <f t="shared" si="4"/>
        <v>#DIV/0!</v>
      </c>
      <c r="N30" s="71" t="e">
        <f t="shared" si="4"/>
        <v>#DIV/0!</v>
      </c>
      <c r="O30" s="71" t="e">
        <f t="shared" si="4"/>
        <v>#DIV/0!</v>
      </c>
      <c r="P30" s="71" t="e">
        <f t="shared" si="4"/>
        <v>#DIV/0!</v>
      </c>
      <c r="Q30" s="71" t="e">
        <f t="shared" si="4"/>
        <v>#DIV/0!</v>
      </c>
      <c r="R30" s="71" t="e">
        <f t="shared" si="4"/>
        <v>#DIV/0!</v>
      </c>
      <c r="S30" s="71" t="e">
        <f t="shared" si="4"/>
        <v>#DIV/0!</v>
      </c>
      <c r="T30" s="71" t="e">
        <f t="shared" si="4"/>
        <v>#DIV/0!</v>
      </c>
      <c r="U30" s="71" t="e">
        <f t="shared" si="4"/>
        <v>#DIV/0!</v>
      </c>
      <c r="V30" s="71" t="e">
        <f t="shared" si="4"/>
        <v>#DIV/0!</v>
      </c>
      <c r="W30" s="71" t="e">
        <f t="shared" si="4"/>
        <v>#DIV/0!</v>
      </c>
      <c r="X30" s="71" t="e">
        <f t="shared" si="4"/>
        <v>#DIV/0!</v>
      </c>
      <c r="Y30" s="71" t="e">
        <f t="shared" si="4"/>
        <v>#DIV/0!</v>
      </c>
      <c r="Z30" s="71" t="e">
        <f t="shared" si="4"/>
        <v>#DIV/0!</v>
      </c>
      <c r="AA30" s="71" t="e">
        <f t="shared" si="4"/>
        <v>#DIV/0!</v>
      </c>
      <c r="AB30" s="72" t="e">
        <f>SUM(C30:AA30)</f>
        <v>#DIV/0!</v>
      </c>
    </row>
    <row r="31" spans="1:28" s="8" customFormat="1" ht="6.6" customHeight="1" thickTop="1" thickBot="1" x14ac:dyDescent="0.3">
      <c r="A31" s="470"/>
      <c r="B31" s="488"/>
      <c r="C31" s="472"/>
      <c r="D31" s="471"/>
      <c r="E31" s="471"/>
      <c r="F31" s="471"/>
      <c r="G31" s="471"/>
      <c r="H31" s="471"/>
      <c r="I31" s="471"/>
      <c r="J31" s="471"/>
      <c r="K31" s="471"/>
      <c r="L31" s="471"/>
      <c r="M31" s="471"/>
      <c r="N31" s="471"/>
      <c r="O31" s="471"/>
      <c r="P31" s="471"/>
      <c r="Q31" s="471"/>
      <c r="R31" s="471"/>
      <c r="S31" s="471"/>
      <c r="T31" s="471"/>
      <c r="U31" s="471"/>
      <c r="V31" s="471"/>
      <c r="W31" s="471"/>
      <c r="X31" s="471"/>
      <c r="Y31" s="471"/>
      <c r="Z31" s="471"/>
      <c r="AA31" s="471"/>
      <c r="AB31" s="473"/>
    </row>
    <row r="32" spans="1:28" ht="14.4" thickTop="1" thickBot="1" x14ac:dyDescent="0.3">
      <c r="A32" s="486" t="s">
        <v>1153</v>
      </c>
      <c r="B32" s="489"/>
      <c r="C32" s="487" t="e">
        <f>$B32*C$15</f>
        <v>#DIV/0!</v>
      </c>
      <c r="D32" s="71" t="e">
        <f>$B32*D$15</f>
        <v>#DIV/0!</v>
      </c>
      <c r="E32" s="71" t="e">
        <f t="shared" ref="E32:AA34" si="5">$B32*E$15</f>
        <v>#DIV/0!</v>
      </c>
      <c r="F32" s="71" t="e">
        <f t="shared" si="5"/>
        <v>#DIV/0!</v>
      </c>
      <c r="G32" s="71" t="e">
        <f t="shared" si="5"/>
        <v>#DIV/0!</v>
      </c>
      <c r="H32" s="71" t="e">
        <f t="shared" si="5"/>
        <v>#DIV/0!</v>
      </c>
      <c r="I32" s="71" t="e">
        <f t="shared" si="5"/>
        <v>#DIV/0!</v>
      </c>
      <c r="J32" s="71" t="e">
        <f t="shared" si="5"/>
        <v>#DIV/0!</v>
      </c>
      <c r="K32" s="71" t="e">
        <f t="shared" si="5"/>
        <v>#DIV/0!</v>
      </c>
      <c r="L32" s="71" t="e">
        <f t="shared" si="5"/>
        <v>#DIV/0!</v>
      </c>
      <c r="M32" s="71" t="e">
        <f t="shared" si="5"/>
        <v>#DIV/0!</v>
      </c>
      <c r="N32" s="71" t="e">
        <f t="shared" si="5"/>
        <v>#DIV/0!</v>
      </c>
      <c r="O32" s="71" t="e">
        <f t="shared" si="5"/>
        <v>#DIV/0!</v>
      </c>
      <c r="P32" s="71" t="e">
        <f t="shared" si="5"/>
        <v>#DIV/0!</v>
      </c>
      <c r="Q32" s="71" t="e">
        <f t="shared" si="5"/>
        <v>#DIV/0!</v>
      </c>
      <c r="R32" s="71" t="e">
        <f t="shared" si="5"/>
        <v>#DIV/0!</v>
      </c>
      <c r="S32" s="71" t="e">
        <f t="shared" si="5"/>
        <v>#DIV/0!</v>
      </c>
      <c r="T32" s="71" t="e">
        <f t="shared" si="5"/>
        <v>#DIV/0!</v>
      </c>
      <c r="U32" s="71" t="e">
        <f t="shared" si="5"/>
        <v>#DIV/0!</v>
      </c>
      <c r="V32" s="71" t="e">
        <f t="shared" si="5"/>
        <v>#DIV/0!</v>
      </c>
      <c r="W32" s="71" t="e">
        <f t="shared" si="5"/>
        <v>#DIV/0!</v>
      </c>
      <c r="X32" s="71" t="e">
        <f t="shared" si="5"/>
        <v>#DIV/0!</v>
      </c>
      <c r="Y32" s="71" t="e">
        <f t="shared" si="5"/>
        <v>#DIV/0!</v>
      </c>
      <c r="Z32" s="71" t="e">
        <f t="shared" si="5"/>
        <v>#DIV/0!</v>
      </c>
      <c r="AA32" s="71" t="e">
        <f t="shared" si="5"/>
        <v>#DIV/0!</v>
      </c>
      <c r="AB32" s="72" t="e">
        <f>SUM(C32:AA32)</f>
        <v>#DIV/0!</v>
      </c>
    </row>
    <row r="33" spans="1:30" s="8" customFormat="1" ht="6.6" customHeight="1" thickTop="1" thickBot="1" x14ac:dyDescent="0.3">
      <c r="A33" s="470"/>
      <c r="B33" s="488"/>
      <c r="C33" s="472"/>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3"/>
    </row>
    <row r="34" spans="1:30" ht="14.4" thickTop="1" thickBot="1" x14ac:dyDescent="0.3">
      <c r="A34" s="486" t="s">
        <v>1154</v>
      </c>
      <c r="B34" s="489"/>
      <c r="C34" s="487" t="e">
        <f>$B34*C$15</f>
        <v>#DIV/0!</v>
      </c>
      <c r="D34" s="71" t="e">
        <f>$B34*D$15</f>
        <v>#DIV/0!</v>
      </c>
      <c r="E34" s="71" t="e">
        <f t="shared" si="5"/>
        <v>#DIV/0!</v>
      </c>
      <c r="F34" s="71" t="e">
        <f t="shared" si="5"/>
        <v>#DIV/0!</v>
      </c>
      <c r="G34" s="71" t="e">
        <f t="shared" si="5"/>
        <v>#DIV/0!</v>
      </c>
      <c r="H34" s="71" t="e">
        <f t="shared" si="5"/>
        <v>#DIV/0!</v>
      </c>
      <c r="I34" s="71" t="e">
        <f t="shared" si="5"/>
        <v>#DIV/0!</v>
      </c>
      <c r="J34" s="71" t="e">
        <f t="shared" si="5"/>
        <v>#DIV/0!</v>
      </c>
      <c r="K34" s="71" t="e">
        <f t="shared" si="5"/>
        <v>#DIV/0!</v>
      </c>
      <c r="L34" s="71" t="e">
        <f t="shared" si="5"/>
        <v>#DIV/0!</v>
      </c>
      <c r="M34" s="71" t="e">
        <f t="shared" si="5"/>
        <v>#DIV/0!</v>
      </c>
      <c r="N34" s="71" t="e">
        <f t="shared" si="5"/>
        <v>#DIV/0!</v>
      </c>
      <c r="O34" s="71" t="e">
        <f t="shared" si="5"/>
        <v>#DIV/0!</v>
      </c>
      <c r="P34" s="71" t="e">
        <f t="shared" si="5"/>
        <v>#DIV/0!</v>
      </c>
      <c r="Q34" s="71" t="e">
        <f t="shared" si="5"/>
        <v>#DIV/0!</v>
      </c>
      <c r="R34" s="71" t="e">
        <f t="shared" si="5"/>
        <v>#DIV/0!</v>
      </c>
      <c r="S34" s="71" t="e">
        <f t="shared" si="5"/>
        <v>#DIV/0!</v>
      </c>
      <c r="T34" s="71" t="e">
        <f t="shared" si="5"/>
        <v>#DIV/0!</v>
      </c>
      <c r="U34" s="71" t="e">
        <f t="shared" si="5"/>
        <v>#DIV/0!</v>
      </c>
      <c r="V34" s="71" t="e">
        <f t="shared" si="5"/>
        <v>#DIV/0!</v>
      </c>
      <c r="W34" s="71" t="e">
        <f t="shared" si="5"/>
        <v>#DIV/0!</v>
      </c>
      <c r="X34" s="71" t="e">
        <f t="shared" si="5"/>
        <v>#DIV/0!</v>
      </c>
      <c r="Y34" s="71" t="e">
        <f t="shared" si="5"/>
        <v>#DIV/0!</v>
      </c>
      <c r="Z34" s="71" t="e">
        <f t="shared" si="5"/>
        <v>#DIV/0!</v>
      </c>
      <c r="AA34" s="71" t="e">
        <f t="shared" si="5"/>
        <v>#DIV/0!</v>
      </c>
      <c r="AB34" s="72" t="e">
        <f>SUM(C34:AA34)</f>
        <v>#DIV/0!</v>
      </c>
    </row>
    <row r="35" spans="1:30" s="8" customFormat="1" ht="6.6" customHeight="1" thickTop="1" x14ac:dyDescent="0.25">
      <c r="A35" s="470"/>
      <c r="B35" s="488"/>
      <c r="C35" s="472"/>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3"/>
    </row>
    <row r="36" spans="1:30" s="65" customFormat="1" ht="20.25" customHeight="1" thickBot="1" x14ac:dyDescent="0.3">
      <c r="A36" s="490" t="s">
        <v>1155</v>
      </c>
      <c r="B36" s="491">
        <f>SUM(B13,B22,B28,B30,B32,B33,B34)</f>
        <v>0</v>
      </c>
      <c r="C36" s="72" t="e">
        <f>SUM(C13,C22,C28,C30,C32,C33,C34)</f>
        <v>#DIV/0!</v>
      </c>
      <c r="D36" s="72" t="e">
        <f t="shared" ref="D36:AA36" si="6">SUM(D13,D22,D28,D30,D32,D33,D34)</f>
        <v>#DIV/0!</v>
      </c>
      <c r="E36" s="72" t="e">
        <f t="shared" si="6"/>
        <v>#DIV/0!</v>
      </c>
      <c r="F36" s="72" t="e">
        <f t="shared" si="6"/>
        <v>#DIV/0!</v>
      </c>
      <c r="G36" s="72" t="e">
        <f t="shared" si="6"/>
        <v>#DIV/0!</v>
      </c>
      <c r="H36" s="72" t="e">
        <f t="shared" si="6"/>
        <v>#DIV/0!</v>
      </c>
      <c r="I36" s="72" t="e">
        <f t="shared" si="6"/>
        <v>#DIV/0!</v>
      </c>
      <c r="J36" s="72" t="e">
        <f t="shared" si="6"/>
        <v>#DIV/0!</v>
      </c>
      <c r="K36" s="72" t="e">
        <f t="shared" si="6"/>
        <v>#DIV/0!</v>
      </c>
      <c r="L36" s="72" t="e">
        <f t="shared" si="6"/>
        <v>#DIV/0!</v>
      </c>
      <c r="M36" s="72" t="e">
        <f t="shared" si="6"/>
        <v>#DIV/0!</v>
      </c>
      <c r="N36" s="72" t="e">
        <f t="shared" si="6"/>
        <v>#DIV/0!</v>
      </c>
      <c r="O36" s="72" t="e">
        <f t="shared" si="6"/>
        <v>#DIV/0!</v>
      </c>
      <c r="P36" s="72" t="e">
        <f t="shared" si="6"/>
        <v>#DIV/0!</v>
      </c>
      <c r="Q36" s="72" t="e">
        <f t="shared" si="6"/>
        <v>#DIV/0!</v>
      </c>
      <c r="R36" s="72" t="e">
        <f t="shared" si="6"/>
        <v>#DIV/0!</v>
      </c>
      <c r="S36" s="72" t="e">
        <f t="shared" si="6"/>
        <v>#DIV/0!</v>
      </c>
      <c r="T36" s="72" t="e">
        <f t="shared" si="6"/>
        <v>#DIV/0!</v>
      </c>
      <c r="U36" s="72" t="e">
        <f t="shared" si="6"/>
        <v>#DIV/0!</v>
      </c>
      <c r="V36" s="72" t="e">
        <f t="shared" si="6"/>
        <v>#DIV/0!</v>
      </c>
      <c r="W36" s="72" t="e">
        <f t="shared" si="6"/>
        <v>#DIV/0!</v>
      </c>
      <c r="X36" s="72" t="e">
        <f t="shared" si="6"/>
        <v>#DIV/0!</v>
      </c>
      <c r="Y36" s="72" t="e">
        <f t="shared" si="6"/>
        <v>#DIV/0!</v>
      </c>
      <c r="Z36" s="72" t="e">
        <f t="shared" si="6"/>
        <v>#DIV/0!</v>
      </c>
      <c r="AA36" s="72" t="e">
        <f t="shared" si="6"/>
        <v>#DIV/0!</v>
      </c>
      <c r="AB36" s="72" t="e">
        <f>SUM(C36:AA36)</f>
        <v>#DIV/0!</v>
      </c>
      <c r="AC36" s="492" t="str">
        <f>IFERROR(IF(ROUND(AB36-B36,0)=0," ","ATTENTION ! Il y a un écart entre le total du liquidatif (cellule B36) et le total réparti (cellule AB36). Merci de corriger votre répartition afin de réduire cet écart à zéro."),"")</f>
        <v/>
      </c>
    </row>
    <row r="37" spans="1:30" s="65" customFormat="1" ht="20.25" customHeight="1" thickTop="1" x14ac:dyDescent="0.25">
      <c r="A37" s="751" t="s">
        <v>1156</v>
      </c>
      <c r="B37" s="751"/>
      <c r="C37" s="73" t="e">
        <f>C36/$AB$36</f>
        <v>#DIV/0!</v>
      </c>
      <c r="D37" s="73" t="e">
        <f>D36/$AB$36</f>
        <v>#DIV/0!</v>
      </c>
      <c r="E37" s="73" t="e">
        <f t="shared" ref="E37:AA37" si="7">E36/$AB$36</f>
        <v>#DIV/0!</v>
      </c>
      <c r="F37" s="73" t="e">
        <f t="shared" si="7"/>
        <v>#DIV/0!</v>
      </c>
      <c r="G37" s="73" t="e">
        <f t="shared" si="7"/>
        <v>#DIV/0!</v>
      </c>
      <c r="H37" s="73" t="e">
        <f t="shared" si="7"/>
        <v>#DIV/0!</v>
      </c>
      <c r="I37" s="73" t="e">
        <f t="shared" si="7"/>
        <v>#DIV/0!</v>
      </c>
      <c r="J37" s="73" t="e">
        <f t="shared" si="7"/>
        <v>#DIV/0!</v>
      </c>
      <c r="K37" s="73" t="e">
        <f t="shared" si="7"/>
        <v>#DIV/0!</v>
      </c>
      <c r="L37" s="73" t="e">
        <f t="shared" si="7"/>
        <v>#DIV/0!</v>
      </c>
      <c r="M37" s="73" t="e">
        <f t="shared" si="7"/>
        <v>#DIV/0!</v>
      </c>
      <c r="N37" s="73" t="e">
        <f t="shared" si="7"/>
        <v>#DIV/0!</v>
      </c>
      <c r="O37" s="73" t="e">
        <f t="shared" si="7"/>
        <v>#DIV/0!</v>
      </c>
      <c r="P37" s="73" t="e">
        <f t="shared" si="7"/>
        <v>#DIV/0!</v>
      </c>
      <c r="Q37" s="73" t="e">
        <f t="shared" si="7"/>
        <v>#DIV/0!</v>
      </c>
      <c r="R37" s="73" t="e">
        <f t="shared" si="7"/>
        <v>#DIV/0!</v>
      </c>
      <c r="S37" s="73" t="e">
        <f t="shared" si="7"/>
        <v>#DIV/0!</v>
      </c>
      <c r="T37" s="73" t="e">
        <f t="shared" si="7"/>
        <v>#DIV/0!</v>
      </c>
      <c r="U37" s="73" t="e">
        <f t="shared" si="7"/>
        <v>#DIV/0!</v>
      </c>
      <c r="V37" s="73" t="e">
        <f t="shared" si="7"/>
        <v>#DIV/0!</v>
      </c>
      <c r="W37" s="73" t="e">
        <f t="shared" si="7"/>
        <v>#DIV/0!</v>
      </c>
      <c r="X37" s="73" t="e">
        <f t="shared" si="7"/>
        <v>#DIV/0!</v>
      </c>
      <c r="Y37" s="73" t="e">
        <f t="shared" si="7"/>
        <v>#DIV/0!</v>
      </c>
      <c r="Z37" s="73" t="e">
        <f t="shared" si="7"/>
        <v>#DIV/0!</v>
      </c>
      <c r="AA37" s="73" t="e">
        <f t="shared" si="7"/>
        <v>#DIV/0!</v>
      </c>
      <c r="AB37" s="73" t="e">
        <f>SUM(C37:AA37)</f>
        <v>#DIV/0!</v>
      </c>
      <c r="AC37" s="64"/>
    </row>
    <row r="39" spans="1:30" x14ac:dyDescent="0.25">
      <c r="A39" s="6"/>
      <c r="B39" s="6"/>
      <c r="C39" s="6"/>
      <c r="D39" s="6"/>
      <c r="E39" s="6"/>
      <c r="F39" s="7"/>
      <c r="AC39" s="63"/>
      <c r="AD39" s="63"/>
    </row>
    <row r="40" spans="1:30" ht="21" x14ac:dyDescent="0.4">
      <c r="A40" s="257" t="s">
        <v>1103</v>
      </c>
      <c r="B40" s="6"/>
      <c r="C40" s="6"/>
      <c r="D40" s="6"/>
      <c r="E40" s="6"/>
      <c r="F40" s="7"/>
      <c r="AC40" s="63"/>
      <c r="AD40" s="63"/>
    </row>
    <row r="41" spans="1:30" x14ac:dyDescent="0.25">
      <c r="A41" s="20"/>
      <c r="B41" s="65"/>
      <c r="C41" s="65"/>
      <c r="D41" s="63"/>
      <c r="E41" s="63"/>
    </row>
    <row r="42" spans="1:30" x14ac:dyDescent="0.25">
      <c r="A42" s="749" t="s">
        <v>219</v>
      </c>
      <c r="B42" s="750"/>
      <c r="C42" s="282">
        <f>'2 - Matrice finale'!B58</f>
        <v>0</v>
      </c>
      <c r="D42" s="282">
        <f>'2 - Matrice finale'!C58</f>
        <v>0</v>
      </c>
      <c r="E42" s="282">
        <f>'2 - Matrice finale'!D58</f>
        <v>0</v>
      </c>
      <c r="F42" s="282">
        <f>'2 - Matrice finale'!E58</f>
        <v>0</v>
      </c>
      <c r="G42" s="282">
        <f>'2 - Matrice finale'!F58</f>
        <v>0</v>
      </c>
      <c r="H42" s="282">
        <f>'2 - Matrice finale'!G58</f>
        <v>0</v>
      </c>
      <c r="I42" s="282">
        <f>'2 - Matrice finale'!H58</f>
        <v>0</v>
      </c>
      <c r="J42" s="282">
        <f>'2 - Matrice finale'!I58</f>
        <v>0</v>
      </c>
      <c r="K42" s="282">
        <f>'2 - Matrice finale'!J58</f>
        <v>0</v>
      </c>
      <c r="L42" s="282">
        <f>'2 - Matrice finale'!K58</f>
        <v>0</v>
      </c>
      <c r="M42" s="282">
        <f>'2 - Matrice finale'!L58</f>
        <v>0</v>
      </c>
      <c r="N42" s="282">
        <f>'2 - Matrice finale'!M58</f>
        <v>0</v>
      </c>
      <c r="O42" s="282">
        <f>'2 - Matrice finale'!N58</f>
        <v>0</v>
      </c>
      <c r="P42" s="282">
        <f>'2 - Matrice finale'!O58</f>
        <v>0</v>
      </c>
      <c r="Q42" s="282">
        <f>'2 - Matrice finale'!P58</f>
        <v>0</v>
      </c>
      <c r="R42" s="282">
        <f>'2 - Matrice finale'!Q58</f>
        <v>0</v>
      </c>
      <c r="S42" s="282">
        <f>'2 - Matrice finale'!R58</f>
        <v>0</v>
      </c>
      <c r="T42" s="282">
        <f>'2 - Matrice finale'!S58</f>
        <v>0</v>
      </c>
      <c r="U42" s="282">
        <f>'2 - Matrice finale'!T58</f>
        <v>0</v>
      </c>
      <c r="V42" s="282">
        <f>'2 - Matrice finale'!U58</f>
        <v>0</v>
      </c>
      <c r="W42" s="282">
        <f>'2 - Matrice finale'!V58</f>
        <v>0</v>
      </c>
      <c r="X42" s="282">
        <f>'2 - Matrice finale'!W58</f>
        <v>0</v>
      </c>
      <c r="Y42" s="282">
        <f>'2 - Matrice finale'!X58</f>
        <v>0</v>
      </c>
      <c r="Z42" s="282">
        <f>'2 - Matrice finale'!Y58</f>
        <v>0</v>
      </c>
      <c r="AA42" s="282">
        <f>'2 - Matrice finale'!Z58</f>
        <v>0</v>
      </c>
      <c r="AB42" s="464">
        <f>'2 - Matrice finale'!AA58</f>
        <v>0</v>
      </c>
    </row>
    <row r="43" spans="1:30" x14ac:dyDescent="0.25">
      <c r="A43" s="6"/>
      <c r="B43" s="6"/>
      <c r="C43" s="6"/>
      <c r="D43" s="6"/>
      <c r="E43" s="6"/>
      <c r="F43" s="6"/>
    </row>
    <row r="44" spans="1:30" x14ac:dyDescent="0.25">
      <c r="A44" s="6"/>
      <c r="B44" s="6"/>
      <c r="C44" s="6"/>
      <c r="D44" s="6"/>
      <c r="E44" s="6"/>
      <c r="F44" s="6"/>
    </row>
    <row r="45" spans="1:30" x14ac:dyDescent="0.25">
      <c r="A45" s="65"/>
      <c r="B45" s="65"/>
      <c r="C45" s="65"/>
      <c r="D45" s="63"/>
      <c r="E45" s="63"/>
    </row>
    <row r="46" spans="1:30" x14ac:dyDescent="0.25">
      <c r="A46" s="6"/>
      <c r="B46" s="6"/>
      <c r="C46" s="6"/>
      <c r="D46" s="63"/>
      <c r="E46" s="63"/>
    </row>
    <row r="47" spans="1:30" x14ac:dyDescent="0.25">
      <c r="A47" s="6"/>
      <c r="B47" s="6"/>
      <c r="C47" s="6"/>
    </row>
    <row r="48" spans="1:30" x14ac:dyDescent="0.25">
      <c r="D48" s="63"/>
      <c r="E48" s="63"/>
    </row>
  </sheetData>
  <sheetProtection formatCells="0" formatColumns="0"/>
  <mergeCells count="3">
    <mergeCell ref="A42:B42"/>
    <mergeCell ref="A37:B37"/>
    <mergeCell ref="A15:B15"/>
  </mergeCells>
  <conditionalFormatting sqref="A42">
    <cfRule type="duplicateValues" dxfId="47" priority="3"/>
  </conditionalFormatting>
  <conditionalFormatting sqref="AC36">
    <cfRule type="cellIs" dxfId="46" priority="1" operator="notEqual">
      <formula>" "</formula>
    </cfRule>
  </conditionalFormatting>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5">
    <tabColor rgb="FFFF0000"/>
  </sheetPr>
  <dimension ref="A1:M40"/>
  <sheetViews>
    <sheetView showGridLines="0" workbookViewId="0">
      <selection activeCell="B5" sqref="B5"/>
    </sheetView>
  </sheetViews>
  <sheetFormatPr baseColWidth="10" defaultColWidth="11.44140625" defaultRowHeight="13.2" x14ac:dyDescent="0.25"/>
  <cols>
    <col min="1" max="1" width="33.44140625" style="79" customWidth="1"/>
    <col min="2" max="2" width="19" style="79" bestFit="1" customWidth="1"/>
    <col min="3" max="3" width="16.88671875" style="79" customWidth="1"/>
    <col min="4" max="4" width="18" style="79" bestFit="1" customWidth="1"/>
    <col min="5" max="5" width="19.33203125" style="79" customWidth="1"/>
    <col min="6" max="6" width="16.33203125" style="79" customWidth="1"/>
    <col min="7" max="7" width="16.5546875" style="79" customWidth="1"/>
    <col min="8" max="8" width="28.109375" style="79" customWidth="1"/>
    <col min="9" max="9" width="11.44140625" style="79"/>
    <col min="10" max="10" width="18.44140625" style="79" bestFit="1" customWidth="1"/>
    <col min="11" max="11" width="11.44140625" style="79" customWidth="1"/>
    <col min="12" max="16384" width="11.44140625" style="79"/>
  </cols>
  <sheetData>
    <row r="1" spans="1:13" ht="21.75" customHeight="1" x14ac:dyDescent="0.25">
      <c r="A1" s="218" t="s">
        <v>1157</v>
      </c>
      <c r="B1" s="74"/>
      <c r="C1" s="74"/>
      <c r="D1" s="74"/>
      <c r="E1" s="75"/>
      <c r="F1" s="75"/>
      <c r="G1" s="76"/>
      <c r="H1" s="77"/>
      <c r="I1" s="78"/>
      <c r="J1" s="78"/>
      <c r="K1" s="78"/>
      <c r="L1" s="78"/>
      <c r="M1" s="78"/>
    </row>
    <row r="2" spans="1:13" x14ac:dyDescent="0.25">
      <c r="A2" s="80"/>
      <c r="B2" s="80"/>
      <c r="C2" s="80"/>
      <c r="D2" s="80"/>
      <c r="E2" s="80"/>
      <c r="F2" s="80"/>
      <c r="G2" s="81"/>
      <c r="H2" s="81"/>
      <c r="I2" s="80"/>
      <c r="J2" s="80"/>
      <c r="K2" s="80"/>
    </row>
    <row r="3" spans="1:13" ht="39.6" x14ac:dyDescent="0.25">
      <c r="A3" s="102" t="s">
        <v>1158</v>
      </c>
      <c r="B3" s="102" t="s">
        <v>1159</v>
      </c>
      <c r="C3" s="102" t="s">
        <v>1160</v>
      </c>
      <c r="D3" s="102" t="s">
        <v>1161</v>
      </c>
      <c r="G3" s="82"/>
      <c r="H3" s="82"/>
      <c r="I3" s="80"/>
      <c r="J3" s="80"/>
      <c r="K3" s="80"/>
    </row>
    <row r="4" spans="1:13" x14ac:dyDescent="0.25">
      <c r="A4" s="103" t="s">
        <v>1162</v>
      </c>
      <c r="B4" s="104"/>
      <c r="C4" s="105"/>
      <c r="D4" s="106">
        <f t="shared" ref="D4:D9" si="0">B4*C4</f>
        <v>0</v>
      </c>
      <c r="F4" s="18"/>
      <c r="G4" s="18"/>
      <c r="H4" s="18"/>
      <c r="I4" s="18"/>
      <c r="J4" s="80"/>
      <c r="K4" s="80"/>
    </row>
    <row r="5" spans="1:13" x14ac:dyDescent="0.25">
      <c r="A5" s="103" t="s">
        <v>1163</v>
      </c>
      <c r="B5" s="104"/>
      <c r="C5" s="105"/>
      <c r="D5" s="106">
        <f t="shared" si="0"/>
        <v>0</v>
      </c>
      <c r="F5" s="18"/>
      <c r="G5" s="18"/>
      <c r="H5" s="18"/>
      <c r="I5" s="18"/>
    </row>
    <row r="6" spans="1:13" x14ac:dyDescent="0.25">
      <c r="A6" s="103" t="s">
        <v>1164</v>
      </c>
      <c r="B6" s="104"/>
      <c r="C6" s="105"/>
      <c r="D6" s="106">
        <f t="shared" si="0"/>
        <v>0</v>
      </c>
      <c r="G6" s="82"/>
    </row>
    <row r="7" spans="1:13" x14ac:dyDescent="0.25">
      <c r="A7" s="103" t="s">
        <v>1165</v>
      </c>
      <c r="B7" s="104"/>
      <c r="C7" s="105"/>
      <c r="D7" s="106">
        <f t="shared" si="0"/>
        <v>0</v>
      </c>
      <c r="G7" s="82"/>
    </row>
    <row r="8" spans="1:13" x14ac:dyDescent="0.25">
      <c r="A8" s="103" t="s">
        <v>1166</v>
      </c>
      <c r="B8" s="104"/>
      <c r="C8" s="105"/>
      <c r="D8" s="106">
        <f t="shared" si="0"/>
        <v>0</v>
      </c>
      <c r="G8" s="82"/>
    </row>
    <row r="9" spans="1:13" x14ac:dyDescent="0.25">
      <c r="A9" s="103" t="s">
        <v>1167</v>
      </c>
      <c r="B9" s="104"/>
      <c r="C9" s="105"/>
      <c r="D9" s="106">
        <f t="shared" si="0"/>
        <v>0</v>
      </c>
      <c r="G9" s="82"/>
    </row>
    <row r="10" spans="1:13" x14ac:dyDescent="0.25">
      <c r="A10" s="107" t="s">
        <v>1101</v>
      </c>
      <c r="B10" s="108">
        <f>SUM(B4:B9)</f>
        <v>0</v>
      </c>
      <c r="C10" s="109" t="e">
        <f>D10/B10</f>
        <v>#DIV/0!</v>
      </c>
      <c r="D10" s="108">
        <f>SUM(D4:D9)</f>
        <v>0</v>
      </c>
      <c r="G10" s="82"/>
      <c r="H10" s="82"/>
      <c r="I10" s="80"/>
      <c r="J10" s="80"/>
      <c r="K10" s="80"/>
    </row>
    <row r="11" spans="1:13" s="78" customFormat="1" x14ac:dyDescent="0.25">
      <c r="A11" s="82"/>
      <c r="B11" s="83"/>
      <c r="C11" s="84"/>
      <c r="D11" s="83"/>
      <c r="G11" s="82"/>
      <c r="H11" s="82"/>
      <c r="I11" s="82"/>
      <c r="J11" s="82"/>
      <c r="K11" s="82"/>
    </row>
    <row r="12" spans="1:13" ht="26.4" x14ac:dyDescent="0.25">
      <c r="A12" s="102" t="s">
        <v>1168</v>
      </c>
      <c r="B12" s="102" t="s">
        <v>1169</v>
      </c>
      <c r="C12" s="102" t="s">
        <v>251</v>
      </c>
      <c r="D12" s="102" t="s">
        <v>1170</v>
      </c>
      <c r="E12" s="102" t="s">
        <v>1171</v>
      </c>
      <c r="F12" s="102" t="s">
        <v>1172</v>
      </c>
      <c r="G12" s="82"/>
      <c r="H12" s="82"/>
      <c r="I12" s="80"/>
      <c r="J12" s="80"/>
      <c r="K12" s="80"/>
    </row>
    <row r="13" spans="1:13" x14ac:dyDescent="0.25">
      <c r="A13" s="103" t="s">
        <v>1173</v>
      </c>
      <c r="B13" s="104"/>
      <c r="C13" s="110"/>
      <c r="D13" s="106">
        <f t="shared" ref="D13:D18" si="1">B13/(1+C13)</f>
        <v>0</v>
      </c>
      <c r="E13" s="111"/>
      <c r="F13" s="111"/>
      <c r="G13" s="82"/>
      <c r="H13" s="82"/>
      <c r="I13" s="80"/>
      <c r="J13" s="80"/>
      <c r="K13" s="80"/>
    </row>
    <row r="14" spans="1:13" x14ac:dyDescent="0.25">
      <c r="A14" s="103" t="s">
        <v>1174</v>
      </c>
      <c r="B14" s="104"/>
      <c r="C14" s="110"/>
      <c r="D14" s="106">
        <f t="shared" si="1"/>
        <v>0</v>
      </c>
      <c r="E14" s="111"/>
      <c r="F14" s="111"/>
      <c r="G14" s="82"/>
      <c r="H14" s="82"/>
      <c r="I14" s="80"/>
      <c r="J14" s="80"/>
      <c r="K14" s="80"/>
    </row>
    <row r="15" spans="1:13" ht="26.4" x14ac:dyDescent="0.25">
      <c r="A15" s="112" t="s">
        <v>1175</v>
      </c>
      <c r="B15" s="104"/>
      <c r="C15" s="110"/>
      <c r="D15" s="106">
        <f t="shared" si="1"/>
        <v>0</v>
      </c>
      <c r="E15" s="111"/>
      <c r="F15" s="111"/>
      <c r="G15" s="82"/>
      <c r="H15" s="82"/>
      <c r="I15" s="80"/>
      <c r="J15" s="80"/>
      <c r="K15" s="80"/>
    </row>
    <row r="16" spans="1:13" x14ac:dyDescent="0.25">
      <c r="A16" s="103" t="s">
        <v>1176</v>
      </c>
      <c r="B16" s="104"/>
      <c r="C16" s="110"/>
      <c r="D16" s="106">
        <f t="shared" si="1"/>
        <v>0</v>
      </c>
      <c r="E16" s="111"/>
      <c r="F16" s="111"/>
      <c r="G16" s="82"/>
      <c r="H16" s="82"/>
      <c r="I16" s="80"/>
      <c r="J16" s="80"/>
      <c r="K16" s="80"/>
    </row>
    <row r="17" spans="1:11" x14ac:dyDescent="0.25">
      <c r="A17" s="103" t="s">
        <v>1177</v>
      </c>
      <c r="B17" s="104"/>
      <c r="C17" s="110"/>
      <c r="D17" s="106">
        <f t="shared" si="1"/>
        <v>0</v>
      </c>
      <c r="E17" s="111"/>
      <c r="F17" s="111"/>
      <c r="G17" s="82"/>
      <c r="H17" s="82"/>
      <c r="I17" s="80"/>
      <c r="J17" s="80"/>
      <c r="K17" s="80"/>
    </row>
    <row r="18" spans="1:11" x14ac:dyDescent="0.25">
      <c r="A18" s="103" t="s">
        <v>1178</v>
      </c>
      <c r="B18" s="104"/>
      <c r="C18" s="110"/>
      <c r="D18" s="106">
        <f t="shared" si="1"/>
        <v>0</v>
      </c>
      <c r="E18" s="111"/>
      <c r="F18" s="111"/>
      <c r="G18" s="82"/>
      <c r="H18" s="82"/>
      <c r="I18" s="80"/>
      <c r="J18" s="80"/>
      <c r="K18" s="80"/>
    </row>
    <row r="19" spans="1:11" x14ac:dyDescent="0.25">
      <c r="A19" s="113" t="s">
        <v>1101</v>
      </c>
      <c r="B19" s="108">
        <f>SUM(B13:B18)</f>
        <v>0</v>
      </c>
      <c r="C19" s="114"/>
      <c r="D19" s="108">
        <f>SUM(D13:D18)</f>
        <v>0</v>
      </c>
      <c r="E19" s="108" t="e">
        <f>D19*C10</f>
        <v>#DIV/0!</v>
      </c>
      <c r="F19" s="108" t="e">
        <f>(B19-D19)*C10</f>
        <v>#DIV/0!</v>
      </c>
      <c r="G19" s="82"/>
      <c r="H19" s="82"/>
      <c r="I19" s="80"/>
      <c r="J19" s="80"/>
      <c r="K19" s="80"/>
    </row>
    <row r="20" spans="1:11" s="78" customFormat="1" x14ac:dyDescent="0.25">
      <c r="A20" s="85"/>
      <c r="B20" s="86"/>
      <c r="C20" s="86"/>
      <c r="D20" s="86"/>
      <c r="E20" s="87"/>
      <c r="F20" s="88"/>
      <c r="G20" s="82"/>
      <c r="H20" s="82"/>
      <c r="I20" s="82"/>
      <c r="J20" s="82"/>
      <c r="K20" s="82"/>
    </row>
    <row r="21" spans="1:11" s="78" customFormat="1" ht="26.4" x14ac:dyDescent="0.25">
      <c r="A21" s="115"/>
      <c r="B21" s="116" t="s">
        <v>1179</v>
      </c>
      <c r="C21" s="102" t="s">
        <v>1160</v>
      </c>
      <c r="D21" s="117" t="s">
        <v>1180</v>
      </c>
      <c r="E21" s="89"/>
      <c r="F21" s="88"/>
      <c r="G21" s="82"/>
      <c r="H21" s="82"/>
      <c r="I21" s="82"/>
      <c r="J21" s="82"/>
      <c r="K21" s="82"/>
    </row>
    <row r="22" spans="1:11" x14ac:dyDescent="0.25">
      <c r="A22" s="118" t="s">
        <v>1181</v>
      </c>
      <c r="B22" s="104"/>
      <c r="C22" s="119"/>
      <c r="D22" s="106">
        <f>B22*C22</f>
        <v>0</v>
      </c>
      <c r="E22" s="90"/>
      <c r="F22" s="88"/>
      <c r="G22" s="78"/>
      <c r="H22" s="91"/>
      <c r="I22" s="80"/>
      <c r="J22" s="80"/>
      <c r="K22" s="80"/>
    </row>
    <row r="23" spans="1:11" s="78" customFormat="1" x14ac:dyDescent="0.25">
      <c r="A23" s="92"/>
      <c r="B23" s="93"/>
      <c r="C23" s="94"/>
      <c r="D23" s="93"/>
      <c r="E23" s="90"/>
      <c r="F23" s="88"/>
      <c r="H23" s="91"/>
      <c r="I23" s="82"/>
      <c r="J23" s="82"/>
      <c r="K23" s="82"/>
    </row>
    <row r="24" spans="1:11" s="78" customFormat="1" x14ac:dyDescent="0.25">
      <c r="A24" s="219" t="s">
        <v>1182</v>
      </c>
      <c r="B24" s="122" t="e">
        <f>D10+E19+D22</f>
        <v>#DIV/0!</v>
      </c>
      <c r="D24" s="82"/>
      <c r="E24" s="95"/>
      <c r="F24" s="96"/>
      <c r="G24" s="97"/>
      <c r="H24" s="82"/>
      <c r="I24" s="82"/>
      <c r="J24" s="82"/>
      <c r="K24" s="82"/>
    </row>
    <row r="25" spans="1:11" ht="13.8" x14ac:dyDescent="0.25">
      <c r="A25" s="220" t="s">
        <v>1183</v>
      </c>
      <c r="B25" s="123" t="e">
        <f>F19</f>
        <v>#DIV/0!</v>
      </c>
      <c r="C25" s="98"/>
    </row>
    <row r="26" spans="1:11" x14ac:dyDescent="0.25">
      <c r="A26" s="219" t="s">
        <v>1184</v>
      </c>
      <c r="B26" s="122" t="e">
        <f>B24+B25</f>
        <v>#DIV/0!</v>
      </c>
      <c r="C26" s="97"/>
    </row>
    <row r="27" spans="1:11" x14ac:dyDescent="0.25">
      <c r="A27" s="120" t="s">
        <v>1185</v>
      </c>
      <c r="B27" s="121" t="e">
        <f>B25/B24</f>
        <v>#DIV/0!</v>
      </c>
      <c r="C27" s="97"/>
    </row>
    <row r="28" spans="1:11" ht="18" customHeight="1" x14ac:dyDescent="0.25"/>
    <row r="29" spans="1:11" ht="18" customHeight="1" x14ac:dyDescent="0.25"/>
    <row r="30" spans="1:11" ht="18" customHeight="1" x14ac:dyDescent="0.25"/>
    <row r="31" spans="1:11" ht="18" customHeight="1" x14ac:dyDescent="0.25"/>
    <row r="32" spans="1:11" ht="18" customHeight="1" x14ac:dyDescent="0.25"/>
    <row r="33" spans="1:11" ht="18" customHeight="1" x14ac:dyDescent="0.25"/>
    <row r="34" spans="1:11" ht="18" customHeight="1" x14ac:dyDescent="0.25">
      <c r="J34" s="80"/>
      <c r="K34" s="80"/>
    </row>
    <row r="35" spans="1:11" x14ac:dyDescent="0.25">
      <c r="J35" s="99"/>
      <c r="K35" s="99"/>
    </row>
    <row r="36" spans="1:11" x14ac:dyDescent="0.25">
      <c r="J36" s="99"/>
      <c r="K36" s="99"/>
    </row>
    <row r="37" spans="1:11" x14ac:dyDescent="0.25">
      <c r="A37" s="99"/>
      <c r="B37" s="99"/>
      <c r="D37" s="99"/>
      <c r="E37" s="100"/>
      <c r="F37" s="101"/>
      <c r="G37" s="99"/>
      <c r="H37" s="99"/>
      <c r="I37" s="99"/>
      <c r="J37" s="99"/>
      <c r="K37" s="99"/>
    </row>
    <row r="40" spans="1:11" x14ac:dyDescent="0.25">
      <c r="C40" s="99"/>
    </row>
  </sheetData>
  <pageMargins left="0.7" right="0.7" top="0.75" bottom="0.75" header="0.3" footer="0.3"/>
  <pageSetup paperSize="9" orientation="portrait" horizontalDpi="0"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3">
    <tabColor rgb="FFFF0000"/>
  </sheetPr>
  <dimension ref="A1:AM30"/>
  <sheetViews>
    <sheetView showGridLines="0" topLeftCell="P1" zoomScaleNormal="100" workbookViewId="0">
      <selection activeCell="AG6" sqref="AG6"/>
    </sheetView>
  </sheetViews>
  <sheetFormatPr baseColWidth="10" defaultColWidth="11.44140625" defaultRowHeight="13.2" x14ac:dyDescent="0.25"/>
  <cols>
    <col min="1" max="1" width="14.5546875" style="125" customWidth="1"/>
    <col min="2" max="2" width="7.6640625" style="125" customWidth="1"/>
    <col min="3" max="3" width="10.44140625" style="125" customWidth="1"/>
    <col min="4" max="5" width="10.88671875" style="125" customWidth="1"/>
    <col min="6" max="6" width="15" style="126" customWidth="1"/>
    <col min="7" max="9" width="10" style="126" customWidth="1"/>
    <col min="10" max="12" width="12.44140625" style="125" customWidth="1"/>
    <col min="13" max="13" width="13.33203125" style="125" customWidth="1"/>
    <col min="14" max="14" width="18.88671875" style="125" customWidth="1"/>
    <col min="15" max="17" width="12" style="125" customWidth="1"/>
    <col min="18" max="19" width="12.88671875" style="125" customWidth="1"/>
    <col min="20" max="23" width="16.109375" style="125" customWidth="1"/>
    <col min="24" max="24" width="12.88671875" style="125" customWidth="1"/>
    <col min="25" max="34" width="14.33203125" style="125" customWidth="1"/>
    <col min="35" max="35" width="26.44140625" style="125" customWidth="1"/>
    <col min="36" max="36" width="22.44140625" style="126" customWidth="1"/>
    <col min="37" max="41" width="14.33203125" style="125" customWidth="1"/>
    <col min="42" max="16384" width="11.44140625" style="125"/>
  </cols>
  <sheetData>
    <row r="1" spans="1:39" ht="21" x14ac:dyDescent="0.25">
      <c r="A1" s="128" t="s">
        <v>1186</v>
      </c>
      <c r="B1" s="128"/>
      <c r="C1" s="128"/>
      <c r="D1" s="128"/>
      <c r="E1" s="128"/>
      <c r="F1" s="128"/>
      <c r="G1" s="128"/>
      <c r="H1" s="128"/>
      <c r="I1" s="128"/>
      <c r="J1" s="128"/>
      <c r="K1" s="128"/>
      <c r="L1" s="128"/>
      <c r="M1" s="128"/>
      <c r="N1" s="124"/>
      <c r="O1" s="1"/>
      <c r="P1" s="1"/>
      <c r="Q1" s="1"/>
      <c r="R1" s="1"/>
      <c r="S1" s="1"/>
      <c r="T1" s="1"/>
    </row>
    <row r="3" spans="1:39" x14ac:dyDescent="0.25">
      <c r="E3" s="286" t="s">
        <v>1187</v>
      </c>
      <c r="F3" s="410" t="s">
        <v>1188</v>
      </c>
    </row>
    <row r="5" spans="1:39" ht="52.8" x14ac:dyDescent="0.25">
      <c r="A5" s="131" t="s">
        <v>1056</v>
      </c>
      <c r="B5" s="50" t="s">
        <v>1189</v>
      </c>
      <c r="C5" s="50" t="s">
        <v>1190</v>
      </c>
      <c r="D5" s="50" t="s">
        <v>1191</v>
      </c>
      <c r="E5" s="50" t="s">
        <v>1192</v>
      </c>
      <c r="F5" s="50" t="s">
        <v>1193</v>
      </c>
      <c r="G5" s="50" t="s">
        <v>1194</v>
      </c>
      <c r="H5" s="50" t="s">
        <v>1195</v>
      </c>
      <c r="I5" s="50" t="s">
        <v>1196</v>
      </c>
      <c r="J5" s="50" t="s">
        <v>1197</v>
      </c>
      <c r="K5" s="50" t="s">
        <v>1198</v>
      </c>
      <c r="L5" s="299" t="s">
        <v>1059</v>
      </c>
      <c r="M5" s="299" t="s">
        <v>1076</v>
      </c>
      <c r="N5" s="50" t="s">
        <v>1077</v>
      </c>
      <c r="O5" s="132" t="s">
        <v>251</v>
      </c>
      <c r="P5" s="132" t="s">
        <v>1199</v>
      </c>
      <c r="Q5" s="132" t="s">
        <v>1200</v>
      </c>
      <c r="R5" s="132" t="s">
        <v>1201</v>
      </c>
      <c r="S5" s="132" t="s">
        <v>1202</v>
      </c>
      <c r="T5" s="133" t="s">
        <v>1203</v>
      </c>
      <c r="U5" s="133" t="s">
        <v>1204</v>
      </c>
      <c r="V5" s="132" t="s">
        <v>1205</v>
      </c>
      <c r="W5" s="132" t="s">
        <v>1206</v>
      </c>
      <c r="X5" s="132" t="s">
        <v>1207</v>
      </c>
      <c r="Y5" s="132" t="s">
        <v>1208</v>
      </c>
      <c r="Z5" s="134" t="s">
        <v>207</v>
      </c>
      <c r="AA5" s="295" t="s">
        <v>1209</v>
      </c>
      <c r="AB5" s="212" t="s">
        <v>1081</v>
      </c>
      <c r="AC5" s="212" t="s">
        <v>1210</v>
      </c>
      <c r="AD5" s="212" t="s">
        <v>1211</v>
      </c>
      <c r="AE5" s="212" t="s">
        <v>1212</v>
      </c>
      <c r="AF5" s="212" t="s">
        <v>1213</v>
      </c>
      <c r="AG5" s="212" t="s">
        <v>1084</v>
      </c>
      <c r="AH5" s="32"/>
      <c r="AI5" s="127" t="s">
        <v>1059</v>
      </c>
      <c r="AJ5" s="1" t="s">
        <v>1086</v>
      </c>
    </row>
    <row r="6" spans="1:39" s="32" customFormat="1" x14ac:dyDescent="0.25">
      <c r="A6" s="406"/>
      <c r="B6" s="407"/>
      <c r="C6" s="408"/>
      <c r="D6" s="248"/>
      <c r="E6" s="408"/>
      <c r="F6" s="408"/>
      <c r="G6" s="408"/>
      <c r="H6" s="408"/>
      <c r="I6" s="408"/>
      <c r="J6" s="409"/>
      <c r="K6" s="409"/>
      <c r="L6" s="410"/>
      <c r="M6" s="411"/>
      <c r="N6" s="412"/>
      <c r="O6" s="287">
        <f>IF(Invest[[#This Row],[Recette / Dépense]]="R",0,IF(Invest[[#This Row],[ANNEE INVESTISSEMENT]]&lt;2014,19.6%,20%))</f>
        <v>0.19600000000000001</v>
      </c>
      <c r="P6" s="288">
        <f>IF(OR(Invest[[#This Row],[Recette / Dépense]]="R",Invest[[#This Row],[Taux de TVA]]=0),0,IF(Invest[[#This Row],[ANNEE INVESTISSEMENT]]&lt;2014,15.482%,IF(Invest[[#This Row],[ANNEE INVESTISSEMENT]]=2014,15.761%,16.404%)))</f>
        <v>0.15481999999999999</v>
      </c>
      <c r="Q6" s="321" t="str">
        <f>IF(OR(AND(Invest[[#This Row],[VALEUR BRUTE (€TTC)]]=0,Invest[[#This Row],[VALEUR BRUTE (€HT)]]=0),Invest[[#This Row],[Statut des données]]=Non_incorp),"",
IF(Invest[[#This Row],[VALEUR BRUTE (€HT)]]=0,
Invest[[#This Row],[VALEUR BRUTE (€TTC)]]/(1+Invest[[#This Row],[Taux de TVA]]),Invest[VALEUR BRUTE (€HT)]))</f>
        <v/>
      </c>
      <c r="R6" s="321" t="str">
        <f>IF(OR(AND(Invest[[#This Row],[VALEUR BRUTE (€TTC)]]=0,Invest[[#This Row],[VALEUR BRUTE (€HT)]]=0),Invest[[#This Row],[Statut des données]]=Non_incorp),"",
Invest[[#This Row],[VALEUR BRUTE (€TTC)]]*Invest[[#This Row],[Taux FCTVA]]*IF(Invest[[#This Row],[Recette / Dépense]]="R",0,1))</f>
        <v/>
      </c>
      <c r="S6" s="325">
        <f>IF(duree_amort="COLLECTIVITE",Invest[[#This Row],[DURÉE D''AMORTISSEMENT COLLECTIVITE]],
IF(ISBLANK(Invest[[#This Row],[DURÉE D''AMORTISSEMENT ADEME]]),Invest[[#This Row],[DURÉE D''AMORTISSEMENT COLLECTIVITE]],Invest[[#This Row],[DURÉE D''AMORTISSEMENT ADEME]]))</f>
        <v>0</v>
      </c>
      <c r="T6" s="329" t="str">
        <f>IF(Invest[[#This Row],[ANNEE INVESTISSEMENT]]="","",(Invest[[#This Row],[ANNEE INVESTISSEMENT]])+Invest[[#This Row],[Durée d''amortissement]])</f>
        <v/>
      </c>
      <c r="U6" s="329" t="str">
        <f>IF(OR(Invest[[#This Row],[ANNEE INVESTISSEMENT]]="",Invest[[#This Row],[Montant HT]]=""),"",IF(Invest[[#This Row],[ANNEE INVESTISSEMENT]]&gt;=Annee,"non",IF(Invest[[#This Row],[Fin amortissement]]&gt;=Annee,"oui","non")))</f>
        <v/>
      </c>
      <c r="V6" s="321">
        <f>IF(Invest[[#This Row],[Amortissement en cours]]="oui",Invest[[#This Row],[Montant HT]]/Invest[[#This Row],[Durée d''amortissement]],0)</f>
        <v>0</v>
      </c>
      <c r="W6" s="321">
        <f>IF(AND(Invest[[#This Row],[Amortissement en cours]]="oui",Invest[[#This Row],[VALEUR BRUTE (€TTC)]]&gt;0),Invest[[#This Row],[VALEUR BRUTE (€TTC)]]/Invest[[#This Row],[Durée d''amortissement]],0)</f>
        <v>0</v>
      </c>
      <c r="X6" s="321">
        <f>IF(Invest[[#This Row],[Amortissement TTC]]="","",Invest[[#This Row],[Amortissement TTC]]*Invest[[#This Row],[Taux FCTVA]])</f>
        <v>0</v>
      </c>
      <c r="Y6" s="321" t="str">
        <f>IF(OR(Invest[[#This Row],[Amortissement HT]]=0,Invest[[#This Row],[Amortissement TTC]]=0),"",Invest[[#This Row],[Amortissement TTC]]-Invest[[#This Row],[Amortissement HT]])</f>
        <v/>
      </c>
      <c r="Z6" s="333" t="str">
        <f>IF(Invest[[#This Row],[TVA payée]]="","",IF(Invest[[#This Row],[TVA récupérée]]="",Invest[TVA initiale - FCTVA],Invest[[#This Row],[TVA initiale - FCTVA]]-Invest[[#This Row],[TVA récupérée]]))</f>
        <v/>
      </c>
      <c r="AA6" s="433"/>
      <c r="AB6" s="434"/>
      <c r="AC6" s="337">
        <f>IFERROR(IF(AND(Invest[[#This Row],[Recette / Dépense]]="D",Invest[[#This Row],[Avec emprunt]]="X"),Invest[[#This Row],[Amortissement HT]],"")/SUMIFS(Invest[Amortissement HT],Invest[Recette / Dépense],"D",Invest[Avec emprunt],"X"),0)</f>
        <v>0</v>
      </c>
      <c r="AD6" s="342">
        <f>IFERROR(SUMIF(Fonctionnement[Statut des données],Interet,Fonctionnement[Réalisé pour contrôle CA])*Invest[[#This Row],[Répartition des amortissements]],"")</f>
        <v>0</v>
      </c>
      <c r="AE6" s="342">
        <f>Invest[[#This Row],[Amortissement HT]]+Invest[[#This Row],[Intérêts répartis]]</f>
        <v>0</v>
      </c>
      <c r="AF6" s="343" t="str">
        <f>IF(Invest[[#This Row],[TVA payée]]="","",Invest[[#This Row],[TVA payée]]-Invest[[#This Row],[FCTVA Annualisé]])</f>
        <v/>
      </c>
      <c r="AG6" s="342">
        <f>IF(OR(Invest[[#This Row],[TVA payée]]=0,Invest[[#This Row],[Coefficient de déduction]]=""),0,
Invest[[#This Row],[Coefficient de déduction]]*Invest[[#This Row],[TVA initiale - FCTVA]])</f>
        <v>0</v>
      </c>
      <c r="AH6" s="125"/>
      <c r="AI6" s="27"/>
      <c r="AJ6" s="28"/>
      <c r="AK6" s="28"/>
      <c r="AL6" s="28"/>
      <c r="AM6" s="28"/>
    </row>
    <row r="7" spans="1:39" x14ac:dyDescent="0.25">
      <c r="A7" s="413"/>
      <c r="B7" s="414"/>
      <c r="C7" s="415"/>
      <c r="D7" s="416"/>
      <c r="E7" s="408"/>
      <c r="F7" s="408"/>
      <c r="G7" s="408"/>
      <c r="H7" s="408"/>
      <c r="I7" s="408"/>
      <c r="J7" s="409"/>
      <c r="K7" s="409"/>
      <c r="L7" s="410"/>
      <c r="M7" s="411"/>
      <c r="N7" s="297"/>
      <c r="O7" s="289">
        <f>IF(Invest[[#This Row],[Recette / Dépense]]="R",0,IF(Invest[[#This Row],[ANNEE INVESTISSEMENT]]&lt;2014,19.6%,20%))</f>
        <v>0.19600000000000001</v>
      </c>
      <c r="P7" s="290">
        <f>IF(OR(Invest[[#This Row],[Recette / Dépense]]="R",Invest[[#This Row],[Taux de TVA]]=0),0,IF(Invest[[#This Row],[ANNEE INVESTISSEMENT]]&lt;2014,15.482%,IF(Invest[[#This Row],[ANNEE INVESTISSEMENT]]=2014,15.761%,16.404%)))</f>
        <v>0.15481999999999999</v>
      </c>
      <c r="Q7" s="322" t="str">
        <f>IF(OR(AND(Invest[[#This Row],[VALEUR BRUTE (€TTC)]]=0,Invest[[#This Row],[VALEUR BRUTE (€HT)]]=0),Invest[[#This Row],[Statut des données]]=Non_incorp),"",
IF(Invest[[#This Row],[VALEUR BRUTE (€HT)]]=0,
Invest[[#This Row],[VALEUR BRUTE (€TTC)]]/(1+Invest[[#This Row],[Taux de TVA]]),Invest[VALEUR BRUTE (€HT)]))</f>
        <v/>
      </c>
      <c r="R7" s="322" t="str">
        <f>IF(OR(AND(Invest[[#This Row],[VALEUR BRUTE (€TTC)]]=0,Invest[[#This Row],[VALEUR BRUTE (€HT)]]=0),Invest[[#This Row],[Statut des données]]=Non_incorp),"",
Invest[[#This Row],[VALEUR BRUTE (€TTC)]]*Invest[[#This Row],[Taux FCTVA]]*IF(Invest[[#This Row],[Recette / Dépense]]="R",0,1))</f>
        <v/>
      </c>
      <c r="S7" s="326">
        <f>IF(duree_amort="COLLECTIVITE",Invest[[#This Row],[DURÉE D''AMORTISSEMENT COLLECTIVITE]],
IF(ISBLANK(Invest[[#This Row],[DURÉE D''AMORTISSEMENT ADEME]]),Invest[[#This Row],[DURÉE D''AMORTISSEMENT COLLECTIVITE]],Invest[[#This Row],[DURÉE D''AMORTISSEMENT ADEME]]))</f>
        <v>0</v>
      </c>
      <c r="T7" s="330" t="str">
        <f>IF(Invest[[#This Row],[ANNEE INVESTISSEMENT]]="","",(Invest[[#This Row],[ANNEE INVESTISSEMENT]])+Invest[[#This Row],[Durée d''amortissement]])</f>
        <v/>
      </c>
      <c r="U7" s="330" t="str">
        <f>IF(OR(Invest[[#This Row],[ANNEE INVESTISSEMENT]]="",Invest[[#This Row],[Montant HT]]=""),"",IF(Invest[[#This Row],[ANNEE INVESTISSEMENT]]&gt;=Annee,"non",IF(Invest[[#This Row],[Fin amortissement]]&gt;=Annee,"oui","non")))</f>
        <v/>
      </c>
      <c r="V7" s="322">
        <f>IF(Invest[[#This Row],[Amortissement en cours]]="oui",Invest[[#This Row],[Montant HT]]/Invest[[#This Row],[Durée d''amortissement]],0)</f>
        <v>0</v>
      </c>
      <c r="W7" s="322">
        <f>IF(AND(Invest[[#This Row],[Amortissement en cours]]="oui",Invest[[#This Row],[VALEUR BRUTE (€TTC)]]&gt;0),Invest[[#This Row],[VALEUR BRUTE (€TTC)]]/Invest[[#This Row],[Durée d''amortissement]],0)</f>
        <v>0</v>
      </c>
      <c r="X7" s="322">
        <f>IF(Invest[[#This Row],[Amortissement TTC]]="","",Invest[[#This Row],[Amortissement TTC]]*Invest[[#This Row],[Taux FCTVA]])</f>
        <v>0</v>
      </c>
      <c r="Y7" s="322" t="str">
        <f>IF(OR(Invest[[#This Row],[Amortissement HT]]=0,Invest[[#This Row],[Amortissement TTC]]=0),"",Invest[[#This Row],[Amortissement TTC]]-Invest[[#This Row],[Amortissement HT]])</f>
        <v/>
      </c>
      <c r="Z7" s="334" t="str">
        <f>IF(Invest[[#This Row],[TVA payée]]="","",IF(Invest[[#This Row],[TVA récupérée]]="",Invest[TVA initiale - FCTVA],Invest[[#This Row],[TVA initiale - FCTVA]]-Invest[[#This Row],[TVA récupérée]]))</f>
        <v/>
      </c>
      <c r="AA7" s="433"/>
      <c r="AB7" s="435"/>
      <c r="AC7" s="338">
        <f>IFERROR(IF(AND(Invest[[#This Row],[Recette / Dépense]]="D",Invest[[#This Row],[Avec emprunt]]="X"),Invest[[#This Row],[Amortissement HT]],"")/SUMIFS(Invest[Amortissement HT],Invest[Recette / Dépense],"D",Invest[Avec emprunt],"X"),0)</f>
        <v>0</v>
      </c>
      <c r="AD7" s="344">
        <f>IFERROR(SUMIF(Fonctionnement[Statut des données],Interet,Fonctionnement[Réalisé pour contrôle CA])*Invest[[#This Row],[Répartition des amortissements]],"")</f>
        <v>0</v>
      </c>
      <c r="AE7" s="344">
        <f>Invest[[#This Row],[Amortissement HT]]+Invest[[#This Row],[Intérêts répartis]]</f>
        <v>0</v>
      </c>
      <c r="AF7" s="344" t="str">
        <f>IF(Invest[[#This Row],[TVA payée]]="","",Invest[[#This Row],[TVA payée]]-Invest[[#This Row],[FCTVA Annualisé]])</f>
        <v/>
      </c>
      <c r="AG7" s="345">
        <f>IF(OR(Invest[[#This Row],[TVA payée]]=0,Invest[[#This Row],[Coefficient de déduction]]=""),0,
Invest[[#This Row],[Coefficient de déduction]]*Invest[[#This Row],[TVA initiale - FCTVA]])</f>
        <v>0</v>
      </c>
      <c r="AI7" s="127" t="s">
        <v>1214</v>
      </c>
      <c r="AJ7" s="127" t="s">
        <v>1087</v>
      </c>
      <c r="AK7" s="28"/>
      <c r="AL7" s="28"/>
      <c r="AM7" s="28"/>
    </row>
    <row r="8" spans="1:39" x14ac:dyDescent="0.25">
      <c r="A8" s="413"/>
      <c r="B8" s="414"/>
      <c r="C8" s="415"/>
      <c r="D8" s="416"/>
      <c r="E8" s="408"/>
      <c r="F8" s="408"/>
      <c r="G8" s="408"/>
      <c r="H8" s="408"/>
      <c r="I8" s="408"/>
      <c r="J8" s="409"/>
      <c r="K8" s="409"/>
      <c r="L8" s="410"/>
      <c r="M8" s="411"/>
      <c r="N8" s="297"/>
      <c r="O8" s="289">
        <f>IF(Invest[[#This Row],[Recette / Dépense]]="R",0,IF(Invest[[#This Row],[ANNEE INVESTISSEMENT]]&lt;2014,19.6%,20%))</f>
        <v>0.19600000000000001</v>
      </c>
      <c r="P8" s="290">
        <f>IF(OR(Invest[[#This Row],[Recette / Dépense]]="R",Invest[[#This Row],[Taux de TVA]]=0),0,IF(Invest[[#This Row],[ANNEE INVESTISSEMENT]]&lt;2014,15.482%,IF(Invest[[#This Row],[ANNEE INVESTISSEMENT]]=2014,15.761%,16.404%)))</f>
        <v>0.15481999999999999</v>
      </c>
      <c r="Q8" s="322" t="str">
        <f>IF(OR(AND(Invest[[#This Row],[VALEUR BRUTE (€TTC)]]=0,Invest[[#This Row],[VALEUR BRUTE (€HT)]]=0),Invest[[#This Row],[Statut des données]]=Non_incorp),"",
IF(Invest[[#This Row],[VALEUR BRUTE (€HT)]]=0,
Invest[[#This Row],[VALEUR BRUTE (€TTC)]]/(1+Invest[[#This Row],[Taux de TVA]]),Invest[VALEUR BRUTE (€HT)]))</f>
        <v/>
      </c>
      <c r="R8" s="322" t="str">
        <f>IF(OR(AND(Invest[[#This Row],[VALEUR BRUTE (€TTC)]]=0,Invest[[#This Row],[VALEUR BRUTE (€HT)]]=0),Invest[[#This Row],[Statut des données]]=Non_incorp),"",
Invest[[#This Row],[VALEUR BRUTE (€TTC)]]*Invest[[#This Row],[Taux FCTVA]]*IF(Invest[[#This Row],[Recette / Dépense]]="R",0,1))</f>
        <v/>
      </c>
      <c r="S8" s="326">
        <f>IF(duree_amort="COLLECTIVITE",Invest[[#This Row],[DURÉE D''AMORTISSEMENT COLLECTIVITE]],
IF(ISBLANK(Invest[[#This Row],[DURÉE D''AMORTISSEMENT ADEME]]),Invest[[#This Row],[DURÉE D''AMORTISSEMENT COLLECTIVITE]],Invest[[#This Row],[DURÉE D''AMORTISSEMENT ADEME]]))</f>
        <v>0</v>
      </c>
      <c r="T8" s="330" t="str">
        <f>IF(Invest[[#This Row],[ANNEE INVESTISSEMENT]]="","",(Invest[[#This Row],[ANNEE INVESTISSEMENT]])+Invest[[#This Row],[Durée d''amortissement]])</f>
        <v/>
      </c>
      <c r="U8" s="330" t="str">
        <f>IF(OR(Invest[[#This Row],[ANNEE INVESTISSEMENT]]="",Invest[[#This Row],[Montant HT]]=""),"",IF(Invest[[#This Row],[ANNEE INVESTISSEMENT]]&gt;=Annee,"non",IF(Invest[[#This Row],[Fin amortissement]]&gt;=Annee,"oui","non")))</f>
        <v/>
      </c>
      <c r="V8" s="322">
        <f>IF(Invest[[#This Row],[Amortissement en cours]]="oui",Invest[[#This Row],[Montant HT]]/Invest[[#This Row],[Durée d''amortissement]],0)</f>
        <v>0</v>
      </c>
      <c r="W8" s="322">
        <f>IF(AND(Invest[[#This Row],[Amortissement en cours]]="oui",Invest[[#This Row],[VALEUR BRUTE (€TTC)]]&gt;0),Invest[[#This Row],[VALEUR BRUTE (€TTC)]]/Invest[[#This Row],[Durée d''amortissement]],0)</f>
        <v>0</v>
      </c>
      <c r="X8" s="322">
        <f>IF(Invest[[#This Row],[Amortissement TTC]]="","",Invest[[#This Row],[Amortissement TTC]]*Invest[[#This Row],[Taux FCTVA]])</f>
        <v>0</v>
      </c>
      <c r="Y8" s="322" t="str">
        <f>IF(OR(Invest[[#This Row],[Amortissement HT]]=0,Invest[[#This Row],[Amortissement TTC]]=0),"",Invest[[#This Row],[Amortissement TTC]]-Invest[[#This Row],[Amortissement HT]])</f>
        <v/>
      </c>
      <c r="Z8" s="334" t="str">
        <f>IF(Invest[[#This Row],[TVA payée]]="","",IF(Invest[[#This Row],[TVA récupérée]]="",Invest[TVA initiale - FCTVA],Invest[[#This Row],[TVA initiale - FCTVA]]-Invest[[#This Row],[TVA récupérée]]))</f>
        <v/>
      </c>
      <c r="AA8" s="433"/>
      <c r="AB8" s="435"/>
      <c r="AC8" s="338">
        <f>IFERROR(IF(AND(Invest[[#This Row],[Recette / Dépense]]="D",Invest[[#This Row],[Avec emprunt]]="X"),Invest[[#This Row],[Amortissement HT]],"")/SUMIFS(Invest[Amortissement HT],Invest[Recette / Dépense],"D",Invest[Avec emprunt],"X"),0)</f>
        <v>0</v>
      </c>
      <c r="AD8" s="344">
        <f>IFERROR(SUMIF(Fonctionnement[Statut des données],Interet,Fonctionnement[Réalisé pour contrôle CA])*Invest[[#This Row],[Répartition des amortissements]],"")</f>
        <v>0</v>
      </c>
      <c r="AE8" s="344">
        <f>Invest[[#This Row],[Amortissement HT]]+Invest[[#This Row],[Intérêts répartis]]</f>
        <v>0</v>
      </c>
      <c r="AF8" s="344" t="str">
        <f>IF(Invest[[#This Row],[TVA payée]]="","",Invest[[#This Row],[TVA payée]]-Invest[[#This Row],[FCTVA Annualisé]])</f>
        <v/>
      </c>
      <c r="AG8" s="345">
        <f>IF(OR(Invest[[#This Row],[TVA payée]]=0,Invest[[#This Row],[Coefficient de déduction]]=""),0,
Invest[[#This Row],[Coefficient de déduction]]*Invest[[#This Row],[TVA initiale - FCTVA]])</f>
        <v>0</v>
      </c>
      <c r="AI8" s="127" t="s">
        <v>1090</v>
      </c>
      <c r="AJ8" s="1" t="s">
        <v>1086</v>
      </c>
      <c r="AK8" s="1"/>
      <c r="AL8" s="1"/>
      <c r="AM8" s="1"/>
    </row>
    <row r="9" spans="1:39" x14ac:dyDescent="0.25">
      <c r="A9" s="413"/>
      <c r="B9" s="414"/>
      <c r="C9" s="415"/>
      <c r="D9" s="416"/>
      <c r="E9" s="408"/>
      <c r="F9" s="408"/>
      <c r="G9" s="408"/>
      <c r="H9" s="408"/>
      <c r="I9" s="408"/>
      <c r="J9" s="409"/>
      <c r="K9" s="409"/>
      <c r="L9" s="410"/>
      <c r="M9" s="411"/>
      <c r="N9" s="297"/>
      <c r="O9" s="289">
        <f>IF(Invest[[#This Row],[Recette / Dépense]]="R",0,IF(Invest[[#This Row],[ANNEE INVESTISSEMENT]]&lt;2014,19.6%,20%))</f>
        <v>0.19600000000000001</v>
      </c>
      <c r="P9" s="290">
        <f>IF(OR(Invest[[#This Row],[Recette / Dépense]]="R",Invest[[#This Row],[Taux de TVA]]=0),0,IF(Invest[[#This Row],[ANNEE INVESTISSEMENT]]&lt;2014,15.482%,IF(Invest[[#This Row],[ANNEE INVESTISSEMENT]]=2014,15.761%,16.404%)))</f>
        <v>0.15481999999999999</v>
      </c>
      <c r="Q9" s="322" t="str">
        <f>IF(OR(AND(Invest[[#This Row],[VALEUR BRUTE (€TTC)]]=0,Invest[[#This Row],[VALEUR BRUTE (€HT)]]=0),Invest[[#This Row],[Statut des données]]=Non_incorp),"",
IF(Invest[[#This Row],[VALEUR BRUTE (€HT)]]=0,
Invest[[#This Row],[VALEUR BRUTE (€TTC)]]/(1+Invest[[#This Row],[Taux de TVA]]),Invest[VALEUR BRUTE (€HT)]))</f>
        <v/>
      </c>
      <c r="R9" s="322" t="str">
        <f>IF(OR(AND(Invest[[#This Row],[VALEUR BRUTE (€TTC)]]=0,Invest[[#This Row],[VALEUR BRUTE (€HT)]]=0),Invest[[#This Row],[Statut des données]]=Non_incorp),"",
Invest[[#This Row],[VALEUR BRUTE (€TTC)]]*Invest[[#This Row],[Taux FCTVA]]*IF(Invest[[#This Row],[Recette / Dépense]]="R",0,1))</f>
        <v/>
      </c>
      <c r="S9" s="326">
        <f>IF(duree_amort="COLLECTIVITE",Invest[[#This Row],[DURÉE D''AMORTISSEMENT COLLECTIVITE]],
IF(ISBLANK(Invest[[#This Row],[DURÉE D''AMORTISSEMENT ADEME]]),Invest[[#This Row],[DURÉE D''AMORTISSEMENT COLLECTIVITE]],Invest[[#This Row],[DURÉE D''AMORTISSEMENT ADEME]]))</f>
        <v>0</v>
      </c>
      <c r="T9" s="330" t="str">
        <f>IF(Invest[[#This Row],[ANNEE INVESTISSEMENT]]="","",(Invest[[#This Row],[ANNEE INVESTISSEMENT]])+Invest[[#This Row],[Durée d''amortissement]])</f>
        <v/>
      </c>
      <c r="U9" s="330" t="str">
        <f>IF(OR(Invest[[#This Row],[ANNEE INVESTISSEMENT]]="",Invest[[#This Row],[Montant HT]]=""),"",IF(Invest[[#This Row],[ANNEE INVESTISSEMENT]]&gt;=Annee,"non",IF(Invest[[#This Row],[Fin amortissement]]&gt;=Annee,"oui","non")))</f>
        <v/>
      </c>
      <c r="V9" s="322">
        <f>IF(Invest[[#This Row],[Amortissement en cours]]="oui",Invest[[#This Row],[Montant HT]]/Invest[[#This Row],[Durée d''amortissement]],0)</f>
        <v>0</v>
      </c>
      <c r="W9" s="322">
        <f>IF(AND(Invest[[#This Row],[Amortissement en cours]]="oui",Invest[[#This Row],[VALEUR BRUTE (€TTC)]]&gt;0),Invest[[#This Row],[VALEUR BRUTE (€TTC)]]/Invest[[#This Row],[Durée d''amortissement]],0)</f>
        <v>0</v>
      </c>
      <c r="X9" s="322">
        <f>IF(Invest[[#This Row],[Amortissement TTC]]="","",Invest[[#This Row],[Amortissement TTC]]*Invest[[#This Row],[Taux FCTVA]])</f>
        <v>0</v>
      </c>
      <c r="Y9" s="322" t="str">
        <f>IF(OR(Invest[[#This Row],[Amortissement HT]]=0,Invest[[#This Row],[Amortissement TTC]]=0),"",Invest[[#This Row],[Amortissement TTC]]-Invest[[#This Row],[Amortissement HT]])</f>
        <v/>
      </c>
      <c r="Z9" s="334" t="str">
        <f>IF(Invest[[#This Row],[TVA payée]]="","",IF(Invest[[#This Row],[TVA récupérée]]="",Invest[TVA initiale - FCTVA],Invest[[#This Row],[TVA initiale - FCTVA]]-Invest[[#This Row],[TVA récupérée]]))</f>
        <v/>
      </c>
      <c r="AA9" s="433"/>
      <c r="AB9" s="435"/>
      <c r="AC9" s="338">
        <f>IFERROR(IF(AND(Invest[[#This Row],[Recette / Dépense]]="D",Invest[[#This Row],[Avec emprunt]]="X"),Invest[[#This Row],[Amortissement HT]],"")/SUMIFS(Invest[Amortissement HT],Invest[Recette / Dépense],"D",Invest[Avec emprunt],"X"),0)</f>
        <v>0</v>
      </c>
      <c r="AD9" s="344">
        <f>IFERROR(SUMIF(Fonctionnement[Statut des données],Interet,Fonctionnement[Réalisé pour contrôle CA])*Invest[[#This Row],[Répartition des amortissements]],"")</f>
        <v>0</v>
      </c>
      <c r="AE9" s="344">
        <f>Invest[[#This Row],[Amortissement HT]]+Invest[[#This Row],[Intérêts répartis]]</f>
        <v>0</v>
      </c>
      <c r="AF9" s="344" t="str">
        <f>IF(Invest[[#This Row],[TVA payée]]="","",Invest[[#This Row],[TVA payée]]-Invest[[#This Row],[FCTVA Annualisé]])</f>
        <v/>
      </c>
      <c r="AG9" s="345">
        <f>IF(OR(Invest[[#This Row],[TVA payée]]=0,Invest[[#This Row],[Coefficient de déduction]]=""),0,
Invest[[#This Row],[Coefficient de déduction]]*Invest[[#This Row],[TVA initiale - FCTVA]])</f>
        <v>0</v>
      </c>
      <c r="AI9" s="36" t="s">
        <v>1086</v>
      </c>
      <c r="AJ9" s="217">
        <v>0</v>
      </c>
      <c r="AK9" s="1"/>
      <c r="AL9" s="1"/>
      <c r="AM9" s="1"/>
    </row>
    <row r="10" spans="1:39" x14ac:dyDescent="0.25">
      <c r="A10" s="413"/>
      <c r="B10" s="414"/>
      <c r="C10" s="415"/>
      <c r="D10" s="416"/>
      <c r="E10" s="408"/>
      <c r="F10" s="408"/>
      <c r="G10" s="408"/>
      <c r="H10" s="408"/>
      <c r="I10" s="408"/>
      <c r="J10" s="409"/>
      <c r="K10" s="409"/>
      <c r="L10" s="410"/>
      <c r="M10" s="411"/>
      <c r="N10" s="297"/>
      <c r="O10" s="289">
        <f>IF(Invest[[#This Row],[Recette / Dépense]]="R",0,IF(Invest[[#This Row],[ANNEE INVESTISSEMENT]]&lt;2014,19.6%,20%))</f>
        <v>0.19600000000000001</v>
      </c>
      <c r="P10" s="290">
        <f>IF(OR(Invest[[#This Row],[Recette / Dépense]]="R",Invest[[#This Row],[Taux de TVA]]=0),0,IF(Invest[[#This Row],[ANNEE INVESTISSEMENT]]&lt;2014,15.482%,IF(Invest[[#This Row],[ANNEE INVESTISSEMENT]]=2014,15.761%,16.404%)))</f>
        <v>0.15481999999999999</v>
      </c>
      <c r="Q10" s="322" t="str">
        <f>IF(OR(AND(Invest[[#This Row],[VALEUR BRUTE (€TTC)]]=0,Invest[[#This Row],[VALEUR BRUTE (€HT)]]=0),Invest[[#This Row],[Statut des données]]=Non_incorp),"",
IF(Invest[[#This Row],[VALEUR BRUTE (€HT)]]=0,
Invest[[#This Row],[VALEUR BRUTE (€TTC)]]/(1+Invest[[#This Row],[Taux de TVA]]),Invest[VALEUR BRUTE (€HT)]))</f>
        <v/>
      </c>
      <c r="R10" s="322" t="str">
        <f>IF(OR(AND(Invest[[#This Row],[VALEUR BRUTE (€TTC)]]=0,Invest[[#This Row],[VALEUR BRUTE (€HT)]]=0),Invest[[#This Row],[Statut des données]]=Non_incorp),"",
Invest[[#This Row],[VALEUR BRUTE (€TTC)]]*Invest[[#This Row],[Taux FCTVA]]*IF(Invest[[#This Row],[Recette / Dépense]]="R",0,1))</f>
        <v/>
      </c>
      <c r="S10" s="326">
        <f>IF(duree_amort="COLLECTIVITE",Invest[[#This Row],[DURÉE D''AMORTISSEMENT COLLECTIVITE]],
IF(ISBLANK(Invest[[#This Row],[DURÉE D''AMORTISSEMENT ADEME]]),Invest[[#This Row],[DURÉE D''AMORTISSEMENT COLLECTIVITE]],Invest[[#This Row],[DURÉE D''AMORTISSEMENT ADEME]]))</f>
        <v>0</v>
      </c>
      <c r="T10" s="330" t="str">
        <f>IF(Invest[[#This Row],[ANNEE INVESTISSEMENT]]="","",(Invest[[#This Row],[ANNEE INVESTISSEMENT]])+Invest[[#This Row],[Durée d''amortissement]])</f>
        <v/>
      </c>
      <c r="U10" s="330" t="str">
        <f>IF(OR(Invest[[#This Row],[ANNEE INVESTISSEMENT]]="",Invest[[#This Row],[Montant HT]]=""),"",IF(Invest[[#This Row],[ANNEE INVESTISSEMENT]]&gt;=Annee,"non",IF(Invest[[#This Row],[Fin amortissement]]&gt;=Annee,"oui","non")))</f>
        <v/>
      </c>
      <c r="V10" s="322">
        <f>IF(Invest[[#This Row],[Amortissement en cours]]="oui",Invest[[#This Row],[Montant HT]]/Invest[[#This Row],[Durée d''amortissement]],0)</f>
        <v>0</v>
      </c>
      <c r="W10" s="322">
        <f>IF(AND(Invest[[#This Row],[Amortissement en cours]]="oui",Invest[[#This Row],[VALEUR BRUTE (€TTC)]]&gt;0),Invest[[#This Row],[VALEUR BRUTE (€TTC)]]/Invest[[#This Row],[Durée d''amortissement]],0)</f>
        <v>0</v>
      </c>
      <c r="X10" s="322">
        <f>IF(Invest[[#This Row],[Amortissement TTC]]="","",Invest[[#This Row],[Amortissement TTC]]*Invest[[#This Row],[Taux FCTVA]])</f>
        <v>0</v>
      </c>
      <c r="Y10" s="322" t="str">
        <f>IF(OR(Invest[[#This Row],[Amortissement HT]]=0,Invest[[#This Row],[Amortissement TTC]]=0),"",Invest[[#This Row],[Amortissement TTC]]-Invest[[#This Row],[Amortissement HT]])</f>
        <v/>
      </c>
      <c r="Z10" s="334" t="str">
        <f>IF(Invest[[#This Row],[TVA payée]]="","",IF(Invest[[#This Row],[TVA récupérée]]="",Invest[TVA initiale - FCTVA],Invest[[#This Row],[TVA initiale - FCTVA]]-Invest[[#This Row],[TVA récupérée]]))</f>
        <v/>
      </c>
      <c r="AA10" s="433"/>
      <c r="AB10" s="435"/>
      <c r="AC10" s="338">
        <f>IFERROR(IF(AND(Invest[[#This Row],[Recette / Dépense]]="D",Invest[[#This Row],[Avec emprunt]]="X"),Invest[[#This Row],[Amortissement HT]],"")/SUMIFS(Invest[Amortissement HT],Invest[Recette / Dépense],"D",Invest[Avec emprunt],"X"),0)</f>
        <v>0</v>
      </c>
      <c r="AD10" s="344">
        <f>IFERROR(SUMIF(Fonctionnement[Statut des données],Interet,Fonctionnement[Réalisé pour contrôle CA])*Invest[[#This Row],[Répartition des amortissements]],"")</f>
        <v>0</v>
      </c>
      <c r="AE10" s="344">
        <f>Invest[[#This Row],[Amortissement HT]]+Invest[[#This Row],[Intérêts répartis]]</f>
        <v>0</v>
      </c>
      <c r="AF10" s="344" t="str">
        <f>IF(Invest[[#This Row],[TVA payée]]="","",Invest[[#This Row],[TVA payée]]-Invest[[#This Row],[FCTVA Annualisé]])</f>
        <v/>
      </c>
      <c r="AG10" s="345">
        <f>IF(OR(Invest[[#This Row],[TVA payée]]=0,Invest[[#This Row],[Coefficient de déduction]]=""),0,
Invest[[#This Row],[Coefficient de déduction]]*Invest[[#This Row],[TVA initiale - FCTVA]])</f>
        <v>0</v>
      </c>
      <c r="AK10" s="1"/>
      <c r="AL10" s="1"/>
      <c r="AM10" s="1"/>
    </row>
    <row r="11" spans="1:39" x14ac:dyDescent="0.25">
      <c r="A11" s="413"/>
      <c r="B11" s="414"/>
      <c r="C11" s="415"/>
      <c r="D11" s="416"/>
      <c r="E11" s="417"/>
      <c r="F11" s="417"/>
      <c r="G11" s="417"/>
      <c r="H11" s="417"/>
      <c r="I11" s="417"/>
      <c r="J11" s="418"/>
      <c r="K11" s="418"/>
      <c r="L11" s="410"/>
      <c r="M11" s="411"/>
      <c r="N11" s="297"/>
      <c r="O11" s="289">
        <f>IF(Invest[[#This Row],[Recette / Dépense]]="R",0,IF(Invest[[#This Row],[ANNEE INVESTISSEMENT]]&lt;2014,19.6%,20%))</f>
        <v>0.19600000000000001</v>
      </c>
      <c r="P11" s="290">
        <f>IF(OR(Invest[[#This Row],[Recette / Dépense]]="R",Invest[[#This Row],[Taux de TVA]]=0),0,IF(Invest[[#This Row],[ANNEE INVESTISSEMENT]]&lt;2014,15.482%,IF(Invest[[#This Row],[ANNEE INVESTISSEMENT]]=2014,15.761%,16.404%)))</f>
        <v>0.15481999999999999</v>
      </c>
      <c r="Q11" s="322" t="str">
        <f>IF(OR(AND(Invest[[#This Row],[VALEUR BRUTE (€TTC)]]=0,Invest[[#This Row],[VALEUR BRUTE (€HT)]]=0),Invest[[#This Row],[Statut des données]]=Non_incorp),"",
IF(Invest[[#This Row],[VALEUR BRUTE (€HT)]]=0,
Invest[[#This Row],[VALEUR BRUTE (€TTC)]]/(1+Invest[[#This Row],[Taux de TVA]]),Invest[VALEUR BRUTE (€HT)]))</f>
        <v/>
      </c>
      <c r="R11" s="322" t="str">
        <f>IF(OR(AND(Invest[[#This Row],[VALEUR BRUTE (€TTC)]]=0,Invest[[#This Row],[VALEUR BRUTE (€HT)]]=0),Invest[[#This Row],[Statut des données]]=Non_incorp),"",
Invest[[#This Row],[VALEUR BRUTE (€TTC)]]*Invest[[#This Row],[Taux FCTVA]]*IF(Invest[[#This Row],[Recette / Dépense]]="R",0,1))</f>
        <v/>
      </c>
      <c r="S11" s="326">
        <f>IF(duree_amort="COLLECTIVITE",Invest[[#This Row],[DURÉE D''AMORTISSEMENT COLLECTIVITE]],
IF(ISBLANK(Invest[[#This Row],[DURÉE D''AMORTISSEMENT ADEME]]),Invest[[#This Row],[DURÉE D''AMORTISSEMENT COLLECTIVITE]],Invest[[#This Row],[DURÉE D''AMORTISSEMENT ADEME]]))</f>
        <v>0</v>
      </c>
      <c r="T11" s="330" t="str">
        <f>IF(Invest[[#This Row],[ANNEE INVESTISSEMENT]]="","",(Invest[[#This Row],[ANNEE INVESTISSEMENT]])+Invest[[#This Row],[Durée d''amortissement]])</f>
        <v/>
      </c>
      <c r="U11" s="330" t="str">
        <f>IF(OR(Invest[[#This Row],[ANNEE INVESTISSEMENT]]="",Invest[[#This Row],[Montant HT]]=""),"",IF(Invest[[#This Row],[ANNEE INVESTISSEMENT]]&gt;=Annee,"non",IF(Invest[[#This Row],[Fin amortissement]]&gt;=Annee,"oui","non")))</f>
        <v/>
      </c>
      <c r="V11" s="322">
        <f>IF(Invest[[#This Row],[Amortissement en cours]]="oui",Invest[[#This Row],[Montant HT]]/Invest[[#This Row],[Durée d''amortissement]],0)</f>
        <v>0</v>
      </c>
      <c r="W11" s="322">
        <f>IF(AND(Invest[[#This Row],[Amortissement en cours]]="oui",Invest[[#This Row],[VALEUR BRUTE (€TTC)]]&gt;0),Invest[[#This Row],[VALEUR BRUTE (€TTC)]]/Invest[[#This Row],[Durée d''amortissement]],0)</f>
        <v>0</v>
      </c>
      <c r="X11" s="322">
        <f>IF(Invest[[#This Row],[Amortissement TTC]]="","",Invest[[#This Row],[Amortissement TTC]]*Invest[[#This Row],[Taux FCTVA]])</f>
        <v>0</v>
      </c>
      <c r="Y11" s="322" t="str">
        <f>IF(OR(Invest[[#This Row],[Amortissement HT]]=0,Invest[[#This Row],[Amortissement TTC]]=0),"",Invest[[#This Row],[Amortissement TTC]]-Invest[[#This Row],[Amortissement HT]])</f>
        <v/>
      </c>
      <c r="Z11" s="334" t="str">
        <f>IF(Invest[[#This Row],[TVA payée]]="","",IF(Invest[[#This Row],[TVA récupérée]]="",Invest[TVA initiale - FCTVA],Invest[[#This Row],[TVA initiale - FCTVA]]-Invest[[#This Row],[TVA récupérée]]))</f>
        <v/>
      </c>
      <c r="AA11" s="433"/>
      <c r="AB11" s="435"/>
      <c r="AC11" s="338">
        <f>IFERROR(IF(AND(Invest[[#This Row],[Recette / Dépense]]="D",Invest[[#This Row],[Avec emprunt]]="X"),Invest[[#This Row],[Amortissement HT]],"")/SUMIFS(Invest[Amortissement HT],Invest[Recette / Dépense],"D",Invest[Avec emprunt],"X"),0)</f>
        <v>0</v>
      </c>
      <c r="AD11" s="344">
        <f>IFERROR(SUMIF(Fonctionnement[Statut des données],Interet,Fonctionnement[Réalisé pour contrôle CA])*Invest[[#This Row],[Répartition des amortissements]],"")</f>
        <v>0</v>
      </c>
      <c r="AE11" s="344">
        <f>Invest[[#This Row],[Amortissement HT]]+Invest[[#This Row],[Intérêts répartis]]</f>
        <v>0</v>
      </c>
      <c r="AF11" s="344" t="str">
        <f>IF(Invest[[#This Row],[TVA payée]]="","",Invest[[#This Row],[TVA payée]]-Invest[[#This Row],[FCTVA Annualisé]])</f>
        <v/>
      </c>
      <c r="AG11" s="345">
        <f>IF(OR(Invest[[#This Row],[TVA payée]]=0,Invest[[#This Row],[Coefficient de déduction]]=""),0,
Invest[[#This Row],[Coefficient de déduction]]*Invest[[#This Row],[TVA initiale - FCTVA]])</f>
        <v>0</v>
      </c>
      <c r="AI11" s="1"/>
      <c r="AJ11" s="1"/>
      <c r="AK11" s="1"/>
      <c r="AL11" s="1"/>
      <c r="AM11" s="1"/>
    </row>
    <row r="12" spans="1:39" x14ac:dyDescent="0.25">
      <c r="A12" s="413"/>
      <c r="B12" s="414"/>
      <c r="C12" s="415"/>
      <c r="D12" s="416"/>
      <c r="E12" s="417"/>
      <c r="F12" s="417"/>
      <c r="G12" s="417"/>
      <c r="H12" s="417"/>
      <c r="I12" s="417"/>
      <c r="J12" s="418"/>
      <c r="K12" s="418"/>
      <c r="L12" s="410"/>
      <c r="M12" s="411"/>
      <c r="N12" s="297"/>
      <c r="O12" s="289">
        <f>IF(Invest[[#This Row],[Recette / Dépense]]="R",0,IF(Invest[[#This Row],[ANNEE INVESTISSEMENT]]&lt;2014,19.6%,20%))</f>
        <v>0.19600000000000001</v>
      </c>
      <c r="P12" s="290">
        <f>IF(OR(Invest[[#This Row],[Recette / Dépense]]="R",Invest[[#This Row],[Taux de TVA]]=0),0,IF(Invest[[#This Row],[ANNEE INVESTISSEMENT]]&lt;2014,15.482%,IF(Invest[[#This Row],[ANNEE INVESTISSEMENT]]=2014,15.761%,16.404%)))</f>
        <v>0.15481999999999999</v>
      </c>
      <c r="Q12" s="322" t="str">
        <f>IF(OR(AND(Invest[[#This Row],[VALEUR BRUTE (€TTC)]]=0,Invest[[#This Row],[VALEUR BRUTE (€HT)]]=0),Invest[[#This Row],[Statut des données]]=Non_incorp),"",
IF(Invest[[#This Row],[VALEUR BRUTE (€HT)]]=0,
Invest[[#This Row],[VALEUR BRUTE (€TTC)]]/(1+Invest[[#This Row],[Taux de TVA]]),Invest[VALEUR BRUTE (€HT)]))</f>
        <v/>
      </c>
      <c r="R12" s="322" t="str">
        <f>IF(OR(AND(Invest[[#This Row],[VALEUR BRUTE (€TTC)]]=0,Invest[[#This Row],[VALEUR BRUTE (€HT)]]=0),Invest[[#This Row],[Statut des données]]=Non_incorp),"",
Invest[[#This Row],[VALEUR BRUTE (€TTC)]]*Invest[[#This Row],[Taux FCTVA]]*IF(Invest[[#This Row],[Recette / Dépense]]="R",0,1))</f>
        <v/>
      </c>
      <c r="S12" s="326">
        <f>IF(duree_amort="COLLECTIVITE",Invest[[#This Row],[DURÉE D''AMORTISSEMENT COLLECTIVITE]],
IF(ISBLANK(Invest[[#This Row],[DURÉE D''AMORTISSEMENT ADEME]]),Invest[[#This Row],[DURÉE D''AMORTISSEMENT COLLECTIVITE]],Invest[[#This Row],[DURÉE D''AMORTISSEMENT ADEME]]))</f>
        <v>0</v>
      </c>
      <c r="T12" s="330" t="str">
        <f>IF(Invest[[#This Row],[ANNEE INVESTISSEMENT]]="","",(Invest[[#This Row],[ANNEE INVESTISSEMENT]])+Invest[[#This Row],[Durée d''amortissement]])</f>
        <v/>
      </c>
      <c r="U12" s="330" t="str">
        <f>IF(OR(Invest[[#This Row],[ANNEE INVESTISSEMENT]]="",Invest[[#This Row],[Montant HT]]=""),"",IF(Invest[[#This Row],[ANNEE INVESTISSEMENT]]&gt;=Annee,"non",IF(Invest[[#This Row],[Fin amortissement]]&gt;=Annee,"oui","non")))</f>
        <v/>
      </c>
      <c r="V12" s="322">
        <f>IF(Invest[[#This Row],[Amortissement en cours]]="oui",Invest[[#This Row],[Montant HT]]/Invest[[#This Row],[Durée d''amortissement]],0)</f>
        <v>0</v>
      </c>
      <c r="W12" s="322">
        <f>IF(AND(Invest[[#This Row],[Amortissement en cours]]="oui",Invest[[#This Row],[VALEUR BRUTE (€TTC)]]&gt;0),Invest[[#This Row],[VALEUR BRUTE (€TTC)]]/Invest[[#This Row],[Durée d''amortissement]],0)</f>
        <v>0</v>
      </c>
      <c r="X12" s="322">
        <f>IF(Invest[[#This Row],[Amortissement TTC]]="","",Invest[[#This Row],[Amortissement TTC]]*Invest[[#This Row],[Taux FCTVA]])</f>
        <v>0</v>
      </c>
      <c r="Y12" s="322" t="str">
        <f>IF(OR(Invest[[#This Row],[Amortissement HT]]=0,Invest[[#This Row],[Amortissement TTC]]=0),"",Invest[[#This Row],[Amortissement TTC]]-Invest[[#This Row],[Amortissement HT]])</f>
        <v/>
      </c>
      <c r="Z12" s="334" t="str">
        <f>IF(Invest[[#This Row],[TVA payée]]="","",IF(Invest[[#This Row],[TVA récupérée]]="",Invest[TVA initiale - FCTVA],Invest[[#This Row],[TVA initiale - FCTVA]]-Invest[[#This Row],[TVA récupérée]]))</f>
        <v/>
      </c>
      <c r="AA12" s="433"/>
      <c r="AB12" s="435"/>
      <c r="AC12" s="338">
        <f>IFERROR(IF(AND(Invest[[#This Row],[Recette / Dépense]]="D",Invest[[#This Row],[Avec emprunt]]="X"),Invest[[#This Row],[Amortissement HT]],"")/SUMIFS(Invest[Amortissement HT],Invest[Recette / Dépense],"D",Invest[Avec emprunt],"X"),0)</f>
        <v>0</v>
      </c>
      <c r="AD12" s="344">
        <f>IFERROR(SUMIF(Fonctionnement[Statut des données],Interet,Fonctionnement[Réalisé pour contrôle CA])*Invest[[#This Row],[Répartition des amortissements]],"")</f>
        <v>0</v>
      </c>
      <c r="AE12" s="344">
        <f>Invest[[#This Row],[Amortissement HT]]+Invest[[#This Row],[Intérêts répartis]]</f>
        <v>0</v>
      </c>
      <c r="AF12" s="344" t="str">
        <f>IF(Invest[[#This Row],[TVA payée]]="","",Invest[[#This Row],[TVA payée]]-Invest[[#This Row],[FCTVA Annualisé]])</f>
        <v/>
      </c>
      <c r="AG12" s="345">
        <f>IF(OR(Invest[[#This Row],[TVA payée]]=0,Invest[[#This Row],[Coefficient de déduction]]=""),0,
Invest[[#This Row],[Coefficient de déduction]]*Invest[[#This Row],[TVA initiale - FCTVA]])</f>
        <v>0</v>
      </c>
      <c r="AI12" s="1"/>
      <c r="AJ12" s="1"/>
      <c r="AK12" s="1"/>
      <c r="AL12" s="1"/>
      <c r="AM12" s="1"/>
    </row>
    <row r="13" spans="1:39" x14ac:dyDescent="0.25">
      <c r="A13" s="419"/>
      <c r="B13" s="420"/>
      <c r="C13" s="421"/>
      <c r="D13" s="422"/>
      <c r="E13" s="423"/>
      <c r="F13" s="423"/>
      <c r="G13" s="423"/>
      <c r="H13" s="417"/>
      <c r="I13" s="417"/>
      <c r="J13" s="424"/>
      <c r="K13" s="424"/>
      <c r="L13" s="410"/>
      <c r="M13" s="411"/>
      <c r="N13" s="298"/>
      <c r="O13" s="291">
        <f>IF(Invest[[#This Row],[Recette / Dépense]]="R",0,IF(Invest[[#This Row],[ANNEE INVESTISSEMENT]]&lt;2014,19.6%,20%))</f>
        <v>0.19600000000000001</v>
      </c>
      <c r="P13" s="292">
        <f>IF(OR(Invest[[#This Row],[Recette / Dépense]]="R",Invest[[#This Row],[Taux de TVA]]=0),0,IF(Invest[[#This Row],[ANNEE INVESTISSEMENT]]&lt;2014,15.482%,IF(Invest[[#This Row],[ANNEE INVESTISSEMENT]]=2014,15.761%,16.404%)))</f>
        <v>0.15481999999999999</v>
      </c>
      <c r="Q13" s="323" t="str">
        <f>IF(OR(AND(Invest[[#This Row],[VALEUR BRUTE (€TTC)]]=0,Invest[[#This Row],[VALEUR BRUTE (€HT)]]=0),Invest[[#This Row],[Statut des données]]=Non_incorp),"",
IF(Invest[[#This Row],[VALEUR BRUTE (€HT)]]=0,
Invest[[#This Row],[VALEUR BRUTE (€TTC)]]/(1+Invest[[#This Row],[Taux de TVA]]),Invest[VALEUR BRUTE (€HT)]))</f>
        <v/>
      </c>
      <c r="R13" s="323" t="str">
        <f>IF(OR(AND(Invest[[#This Row],[VALEUR BRUTE (€TTC)]]=0,Invest[[#This Row],[VALEUR BRUTE (€HT)]]=0),Invest[[#This Row],[Statut des données]]=Non_incorp),"",
Invest[[#This Row],[VALEUR BRUTE (€TTC)]]*Invest[[#This Row],[Taux FCTVA]]*IF(Invest[[#This Row],[Recette / Dépense]]="R",0,1))</f>
        <v/>
      </c>
      <c r="S13" s="327">
        <f>IF(duree_amort="COLLECTIVITE",Invest[[#This Row],[DURÉE D''AMORTISSEMENT COLLECTIVITE]],
IF(ISBLANK(Invest[[#This Row],[DURÉE D''AMORTISSEMENT ADEME]]),Invest[[#This Row],[DURÉE D''AMORTISSEMENT COLLECTIVITE]],Invest[[#This Row],[DURÉE D''AMORTISSEMENT ADEME]]))</f>
        <v>0</v>
      </c>
      <c r="T13" s="331" t="str">
        <f>IF(Invest[[#This Row],[ANNEE INVESTISSEMENT]]="","",(Invest[[#This Row],[ANNEE INVESTISSEMENT]])+Invest[[#This Row],[Durée d''amortissement]])</f>
        <v/>
      </c>
      <c r="U13" s="331" t="str">
        <f>IF(OR(Invest[[#This Row],[ANNEE INVESTISSEMENT]]="",Invest[[#This Row],[Montant HT]]=""),"",IF(Invest[[#This Row],[ANNEE INVESTISSEMENT]]&gt;=Annee,"non",IF(Invest[[#This Row],[Fin amortissement]]&gt;=Annee,"oui","non")))</f>
        <v/>
      </c>
      <c r="V13" s="323">
        <f>IF(Invest[[#This Row],[Amortissement en cours]]="oui",Invest[[#This Row],[Montant HT]]/Invest[[#This Row],[Durée d''amortissement]],0)</f>
        <v>0</v>
      </c>
      <c r="W13" s="323">
        <f>IF(AND(Invest[[#This Row],[Amortissement en cours]]="oui",Invest[[#This Row],[VALEUR BRUTE (€TTC)]]&gt;0),Invest[[#This Row],[VALEUR BRUTE (€TTC)]]/Invest[[#This Row],[Durée d''amortissement]],0)</f>
        <v>0</v>
      </c>
      <c r="X13" s="323">
        <f>IF(Invest[[#This Row],[Amortissement TTC]]="","",Invest[[#This Row],[Amortissement TTC]]*Invest[[#This Row],[Taux FCTVA]])</f>
        <v>0</v>
      </c>
      <c r="Y13" s="323" t="str">
        <f>IF(OR(Invest[[#This Row],[Amortissement HT]]=0,Invest[[#This Row],[Amortissement TTC]]=0),"",Invest[[#This Row],[Amortissement TTC]]-Invest[[#This Row],[Amortissement HT]])</f>
        <v/>
      </c>
      <c r="Z13" s="335" t="str">
        <f>IF(Invest[[#This Row],[TVA payée]]="","",IF(Invest[[#This Row],[TVA récupérée]]="",Invest[TVA initiale - FCTVA],Invest[[#This Row],[TVA initiale - FCTVA]]-Invest[[#This Row],[TVA récupérée]]))</f>
        <v/>
      </c>
      <c r="AA13" s="433"/>
      <c r="AB13" s="436"/>
      <c r="AC13" s="339">
        <f>IFERROR(IF(AND(Invest[[#This Row],[Recette / Dépense]]="D",Invest[[#This Row],[Avec emprunt]]="X"),Invest[[#This Row],[Amortissement HT]],"")/SUMIFS(Invest[Amortissement HT],Invest[Recette / Dépense],"D",Invest[Avec emprunt],"X"),0)</f>
        <v>0</v>
      </c>
      <c r="AD13" s="346">
        <f>IFERROR(SUMIF(Fonctionnement[Statut des données],Interet,Fonctionnement[Réalisé pour contrôle CA])*Invest[[#This Row],[Répartition des amortissements]],"")</f>
        <v>0</v>
      </c>
      <c r="AE13" s="346">
        <f>Invest[[#This Row],[Amortissement HT]]+Invest[[#This Row],[Intérêts répartis]]</f>
        <v>0</v>
      </c>
      <c r="AF13" s="344" t="str">
        <f>IF(Invest[[#This Row],[TVA payée]]="","",Invest[[#This Row],[TVA payée]]-Invest[[#This Row],[FCTVA Annualisé]])</f>
        <v/>
      </c>
      <c r="AG13" s="347">
        <f>IF(OR(Invest[[#This Row],[TVA payée]]=0,Invest[[#This Row],[Coefficient de déduction]]=""),0,
Invest[[#This Row],[Coefficient de déduction]]*Invest[[#This Row],[TVA initiale - FCTVA]])</f>
        <v>0</v>
      </c>
      <c r="AI13" s="1"/>
      <c r="AJ13" s="1"/>
      <c r="AK13" s="1"/>
      <c r="AL13" s="1"/>
      <c r="AM13" s="1"/>
    </row>
    <row r="14" spans="1:39" x14ac:dyDescent="0.25">
      <c r="A14" s="406"/>
      <c r="B14" s="407"/>
      <c r="C14" s="408"/>
      <c r="D14" s="425"/>
      <c r="E14" s="426"/>
      <c r="F14" s="426"/>
      <c r="G14" s="426"/>
      <c r="H14" s="426"/>
      <c r="I14" s="426"/>
      <c r="J14" s="409"/>
      <c r="K14" s="409"/>
      <c r="L14" s="410"/>
      <c r="M14" s="411"/>
      <c r="N14" s="297"/>
      <c r="O14" s="287">
        <f>IF(Invest[[#This Row],[Recette / Dépense]]="R",0,IF(Invest[[#This Row],[ANNEE INVESTISSEMENT]]&lt;2014,19.6%,20%))</f>
        <v>0.19600000000000001</v>
      </c>
      <c r="P14" s="288">
        <f>IF(OR(Invest[[#This Row],[Recette / Dépense]]="R",Invest[[#This Row],[Taux de TVA]]=0),0,IF(Invest[[#This Row],[ANNEE INVESTISSEMENT]]&lt;2014,15.482%,IF(Invest[[#This Row],[ANNEE INVESTISSEMENT]]=2014,15.761%,16.404%)))</f>
        <v>0.15481999999999999</v>
      </c>
      <c r="Q14" s="321" t="str">
        <f>IF(OR(AND(Invest[[#This Row],[VALEUR BRUTE (€TTC)]]=0,Invest[[#This Row],[VALEUR BRUTE (€HT)]]=0),Invest[[#This Row],[Statut des données]]=Non_incorp),"",
IF(Invest[[#This Row],[VALEUR BRUTE (€HT)]]=0,
Invest[[#This Row],[VALEUR BRUTE (€TTC)]]/(1+Invest[[#This Row],[Taux de TVA]]),Invest[VALEUR BRUTE (€HT)]))</f>
        <v/>
      </c>
      <c r="R14" s="321" t="str">
        <f>IF(OR(AND(Invest[[#This Row],[VALEUR BRUTE (€TTC)]]=0,Invest[[#This Row],[VALEUR BRUTE (€HT)]]=0),Invest[[#This Row],[Statut des données]]=Non_incorp),"",
Invest[[#This Row],[VALEUR BRUTE (€TTC)]]*Invest[[#This Row],[Taux FCTVA]]*IF(Invest[[#This Row],[Recette / Dépense]]="R",0,1))</f>
        <v/>
      </c>
      <c r="S14" s="325">
        <f>IF(duree_amort="COLLECTIVITE",Invest[[#This Row],[DURÉE D''AMORTISSEMENT COLLECTIVITE]],
IF(ISBLANK(Invest[[#This Row],[DURÉE D''AMORTISSEMENT ADEME]]),Invest[[#This Row],[DURÉE D''AMORTISSEMENT COLLECTIVITE]],Invest[[#This Row],[DURÉE D''AMORTISSEMENT ADEME]]))</f>
        <v>0</v>
      </c>
      <c r="T14" s="329" t="str">
        <f>IF(Invest[[#This Row],[ANNEE INVESTISSEMENT]]="","",(Invest[[#This Row],[ANNEE INVESTISSEMENT]])+Invest[[#This Row],[Durée d''amortissement]])</f>
        <v/>
      </c>
      <c r="U14" s="329" t="str">
        <f>IF(OR(Invest[[#This Row],[ANNEE INVESTISSEMENT]]="",Invest[[#This Row],[Montant HT]]=""),"",IF(Invest[[#This Row],[ANNEE INVESTISSEMENT]]&gt;=Annee,"non",IF(Invest[[#This Row],[Fin amortissement]]&gt;=Annee,"oui","non")))</f>
        <v/>
      </c>
      <c r="V14" s="321">
        <f>IF(Invest[[#This Row],[Amortissement en cours]]="oui",Invest[[#This Row],[Montant HT]]/Invest[[#This Row],[Durée d''amortissement]],0)</f>
        <v>0</v>
      </c>
      <c r="W14" s="321">
        <f>IF(AND(Invest[[#This Row],[Amortissement en cours]]="oui",Invest[[#This Row],[VALEUR BRUTE (€TTC)]]&gt;0),Invest[[#This Row],[VALEUR BRUTE (€TTC)]]/Invest[[#This Row],[Durée d''amortissement]],0)</f>
        <v>0</v>
      </c>
      <c r="X14" s="321">
        <f>IF(Invest[[#This Row],[Amortissement TTC]]="","",Invest[[#This Row],[Amortissement TTC]]*Invest[[#This Row],[Taux FCTVA]])</f>
        <v>0</v>
      </c>
      <c r="Y14" s="321" t="str">
        <f>IF(OR(Invest[[#This Row],[Amortissement HT]]=0,Invest[[#This Row],[Amortissement TTC]]=0),"",Invest[[#This Row],[Amortissement TTC]]-Invest[[#This Row],[Amortissement HT]])</f>
        <v/>
      </c>
      <c r="Z14" s="333" t="str">
        <f>IF(Invest[[#This Row],[TVA payée]]="","",IF(Invest[[#This Row],[TVA récupérée]]="",Invest[TVA initiale - FCTVA],Invest[[#This Row],[TVA initiale - FCTVA]]-Invest[[#This Row],[TVA récupérée]]))</f>
        <v/>
      </c>
      <c r="AA14" s="433"/>
      <c r="AB14" s="437"/>
      <c r="AC14" s="340">
        <f>IFERROR(IF(AND(Invest[[#This Row],[Recette / Dépense]]="D",Invest[[#This Row],[Avec emprunt]]="X"),Invest[[#This Row],[Amortissement HT]],"")/SUMIFS(Invest[Amortissement HT],Invest[Recette / Dépense],"D",Invest[Avec emprunt],"X"),0)</f>
        <v>0</v>
      </c>
      <c r="AD14" s="343">
        <f>IFERROR(SUMIF(Fonctionnement[Statut des données],Interet,Fonctionnement[Réalisé pour contrôle CA])*Invest[[#This Row],[Répartition des amortissements]],"")</f>
        <v>0</v>
      </c>
      <c r="AE14" s="343">
        <f>Invest[[#This Row],[Amortissement HT]]+Invest[[#This Row],[Intérêts répartis]]</f>
        <v>0</v>
      </c>
      <c r="AF14" s="343" t="str">
        <f>IF(Invest[[#This Row],[TVA payée]]="","",Invest[[#This Row],[TVA payée]]-Invest[[#This Row],[FCTVA Annualisé]])</f>
        <v/>
      </c>
      <c r="AG14" s="348">
        <f>IF(OR(Invest[[#This Row],[TVA payée]]=0,Invest[[#This Row],[Coefficient de déduction]]=""),0,
Invest[[#This Row],[Coefficient de déduction]]*Invest[[#This Row],[TVA initiale - FCTVA]])</f>
        <v>0</v>
      </c>
      <c r="AI14" s="1"/>
      <c r="AJ14" s="1"/>
      <c r="AK14" s="1"/>
      <c r="AL14" s="1"/>
      <c r="AM14" s="1"/>
    </row>
    <row r="15" spans="1:39" x14ac:dyDescent="0.25">
      <c r="A15" s="406"/>
      <c r="B15" s="407"/>
      <c r="C15" s="408"/>
      <c r="D15" s="425"/>
      <c r="E15" s="426"/>
      <c r="F15" s="426"/>
      <c r="G15" s="426"/>
      <c r="H15" s="426"/>
      <c r="I15" s="426"/>
      <c r="J15" s="409"/>
      <c r="K15" s="409"/>
      <c r="L15" s="410"/>
      <c r="M15" s="411"/>
      <c r="N15" s="297"/>
      <c r="O15" s="287">
        <f>IF(Invest[[#This Row],[Recette / Dépense]]="R",0,IF(Invest[[#This Row],[ANNEE INVESTISSEMENT]]&lt;2014,19.6%,20%))</f>
        <v>0.19600000000000001</v>
      </c>
      <c r="P15" s="288">
        <f>IF(OR(Invest[[#This Row],[Recette / Dépense]]="R",Invest[[#This Row],[Taux de TVA]]=0),0,IF(Invest[[#This Row],[ANNEE INVESTISSEMENT]]&lt;2014,15.482%,IF(Invest[[#This Row],[ANNEE INVESTISSEMENT]]=2014,15.761%,16.404%)))</f>
        <v>0.15481999999999999</v>
      </c>
      <c r="Q15" s="321" t="str">
        <f>IF(OR(AND(Invest[[#This Row],[VALEUR BRUTE (€TTC)]]=0,Invest[[#This Row],[VALEUR BRUTE (€HT)]]=0),Invest[[#This Row],[Statut des données]]=Non_incorp),"",
IF(Invest[[#This Row],[VALEUR BRUTE (€HT)]]=0,
Invest[[#This Row],[VALEUR BRUTE (€TTC)]]/(1+Invest[[#This Row],[Taux de TVA]]),Invest[VALEUR BRUTE (€HT)]))</f>
        <v/>
      </c>
      <c r="R15" s="321" t="str">
        <f>IF(OR(AND(Invest[[#This Row],[VALEUR BRUTE (€TTC)]]=0,Invest[[#This Row],[VALEUR BRUTE (€HT)]]=0),Invest[[#This Row],[Statut des données]]=Non_incorp),"",
Invest[[#This Row],[VALEUR BRUTE (€TTC)]]*Invest[[#This Row],[Taux FCTVA]]*IF(Invest[[#This Row],[Recette / Dépense]]="R",0,1))</f>
        <v/>
      </c>
      <c r="S15" s="325">
        <f>IF(duree_amort="COLLECTIVITE",Invest[[#This Row],[DURÉE D''AMORTISSEMENT COLLECTIVITE]],
IF(ISBLANK(Invest[[#This Row],[DURÉE D''AMORTISSEMENT ADEME]]),Invest[[#This Row],[DURÉE D''AMORTISSEMENT COLLECTIVITE]],Invest[[#This Row],[DURÉE D''AMORTISSEMENT ADEME]]))</f>
        <v>0</v>
      </c>
      <c r="T15" s="329" t="str">
        <f>IF(Invest[[#This Row],[ANNEE INVESTISSEMENT]]="","",(Invest[[#This Row],[ANNEE INVESTISSEMENT]])+Invest[[#This Row],[Durée d''amortissement]])</f>
        <v/>
      </c>
      <c r="U15" s="329" t="str">
        <f>IF(OR(Invest[[#This Row],[ANNEE INVESTISSEMENT]]="",Invest[[#This Row],[Montant HT]]=""),"",IF(Invest[[#This Row],[ANNEE INVESTISSEMENT]]&gt;=Annee,"non",IF(Invest[[#This Row],[Fin amortissement]]&gt;=Annee,"oui","non")))</f>
        <v/>
      </c>
      <c r="V15" s="321">
        <f>IF(Invest[[#This Row],[Amortissement en cours]]="oui",Invest[[#This Row],[Montant HT]]/Invest[[#This Row],[Durée d''amortissement]],0)</f>
        <v>0</v>
      </c>
      <c r="W15" s="321">
        <f>IF(AND(Invest[[#This Row],[Amortissement en cours]]="oui",Invest[[#This Row],[VALEUR BRUTE (€TTC)]]&gt;0),Invest[[#This Row],[VALEUR BRUTE (€TTC)]]/Invest[[#This Row],[Durée d''amortissement]],0)</f>
        <v>0</v>
      </c>
      <c r="X15" s="321">
        <f>IF(Invest[[#This Row],[Amortissement TTC]]="","",Invest[[#This Row],[Amortissement TTC]]*Invest[[#This Row],[Taux FCTVA]])</f>
        <v>0</v>
      </c>
      <c r="Y15" s="321" t="str">
        <f>IF(OR(Invest[[#This Row],[Amortissement HT]]=0,Invest[[#This Row],[Amortissement TTC]]=0),"",Invest[[#This Row],[Amortissement TTC]]-Invest[[#This Row],[Amortissement HT]])</f>
        <v/>
      </c>
      <c r="Z15" s="333" t="str">
        <f>IF(Invest[[#This Row],[TVA payée]]="","",IF(Invest[[#This Row],[TVA récupérée]]="",Invest[TVA initiale - FCTVA],Invest[[#This Row],[TVA initiale - FCTVA]]-Invest[[#This Row],[TVA récupérée]]))</f>
        <v/>
      </c>
      <c r="AA15" s="433"/>
      <c r="AB15" s="437"/>
      <c r="AC15" s="340">
        <f>IFERROR(IF(AND(Invest[[#This Row],[Recette / Dépense]]="D",Invest[[#This Row],[Avec emprunt]]="X"),Invest[[#This Row],[Amortissement HT]],"")/SUMIFS(Invest[Amortissement HT],Invest[Recette / Dépense],"D",Invest[Avec emprunt],"X"),0)</f>
        <v>0</v>
      </c>
      <c r="AD15" s="343">
        <f>IFERROR(SUMIF(Fonctionnement[Statut des données],Interet,Fonctionnement[Réalisé pour contrôle CA])*Invest[[#This Row],[Répartition des amortissements]],"")</f>
        <v>0</v>
      </c>
      <c r="AE15" s="343">
        <f>Invest[[#This Row],[Amortissement HT]]+Invest[[#This Row],[Intérêts répartis]]</f>
        <v>0</v>
      </c>
      <c r="AF15" s="343" t="str">
        <f>IF(Invest[[#This Row],[TVA payée]]="","",Invest[[#This Row],[TVA payée]]-Invest[[#This Row],[FCTVA Annualisé]])</f>
        <v/>
      </c>
      <c r="AG15" s="348">
        <f>IF(OR(Invest[[#This Row],[TVA payée]]=0,Invest[[#This Row],[Coefficient de déduction]]=""),0,
Invest[[#This Row],[Coefficient de déduction]]*Invest[[#This Row],[TVA initiale - FCTVA]])</f>
        <v>0</v>
      </c>
      <c r="AI15" s="1"/>
      <c r="AJ15" s="1"/>
      <c r="AK15" s="1"/>
      <c r="AL15" s="1"/>
      <c r="AM15" s="1"/>
    </row>
    <row r="16" spans="1:39" x14ac:dyDescent="0.25">
      <c r="A16" s="406"/>
      <c r="B16" s="407"/>
      <c r="C16" s="408"/>
      <c r="D16" s="425"/>
      <c r="E16" s="426"/>
      <c r="F16" s="426"/>
      <c r="G16" s="426"/>
      <c r="H16" s="426"/>
      <c r="I16" s="426"/>
      <c r="J16" s="409"/>
      <c r="K16" s="409"/>
      <c r="L16" s="410"/>
      <c r="M16" s="411"/>
      <c r="N16" s="297"/>
      <c r="O16" s="287">
        <f>IF(Invest[[#This Row],[Recette / Dépense]]="R",0,IF(Invest[[#This Row],[ANNEE INVESTISSEMENT]]&lt;2014,19.6%,20%))</f>
        <v>0.19600000000000001</v>
      </c>
      <c r="P16" s="288">
        <f>IF(OR(Invest[[#This Row],[Recette / Dépense]]="R",Invest[[#This Row],[Taux de TVA]]=0),0,IF(Invest[[#This Row],[ANNEE INVESTISSEMENT]]&lt;2014,15.482%,IF(Invest[[#This Row],[ANNEE INVESTISSEMENT]]=2014,15.761%,16.404%)))</f>
        <v>0.15481999999999999</v>
      </c>
      <c r="Q16" s="321" t="str">
        <f>IF(OR(AND(Invest[[#This Row],[VALEUR BRUTE (€TTC)]]=0,Invest[[#This Row],[VALEUR BRUTE (€HT)]]=0),Invest[[#This Row],[Statut des données]]=Non_incorp),"",
IF(Invest[[#This Row],[VALEUR BRUTE (€HT)]]=0,
Invest[[#This Row],[VALEUR BRUTE (€TTC)]]/(1+Invest[[#This Row],[Taux de TVA]]),Invest[VALEUR BRUTE (€HT)]))</f>
        <v/>
      </c>
      <c r="R16" s="321" t="str">
        <f>IF(OR(AND(Invest[[#This Row],[VALEUR BRUTE (€TTC)]]=0,Invest[[#This Row],[VALEUR BRUTE (€HT)]]=0),Invest[[#This Row],[Statut des données]]=Non_incorp),"",
Invest[[#This Row],[VALEUR BRUTE (€TTC)]]*Invest[[#This Row],[Taux FCTVA]]*IF(Invest[[#This Row],[Recette / Dépense]]="R",0,1))</f>
        <v/>
      </c>
      <c r="S16" s="325">
        <f>IF(duree_amort="COLLECTIVITE",Invest[[#This Row],[DURÉE D''AMORTISSEMENT COLLECTIVITE]],
IF(ISBLANK(Invest[[#This Row],[DURÉE D''AMORTISSEMENT ADEME]]),Invest[[#This Row],[DURÉE D''AMORTISSEMENT COLLECTIVITE]],Invest[[#This Row],[DURÉE D''AMORTISSEMENT ADEME]]))</f>
        <v>0</v>
      </c>
      <c r="T16" s="329" t="str">
        <f>IF(Invest[[#This Row],[ANNEE INVESTISSEMENT]]="","",(Invest[[#This Row],[ANNEE INVESTISSEMENT]])+Invest[[#This Row],[Durée d''amortissement]])</f>
        <v/>
      </c>
      <c r="U16" s="329" t="str">
        <f>IF(OR(Invest[[#This Row],[ANNEE INVESTISSEMENT]]="",Invest[[#This Row],[Montant HT]]=""),"",IF(Invest[[#This Row],[ANNEE INVESTISSEMENT]]&gt;=Annee,"non",IF(Invest[[#This Row],[Fin amortissement]]&gt;=Annee,"oui","non")))</f>
        <v/>
      </c>
      <c r="V16" s="321">
        <f>IF(Invest[[#This Row],[Amortissement en cours]]="oui",Invest[[#This Row],[Montant HT]]/Invest[[#This Row],[Durée d''amortissement]],0)</f>
        <v>0</v>
      </c>
      <c r="W16" s="321">
        <f>IF(AND(Invest[[#This Row],[Amortissement en cours]]="oui",Invest[[#This Row],[VALEUR BRUTE (€TTC)]]&gt;0),Invest[[#This Row],[VALEUR BRUTE (€TTC)]]/Invest[[#This Row],[Durée d''amortissement]],0)</f>
        <v>0</v>
      </c>
      <c r="X16" s="321">
        <f>IF(Invest[[#This Row],[Amortissement TTC]]="","",Invest[[#This Row],[Amortissement TTC]]*Invest[[#This Row],[Taux FCTVA]])</f>
        <v>0</v>
      </c>
      <c r="Y16" s="321" t="str">
        <f>IF(OR(Invest[[#This Row],[Amortissement HT]]=0,Invest[[#This Row],[Amortissement TTC]]=0),"",Invest[[#This Row],[Amortissement TTC]]-Invest[[#This Row],[Amortissement HT]])</f>
        <v/>
      </c>
      <c r="Z16" s="333" t="str">
        <f>IF(Invest[[#This Row],[TVA payée]]="","",IF(Invest[[#This Row],[TVA récupérée]]="",Invest[TVA initiale - FCTVA],Invest[[#This Row],[TVA initiale - FCTVA]]-Invest[[#This Row],[TVA récupérée]]))</f>
        <v/>
      </c>
      <c r="AA16" s="433"/>
      <c r="AB16" s="437"/>
      <c r="AC16" s="340">
        <f>IFERROR(IF(AND(Invest[[#This Row],[Recette / Dépense]]="D",Invest[[#This Row],[Avec emprunt]]="X"),Invest[[#This Row],[Amortissement HT]],"")/SUMIFS(Invest[Amortissement HT],Invest[Recette / Dépense],"D",Invest[Avec emprunt],"X"),0)</f>
        <v>0</v>
      </c>
      <c r="AD16" s="343">
        <f>IFERROR(SUMIF(Fonctionnement[Statut des données],Interet,Fonctionnement[Réalisé pour contrôle CA])*Invest[[#This Row],[Répartition des amortissements]],"")</f>
        <v>0</v>
      </c>
      <c r="AE16" s="343">
        <f>Invest[[#This Row],[Amortissement HT]]+Invest[[#This Row],[Intérêts répartis]]</f>
        <v>0</v>
      </c>
      <c r="AF16" s="343" t="str">
        <f>IF(Invest[[#This Row],[TVA payée]]="","",Invest[[#This Row],[TVA payée]]-Invest[[#This Row],[FCTVA Annualisé]])</f>
        <v/>
      </c>
      <c r="AG16" s="348">
        <f>IF(OR(Invest[[#This Row],[TVA payée]]=0,Invest[[#This Row],[Coefficient de déduction]]=""),0,
Invest[[#This Row],[Coefficient de déduction]]*Invest[[#This Row],[TVA initiale - FCTVA]])</f>
        <v>0</v>
      </c>
    </row>
    <row r="17" spans="1:33" x14ac:dyDescent="0.25">
      <c r="A17" s="406"/>
      <c r="B17" s="407"/>
      <c r="C17" s="408"/>
      <c r="D17" s="425"/>
      <c r="E17" s="426"/>
      <c r="F17" s="426"/>
      <c r="G17" s="426"/>
      <c r="H17" s="426"/>
      <c r="I17" s="426"/>
      <c r="J17" s="409"/>
      <c r="K17" s="409"/>
      <c r="L17" s="410"/>
      <c r="M17" s="411"/>
      <c r="N17" s="297"/>
      <c r="O17" s="287">
        <f>IF(Invest[[#This Row],[Recette / Dépense]]="R",0,IF(Invest[[#This Row],[ANNEE INVESTISSEMENT]]&lt;2014,19.6%,20%))</f>
        <v>0.19600000000000001</v>
      </c>
      <c r="P17" s="288">
        <f>IF(OR(Invest[[#This Row],[Recette / Dépense]]="R",Invest[[#This Row],[Taux de TVA]]=0),0,IF(Invest[[#This Row],[ANNEE INVESTISSEMENT]]&lt;2014,15.482%,IF(Invest[[#This Row],[ANNEE INVESTISSEMENT]]=2014,15.761%,16.404%)))</f>
        <v>0.15481999999999999</v>
      </c>
      <c r="Q17" s="321" t="str">
        <f>IF(OR(AND(Invest[[#This Row],[VALEUR BRUTE (€TTC)]]=0,Invest[[#This Row],[VALEUR BRUTE (€HT)]]=0),Invest[[#This Row],[Statut des données]]=Non_incorp),"",
IF(Invest[[#This Row],[VALEUR BRUTE (€HT)]]=0,
Invest[[#This Row],[VALEUR BRUTE (€TTC)]]/(1+Invest[[#This Row],[Taux de TVA]]),Invest[VALEUR BRUTE (€HT)]))</f>
        <v/>
      </c>
      <c r="R17" s="321" t="str">
        <f>IF(OR(AND(Invest[[#This Row],[VALEUR BRUTE (€TTC)]]=0,Invest[[#This Row],[VALEUR BRUTE (€HT)]]=0),Invest[[#This Row],[Statut des données]]=Non_incorp),"",
Invest[[#This Row],[VALEUR BRUTE (€TTC)]]*Invest[[#This Row],[Taux FCTVA]]*IF(Invest[[#This Row],[Recette / Dépense]]="R",0,1))</f>
        <v/>
      </c>
      <c r="S17" s="325">
        <f>IF(duree_amort="COLLECTIVITE",Invest[[#This Row],[DURÉE D''AMORTISSEMENT COLLECTIVITE]],
IF(ISBLANK(Invest[[#This Row],[DURÉE D''AMORTISSEMENT ADEME]]),Invest[[#This Row],[DURÉE D''AMORTISSEMENT COLLECTIVITE]],Invest[[#This Row],[DURÉE D''AMORTISSEMENT ADEME]]))</f>
        <v>0</v>
      </c>
      <c r="T17" s="329" t="str">
        <f>IF(Invest[[#This Row],[ANNEE INVESTISSEMENT]]="","",(Invest[[#This Row],[ANNEE INVESTISSEMENT]])+Invest[[#This Row],[Durée d''amortissement]])</f>
        <v/>
      </c>
      <c r="U17" s="329" t="str">
        <f>IF(OR(Invest[[#This Row],[ANNEE INVESTISSEMENT]]="",Invest[[#This Row],[Montant HT]]=""),"",IF(Invest[[#This Row],[ANNEE INVESTISSEMENT]]&gt;=Annee,"non",IF(Invest[[#This Row],[Fin amortissement]]&gt;=Annee,"oui","non")))</f>
        <v/>
      </c>
      <c r="V17" s="321">
        <f>IF(Invest[[#This Row],[Amortissement en cours]]="oui",Invest[[#This Row],[Montant HT]]/Invest[[#This Row],[Durée d''amortissement]],0)</f>
        <v>0</v>
      </c>
      <c r="W17" s="321">
        <f>IF(AND(Invest[[#This Row],[Amortissement en cours]]="oui",Invest[[#This Row],[VALEUR BRUTE (€TTC)]]&gt;0),Invest[[#This Row],[VALEUR BRUTE (€TTC)]]/Invest[[#This Row],[Durée d''amortissement]],0)</f>
        <v>0</v>
      </c>
      <c r="X17" s="321">
        <f>IF(Invest[[#This Row],[Amortissement TTC]]="","",Invest[[#This Row],[Amortissement TTC]]*Invest[[#This Row],[Taux FCTVA]])</f>
        <v>0</v>
      </c>
      <c r="Y17" s="321" t="str">
        <f>IF(OR(Invest[[#This Row],[Amortissement HT]]=0,Invest[[#This Row],[Amortissement TTC]]=0),"",Invest[[#This Row],[Amortissement TTC]]-Invest[[#This Row],[Amortissement HT]])</f>
        <v/>
      </c>
      <c r="Z17" s="333" t="str">
        <f>IF(Invest[[#This Row],[TVA payée]]="","",IF(Invest[[#This Row],[TVA récupérée]]="",Invest[TVA initiale - FCTVA],Invest[[#This Row],[TVA initiale - FCTVA]]-Invest[[#This Row],[TVA récupérée]]))</f>
        <v/>
      </c>
      <c r="AA17" s="433"/>
      <c r="AB17" s="437"/>
      <c r="AC17" s="340">
        <f>IFERROR(IF(AND(Invest[[#This Row],[Recette / Dépense]]="D",Invest[[#This Row],[Avec emprunt]]="X"),Invest[[#This Row],[Amortissement HT]],"")/SUMIFS(Invest[Amortissement HT],Invest[Recette / Dépense],"D",Invest[Avec emprunt],"X"),0)</f>
        <v>0</v>
      </c>
      <c r="AD17" s="343">
        <f>IFERROR(SUMIF(Fonctionnement[Statut des données],Interet,Fonctionnement[Réalisé pour contrôle CA])*Invest[[#This Row],[Répartition des amortissements]],"")</f>
        <v>0</v>
      </c>
      <c r="AE17" s="343">
        <f>Invest[[#This Row],[Amortissement HT]]+Invest[[#This Row],[Intérêts répartis]]</f>
        <v>0</v>
      </c>
      <c r="AF17" s="343" t="str">
        <f>IF(Invest[[#This Row],[TVA payée]]="","",Invest[[#This Row],[TVA payée]]-Invest[[#This Row],[FCTVA Annualisé]])</f>
        <v/>
      </c>
      <c r="AG17" s="348">
        <f>IF(OR(Invest[[#This Row],[TVA payée]]=0,Invest[[#This Row],[Coefficient de déduction]]=""),0,
Invest[[#This Row],[Coefficient de déduction]]*Invest[[#This Row],[TVA initiale - FCTVA]])</f>
        <v>0</v>
      </c>
    </row>
    <row r="18" spans="1:33" x14ac:dyDescent="0.25">
      <c r="A18" s="406"/>
      <c r="B18" s="407"/>
      <c r="C18" s="408"/>
      <c r="D18" s="425"/>
      <c r="E18" s="426"/>
      <c r="F18" s="426"/>
      <c r="G18" s="426"/>
      <c r="H18" s="426"/>
      <c r="I18" s="426"/>
      <c r="J18" s="409"/>
      <c r="K18" s="409"/>
      <c r="L18" s="410"/>
      <c r="M18" s="411"/>
      <c r="N18" s="297"/>
      <c r="O18" s="287">
        <f>IF(Invest[[#This Row],[Recette / Dépense]]="R",0,IF(Invest[[#This Row],[ANNEE INVESTISSEMENT]]&lt;2014,19.6%,20%))</f>
        <v>0.19600000000000001</v>
      </c>
      <c r="P18" s="288">
        <f>IF(OR(Invest[[#This Row],[Recette / Dépense]]="R",Invest[[#This Row],[Taux de TVA]]=0),0,IF(Invest[[#This Row],[ANNEE INVESTISSEMENT]]&lt;2014,15.482%,IF(Invest[[#This Row],[ANNEE INVESTISSEMENT]]=2014,15.761%,16.404%)))</f>
        <v>0.15481999999999999</v>
      </c>
      <c r="Q18" s="321" t="str">
        <f>IF(OR(AND(Invest[[#This Row],[VALEUR BRUTE (€TTC)]]=0,Invest[[#This Row],[VALEUR BRUTE (€HT)]]=0),Invest[[#This Row],[Statut des données]]=Non_incorp),"",
IF(Invest[[#This Row],[VALEUR BRUTE (€HT)]]=0,
Invest[[#This Row],[VALEUR BRUTE (€TTC)]]/(1+Invest[[#This Row],[Taux de TVA]]),Invest[VALEUR BRUTE (€HT)]))</f>
        <v/>
      </c>
      <c r="R18" s="321" t="str">
        <f>IF(OR(AND(Invest[[#This Row],[VALEUR BRUTE (€TTC)]]=0,Invest[[#This Row],[VALEUR BRUTE (€HT)]]=0),Invest[[#This Row],[Statut des données]]=Non_incorp),"",
Invest[[#This Row],[VALEUR BRUTE (€TTC)]]*Invest[[#This Row],[Taux FCTVA]]*IF(Invest[[#This Row],[Recette / Dépense]]="R",0,1))</f>
        <v/>
      </c>
      <c r="S18" s="325">
        <f>IF(duree_amort="COLLECTIVITE",Invest[[#This Row],[DURÉE D''AMORTISSEMENT COLLECTIVITE]],
IF(ISBLANK(Invest[[#This Row],[DURÉE D''AMORTISSEMENT ADEME]]),Invest[[#This Row],[DURÉE D''AMORTISSEMENT COLLECTIVITE]],Invest[[#This Row],[DURÉE D''AMORTISSEMENT ADEME]]))</f>
        <v>0</v>
      </c>
      <c r="T18" s="329" t="str">
        <f>IF(Invest[[#This Row],[ANNEE INVESTISSEMENT]]="","",(Invest[[#This Row],[ANNEE INVESTISSEMENT]])+Invest[[#This Row],[Durée d''amortissement]])</f>
        <v/>
      </c>
      <c r="U18" s="329" t="str">
        <f>IF(OR(Invest[[#This Row],[ANNEE INVESTISSEMENT]]="",Invest[[#This Row],[Montant HT]]=""),"",IF(Invest[[#This Row],[ANNEE INVESTISSEMENT]]&gt;=Annee,"non",IF(Invest[[#This Row],[Fin amortissement]]&gt;=Annee,"oui","non")))</f>
        <v/>
      </c>
      <c r="V18" s="321">
        <f>IF(Invest[[#This Row],[Amortissement en cours]]="oui",Invest[[#This Row],[Montant HT]]/Invest[[#This Row],[Durée d''amortissement]],0)</f>
        <v>0</v>
      </c>
      <c r="W18" s="321">
        <f>IF(AND(Invest[[#This Row],[Amortissement en cours]]="oui",Invest[[#This Row],[VALEUR BRUTE (€TTC)]]&gt;0),Invest[[#This Row],[VALEUR BRUTE (€TTC)]]/Invest[[#This Row],[Durée d''amortissement]],0)</f>
        <v>0</v>
      </c>
      <c r="X18" s="321">
        <f>IF(Invest[[#This Row],[Amortissement TTC]]="","",Invest[[#This Row],[Amortissement TTC]]*Invest[[#This Row],[Taux FCTVA]])</f>
        <v>0</v>
      </c>
      <c r="Y18" s="321" t="str">
        <f>IF(OR(Invest[[#This Row],[Amortissement HT]]=0,Invest[[#This Row],[Amortissement TTC]]=0),"",Invest[[#This Row],[Amortissement TTC]]-Invest[[#This Row],[Amortissement HT]])</f>
        <v/>
      </c>
      <c r="Z18" s="333" t="str">
        <f>IF(Invest[[#This Row],[TVA payée]]="","",IF(Invest[[#This Row],[TVA récupérée]]="",Invest[TVA initiale - FCTVA],Invest[[#This Row],[TVA initiale - FCTVA]]-Invest[[#This Row],[TVA récupérée]]))</f>
        <v/>
      </c>
      <c r="AA18" s="433"/>
      <c r="AB18" s="437"/>
      <c r="AC18" s="340">
        <f>IFERROR(IF(AND(Invest[[#This Row],[Recette / Dépense]]="D",Invest[[#This Row],[Avec emprunt]]="X"),Invest[[#This Row],[Amortissement HT]],"")/SUMIFS(Invest[Amortissement HT],Invest[Recette / Dépense],"D",Invest[Avec emprunt],"X"),0)</f>
        <v>0</v>
      </c>
      <c r="AD18" s="343">
        <f>IFERROR(SUMIF(Fonctionnement[Statut des données],Interet,Fonctionnement[Réalisé pour contrôle CA])*Invest[[#This Row],[Répartition des amortissements]],"")</f>
        <v>0</v>
      </c>
      <c r="AE18" s="343">
        <f>Invest[[#This Row],[Amortissement HT]]+Invest[[#This Row],[Intérêts répartis]]</f>
        <v>0</v>
      </c>
      <c r="AF18" s="343" t="str">
        <f>IF(Invest[[#This Row],[TVA payée]]="","",Invest[[#This Row],[TVA payée]]-Invest[[#This Row],[FCTVA Annualisé]])</f>
        <v/>
      </c>
      <c r="AG18" s="348">
        <f>IF(OR(Invest[[#This Row],[TVA payée]]=0,Invest[[#This Row],[Coefficient de déduction]]=""),0,
Invest[[#This Row],[Coefficient de déduction]]*Invest[[#This Row],[TVA initiale - FCTVA]])</f>
        <v>0</v>
      </c>
    </row>
    <row r="19" spans="1:33" x14ac:dyDescent="0.25">
      <c r="A19" s="406"/>
      <c r="B19" s="407"/>
      <c r="C19" s="408"/>
      <c r="D19" s="425"/>
      <c r="E19" s="426"/>
      <c r="F19" s="426"/>
      <c r="G19" s="426"/>
      <c r="H19" s="426"/>
      <c r="I19" s="426"/>
      <c r="J19" s="409"/>
      <c r="K19" s="409"/>
      <c r="L19" s="410"/>
      <c r="M19" s="411"/>
      <c r="N19" s="297"/>
      <c r="O19" s="287">
        <f>IF(Invest[[#This Row],[Recette / Dépense]]="R",0,IF(Invest[[#This Row],[ANNEE INVESTISSEMENT]]&lt;2014,19.6%,20%))</f>
        <v>0.19600000000000001</v>
      </c>
      <c r="P19" s="288">
        <f>IF(OR(Invest[[#This Row],[Recette / Dépense]]="R",Invest[[#This Row],[Taux de TVA]]=0),0,IF(Invest[[#This Row],[ANNEE INVESTISSEMENT]]&lt;2014,15.482%,IF(Invest[[#This Row],[ANNEE INVESTISSEMENT]]=2014,15.761%,16.404%)))</f>
        <v>0.15481999999999999</v>
      </c>
      <c r="Q19" s="321" t="str">
        <f>IF(OR(AND(Invest[[#This Row],[VALEUR BRUTE (€TTC)]]=0,Invest[[#This Row],[VALEUR BRUTE (€HT)]]=0),Invest[[#This Row],[Statut des données]]=Non_incorp),"",
IF(Invest[[#This Row],[VALEUR BRUTE (€HT)]]=0,
Invest[[#This Row],[VALEUR BRUTE (€TTC)]]/(1+Invest[[#This Row],[Taux de TVA]]),Invest[VALEUR BRUTE (€HT)]))</f>
        <v/>
      </c>
      <c r="R19" s="321" t="str">
        <f>IF(OR(AND(Invest[[#This Row],[VALEUR BRUTE (€TTC)]]=0,Invest[[#This Row],[VALEUR BRUTE (€HT)]]=0),Invest[[#This Row],[Statut des données]]=Non_incorp),"",
Invest[[#This Row],[VALEUR BRUTE (€TTC)]]*Invest[[#This Row],[Taux FCTVA]]*IF(Invest[[#This Row],[Recette / Dépense]]="R",0,1))</f>
        <v/>
      </c>
      <c r="S19" s="325">
        <f>IF(duree_amort="COLLECTIVITE",Invest[[#This Row],[DURÉE D''AMORTISSEMENT COLLECTIVITE]],
IF(ISBLANK(Invest[[#This Row],[DURÉE D''AMORTISSEMENT ADEME]]),Invest[[#This Row],[DURÉE D''AMORTISSEMENT COLLECTIVITE]],Invest[[#This Row],[DURÉE D''AMORTISSEMENT ADEME]]))</f>
        <v>0</v>
      </c>
      <c r="T19" s="329" t="str">
        <f>IF(Invest[[#This Row],[ANNEE INVESTISSEMENT]]="","",(Invest[[#This Row],[ANNEE INVESTISSEMENT]])+Invest[[#This Row],[Durée d''amortissement]])</f>
        <v/>
      </c>
      <c r="U19" s="329" t="str">
        <f>IF(OR(Invest[[#This Row],[ANNEE INVESTISSEMENT]]="",Invest[[#This Row],[Montant HT]]=""),"",IF(Invest[[#This Row],[ANNEE INVESTISSEMENT]]&gt;=Annee,"non",IF(Invest[[#This Row],[Fin amortissement]]&gt;=Annee,"oui","non")))</f>
        <v/>
      </c>
      <c r="V19" s="321">
        <f>IF(Invest[[#This Row],[Amortissement en cours]]="oui",Invest[[#This Row],[Montant HT]]/Invest[[#This Row],[Durée d''amortissement]],0)</f>
        <v>0</v>
      </c>
      <c r="W19" s="321">
        <f>IF(AND(Invest[[#This Row],[Amortissement en cours]]="oui",Invest[[#This Row],[VALEUR BRUTE (€TTC)]]&gt;0),Invest[[#This Row],[VALEUR BRUTE (€TTC)]]/Invest[[#This Row],[Durée d''amortissement]],0)</f>
        <v>0</v>
      </c>
      <c r="X19" s="321">
        <f>IF(Invest[[#This Row],[Amortissement TTC]]="","",Invest[[#This Row],[Amortissement TTC]]*Invest[[#This Row],[Taux FCTVA]])</f>
        <v>0</v>
      </c>
      <c r="Y19" s="321" t="str">
        <f>IF(OR(Invest[[#This Row],[Amortissement HT]]=0,Invest[[#This Row],[Amortissement TTC]]=0),"",Invest[[#This Row],[Amortissement TTC]]-Invest[[#This Row],[Amortissement HT]])</f>
        <v/>
      </c>
      <c r="Z19" s="333" t="str">
        <f>IF(Invest[[#This Row],[TVA payée]]="","",IF(Invest[[#This Row],[TVA récupérée]]="",Invest[TVA initiale - FCTVA],Invest[[#This Row],[TVA initiale - FCTVA]]-Invest[[#This Row],[TVA récupérée]]))</f>
        <v/>
      </c>
      <c r="AA19" s="433"/>
      <c r="AB19" s="437"/>
      <c r="AC19" s="340">
        <f>IFERROR(IF(AND(Invest[[#This Row],[Recette / Dépense]]="D",Invest[[#This Row],[Avec emprunt]]="X"),Invest[[#This Row],[Amortissement HT]],"")/SUMIFS(Invest[Amortissement HT],Invest[Recette / Dépense],"D",Invest[Avec emprunt],"X"),0)</f>
        <v>0</v>
      </c>
      <c r="AD19" s="343">
        <f>IFERROR(SUMIF(Fonctionnement[Statut des données],Interet,Fonctionnement[Réalisé pour contrôle CA])*Invest[[#This Row],[Répartition des amortissements]],"")</f>
        <v>0</v>
      </c>
      <c r="AE19" s="343">
        <f>Invest[[#This Row],[Amortissement HT]]+Invest[[#This Row],[Intérêts répartis]]</f>
        <v>0</v>
      </c>
      <c r="AF19" s="343" t="str">
        <f>IF(Invest[[#This Row],[TVA payée]]="","",Invest[[#This Row],[TVA payée]]-Invest[[#This Row],[FCTVA Annualisé]])</f>
        <v/>
      </c>
      <c r="AG19" s="348">
        <f>IF(OR(Invest[[#This Row],[TVA payée]]=0,Invest[[#This Row],[Coefficient de déduction]]=""),0,
Invest[[#This Row],[Coefficient de déduction]]*Invest[[#This Row],[TVA initiale - FCTVA]])</f>
        <v>0</v>
      </c>
    </row>
    <row r="20" spans="1:33" x14ac:dyDescent="0.25">
      <c r="A20" s="427"/>
      <c r="B20" s="428"/>
      <c r="C20" s="429"/>
      <c r="D20" s="430"/>
      <c r="E20" s="431"/>
      <c r="F20" s="431"/>
      <c r="G20" s="431"/>
      <c r="H20" s="426"/>
      <c r="I20" s="426"/>
      <c r="J20" s="432"/>
      <c r="K20" s="432"/>
      <c r="L20" s="410"/>
      <c r="M20" s="411"/>
      <c r="N20" s="298"/>
      <c r="O20" s="293">
        <f>IF(Invest[[#This Row],[Recette / Dépense]]="R",0,IF(Invest[[#This Row],[ANNEE INVESTISSEMENT]]&lt;2014,19.6%,20%))</f>
        <v>0.19600000000000001</v>
      </c>
      <c r="P20" s="294">
        <f>IF(OR(Invest[[#This Row],[Recette / Dépense]]="R",Invest[[#This Row],[Taux de TVA]]=0),0,IF(Invest[[#This Row],[ANNEE INVESTISSEMENT]]&lt;2014,15.482%,IF(Invest[[#This Row],[ANNEE INVESTISSEMENT]]=2014,15.761%,16.404%)))</f>
        <v>0.15481999999999999</v>
      </c>
      <c r="Q20" s="324" t="str">
        <f>IF(OR(AND(Invest[[#This Row],[VALEUR BRUTE (€TTC)]]=0,Invest[[#This Row],[VALEUR BRUTE (€HT)]]=0),Invest[[#This Row],[Statut des données]]=Non_incorp),"",
IF(Invest[[#This Row],[VALEUR BRUTE (€HT)]]=0,
Invest[[#This Row],[VALEUR BRUTE (€TTC)]]/(1+Invest[[#This Row],[Taux de TVA]]),Invest[VALEUR BRUTE (€HT)]))</f>
        <v/>
      </c>
      <c r="R20" s="324" t="str">
        <f>IF(OR(AND(Invest[[#This Row],[VALEUR BRUTE (€TTC)]]=0,Invest[[#This Row],[VALEUR BRUTE (€HT)]]=0),Invest[[#This Row],[Statut des données]]=Non_incorp),"",
Invest[[#This Row],[VALEUR BRUTE (€TTC)]]*Invest[[#This Row],[Taux FCTVA]]*IF(Invest[[#This Row],[Recette / Dépense]]="R",0,1))</f>
        <v/>
      </c>
      <c r="S20" s="328">
        <f>IF(duree_amort="COLLECTIVITE",Invest[[#This Row],[DURÉE D''AMORTISSEMENT COLLECTIVITE]],
IF(ISBLANK(Invest[[#This Row],[DURÉE D''AMORTISSEMENT ADEME]]),Invest[[#This Row],[DURÉE D''AMORTISSEMENT COLLECTIVITE]],Invest[[#This Row],[DURÉE D''AMORTISSEMENT ADEME]]))</f>
        <v>0</v>
      </c>
      <c r="T20" s="332" t="str">
        <f>IF(Invest[[#This Row],[ANNEE INVESTISSEMENT]]="","",(Invest[[#This Row],[ANNEE INVESTISSEMENT]])+Invest[[#This Row],[Durée d''amortissement]])</f>
        <v/>
      </c>
      <c r="U20" s="332" t="str">
        <f>IF(OR(Invest[[#This Row],[ANNEE INVESTISSEMENT]]="",Invest[[#This Row],[Montant HT]]=""),"",IF(Invest[[#This Row],[ANNEE INVESTISSEMENT]]&gt;=Annee,"non",IF(Invest[[#This Row],[Fin amortissement]]&gt;=Annee,"oui","non")))</f>
        <v/>
      </c>
      <c r="V20" s="324">
        <f>IF(Invest[[#This Row],[Amortissement en cours]]="oui",Invest[[#This Row],[Montant HT]]/Invest[[#This Row],[Durée d''amortissement]],0)</f>
        <v>0</v>
      </c>
      <c r="W20" s="324">
        <f>IF(AND(Invest[[#This Row],[Amortissement en cours]]="oui",Invest[[#This Row],[VALEUR BRUTE (€TTC)]]&gt;0),Invest[[#This Row],[VALEUR BRUTE (€TTC)]]/Invest[[#This Row],[Durée d''amortissement]],0)</f>
        <v>0</v>
      </c>
      <c r="X20" s="324">
        <f>IF(Invest[[#This Row],[Amortissement TTC]]="","",Invest[[#This Row],[Amortissement TTC]]*Invest[[#This Row],[Taux FCTVA]])</f>
        <v>0</v>
      </c>
      <c r="Y20" s="324" t="str">
        <f>IF(OR(Invest[[#This Row],[Amortissement HT]]=0,Invest[[#This Row],[Amortissement TTC]]=0),"",Invest[[#This Row],[Amortissement TTC]]-Invest[[#This Row],[Amortissement HT]])</f>
        <v/>
      </c>
      <c r="Z20" s="336" t="str">
        <f>IF(Invest[[#This Row],[TVA payée]]="","",IF(Invest[[#This Row],[TVA récupérée]]="",Invest[TVA initiale - FCTVA],Invest[[#This Row],[TVA initiale - FCTVA]]-Invest[[#This Row],[TVA récupérée]]))</f>
        <v/>
      </c>
      <c r="AA20" s="433"/>
      <c r="AB20" s="438"/>
      <c r="AC20" s="341">
        <f>IFERROR(IF(AND(Invest[[#This Row],[Recette / Dépense]]="D",Invest[[#This Row],[Avec emprunt]]="X"),Invest[[#This Row],[Amortissement HT]],"")/SUMIFS(Invest[Amortissement HT],Invest[Recette / Dépense],"D",Invest[Avec emprunt],"X"),0)</f>
        <v>0</v>
      </c>
      <c r="AD20" s="349">
        <f>IFERROR(SUMIF(Fonctionnement[Statut des données],Interet,Fonctionnement[Réalisé pour contrôle CA])*Invest[[#This Row],[Répartition des amortissements]],"")</f>
        <v>0</v>
      </c>
      <c r="AE20" s="349">
        <f>Invest[[#This Row],[Amortissement HT]]+Invest[[#This Row],[Intérêts répartis]]</f>
        <v>0</v>
      </c>
      <c r="AF20" s="349" t="str">
        <f>IF(Invest[[#This Row],[TVA payée]]="","",Invest[[#This Row],[TVA payée]]-Invest[[#This Row],[FCTVA Annualisé]])</f>
        <v/>
      </c>
      <c r="AG20" s="350">
        <f>IF(OR(Invest[[#This Row],[TVA payée]]=0,Invest[[#This Row],[Coefficient de déduction]]=""),0,
Invest[[#This Row],[Coefficient de déduction]]*Invest[[#This Row],[TVA initiale - FCTVA]])</f>
        <v>0</v>
      </c>
    </row>
    <row r="21" spans="1:33" x14ac:dyDescent="0.25">
      <c r="A21" s="427"/>
      <c r="B21" s="428"/>
      <c r="C21" s="429"/>
      <c r="D21" s="430"/>
      <c r="E21" s="431"/>
      <c r="F21" s="431"/>
      <c r="G21" s="431"/>
      <c r="H21" s="426"/>
      <c r="I21" s="426"/>
      <c r="J21" s="432"/>
      <c r="K21" s="432"/>
      <c r="L21" s="410"/>
      <c r="M21" s="411"/>
      <c r="N21" s="298"/>
      <c r="O21" s="293">
        <f>IF(Invest[[#This Row],[Recette / Dépense]]="R",0,IF(Invest[[#This Row],[ANNEE INVESTISSEMENT]]&lt;2014,19.6%,20%))</f>
        <v>0.19600000000000001</v>
      </c>
      <c r="P21" s="294">
        <f>IF(OR(Invest[[#This Row],[Recette / Dépense]]="R",Invest[[#This Row],[Taux de TVA]]=0),0,IF(Invest[[#This Row],[ANNEE INVESTISSEMENT]]&lt;2014,15.482%,IF(Invest[[#This Row],[ANNEE INVESTISSEMENT]]=2014,15.761%,16.404%)))</f>
        <v>0.15481999999999999</v>
      </c>
      <c r="Q21" s="324" t="str">
        <f>IF(OR(AND(Invest[[#This Row],[VALEUR BRUTE (€TTC)]]=0,Invest[[#This Row],[VALEUR BRUTE (€HT)]]=0),Invest[[#This Row],[Statut des données]]=Non_incorp),"",
IF(Invest[[#This Row],[VALEUR BRUTE (€HT)]]=0,
Invest[[#This Row],[VALEUR BRUTE (€TTC)]]/(1+Invest[[#This Row],[Taux de TVA]]),Invest[VALEUR BRUTE (€HT)]))</f>
        <v/>
      </c>
      <c r="R21" s="324" t="str">
        <f>IF(OR(AND(Invest[[#This Row],[VALEUR BRUTE (€TTC)]]=0,Invest[[#This Row],[VALEUR BRUTE (€HT)]]=0),Invest[[#This Row],[Statut des données]]=Non_incorp),"",
Invest[[#This Row],[VALEUR BRUTE (€TTC)]]*Invest[[#This Row],[Taux FCTVA]]*IF(Invest[[#This Row],[Recette / Dépense]]="R",0,1))</f>
        <v/>
      </c>
      <c r="S21" s="328">
        <f>IF(duree_amort="COLLECTIVITE",Invest[[#This Row],[DURÉE D''AMORTISSEMENT COLLECTIVITE]],
IF(ISBLANK(Invest[[#This Row],[DURÉE D''AMORTISSEMENT ADEME]]),Invest[[#This Row],[DURÉE D''AMORTISSEMENT COLLECTIVITE]],Invest[[#This Row],[DURÉE D''AMORTISSEMENT ADEME]]))</f>
        <v>0</v>
      </c>
      <c r="T21" s="332" t="str">
        <f>IF(Invest[[#This Row],[ANNEE INVESTISSEMENT]]="","",(Invest[[#This Row],[ANNEE INVESTISSEMENT]])+Invest[[#This Row],[Durée d''amortissement]])</f>
        <v/>
      </c>
      <c r="U21" s="332" t="str">
        <f>IF(OR(Invest[[#This Row],[ANNEE INVESTISSEMENT]]="",Invest[[#This Row],[Montant HT]]=""),"",IF(Invest[[#This Row],[ANNEE INVESTISSEMENT]]&gt;=Annee,"non",IF(Invest[[#This Row],[Fin amortissement]]&gt;=Annee,"oui","non")))</f>
        <v/>
      </c>
      <c r="V21" s="324">
        <f>IF(Invest[[#This Row],[Amortissement en cours]]="oui",Invest[[#This Row],[Montant HT]]/Invest[[#This Row],[Durée d''amortissement]],0)</f>
        <v>0</v>
      </c>
      <c r="W21" s="324">
        <f>IF(AND(Invest[[#This Row],[Amortissement en cours]]="oui",Invest[[#This Row],[VALEUR BRUTE (€TTC)]]&gt;0),Invest[[#This Row],[VALEUR BRUTE (€TTC)]]/Invest[[#This Row],[Durée d''amortissement]],0)</f>
        <v>0</v>
      </c>
      <c r="X21" s="324">
        <f>IF(Invest[[#This Row],[Amortissement TTC]]="","",Invest[[#This Row],[Amortissement TTC]]*Invest[[#This Row],[Taux FCTVA]])</f>
        <v>0</v>
      </c>
      <c r="Y21" s="324" t="str">
        <f>IF(OR(Invest[[#This Row],[Amortissement HT]]=0,Invest[[#This Row],[Amortissement TTC]]=0),"",Invest[[#This Row],[Amortissement TTC]]-Invest[[#This Row],[Amortissement HT]])</f>
        <v/>
      </c>
      <c r="Z21" s="336" t="str">
        <f>IF(Invest[[#This Row],[TVA payée]]="","",IF(Invest[[#This Row],[TVA récupérée]]="",Invest[TVA initiale - FCTVA],Invest[[#This Row],[TVA initiale - FCTVA]]-Invest[[#This Row],[TVA récupérée]]))</f>
        <v/>
      </c>
      <c r="AA21" s="433"/>
      <c r="AB21" s="438"/>
      <c r="AC21" s="341">
        <f>IFERROR(IF(AND(Invest[[#This Row],[Recette / Dépense]]="D",Invest[[#This Row],[Avec emprunt]]="X"),Invest[[#This Row],[Amortissement HT]],"")/SUMIFS(Invest[Amortissement HT],Invest[Recette / Dépense],"D",Invest[Avec emprunt],"X"),0)</f>
        <v>0</v>
      </c>
      <c r="AD21" s="349">
        <f>IFERROR(SUMIF(Fonctionnement[Statut des données],Interet,Fonctionnement[Réalisé pour contrôle CA])*Invest[[#This Row],[Répartition des amortissements]],"")</f>
        <v>0</v>
      </c>
      <c r="AE21" s="349">
        <f>Invest[[#This Row],[Amortissement HT]]+Invest[[#This Row],[Intérêts répartis]]</f>
        <v>0</v>
      </c>
      <c r="AF21" s="349" t="str">
        <f>IF(Invest[[#This Row],[TVA payée]]="","",Invest[[#This Row],[TVA payée]]-Invest[[#This Row],[FCTVA Annualisé]])</f>
        <v/>
      </c>
      <c r="AG21" s="350">
        <f>IF(OR(Invest[[#This Row],[TVA payée]]=0,Invest[[#This Row],[Coefficient de déduction]]=""),0,
Invest[[#This Row],[Coefficient de déduction]]*Invest[[#This Row],[TVA initiale - FCTVA]])</f>
        <v>0</v>
      </c>
    </row>
    <row r="22" spans="1:33" x14ac:dyDescent="0.25">
      <c r="A22" s="419"/>
      <c r="B22" s="420"/>
      <c r="C22" s="421"/>
      <c r="D22" s="422"/>
      <c r="E22" s="423"/>
      <c r="F22" s="423"/>
      <c r="G22" s="423"/>
      <c r="H22" s="417"/>
      <c r="I22" s="417"/>
      <c r="J22" s="424"/>
      <c r="K22" s="424"/>
      <c r="L22" s="440"/>
      <c r="M22" s="441"/>
      <c r="N22" s="298"/>
      <c r="O22" s="291">
        <f>IF(Invest[[#This Row],[Recette / Dépense]]="R",0,IF(Invest[[#This Row],[ANNEE INVESTISSEMENT]]&lt;2014,19.6%,20%))</f>
        <v>0.19600000000000001</v>
      </c>
      <c r="P22" s="292">
        <f>IF(OR(Invest[[#This Row],[Recette / Dépense]]="R",Invest[[#This Row],[Taux de TVA]]=0),0,IF(Invest[[#This Row],[ANNEE INVESTISSEMENT]]&lt;2014,15.482%,IF(Invest[[#This Row],[ANNEE INVESTISSEMENT]]=2014,15.761%,16.404%)))</f>
        <v>0.15481999999999999</v>
      </c>
      <c r="Q22" s="323" t="str">
        <f>IF(OR(AND(Invest[[#This Row],[VALEUR BRUTE (€TTC)]]=0,Invest[[#This Row],[VALEUR BRUTE (€HT)]]=0),Invest[[#This Row],[Statut des données]]=Non_incorp),"",
IF(Invest[[#This Row],[VALEUR BRUTE (€HT)]]=0,
Invest[[#This Row],[VALEUR BRUTE (€TTC)]]/(1+Invest[[#This Row],[Taux de TVA]]),Invest[VALEUR BRUTE (€HT)]))</f>
        <v/>
      </c>
      <c r="R22" s="323" t="str">
        <f>IF(OR(AND(Invest[[#This Row],[VALEUR BRUTE (€TTC)]]=0,Invest[[#This Row],[VALEUR BRUTE (€HT)]]=0),Invest[[#This Row],[Statut des données]]=Non_incorp),"",
Invest[[#This Row],[VALEUR BRUTE (€TTC)]]*Invest[[#This Row],[Taux FCTVA]]*IF(Invest[[#This Row],[Recette / Dépense]]="R",0,1))</f>
        <v/>
      </c>
      <c r="S22" s="327">
        <f>IF(duree_amort="COLLECTIVITE",Invest[[#This Row],[DURÉE D''AMORTISSEMENT COLLECTIVITE]],
IF(ISBLANK(Invest[[#This Row],[DURÉE D''AMORTISSEMENT ADEME]]),Invest[[#This Row],[DURÉE D''AMORTISSEMENT COLLECTIVITE]],Invest[[#This Row],[DURÉE D''AMORTISSEMENT ADEME]]))</f>
        <v>0</v>
      </c>
      <c r="T22" s="331" t="str">
        <f>IF(Invest[[#This Row],[ANNEE INVESTISSEMENT]]="","",(Invest[[#This Row],[ANNEE INVESTISSEMENT]])+Invest[[#This Row],[Durée d''amortissement]])</f>
        <v/>
      </c>
      <c r="U22" s="331" t="str">
        <f>IF(OR(Invest[[#This Row],[ANNEE INVESTISSEMENT]]="",Invest[[#This Row],[Montant HT]]=""),"",IF(Invest[[#This Row],[ANNEE INVESTISSEMENT]]&gt;=Annee,"non",IF(Invest[[#This Row],[Fin amortissement]]&gt;=Annee,"oui","non")))</f>
        <v/>
      </c>
      <c r="V22" s="323">
        <f>IF(Invest[[#This Row],[Amortissement en cours]]="oui",Invest[[#This Row],[Montant HT]]/Invest[[#This Row],[Durée d''amortissement]],0)</f>
        <v>0</v>
      </c>
      <c r="W22" s="323">
        <f>IF(AND(Invest[[#This Row],[Amortissement en cours]]="oui",Invest[[#This Row],[VALEUR BRUTE (€TTC)]]&gt;0),Invest[[#This Row],[VALEUR BRUTE (€TTC)]]/Invest[[#This Row],[Durée d''amortissement]],0)</f>
        <v>0</v>
      </c>
      <c r="X22" s="323">
        <f>IF(Invest[[#This Row],[Amortissement TTC]]="","",Invest[[#This Row],[Amortissement TTC]]*Invest[[#This Row],[Taux FCTVA]])</f>
        <v>0</v>
      </c>
      <c r="Y22" s="323" t="str">
        <f>IF(OR(Invest[[#This Row],[Amortissement HT]]=0,Invest[[#This Row],[Amortissement TTC]]=0),"",Invest[[#This Row],[Amortissement TTC]]-Invest[[#This Row],[Amortissement HT]])</f>
        <v/>
      </c>
      <c r="Z22" s="323" t="str">
        <f>IF(Invest[[#This Row],[TVA payée]]="","",IF(Invest[[#This Row],[TVA récupérée]]="",Invest[TVA initiale - FCTVA],Invest[[#This Row],[TVA initiale - FCTVA]]-Invest[[#This Row],[TVA récupérée]]))</f>
        <v/>
      </c>
      <c r="AA22" s="442"/>
      <c r="AB22" s="436"/>
      <c r="AC22" s="403">
        <f>IFERROR(IF(AND(Invest[[#This Row],[Recette / Dépense]]="D",Invest[[#This Row],[Avec emprunt]]="X"),Invest[[#This Row],[Amortissement HT]],"")/SUMIFS(Invest[Amortissement HT],Invest[Recette / Dépense],"D",Invest[Avec emprunt],"X"),0)</f>
        <v>0</v>
      </c>
      <c r="AD22" s="346">
        <f>IFERROR(SUMIF(Fonctionnement[Statut des données],Interet,Fonctionnement[Réalisé pour contrôle CA])*Invest[[#This Row],[Répartition des amortissements]],"")</f>
        <v>0</v>
      </c>
      <c r="AE22" s="346">
        <f>Invest[[#This Row],[Amortissement HT]]+Invest[[#This Row],[Intérêts répartis]]</f>
        <v>0</v>
      </c>
      <c r="AF22" s="346" t="str">
        <f>IF(Invest[[#This Row],[TVA payée]]="","",Invest[[#This Row],[TVA payée]]-Invest[[#This Row],[FCTVA Annualisé]])</f>
        <v/>
      </c>
      <c r="AG22" s="347">
        <f>IF(OR(Invest[[#This Row],[TVA payée]]=0,Invest[[#This Row],[Coefficient de déduction]]=""),0,
Invest[[#This Row],[Coefficient de déduction]]*Invest[[#This Row],[TVA initiale - FCTVA]])</f>
        <v>0</v>
      </c>
    </row>
    <row r="23" spans="1:33" x14ac:dyDescent="0.25">
      <c r="A23" s="413"/>
      <c r="B23" s="414"/>
      <c r="C23" s="415"/>
      <c r="D23" s="416"/>
      <c r="E23" s="417"/>
      <c r="F23" s="417"/>
      <c r="G23" s="417"/>
      <c r="H23" s="417"/>
      <c r="I23" s="417"/>
      <c r="J23" s="418"/>
      <c r="K23" s="418"/>
      <c r="L23" s="410"/>
      <c r="M23" s="411"/>
      <c r="N23" s="297"/>
      <c r="O23" s="289">
        <f>IF(Invest[[#This Row],[Recette / Dépense]]="R",0,IF(Invest[[#This Row],[ANNEE INVESTISSEMENT]]&lt;2014,19.6%,20%))</f>
        <v>0.19600000000000001</v>
      </c>
      <c r="P23" s="290">
        <f>IF(OR(Invest[[#This Row],[Recette / Dépense]]="R",Invest[[#This Row],[Taux de TVA]]=0),0,IF(Invest[[#This Row],[ANNEE INVESTISSEMENT]]&lt;2014,15.482%,IF(Invest[[#This Row],[ANNEE INVESTISSEMENT]]=2014,15.761%,16.404%)))</f>
        <v>0.15481999999999999</v>
      </c>
      <c r="Q23" s="322" t="str">
        <f>IF(OR(AND(Invest[[#This Row],[VALEUR BRUTE (€TTC)]]=0,Invest[[#This Row],[VALEUR BRUTE (€HT)]]=0),Invest[[#This Row],[Statut des données]]=Non_incorp),"",
IF(Invest[[#This Row],[VALEUR BRUTE (€HT)]]=0,
Invest[[#This Row],[VALEUR BRUTE (€TTC)]]/(1+Invest[[#This Row],[Taux de TVA]]),Invest[VALEUR BRUTE (€HT)]))</f>
        <v/>
      </c>
      <c r="R23" s="322" t="str">
        <f>IF(OR(AND(Invest[[#This Row],[VALEUR BRUTE (€TTC)]]=0,Invest[[#This Row],[VALEUR BRUTE (€HT)]]=0),Invest[[#This Row],[Statut des données]]=Non_incorp),"",
Invest[[#This Row],[VALEUR BRUTE (€TTC)]]*Invest[[#This Row],[Taux FCTVA]]*IF(Invest[[#This Row],[Recette / Dépense]]="R",0,1))</f>
        <v/>
      </c>
      <c r="S23" s="326">
        <f>IF(duree_amort="COLLECTIVITE",Invest[[#This Row],[DURÉE D''AMORTISSEMENT COLLECTIVITE]],
IF(ISBLANK(Invest[[#This Row],[DURÉE D''AMORTISSEMENT ADEME]]),Invest[[#This Row],[DURÉE D''AMORTISSEMENT COLLECTIVITE]],Invest[[#This Row],[DURÉE D''AMORTISSEMENT ADEME]]))</f>
        <v>0</v>
      </c>
      <c r="T23" s="330" t="str">
        <f>IF(Invest[[#This Row],[ANNEE INVESTISSEMENT]]="","",(Invest[[#This Row],[ANNEE INVESTISSEMENT]])+Invest[[#This Row],[Durée d''amortissement]])</f>
        <v/>
      </c>
      <c r="U23" s="330" t="str">
        <f>IF(OR(Invest[[#This Row],[ANNEE INVESTISSEMENT]]="",Invest[[#This Row],[Montant HT]]=""),"",IF(Invest[[#This Row],[ANNEE INVESTISSEMENT]]&gt;=Annee,"non",IF(Invest[[#This Row],[Fin amortissement]]&gt;=Annee,"oui","non")))</f>
        <v/>
      </c>
      <c r="V23" s="322">
        <f>IF(Invest[[#This Row],[Amortissement en cours]]="oui",Invest[[#This Row],[Montant HT]]/Invest[[#This Row],[Durée d''amortissement]],0)</f>
        <v>0</v>
      </c>
      <c r="W23" s="322">
        <f>IF(AND(Invest[[#This Row],[Amortissement en cours]]="oui",Invest[[#This Row],[VALEUR BRUTE (€TTC)]]&gt;0),Invest[[#This Row],[VALEUR BRUTE (€TTC)]]/Invest[[#This Row],[Durée d''amortissement]],0)</f>
        <v>0</v>
      </c>
      <c r="X23" s="322">
        <f>IF(Invest[[#This Row],[Amortissement TTC]]="","",Invest[[#This Row],[Amortissement TTC]]*Invest[[#This Row],[Taux FCTVA]])</f>
        <v>0</v>
      </c>
      <c r="Y23" s="322" t="str">
        <f>IF(OR(Invest[[#This Row],[Amortissement HT]]=0,Invest[[#This Row],[Amortissement TTC]]=0),"",Invest[[#This Row],[Amortissement TTC]]-Invest[[#This Row],[Amortissement HT]])</f>
        <v/>
      </c>
      <c r="Z23" s="322" t="str">
        <f>IF(Invest[[#This Row],[TVA payée]]="","",IF(Invest[[#This Row],[TVA récupérée]]="",Invest[TVA initiale - FCTVA],Invest[[#This Row],[TVA initiale - FCTVA]]-Invest[[#This Row],[TVA récupérée]]))</f>
        <v/>
      </c>
      <c r="AA23" s="433"/>
      <c r="AB23" s="435"/>
      <c r="AC23" s="403">
        <f>IFERROR(IF(AND(Invest[[#This Row],[Recette / Dépense]]="D",Invest[[#This Row],[Avec emprunt]]="X"),Invest[[#This Row],[Amortissement HT]],"")/SUMIFS(Invest[Amortissement HT],Invest[Recette / Dépense],"D",Invest[Avec emprunt],"X"),0)</f>
        <v>0</v>
      </c>
      <c r="AD23" s="346">
        <f>IFERROR(SUMIF(Fonctionnement[Statut des données],Interet,Fonctionnement[Réalisé pour contrôle CA])*Invest[[#This Row],[Répartition des amortissements]],"")</f>
        <v>0</v>
      </c>
      <c r="AE23" s="346">
        <f>Invest[[#This Row],[Amortissement HT]]+Invest[[#This Row],[Intérêts répartis]]</f>
        <v>0</v>
      </c>
      <c r="AF23" s="344" t="str">
        <f>IF(Invest[[#This Row],[TVA payée]]="","",Invest[[#This Row],[TVA payée]]-Invest[[#This Row],[FCTVA Annualisé]])</f>
        <v/>
      </c>
      <c r="AG23" s="345">
        <f>IF(OR(Invest[[#This Row],[TVA payée]]=0,Invest[[#This Row],[Coefficient de déduction]]=""),0,
Invest[[#This Row],[Coefficient de déduction]]*Invest[[#This Row],[TVA initiale - FCTVA]])</f>
        <v>0</v>
      </c>
    </row>
    <row r="24" spans="1:33" x14ac:dyDescent="0.25">
      <c r="A24" s="413"/>
      <c r="B24" s="414"/>
      <c r="C24" s="415"/>
      <c r="D24" s="416"/>
      <c r="E24" s="417"/>
      <c r="F24" s="417"/>
      <c r="G24" s="417"/>
      <c r="H24" s="417"/>
      <c r="I24" s="417"/>
      <c r="J24" s="418"/>
      <c r="K24" s="418"/>
      <c r="L24" s="410"/>
      <c r="M24" s="411"/>
      <c r="N24" s="297"/>
      <c r="O24" s="289">
        <f>IF(Invest[[#This Row],[Recette / Dépense]]="R",0,IF(Invest[[#This Row],[ANNEE INVESTISSEMENT]]&lt;2014,19.6%,20%))</f>
        <v>0.19600000000000001</v>
      </c>
      <c r="P24" s="290">
        <f>IF(OR(Invest[[#This Row],[Recette / Dépense]]="R",Invest[[#This Row],[Taux de TVA]]=0),0,IF(Invest[[#This Row],[ANNEE INVESTISSEMENT]]&lt;2014,15.482%,IF(Invest[[#This Row],[ANNEE INVESTISSEMENT]]=2014,15.761%,16.404%)))</f>
        <v>0.15481999999999999</v>
      </c>
      <c r="Q24" s="322" t="str">
        <f>IF(OR(AND(Invest[[#This Row],[VALEUR BRUTE (€TTC)]]=0,Invest[[#This Row],[VALEUR BRUTE (€HT)]]=0),Invest[[#This Row],[Statut des données]]=Non_incorp),"",
IF(Invest[[#This Row],[VALEUR BRUTE (€HT)]]=0,
Invest[[#This Row],[VALEUR BRUTE (€TTC)]]/(1+Invest[[#This Row],[Taux de TVA]]),Invest[VALEUR BRUTE (€HT)]))</f>
        <v/>
      </c>
      <c r="R24" s="322" t="str">
        <f>IF(OR(AND(Invest[[#This Row],[VALEUR BRUTE (€TTC)]]=0,Invest[[#This Row],[VALEUR BRUTE (€HT)]]=0),Invest[[#This Row],[Statut des données]]=Non_incorp),"",
Invest[[#This Row],[VALEUR BRUTE (€TTC)]]*Invest[[#This Row],[Taux FCTVA]]*IF(Invest[[#This Row],[Recette / Dépense]]="R",0,1))</f>
        <v/>
      </c>
      <c r="S24" s="326">
        <f>IF(duree_amort="COLLECTIVITE",Invest[[#This Row],[DURÉE D''AMORTISSEMENT COLLECTIVITE]],
IF(ISBLANK(Invest[[#This Row],[DURÉE D''AMORTISSEMENT ADEME]]),Invest[[#This Row],[DURÉE D''AMORTISSEMENT COLLECTIVITE]],Invest[[#This Row],[DURÉE D''AMORTISSEMENT ADEME]]))</f>
        <v>0</v>
      </c>
      <c r="T24" s="330" t="str">
        <f>IF(Invest[[#This Row],[ANNEE INVESTISSEMENT]]="","",(Invest[[#This Row],[ANNEE INVESTISSEMENT]])+Invest[[#This Row],[Durée d''amortissement]])</f>
        <v/>
      </c>
      <c r="U24" s="330" t="str">
        <f>IF(OR(Invest[[#This Row],[ANNEE INVESTISSEMENT]]="",Invest[[#This Row],[Montant HT]]=""),"",IF(Invest[[#This Row],[ANNEE INVESTISSEMENT]]&gt;=Annee,"non",IF(Invest[[#This Row],[Fin amortissement]]&gt;=Annee,"oui","non")))</f>
        <v/>
      </c>
      <c r="V24" s="322">
        <f>IF(Invest[[#This Row],[Amortissement en cours]]="oui",Invest[[#This Row],[Montant HT]]/Invest[[#This Row],[Durée d''amortissement]],0)</f>
        <v>0</v>
      </c>
      <c r="W24" s="322">
        <f>IF(AND(Invest[[#This Row],[Amortissement en cours]]="oui",Invest[[#This Row],[VALEUR BRUTE (€TTC)]]&gt;0),Invest[[#This Row],[VALEUR BRUTE (€TTC)]]/Invest[[#This Row],[Durée d''amortissement]],0)</f>
        <v>0</v>
      </c>
      <c r="X24" s="322">
        <f>IF(Invest[[#This Row],[Amortissement TTC]]="","",Invest[[#This Row],[Amortissement TTC]]*Invest[[#This Row],[Taux FCTVA]])</f>
        <v>0</v>
      </c>
      <c r="Y24" s="322" t="str">
        <f>IF(OR(Invest[[#This Row],[Amortissement HT]]=0,Invest[[#This Row],[Amortissement TTC]]=0),"",Invest[[#This Row],[Amortissement TTC]]-Invest[[#This Row],[Amortissement HT]])</f>
        <v/>
      </c>
      <c r="Z24" s="322" t="str">
        <f>IF(Invest[[#This Row],[TVA payée]]="","",IF(Invest[[#This Row],[TVA récupérée]]="",Invest[TVA initiale - FCTVA],Invest[[#This Row],[TVA initiale - FCTVA]]-Invest[[#This Row],[TVA récupérée]]))</f>
        <v/>
      </c>
      <c r="AA24" s="433"/>
      <c r="AB24" s="435"/>
      <c r="AC24" s="403">
        <f>IFERROR(IF(AND(Invest[[#This Row],[Recette / Dépense]]="D",Invest[[#This Row],[Avec emprunt]]="X"),Invest[[#This Row],[Amortissement HT]],"")/SUMIFS(Invest[Amortissement HT],Invest[Recette / Dépense],"D",Invest[Avec emprunt],"X"),0)</f>
        <v>0</v>
      </c>
      <c r="AD24" s="346">
        <f>IFERROR(SUMIF(Fonctionnement[Statut des données],Interet,Fonctionnement[Réalisé pour contrôle CA])*Invest[[#This Row],[Répartition des amortissements]],"")</f>
        <v>0</v>
      </c>
      <c r="AE24" s="346">
        <f>Invest[[#This Row],[Amortissement HT]]+Invest[[#This Row],[Intérêts répartis]]</f>
        <v>0</v>
      </c>
      <c r="AF24" s="344" t="str">
        <f>IF(Invest[[#This Row],[TVA payée]]="","",Invest[[#This Row],[TVA payée]]-Invest[[#This Row],[FCTVA Annualisé]])</f>
        <v/>
      </c>
      <c r="AG24" s="345">
        <f>IF(OR(Invest[[#This Row],[TVA payée]]=0,Invest[[#This Row],[Coefficient de déduction]]=""),0,
Invest[[#This Row],[Coefficient de déduction]]*Invest[[#This Row],[TVA initiale - FCTVA]])</f>
        <v>0</v>
      </c>
    </row>
    <row r="25" spans="1:33" x14ac:dyDescent="0.25">
      <c r="A25" s="413"/>
      <c r="B25" s="414"/>
      <c r="C25" s="415"/>
      <c r="D25" s="416"/>
      <c r="E25" s="417"/>
      <c r="F25" s="417"/>
      <c r="G25" s="417"/>
      <c r="H25" s="417"/>
      <c r="I25" s="417"/>
      <c r="J25" s="418"/>
      <c r="K25" s="418"/>
      <c r="L25" s="410"/>
      <c r="M25" s="411"/>
      <c r="N25" s="297"/>
      <c r="O25" s="289">
        <f>IF(Invest[[#This Row],[Recette / Dépense]]="R",0,IF(Invest[[#This Row],[ANNEE INVESTISSEMENT]]&lt;2014,19.6%,20%))</f>
        <v>0.19600000000000001</v>
      </c>
      <c r="P25" s="290">
        <f>IF(OR(Invest[[#This Row],[Recette / Dépense]]="R",Invest[[#This Row],[Taux de TVA]]=0),0,IF(Invest[[#This Row],[ANNEE INVESTISSEMENT]]&lt;2014,15.482%,IF(Invest[[#This Row],[ANNEE INVESTISSEMENT]]=2014,15.761%,16.404%)))</f>
        <v>0.15481999999999999</v>
      </c>
      <c r="Q25" s="322" t="str">
        <f>IF(OR(AND(Invest[[#This Row],[VALEUR BRUTE (€TTC)]]=0,Invest[[#This Row],[VALEUR BRUTE (€HT)]]=0),Invest[[#This Row],[Statut des données]]=Non_incorp),"",
IF(Invest[[#This Row],[VALEUR BRUTE (€HT)]]=0,
Invest[[#This Row],[VALEUR BRUTE (€TTC)]]/(1+Invest[[#This Row],[Taux de TVA]]),Invest[VALEUR BRUTE (€HT)]))</f>
        <v/>
      </c>
      <c r="R25" s="322" t="str">
        <f>IF(OR(AND(Invest[[#This Row],[VALEUR BRUTE (€TTC)]]=0,Invest[[#This Row],[VALEUR BRUTE (€HT)]]=0),Invest[[#This Row],[Statut des données]]=Non_incorp),"",
Invest[[#This Row],[VALEUR BRUTE (€TTC)]]*Invest[[#This Row],[Taux FCTVA]]*IF(Invest[[#This Row],[Recette / Dépense]]="R",0,1))</f>
        <v/>
      </c>
      <c r="S25" s="326">
        <f>IF(duree_amort="COLLECTIVITE",Invest[[#This Row],[DURÉE D''AMORTISSEMENT COLLECTIVITE]],
IF(ISBLANK(Invest[[#This Row],[DURÉE D''AMORTISSEMENT ADEME]]),Invest[[#This Row],[DURÉE D''AMORTISSEMENT COLLECTIVITE]],Invest[[#This Row],[DURÉE D''AMORTISSEMENT ADEME]]))</f>
        <v>0</v>
      </c>
      <c r="T25" s="330" t="str">
        <f>IF(Invest[[#This Row],[ANNEE INVESTISSEMENT]]="","",(Invest[[#This Row],[ANNEE INVESTISSEMENT]])+Invest[[#This Row],[Durée d''amortissement]])</f>
        <v/>
      </c>
      <c r="U25" s="330" t="str">
        <f>IF(OR(Invest[[#This Row],[ANNEE INVESTISSEMENT]]="",Invest[[#This Row],[Montant HT]]=""),"",IF(Invest[[#This Row],[ANNEE INVESTISSEMENT]]&gt;=Annee,"non",IF(Invest[[#This Row],[Fin amortissement]]&gt;=Annee,"oui","non")))</f>
        <v/>
      </c>
      <c r="V25" s="322">
        <f>IF(Invest[[#This Row],[Amortissement en cours]]="oui",Invest[[#This Row],[Montant HT]]/Invest[[#This Row],[Durée d''amortissement]],0)</f>
        <v>0</v>
      </c>
      <c r="W25" s="322">
        <f>IF(AND(Invest[[#This Row],[Amortissement en cours]]="oui",Invest[[#This Row],[VALEUR BRUTE (€TTC)]]&gt;0),Invest[[#This Row],[VALEUR BRUTE (€TTC)]]/Invest[[#This Row],[Durée d''amortissement]],0)</f>
        <v>0</v>
      </c>
      <c r="X25" s="322">
        <f>IF(Invest[[#This Row],[Amortissement TTC]]="","",Invest[[#This Row],[Amortissement TTC]]*Invest[[#This Row],[Taux FCTVA]])</f>
        <v>0</v>
      </c>
      <c r="Y25" s="322" t="str">
        <f>IF(OR(Invest[[#This Row],[Amortissement HT]]=0,Invest[[#This Row],[Amortissement TTC]]=0),"",Invest[[#This Row],[Amortissement TTC]]-Invest[[#This Row],[Amortissement HT]])</f>
        <v/>
      </c>
      <c r="Z25" s="322" t="str">
        <f>IF(Invest[[#This Row],[TVA payée]]="","",IF(Invest[[#This Row],[TVA récupérée]]="",Invest[TVA initiale - FCTVA],Invest[[#This Row],[TVA initiale - FCTVA]]-Invest[[#This Row],[TVA récupérée]]))</f>
        <v/>
      </c>
      <c r="AA25" s="433"/>
      <c r="AB25" s="435"/>
      <c r="AC25" s="403">
        <f>IFERROR(IF(AND(Invest[[#This Row],[Recette / Dépense]]="D",Invest[[#This Row],[Avec emprunt]]="X"),Invest[[#This Row],[Amortissement HT]],"")/SUMIFS(Invest[Amortissement HT],Invest[Recette / Dépense],"D",Invest[Avec emprunt],"X"),0)</f>
        <v>0</v>
      </c>
      <c r="AD25" s="346">
        <f>IFERROR(SUMIF(Fonctionnement[Statut des données],Interet,Fonctionnement[Réalisé pour contrôle CA])*Invest[[#This Row],[Répartition des amortissements]],"")</f>
        <v>0</v>
      </c>
      <c r="AE25" s="346">
        <f>Invest[[#This Row],[Amortissement HT]]+Invest[[#This Row],[Intérêts répartis]]</f>
        <v>0</v>
      </c>
      <c r="AF25" s="344" t="str">
        <f>IF(Invest[[#This Row],[TVA payée]]="","",Invest[[#This Row],[TVA payée]]-Invest[[#This Row],[FCTVA Annualisé]])</f>
        <v/>
      </c>
      <c r="AG25" s="345">
        <f>IF(OR(Invest[[#This Row],[TVA payée]]=0,Invest[[#This Row],[Coefficient de déduction]]=""),0,
Invest[[#This Row],[Coefficient de déduction]]*Invest[[#This Row],[TVA initiale - FCTVA]])</f>
        <v>0</v>
      </c>
    </row>
    <row r="26" spans="1:33" x14ac:dyDescent="0.25">
      <c r="A26" s="413"/>
      <c r="B26" s="414"/>
      <c r="C26" s="415"/>
      <c r="D26" s="416"/>
      <c r="E26" s="417"/>
      <c r="F26" s="417"/>
      <c r="G26" s="417"/>
      <c r="H26" s="417"/>
      <c r="I26" s="417"/>
      <c r="J26" s="418"/>
      <c r="K26" s="418"/>
      <c r="L26" s="410"/>
      <c r="M26" s="411"/>
      <c r="N26" s="297"/>
      <c r="O26" s="289">
        <f>IF(Invest[[#This Row],[Recette / Dépense]]="R",0,IF(Invest[[#This Row],[ANNEE INVESTISSEMENT]]&lt;2014,19.6%,20%))</f>
        <v>0.19600000000000001</v>
      </c>
      <c r="P26" s="290">
        <f>IF(OR(Invest[[#This Row],[Recette / Dépense]]="R",Invest[[#This Row],[Taux de TVA]]=0),0,IF(Invest[[#This Row],[ANNEE INVESTISSEMENT]]&lt;2014,15.482%,IF(Invest[[#This Row],[ANNEE INVESTISSEMENT]]=2014,15.761%,16.404%)))</f>
        <v>0.15481999999999999</v>
      </c>
      <c r="Q26" s="322" t="str">
        <f>IF(OR(AND(Invest[[#This Row],[VALEUR BRUTE (€TTC)]]=0,Invest[[#This Row],[VALEUR BRUTE (€HT)]]=0),Invest[[#This Row],[Statut des données]]=Non_incorp),"",
IF(Invest[[#This Row],[VALEUR BRUTE (€HT)]]=0,
Invest[[#This Row],[VALEUR BRUTE (€TTC)]]/(1+Invest[[#This Row],[Taux de TVA]]),Invest[VALEUR BRUTE (€HT)]))</f>
        <v/>
      </c>
      <c r="R26" s="322" t="str">
        <f>IF(OR(AND(Invest[[#This Row],[VALEUR BRUTE (€TTC)]]=0,Invest[[#This Row],[VALEUR BRUTE (€HT)]]=0),Invest[[#This Row],[Statut des données]]=Non_incorp),"",
Invest[[#This Row],[VALEUR BRUTE (€TTC)]]*Invest[[#This Row],[Taux FCTVA]]*IF(Invest[[#This Row],[Recette / Dépense]]="R",0,1))</f>
        <v/>
      </c>
      <c r="S26" s="326">
        <f>IF(duree_amort="COLLECTIVITE",Invest[[#This Row],[DURÉE D''AMORTISSEMENT COLLECTIVITE]],
IF(ISBLANK(Invest[[#This Row],[DURÉE D''AMORTISSEMENT ADEME]]),Invest[[#This Row],[DURÉE D''AMORTISSEMENT COLLECTIVITE]],Invest[[#This Row],[DURÉE D''AMORTISSEMENT ADEME]]))</f>
        <v>0</v>
      </c>
      <c r="T26" s="330" t="str">
        <f>IF(Invest[[#This Row],[ANNEE INVESTISSEMENT]]="","",(Invest[[#This Row],[ANNEE INVESTISSEMENT]])+Invest[[#This Row],[Durée d''amortissement]])</f>
        <v/>
      </c>
      <c r="U26" s="330" t="str">
        <f>IF(OR(Invest[[#This Row],[ANNEE INVESTISSEMENT]]="",Invest[[#This Row],[Montant HT]]=""),"",IF(Invest[[#This Row],[ANNEE INVESTISSEMENT]]&gt;=Annee,"non",IF(Invest[[#This Row],[Fin amortissement]]&gt;=Annee,"oui","non")))</f>
        <v/>
      </c>
      <c r="V26" s="322">
        <f>IF(Invest[[#This Row],[Amortissement en cours]]="oui",Invest[[#This Row],[Montant HT]]/Invest[[#This Row],[Durée d''amortissement]],0)</f>
        <v>0</v>
      </c>
      <c r="W26" s="322">
        <f>IF(AND(Invest[[#This Row],[Amortissement en cours]]="oui",Invest[[#This Row],[VALEUR BRUTE (€TTC)]]&gt;0),Invest[[#This Row],[VALEUR BRUTE (€TTC)]]/Invest[[#This Row],[Durée d''amortissement]],0)</f>
        <v>0</v>
      </c>
      <c r="X26" s="322">
        <f>IF(Invest[[#This Row],[Amortissement TTC]]="","",Invest[[#This Row],[Amortissement TTC]]*Invest[[#This Row],[Taux FCTVA]])</f>
        <v>0</v>
      </c>
      <c r="Y26" s="322" t="str">
        <f>IF(OR(Invest[[#This Row],[Amortissement HT]]=0,Invest[[#This Row],[Amortissement TTC]]=0),"",Invest[[#This Row],[Amortissement TTC]]-Invest[[#This Row],[Amortissement HT]])</f>
        <v/>
      </c>
      <c r="Z26" s="322" t="str">
        <f>IF(Invest[[#This Row],[TVA payée]]="","",IF(Invest[[#This Row],[TVA récupérée]]="",Invest[TVA initiale - FCTVA],Invest[[#This Row],[TVA initiale - FCTVA]]-Invest[[#This Row],[TVA récupérée]]))</f>
        <v/>
      </c>
      <c r="AA26" s="433"/>
      <c r="AB26" s="435"/>
      <c r="AC26" s="403">
        <f>IFERROR(IF(AND(Invest[[#This Row],[Recette / Dépense]]="D",Invest[[#This Row],[Avec emprunt]]="X"),Invest[[#This Row],[Amortissement HT]],"")/SUMIFS(Invest[Amortissement HT],Invest[Recette / Dépense],"D",Invest[Avec emprunt],"X"),0)</f>
        <v>0</v>
      </c>
      <c r="AD26" s="346">
        <f>IFERROR(SUMIF(Fonctionnement[Statut des données],Interet,Fonctionnement[Réalisé pour contrôle CA])*Invest[[#This Row],[Répartition des amortissements]],"")</f>
        <v>0</v>
      </c>
      <c r="AE26" s="346">
        <f>Invest[[#This Row],[Amortissement HT]]+Invest[[#This Row],[Intérêts répartis]]</f>
        <v>0</v>
      </c>
      <c r="AF26" s="344" t="str">
        <f>IF(Invest[[#This Row],[TVA payée]]="","",Invest[[#This Row],[TVA payée]]-Invest[[#This Row],[FCTVA Annualisé]])</f>
        <v/>
      </c>
      <c r="AG26" s="345">
        <f>IF(OR(Invest[[#This Row],[TVA payée]]=0,Invest[[#This Row],[Coefficient de déduction]]=""),0,
Invest[[#This Row],[Coefficient de déduction]]*Invest[[#This Row],[TVA initiale - FCTVA]])</f>
        <v>0</v>
      </c>
    </row>
    <row r="27" spans="1:33" x14ac:dyDescent="0.25">
      <c r="A27" s="419"/>
      <c r="B27" s="420"/>
      <c r="C27" s="421"/>
      <c r="D27" s="422"/>
      <c r="E27" s="423"/>
      <c r="F27" s="423"/>
      <c r="G27" s="423"/>
      <c r="H27" s="417"/>
      <c r="I27" s="417"/>
      <c r="J27" s="424"/>
      <c r="K27" s="424"/>
      <c r="L27" s="440"/>
      <c r="M27" s="441"/>
      <c r="N27" s="298"/>
      <c r="O27" s="291">
        <f>IF(Invest[[#This Row],[Recette / Dépense]]="R",0,IF(Invest[[#This Row],[ANNEE INVESTISSEMENT]]&lt;2014,19.6%,20%))</f>
        <v>0.19600000000000001</v>
      </c>
      <c r="P27" s="292">
        <f>IF(OR(Invest[[#This Row],[Recette / Dépense]]="R",Invest[[#This Row],[Taux de TVA]]=0),0,IF(Invest[[#This Row],[ANNEE INVESTISSEMENT]]&lt;2014,15.482%,IF(Invest[[#This Row],[ANNEE INVESTISSEMENT]]=2014,15.761%,16.404%)))</f>
        <v>0.15481999999999999</v>
      </c>
      <c r="Q27" s="323" t="str">
        <f>IF(OR(AND(Invest[[#This Row],[VALEUR BRUTE (€TTC)]]=0,Invest[[#This Row],[VALEUR BRUTE (€HT)]]=0),Invest[[#This Row],[Statut des données]]=Non_incorp),"",
IF(Invest[[#This Row],[VALEUR BRUTE (€HT)]]=0,
Invest[[#This Row],[VALEUR BRUTE (€TTC)]]/(1+Invest[[#This Row],[Taux de TVA]]),Invest[VALEUR BRUTE (€HT)]))</f>
        <v/>
      </c>
      <c r="R27" s="323" t="str">
        <f>IF(OR(AND(Invest[[#This Row],[VALEUR BRUTE (€TTC)]]=0,Invest[[#This Row],[VALEUR BRUTE (€HT)]]=0),Invest[[#This Row],[Statut des données]]=Non_incorp),"",
Invest[[#This Row],[VALEUR BRUTE (€TTC)]]*Invest[[#This Row],[Taux FCTVA]]*IF(Invest[[#This Row],[Recette / Dépense]]="R",0,1))</f>
        <v/>
      </c>
      <c r="S27" s="327">
        <f>IF(duree_amort="COLLECTIVITE",Invest[[#This Row],[DURÉE D''AMORTISSEMENT COLLECTIVITE]],
IF(ISBLANK(Invest[[#This Row],[DURÉE D''AMORTISSEMENT ADEME]]),Invest[[#This Row],[DURÉE D''AMORTISSEMENT COLLECTIVITE]],Invest[[#This Row],[DURÉE D''AMORTISSEMENT ADEME]]))</f>
        <v>0</v>
      </c>
      <c r="T27" s="331" t="str">
        <f>IF(Invest[[#This Row],[ANNEE INVESTISSEMENT]]="","",(Invest[[#This Row],[ANNEE INVESTISSEMENT]])+Invest[[#This Row],[Durée d''amortissement]])</f>
        <v/>
      </c>
      <c r="U27" s="331" t="str">
        <f>IF(OR(Invest[[#This Row],[ANNEE INVESTISSEMENT]]="",Invest[[#This Row],[Montant HT]]=""),"",IF(Invest[[#This Row],[ANNEE INVESTISSEMENT]]&gt;=Annee,"non",IF(Invest[[#This Row],[Fin amortissement]]&gt;=Annee,"oui","non")))</f>
        <v/>
      </c>
      <c r="V27" s="323">
        <f>IF(Invest[[#This Row],[Amortissement en cours]]="oui",Invest[[#This Row],[Montant HT]]/Invest[[#This Row],[Durée d''amortissement]],0)</f>
        <v>0</v>
      </c>
      <c r="W27" s="323">
        <f>IF(AND(Invest[[#This Row],[Amortissement en cours]]="oui",Invest[[#This Row],[VALEUR BRUTE (€TTC)]]&gt;0),Invest[[#This Row],[VALEUR BRUTE (€TTC)]]/Invest[[#This Row],[Durée d''amortissement]],0)</f>
        <v>0</v>
      </c>
      <c r="X27" s="323">
        <f>IF(Invest[[#This Row],[Amortissement TTC]]="","",Invest[[#This Row],[Amortissement TTC]]*Invest[[#This Row],[Taux FCTVA]])</f>
        <v>0</v>
      </c>
      <c r="Y27" s="323" t="str">
        <f>IF(OR(Invest[[#This Row],[Amortissement HT]]=0,Invest[[#This Row],[Amortissement TTC]]=0),"",Invest[[#This Row],[Amortissement TTC]]-Invest[[#This Row],[Amortissement HT]])</f>
        <v/>
      </c>
      <c r="Z27" s="323" t="str">
        <f>IF(Invest[[#This Row],[TVA payée]]="","",IF(Invest[[#This Row],[TVA récupérée]]="",Invest[TVA initiale - FCTVA],Invest[[#This Row],[TVA initiale - FCTVA]]-Invest[[#This Row],[TVA récupérée]]))</f>
        <v/>
      </c>
      <c r="AA27" s="442"/>
      <c r="AB27" s="436"/>
      <c r="AC27" s="403">
        <f>IFERROR(IF(AND(Invest[[#This Row],[Recette / Dépense]]="D",Invest[[#This Row],[Avec emprunt]]="X"),Invest[[#This Row],[Amortissement HT]],"")/SUMIFS(Invest[Amortissement HT],Invest[Recette / Dépense],"D",Invest[Avec emprunt],"X"),0)</f>
        <v>0</v>
      </c>
      <c r="AD27" s="346">
        <f>IFERROR(SUMIF(Fonctionnement[Statut des données],Interet,Fonctionnement[Réalisé pour contrôle CA])*Invest[[#This Row],[Répartition des amortissements]],"")</f>
        <v>0</v>
      </c>
      <c r="AE27" s="346">
        <f>Invest[[#This Row],[Amortissement HT]]+Invest[[#This Row],[Intérêts répartis]]</f>
        <v>0</v>
      </c>
      <c r="AF27" s="346" t="str">
        <f>IF(Invest[[#This Row],[TVA payée]]="","",Invest[[#This Row],[TVA payée]]-Invest[[#This Row],[FCTVA Annualisé]])</f>
        <v/>
      </c>
      <c r="AG27" s="347">
        <f>IF(OR(Invest[[#This Row],[TVA payée]]=0,Invest[[#This Row],[Coefficient de déduction]]=""),0,
Invest[[#This Row],[Coefficient de déduction]]*Invest[[#This Row],[TVA initiale - FCTVA]])</f>
        <v>0</v>
      </c>
    </row>
    <row r="28" spans="1:33" x14ac:dyDescent="0.25">
      <c r="A28" s="406"/>
      <c r="B28" s="407"/>
      <c r="C28" s="408"/>
      <c r="D28" s="425"/>
      <c r="E28" s="426"/>
      <c r="F28" s="426"/>
      <c r="G28" s="426"/>
      <c r="H28" s="426"/>
      <c r="I28" s="426"/>
      <c r="J28" s="409"/>
      <c r="K28" s="409"/>
      <c r="L28" s="410"/>
      <c r="M28" s="411"/>
      <c r="N28" s="297"/>
      <c r="O28" s="287">
        <f>IF(Invest[[#This Row],[Recette / Dépense]]="R",0,IF(Invest[[#This Row],[ANNEE INVESTISSEMENT]]&lt;2014,19.6%,20%))</f>
        <v>0.19600000000000001</v>
      </c>
      <c r="P28" s="288">
        <f>IF(OR(Invest[[#This Row],[Recette / Dépense]]="R",Invest[[#This Row],[Taux de TVA]]=0),0,IF(Invest[[#This Row],[ANNEE INVESTISSEMENT]]&lt;2014,15.482%,IF(Invest[[#This Row],[ANNEE INVESTISSEMENT]]=2014,15.761%,16.404%)))</f>
        <v>0.15481999999999999</v>
      </c>
      <c r="Q28" s="321" t="str">
        <f>IF(OR(AND(Invest[[#This Row],[VALEUR BRUTE (€TTC)]]=0,Invest[[#This Row],[VALEUR BRUTE (€HT)]]=0),Invest[[#This Row],[Statut des données]]=Non_incorp),"",
IF(Invest[[#This Row],[VALEUR BRUTE (€HT)]]=0,
Invest[[#This Row],[VALEUR BRUTE (€TTC)]]/(1+Invest[[#This Row],[Taux de TVA]]),Invest[VALEUR BRUTE (€HT)]))</f>
        <v/>
      </c>
      <c r="R28" s="321" t="str">
        <f>IF(OR(AND(Invest[[#This Row],[VALEUR BRUTE (€TTC)]]=0,Invest[[#This Row],[VALEUR BRUTE (€HT)]]=0),Invest[[#This Row],[Statut des données]]=Non_incorp),"",
Invest[[#This Row],[VALEUR BRUTE (€TTC)]]*Invest[[#This Row],[Taux FCTVA]]*IF(Invest[[#This Row],[Recette / Dépense]]="R",0,1))</f>
        <v/>
      </c>
      <c r="S28" s="325">
        <f>IF(duree_amort="COLLECTIVITE",Invest[[#This Row],[DURÉE D''AMORTISSEMENT COLLECTIVITE]],
IF(ISBLANK(Invest[[#This Row],[DURÉE D''AMORTISSEMENT ADEME]]),Invest[[#This Row],[DURÉE D''AMORTISSEMENT COLLECTIVITE]],Invest[[#This Row],[DURÉE D''AMORTISSEMENT ADEME]]))</f>
        <v>0</v>
      </c>
      <c r="T28" s="329" t="str">
        <f>IF(Invest[[#This Row],[ANNEE INVESTISSEMENT]]="","",(Invest[[#This Row],[ANNEE INVESTISSEMENT]])+Invest[[#This Row],[Durée d''amortissement]])</f>
        <v/>
      </c>
      <c r="U28" s="329" t="str">
        <f>IF(OR(Invest[[#This Row],[ANNEE INVESTISSEMENT]]="",Invest[[#This Row],[Montant HT]]=""),"",IF(Invest[[#This Row],[ANNEE INVESTISSEMENT]]&gt;=Annee,"non",IF(Invest[[#This Row],[Fin amortissement]]&gt;=Annee,"oui","non")))</f>
        <v/>
      </c>
      <c r="V28" s="321">
        <f>IF(Invest[[#This Row],[Amortissement en cours]]="oui",Invest[[#This Row],[Montant HT]]/Invest[[#This Row],[Durée d''amortissement]],0)</f>
        <v>0</v>
      </c>
      <c r="W28" s="321">
        <f>IF(AND(Invest[[#This Row],[Amortissement en cours]]="oui",Invest[[#This Row],[VALEUR BRUTE (€TTC)]]&gt;0),Invest[[#This Row],[VALEUR BRUTE (€TTC)]]/Invest[[#This Row],[Durée d''amortissement]],0)</f>
        <v>0</v>
      </c>
      <c r="X28" s="321">
        <f>IF(Invest[[#This Row],[Amortissement TTC]]="","",Invest[[#This Row],[Amortissement TTC]]*Invest[[#This Row],[Taux FCTVA]])</f>
        <v>0</v>
      </c>
      <c r="Y28" s="321" t="str">
        <f>IF(OR(Invest[[#This Row],[Amortissement HT]]=0,Invest[[#This Row],[Amortissement TTC]]=0),"",Invest[[#This Row],[Amortissement TTC]]-Invest[[#This Row],[Amortissement HT]])</f>
        <v/>
      </c>
      <c r="Z28" s="321" t="str">
        <f>IF(Invest[[#This Row],[TVA payée]]="","",IF(Invest[[#This Row],[TVA récupérée]]="",Invest[TVA initiale - FCTVA],Invest[[#This Row],[TVA initiale - FCTVA]]-Invest[[#This Row],[TVA récupérée]]))</f>
        <v/>
      </c>
      <c r="AA28" s="433"/>
      <c r="AB28" s="437"/>
      <c r="AC28" s="439">
        <f>IFERROR(IF(AND(Invest[[#This Row],[Recette / Dépense]]="D",Invest[[#This Row],[Avec emprunt]]="X"),Invest[[#This Row],[Amortissement HT]],"")/SUMIFS(Invest[Amortissement HT],Invest[Recette / Dépense],"D",Invest[Avec emprunt],"X"),0)</f>
        <v>0</v>
      </c>
      <c r="AD28" s="349">
        <f>IFERROR(SUMIF(Fonctionnement[Statut des données],Interet,Fonctionnement[Réalisé pour contrôle CA])*Invest[[#This Row],[Répartition des amortissements]],"")</f>
        <v>0</v>
      </c>
      <c r="AE28" s="349">
        <f>Invest[[#This Row],[Amortissement HT]]+Invest[[#This Row],[Intérêts répartis]]</f>
        <v>0</v>
      </c>
      <c r="AF28" s="343" t="str">
        <f>IF(Invest[[#This Row],[TVA payée]]="","",Invest[[#This Row],[TVA payée]]-Invest[[#This Row],[FCTVA Annualisé]])</f>
        <v/>
      </c>
      <c r="AG28" s="348">
        <f>IF(OR(Invest[[#This Row],[TVA payée]]=0,Invest[[#This Row],[Coefficient de déduction]]=""),0,
Invest[[#This Row],[Coefficient de déduction]]*Invest[[#This Row],[TVA initiale - FCTVA]])</f>
        <v>0</v>
      </c>
    </row>
    <row r="29" spans="1:33" x14ac:dyDescent="0.25">
      <c r="A29" s="406"/>
      <c r="B29" s="407"/>
      <c r="C29" s="408"/>
      <c r="D29" s="425"/>
      <c r="E29" s="426"/>
      <c r="F29" s="426"/>
      <c r="G29" s="426"/>
      <c r="H29" s="426"/>
      <c r="I29" s="426"/>
      <c r="J29" s="409"/>
      <c r="K29" s="409"/>
      <c r="L29" s="410"/>
      <c r="M29" s="411"/>
      <c r="N29" s="297"/>
      <c r="O29" s="287">
        <f>IF(Invest[[#This Row],[Recette / Dépense]]="R",0,IF(Invest[[#This Row],[ANNEE INVESTISSEMENT]]&lt;2014,19.6%,20%))</f>
        <v>0.19600000000000001</v>
      </c>
      <c r="P29" s="288">
        <f>IF(OR(Invest[[#This Row],[Recette / Dépense]]="R",Invest[[#This Row],[Taux de TVA]]=0),0,IF(Invest[[#This Row],[ANNEE INVESTISSEMENT]]&lt;2014,15.482%,IF(Invest[[#This Row],[ANNEE INVESTISSEMENT]]=2014,15.761%,16.404%)))</f>
        <v>0.15481999999999999</v>
      </c>
      <c r="Q29" s="321" t="str">
        <f>IF(OR(AND(Invest[[#This Row],[VALEUR BRUTE (€TTC)]]=0,Invest[[#This Row],[VALEUR BRUTE (€HT)]]=0),Invest[[#This Row],[Statut des données]]=Non_incorp),"",
IF(Invest[[#This Row],[VALEUR BRUTE (€HT)]]=0,
Invest[[#This Row],[VALEUR BRUTE (€TTC)]]/(1+Invest[[#This Row],[Taux de TVA]]),Invest[VALEUR BRUTE (€HT)]))</f>
        <v/>
      </c>
      <c r="R29" s="321" t="str">
        <f>IF(OR(AND(Invest[[#This Row],[VALEUR BRUTE (€TTC)]]=0,Invest[[#This Row],[VALEUR BRUTE (€HT)]]=0),Invest[[#This Row],[Statut des données]]=Non_incorp),"",
Invest[[#This Row],[VALEUR BRUTE (€TTC)]]*Invest[[#This Row],[Taux FCTVA]]*IF(Invest[[#This Row],[Recette / Dépense]]="R",0,1))</f>
        <v/>
      </c>
      <c r="S29" s="325">
        <f>IF(duree_amort="COLLECTIVITE",Invest[[#This Row],[DURÉE D''AMORTISSEMENT COLLECTIVITE]],
IF(ISBLANK(Invest[[#This Row],[DURÉE D''AMORTISSEMENT ADEME]]),Invest[[#This Row],[DURÉE D''AMORTISSEMENT COLLECTIVITE]],Invest[[#This Row],[DURÉE D''AMORTISSEMENT ADEME]]))</f>
        <v>0</v>
      </c>
      <c r="T29" s="329" t="str">
        <f>IF(Invest[[#This Row],[ANNEE INVESTISSEMENT]]="","",(Invest[[#This Row],[ANNEE INVESTISSEMENT]])+Invest[[#This Row],[Durée d''amortissement]])</f>
        <v/>
      </c>
      <c r="U29" s="329" t="str">
        <f>IF(OR(Invest[[#This Row],[ANNEE INVESTISSEMENT]]="",Invest[[#This Row],[Montant HT]]=""),"",IF(Invest[[#This Row],[ANNEE INVESTISSEMENT]]&gt;=Annee,"non",IF(Invest[[#This Row],[Fin amortissement]]&gt;=Annee,"oui","non")))</f>
        <v/>
      </c>
      <c r="V29" s="321">
        <f>IF(Invest[[#This Row],[Amortissement en cours]]="oui",Invest[[#This Row],[Montant HT]]/Invest[[#This Row],[Durée d''amortissement]],0)</f>
        <v>0</v>
      </c>
      <c r="W29" s="321">
        <f>IF(AND(Invest[[#This Row],[Amortissement en cours]]="oui",Invest[[#This Row],[VALEUR BRUTE (€TTC)]]&gt;0),Invest[[#This Row],[VALEUR BRUTE (€TTC)]]/Invest[[#This Row],[Durée d''amortissement]],0)</f>
        <v>0</v>
      </c>
      <c r="X29" s="321">
        <f>IF(Invest[[#This Row],[Amortissement TTC]]="","",Invest[[#This Row],[Amortissement TTC]]*Invest[[#This Row],[Taux FCTVA]])</f>
        <v>0</v>
      </c>
      <c r="Y29" s="321" t="str">
        <f>IF(OR(Invest[[#This Row],[Amortissement HT]]=0,Invest[[#This Row],[Amortissement TTC]]=0),"",Invest[[#This Row],[Amortissement TTC]]-Invest[[#This Row],[Amortissement HT]])</f>
        <v/>
      </c>
      <c r="Z29" s="321" t="str">
        <f>IF(Invest[[#This Row],[TVA payée]]="","",IF(Invest[[#This Row],[TVA récupérée]]="",Invest[TVA initiale - FCTVA],Invest[[#This Row],[TVA initiale - FCTVA]]-Invest[[#This Row],[TVA récupérée]]))</f>
        <v/>
      </c>
      <c r="AA29" s="433"/>
      <c r="AB29" s="437"/>
      <c r="AC29" s="439">
        <f>IFERROR(IF(AND(Invest[[#This Row],[Recette / Dépense]]="D",Invest[[#This Row],[Avec emprunt]]="X"),Invest[[#This Row],[Amortissement HT]],"")/SUMIFS(Invest[Amortissement HT],Invest[Recette / Dépense],"D",Invest[Avec emprunt],"X"),0)</f>
        <v>0</v>
      </c>
      <c r="AD29" s="349">
        <f>IFERROR(SUMIF(Fonctionnement[Statut des données],Interet,Fonctionnement[Réalisé pour contrôle CA])*Invest[[#This Row],[Répartition des amortissements]],"")</f>
        <v>0</v>
      </c>
      <c r="AE29" s="349">
        <f>Invest[[#This Row],[Amortissement HT]]+Invest[[#This Row],[Intérêts répartis]]</f>
        <v>0</v>
      </c>
      <c r="AF29" s="343" t="str">
        <f>IF(Invest[[#This Row],[TVA payée]]="","",Invest[[#This Row],[TVA payée]]-Invest[[#This Row],[FCTVA Annualisé]])</f>
        <v/>
      </c>
      <c r="AG29" s="348">
        <f>IF(OR(Invest[[#This Row],[TVA payée]]=0,Invest[[#This Row],[Coefficient de déduction]]=""),0,
Invest[[#This Row],[Coefficient de déduction]]*Invest[[#This Row],[TVA initiale - FCTVA]])</f>
        <v>0</v>
      </c>
    </row>
    <row r="30" spans="1:33" x14ac:dyDescent="0.25">
      <c r="A30" s="427"/>
      <c r="B30" s="428"/>
      <c r="C30" s="429"/>
      <c r="D30" s="430"/>
      <c r="E30" s="431"/>
      <c r="F30" s="431"/>
      <c r="G30" s="431"/>
      <c r="H30" s="431"/>
      <c r="I30" s="431"/>
      <c r="J30" s="432"/>
      <c r="K30" s="432"/>
      <c r="L30" s="440"/>
      <c r="M30" s="441"/>
      <c r="N30" s="298"/>
      <c r="O30" s="293">
        <f>IF(Invest[[#This Row],[Recette / Dépense]]="R",0,IF(Invest[[#This Row],[ANNEE INVESTISSEMENT]]&lt;2014,19.6%,20%))</f>
        <v>0.19600000000000001</v>
      </c>
      <c r="P30" s="294">
        <f>IF(OR(Invest[[#This Row],[Recette / Dépense]]="R",Invest[[#This Row],[Taux de TVA]]=0),0,IF(Invest[[#This Row],[ANNEE INVESTISSEMENT]]&lt;2014,15.482%,IF(Invest[[#This Row],[ANNEE INVESTISSEMENT]]=2014,15.761%,16.404%)))</f>
        <v>0.15481999999999999</v>
      </c>
      <c r="Q30" s="324" t="str">
        <f>IF(OR(AND(Invest[[#This Row],[VALEUR BRUTE (€TTC)]]=0,Invest[[#This Row],[VALEUR BRUTE (€HT)]]=0),Invest[[#This Row],[Statut des données]]=Non_incorp),"",
IF(Invest[[#This Row],[VALEUR BRUTE (€HT)]]=0,
Invest[[#This Row],[VALEUR BRUTE (€TTC)]]/(1+Invest[[#This Row],[Taux de TVA]]),Invest[VALEUR BRUTE (€HT)]))</f>
        <v/>
      </c>
      <c r="R30" s="324" t="str">
        <f>IF(OR(AND(Invest[[#This Row],[VALEUR BRUTE (€TTC)]]=0,Invest[[#This Row],[VALEUR BRUTE (€HT)]]=0),Invest[[#This Row],[Statut des données]]=Non_incorp),"",
Invest[[#This Row],[VALEUR BRUTE (€TTC)]]*Invest[[#This Row],[Taux FCTVA]]*IF(Invest[[#This Row],[Recette / Dépense]]="R",0,1))</f>
        <v/>
      </c>
      <c r="S30" s="328">
        <f>IF(duree_amort="COLLECTIVITE",Invest[[#This Row],[DURÉE D''AMORTISSEMENT COLLECTIVITE]],
IF(ISBLANK(Invest[[#This Row],[DURÉE D''AMORTISSEMENT ADEME]]),Invest[[#This Row],[DURÉE D''AMORTISSEMENT COLLECTIVITE]],Invest[[#This Row],[DURÉE D''AMORTISSEMENT ADEME]]))</f>
        <v>0</v>
      </c>
      <c r="T30" s="332" t="str">
        <f>IF(Invest[[#This Row],[ANNEE INVESTISSEMENT]]="","",(Invest[[#This Row],[ANNEE INVESTISSEMENT]])+Invest[[#This Row],[Durée d''amortissement]])</f>
        <v/>
      </c>
      <c r="U30" s="332" t="str">
        <f>IF(OR(Invest[[#This Row],[ANNEE INVESTISSEMENT]]="",Invest[[#This Row],[Montant HT]]=""),"",IF(Invest[[#This Row],[ANNEE INVESTISSEMENT]]&gt;=Annee,"non",IF(Invest[[#This Row],[Fin amortissement]]&gt;=Annee,"oui","non")))</f>
        <v/>
      </c>
      <c r="V30" s="324">
        <f>IF(Invest[[#This Row],[Amortissement en cours]]="oui",Invest[[#This Row],[Montant HT]]/Invest[[#This Row],[Durée d''amortissement]],0)</f>
        <v>0</v>
      </c>
      <c r="W30" s="324">
        <f>IF(AND(Invest[[#This Row],[Amortissement en cours]]="oui",Invest[[#This Row],[VALEUR BRUTE (€TTC)]]&gt;0),Invest[[#This Row],[VALEUR BRUTE (€TTC)]]/Invest[[#This Row],[Durée d''amortissement]],0)</f>
        <v>0</v>
      </c>
      <c r="X30" s="324">
        <f>IF(Invest[[#This Row],[Amortissement TTC]]="","",Invest[[#This Row],[Amortissement TTC]]*Invest[[#This Row],[Taux FCTVA]])</f>
        <v>0</v>
      </c>
      <c r="Y30" s="324" t="str">
        <f>IF(OR(Invest[[#This Row],[Amortissement HT]]=0,Invest[[#This Row],[Amortissement TTC]]=0),"",Invest[[#This Row],[Amortissement TTC]]-Invest[[#This Row],[Amortissement HT]])</f>
        <v/>
      </c>
      <c r="Z30" s="324" t="str">
        <f>IF(Invest[[#This Row],[TVA payée]]="","",IF(Invest[[#This Row],[TVA récupérée]]="",Invest[TVA initiale - FCTVA],Invest[[#This Row],[TVA initiale - FCTVA]]-Invest[[#This Row],[TVA récupérée]]))</f>
        <v/>
      </c>
      <c r="AA30" s="442"/>
      <c r="AB30" s="438"/>
      <c r="AC30" s="439">
        <f>IFERROR(IF(AND(Invest[[#This Row],[Recette / Dépense]]="D",Invest[[#This Row],[Avec emprunt]]="X"),Invest[[#This Row],[Amortissement HT]],"")/SUMIFS(Invest[Amortissement HT],Invest[Recette / Dépense],"D",Invest[Avec emprunt],"X"),0)</f>
        <v>0</v>
      </c>
      <c r="AD30" s="349">
        <f>IFERROR(SUMIF(Fonctionnement[Statut des données],Interet,Fonctionnement[Réalisé pour contrôle CA])*Invest[[#This Row],[Répartition des amortissements]],"")</f>
        <v>0</v>
      </c>
      <c r="AE30" s="349">
        <f>Invest[[#This Row],[Amortissement HT]]+Invest[[#This Row],[Intérêts répartis]]</f>
        <v>0</v>
      </c>
      <c r="AF30" s="349" t="str">
        <f>IF(Invest[[#This Row],[TVA payée]]="","",Invest[[#This Row],[TVA payée]]-Invest[[#This Row],[FCTVA Annualisé]])</f>
        <v/>
      </c>
      <c r="AG30" s="350">
        <f>IF(OR(Invest[[#This Row],[TVA payée]]=0,Invest[[#This Row],[Coefficient de déduction]]=""),0,
Invest[[#This Row],[Coefficient de déduction]]*Invest[[#This Row],[TVA initiale - FCTVA]])</f>
        <v>0</v>
      </c>
    </row>
  </sheetData>
  <phoneticPr fontId="0" type="noConversion"/>
  <conditionalFormatting sqref="M6:M30">
    <cfRule type="expression" dxfId="45" priority="4">
      <formula>AND(M6=0,J6+K6&lt;&gt;0)</formula>
    </cfRule>
  </conditionalFormatting>
  <conditionalFormatting sqref="L6:L30">
    <cfRule type="expression" dxfId="44" priority="3">
      <formula>AND(L6=0,J6+K6&lt;&gt;0)</formula>
    </cfRule>
  </conditionalFormatting>
  <conditionalFormatting sqref="N6:N30">
    <cfRule type="expression" dxfId="43" priority="2">
      <formula>AND(N6=0,OR(M6="Incorporable",M6="Supplétif"))</formula>
    </cfRule>
  </conditionalFormatting>
  <conditionalFormatting sqref="F3">
    <cfRule type="expression" dxfId="42" priority="1">
      <formula>AND(F3=0,D3+E3&lt;&gt;0)</formula>
    </cfRule>
  </conditionalFormatting>
  <dataValidations count="5">
    <dataValidation type="list" allowBlank="1" showInputMessage="1" showErrorMessage="1" sqref="M6:M30" xr:uid="{00000000-0002-0000-1500-000000000000}">
      <formula1>"Incorporable,Non incorporable,Supplétif"</formula1>
    </dataValidation>
    <dataValidation type="list" allowBlank="1" showInputMessage="1" showErrorMessage="1" sqref="N6:N30" xr:uid="{00000000-0002-0000-1500-000001000000}">
      <formula1>OFFSET(CODE_1,0,0,COUNTA(CODE),1)</formula1>
    </dataValidation>
    <dataValidation type="list" allowBlank="1" showInputMessage="1" showErrorMessage="1" sqref="L6:L30" xr:uid="{00000000-0002-0000-1500-000002000000}">
      <formula1>"D,R"</formula1>
    </dataValidation>
    <dataValidation type="list" allowBlank="1" showInputMessage="1" showErrorMessage="1" sqref="F3" xr:uid="{00000000-0002-0000-1500-000003000000}">
      <formula1>"ADEME,COLLECTIVITE"</formula1>
    </dataValidation>
    <dataValidation type="list" allowBlank="1" showInputMessage="1" showErrorMessage="1" sqref="AA6:AA30" xr:uid="{00000000-0002-0000-1500-000004000000}">
      <formula1>"X"</formula1>
    </dataValidation>
  </dataValidations>
  <pageMargins left="0.70866141732283472" right="0.70866141732283472" top="0.74803149606299213" bottom="0.74803149606299213" header="0.31496062992125984" footer="0.31496062992125984"/>
  <pageSetup paperSize="9" orientation="portrait" r:id="rId2"/>
  <legacyDrawing r:id="rId3"/>
  <tableParts count="1">
    <tablePart r:id="rId4"/>
  </tablePar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4">
    <tabColor rgb="FF92D050"/>
  </sheetPr>
  <dimension ref="A1:M29"/>
  <sheetViews>
    <sheetView showGridLines="0" zoomScaleNormal="100" workbookViewId="0">
      <selection activeCell="B9" sqref="B9"/>
    </sheetView>
  </sheetViews>
  <sheetFormatPr baseColWidth="10" defaultColWidth="11.44140625" defaultRowHeight="13.2" x14ac:dyDescent="0.25"/>
  <cols>
    <col min="1" max="1" width="40.6640625" style="137" customWidth="1"/>
    <col min="2" max="3" width="30.88671875" style="137" customWidth="1"/>
    <col min="4" max="4" width="54.6640625" style="137" customWidth="1"/>
    <col min="5" max="5" width="18.33203125" style="137" customWidth="1"/>
    <col min="6" max="6" width="24.109375" style="137" customWidth="1"/>
    <col min="7" max="7" width="24.88671875" style="137" bestFit="1" customWidth="1"/>
    <col min="8" max="8" width="24.109375" style="137" bestFit="1" customWidth="1"/>
    <col min="9" max="9" width="24.88671875" style="137" customWidth="1"/>
    <col min="10" max="10" width="24.109375" style="137" customWidth="1"/>
    <col min="11" max="11" width="24.88671875" style="137" customWidth="1"/>
    <col min="12" max="12" width="6" style="137" customWidth="1"/>
    <col min="13" max="13" width="11.109375" style="137" customWidth="1"/>
    <col min="14" max="14" width="11.44140625" style="137"/>
    <col min="15" max="15" width="19.88671875" style="137" customWidth="1"/>
    <col min="16" max="16" width="26.33203125" style="137" customWidth="1"/>
    <col min="17" max="16384" width="11.44140625" style="137"/>
  </cols>
  <sheetData>
    <row r="1" spans="1:13" ht="21" x14ac:dyDescent="0.25">
      <c r="A1" s="138" t="s">
        <v>1215</v>
      </c>
      <c r="B1" s="135"/>
      <c r="C1" s="135"/>
      <c r="D1" s="135"/>
      <c r="E1" s="135"/>
      <c r="F1" s="136"/>
      <c r="G1" s="135"/>
      <c r="H1" s="135"/>
    </row>
    <row r="2" spans="1:13" ht="12" customHeight="1" x14ac:dyDescent="0.25"/>
    <row r="3" spans="1:13" ht="18" customHeight="1" x14ac:dyDescent="0.3">
      <c r="A3" s="139" t="s">
        <v>0</v>
      </c>
      <c r="B3" s="16"/>
      <c r="C3" s="16"/>
      <c r="D3" s="16"/>
    </row>
    <row r="4" spans="1:13" ht="29.25" customHeight="1" x14ac:dyDescent="0.3">
      <c r="A4" s="141"/>
      <c r="B4" s="147" t="s">
        <v>1216</v>
      </c>
      <c r="C4" s="147" t="s">
        <v>1217</v>
      </c>
      <c r="D4" s="140" t="s">
        <v>1218</v>
      </c>
    </row>
    <row r="5" spans="1:13" ht="29.25" customHeight="1" x14ac:dyDescent="0.25">
      <c r="A5" s="44" t="s">
        <v>1219</v>
      </c>
      <c r="B5" s="145">
        <f>SUMIFS(Fonctionnement[Réalisé pour contrôle CA],Fonctionnement[Recette / Dépense],"D",Fonctionnement[Source d''information],"Grand livre")</f>
        <v>0</v>
      </c>
      <c r="C5" s="142">
        <f>Total_charges+SUM('2 - Matrice finale'!AA44:AA52)</f>
        <v>0</v>
      </c>
      <c r="D5" s="144"/>
    </row>
    <row r="6" spans="1:13" ht="60" customHeight="1" x14ac:dyDescent="0.25">
      <c r="A6" s="44"/>
      <c r="B6" s="147" t="s">
        <v>1220</v>
      </c>
      <c r="C6" s="147" t="s">
        <v>1221</v>
      </c>
      <c r="D6" s="144"/>
    </row>
    <row r="7" spans="1:13" ht="29.25" customHeight="1" x14ac:dyDescent="0.25">
      <c r="A7" s="44" t="s">
        <v>1222</v>
      </c>
      <c r="B7" s="146">
        <f>SUMIFS(Fonctionnement[Réalisé pour contrôle CA],Fonctionnement[Recette / Dépense],"D",Fonctionnement[Statut des données],Non_incorp)</f>
        <v>0</v>
      </c>
      <c r="C7" s="143"/>
      <c r="D7" s="118"/>
    </row>
    <row r="8" spans="1:13" ht="29.25" customHeight="1" x14ac:dyDescent="0.25">
      <c r="A8" s="44" t="s">
        <v>1223</v>
      </c>
      <c r="B8" s="146">
        <f>SUMIFS(Fonctionnement[Réalisé pour contrôle CA],Fonctionnement[Recette / Dépense],"D",Fonctionnement[Statut des données],Att_produit)</f>
        <v>0</v>
      </c>
      <c r="C8" s="143"/>
      <c r="D8" s="118"/>
    </row>
    <row r="9" spans="1:13" ht="29.25" customHeight="1" x14ac:dyDescent="0.25">
      <c r="A9" s="44" t="s">
        <v>1224</v>
      </c>
      <c r="B9" s="146">
        <f>SUMIFS(Fonctionnement[TVA initiale],Fonctionnement[Statut des données],Incorp,Fonctionnement[Recette / Dépense],"D")
+SUMIFS(Fonctionnement[TVA initiale],Fonctionnement[Statut des données],Amort,Fonctionnement[Recette / Dépense],"D")</f>
        <v>0</v>
      </c>
      <c r="C9" s="143"/>
      <c r="D9" s="118"/>
    </row>
    <row r="10" spans="1:13" ht="29.25" customHeight="1" x14ac:dyDescent="0.25">
      <c r="A10" s="44" t="s">
        <v>1225</v>
      </c>
      <c r="B10" s="143"/>
      <c r="C10" s="146">
        <f>SUMIF(Fonctionnement[Statut des données],Att_charge,Fonctionnement[Montant (€HT)])</f>
        <v>0</v>
      </c>
      <c r="D10" s="118"/>
    </row>
    <row r="11" spans="1:13" ht="29.25" customHeight="1" x14ac:dyDescent="0.25">
      <c r="A11" s="44" t="s">
        <v>1226</v>
      </c>
      <c r="B11" s="143"/>
      <c r="C11" s="146">
        <f>SUMIFS(Fonctionnement[Montant (€HT)],Fonctionnement[Recette / Dépense],"D",Fonctionnement[Statut des données],Supplétif)</f>
        <v>0</v>
      </c>
      <c r="D11" s="118"/>
    </row>
    <row r="12" spans="1:13" ht="29.25" customHeight="1" x14ac:dyDescent="0.25">
      <c r="A12" s="44" t="s">
        <v>1227</v>
      </c>
      <c r="B12" s="146">
        <f>SUMIF(Fonctionnement[Statut des données],Amort_extrac,Fonctionnement[Réalisé pour contrôle CA])</f>
        <v>0</v>
      </c>
      <c r="C12" s="146">
        <f>SUMIFS(Invest[Amortissement HT],Invest[Recette / Dépense],"D",Invest[Statut des données],Supplétif)
+SUMIFS(Invest[Amortissement HT],Invest[Recette / Dépense],"D",Invest[Statut des données],Incorp)</f>
        <v>0</v>
      </c>
      <c r="D12" s="118"/>
      <c r="F12" s="7"/>
    </row>
    <row r="13" spans="1:13" ht="29.25" customHeight="1" x14ac:dyDescent="0.25">
      <c r="A13" s="44" t="s">
        <v>1101</v>
      </c>
      <c r="B13" s="754">
        <f>B5-SUM(B7:B12)+SUM(C7:C12)</f>
        <v>0</v>
      </c>
      <c r="C13" s="754"/>
      <c r="D13" s="118"/>
      <c r="F13" s="7"/>
    </row>
    <row r="14" spans="1:13" ht="29.25" customHeight="1" x14ac:dyDescent="0.25">
      <c r="A14" s="44" t="s">
        <v>1228</v>
      </c>
      <c r="B14" s="143"/>
      <c r="C14" s="145">
        <f>C5-B13</f>
        <v>0</v>
      </c>
      <c r="D14" s="118"/>
    </row>
    <row r="15" spans="1:13" ht="29.25" customHeight="1" x14ac:dyDescent="0.3">
      <c r="A15" s="139" t="s">
        <v>1229</v>
      </c>
      <c r="B15" s="16"/>
      <c r="C15" s="16"/>
      <c r="D15" s="16"/>
      <c r="F15" s="7"/>
      <c r="G15" s="7"/>
      <c r="H15" s="7"/>
      <c r="I15" s="7"/>
      <c r="J15" s="7"/>
      <c r="K15" s="7"/>
      <c r="L15" s="7"/>
      <c r="M15" s="7"/>
    </row>
    <row r="16" spans="1:13" ht="29.25" customHeight="1" x14ac:dyDescent="0.3">
      <c r="A16" s="141"/>
      <c r="B16" s="147" t="s">
        <v>1216</v>
      </c>
      <c r="C16" s="147" t="s">
        <v>1217</v>
      </c>
      <c r="D16" s="140" t="s">
        <v>1218</v>
      </c>
      <c r="F16" s="7"/>
      <c r="G16" s="7"/>
      <c r="H16" s="7"/>
      <c r="I16" s="7"/>
      <c r="J16" s="7"/>
      <c r="K16" s="7"/>
      <c r="L16" s="7"/>
      <c r="M16" s="7"/>
    </row>
    <row r="17" spans="1:13" ht="29.25" customHeight="1" x14ac:dyDescent="0.25">
      <c r="A17" s="44" t="s">
        <v>1230</v>
      </c>
      <c r="B17" s="146">
        <f>SUMIFS(Fonctionnement[Réalisé pour contrôle CA],Fonctionnement[Recette / Dépense],"R",Fonctionnement[Source d''information],"Grand livre")</f>
        <v>0</v>
      </c>
      <c r="C17" s="142">
        <f>Total_produits+Total_contributions</f>
        <v>0</v>
      </c>
      <c r="D17" s="144"/>
      <c r="F17" s="7"/>
      <c r="G17" s="7"/>
      <c r="H17" s="7"/>
      <c r="I17" s="7"/>
      <c r="J17" s="7"/>
      <c r="K17" s="7"/>
      <c r="L17" s="7"/>
      <c r="M17" s="7"/>
    </row>
    <row r="18" spans="1:13" ht="44.25" customHeight="1" x14ac:dyDescent="0.25">
      <c r="A18" s="44"/>
      <c r="B18" s="211" t="s">
        <v>1231</v>
      </c>
      <c r="C18" s="211" t="s">
        <v>1232</v>
      </c>
      <c r="D18" s="144"/>
      <c r="F18" s="7"/>
      <c r="G18" s="7"/>
      <c r="H18" s="7"/>
      <c r="I18" s="7"/>
      <c r="J18" s="7"/>
      <c r="K18" s="7"/>
      <c r="L18" s="7"/>
      <c r="M18" s="7"/>
    </row>
    <row r="19" spans="1:13" ht="29.25" customHeight="1" x14ac:dyDescent="0.25">
      <c r="A19" s="44" t="s">
        <v>1223</v>
      </c>
      <c r="B19" s="143"/>
      <c r="C19" s="146">
        <f>SUMIF(Fonctionnement[Statut des données],Att_produit,Fonctionnement[Montant (€HT)])</f>
        <v>0</v>
      </c>
      <c r="D19" s="118"/>
      <c r="F19" s="7"/>
      <c r="G19" s="7"/>
      <c r="H19" s="7"/>
      <c r="I19" s="7"/>
      <c r="J19" s="7"/>
      <c r="K19" s="7"/>
      <c r="L19" s="7"/>
      <c r="M19" s="7"/>
    </row>
    <row r="20" spans="1:13" ht="29.25" customHeight="1" x14ac:dyDescent="0.25">
      <c r="A20" s="44" t="s">
        <v>1233</v>
      </c>
      <c r="B20" s="146">
        <f>SUMIFS(Fonctionnement[Réalisé pour contrôle CA],Fonctionnement[Recette / Dépense],"R",Fonctionnement[Statut des données],Non_incorp)</f>
        <v>0</v>
      </c>
      <c r="C20" s="143"/>
      <c r="D20" s="118"/>
      <c r="F20" s="7"/>
      <c r="G20" s="7"/>
      <c r="H20" s="7"/>
      <c r="I20" s="7"/>
      <c r="J20" s="7"/>
      <c r="K20" s="7"/>
      <c r="L20" s="7"/>
      <c r="M20" s="7"/>
    </row>
    <row r="21" spans="1:13" ht="29.25" customHeight="1" x14ac:dyDescent="0.25">
      <c r="A21" s="44" t="s">
        <v>1225</v>
      </c>
      <c r="B21" s="146">
        <f>SUMIFS(Fonctionnement[Réalisé pour contrôle CA],Fonctionnement[Recette / Dépense],"R",Fonctionnement[Statut des données],Att_charge)</f>
        <v>0</v>
      </c>
      <c r="C21" s="143"/>
      <c r="D21" s="118"/>
      <c r="F21" s="7"/>
      <c r="G21" s="7"/>
      <c r="H21" s="7"/>
      <c r="I21" s="7"/>
      <c r="J21" s="7"/>
      <c r="K21" s="7"/>
      <c r="L21" s="7"/>
      <c r="M21" s="7"/>
    </row>
    <row r="22" spans="1:13" ht="29.25" customHeight="1" x14ac:dyDescent="0.25">
      <c r="A22" s="44" t="s">
        <v>1224</v>
      </c>
      <c r="B22" s="146">
        <f>SUMIFS(Fonctionnement[TVA initiale],Fonctionnement[Statut des données],Incorp,Fonctionnement[Recette / Dépense],"R")</f>
        <v>0</v>
      </c>
      <c r="C22" s="143"/>
      <c r="D22" s="118"/>
      <c r="F22" s="7"/>
      <c r="G22" s="7"/>
      <c r="H22" s="7"/>
      <c r="I22" s="7"/>
      <c r="J22" s="7"/>
      <c r="K22" s="7"/>
      <c r="L22" s="7"/>
      <c r="M22" s="7"/>
    </row>
    <row r="23" spans="1:13" ht="29.25" customHeight="1" x14ac:dyDescent="0.25">
      <c r="A23" s="44" t="s">
        <v>1234</v>
      </c>
      <c r="B23" s="143"/>
      <c r="C23" s="146">
        <f>SUMIFS(Fonctionnement[Montant (€HT)],Fonctionnement[Recette / Dépense],"R",Fonctionnement[Statut des données],Supplétif)</f>
        <v>0</v>
      </c>
      <c r="D23" s="118"/>
      <c r="E23" s="7"/>
      <c r="F23" s="7"/>
      <c r="G23" s="7"/>
      <c r="H23" s="7"/>
      <c r="I23" s="7"/>
      <c r="J23" s="7"/>
      <c r="K23" s="7"/>
      <c r="L23" s="7"/>
      <c r="M23" s="7"/>
    </row>
    <row r="24" spans="1:13" ht="29.25" customHeight="1" x14ac:dyDescent="0.25">
      <c r="A24" s="44" t="s">
        <v>1235</v>
      </c>
      <c r="B24" s="146">
        <f>SUMIFS(Fonctionnement[Réalisé pour contrôle CA],Fonctionnement[Recette / Dépense],"R",Fonctionnement[Statut des données],Reprise_extrac)</f>
        <v>0</v>
      </c>
      <c r="C24" s="146">
        <f>SUMIFS(Invest[Amortissement HT],Invest[Recette / Dépense],"R",Invest[Statut des données],Supplétif)+SUMIFS(Invest[Amortissement HT],Invest[Recette / Dépense],"R",Invest[Statut des données],Incorp)</f>
        <v>0</v>
      </c>
      <c r="D24" s="118"/>
      <c r="E24" s="7"/>
      <c r="F24" s="7"/>
      <c r="G24" s="7"/>
      <c r="H24" s="7"/>
      <c r="I24" s="7"/>
      <c r="J24" s="7"/>
      <c r="K24" s="7"/>
      <c r="L24" s="7"/>
      <c r="M24" s="7"/>
    </row>
    <row r="25" spans="1:13" ht="29.25" customHeight="1" x14ac:dyDescent="0.25">
      <c r="A25" s="44" t="s">
        <v>1101</v>
      </c>
      <c r="B25" s="754">
        <f>B17-SUM(B19:B24)+SUM(C19:C24)</f>
        <v>0</v>
      </c>
      <c r="C25" s="754"/>
      <c r="D25" s="118"/>
      <c r="E25" s="7"/>
      <c r="F25" s="7"/>
      <c r="G25" s="7"/>
      <c r="H25" s="7"/>
      <c r="I25" s="7"/>
      <c r="J25" s="7"/>
      <c r="K25" s="7"/>
      <c r="L25" s="7"/>
      <c r="M25" s="7"/>
    </row>
    <row r="26" spans="1:13" ht="29.25" customHeight="1" x14ac:dyDescent="0.25">
      <c r="A26" s="44" t="s">
        <v>1228</v>
      </c>
      <c r="B26" s="143"/>
      <c r="C26" s="145">
        <f>C17-B25</f>
        <v>0</v>
      </c>
      <c r="D26" s="118"/>
      <c r="E26" s="7"/>
      <c r="F26" s="7"/>
      <c r="G26" s="7"/>
      <c r="H26" s="7"/>
      <c r="I26" s="7"/>
      <c r="J26" s="7"/>
      <c r="K26" s="7"/>
      <c r="L26" s="7"/>
      <c r="M26" s="7"/>
    </row>
    <row r="27" spans="1:13" x14ac:dyDescent="0.25">
      <c r="A27" s="7"/>
      <c r="B27" s="7"/>
      <c r="C27" s="7"/>
      <c r="D27" s="7"/>
      <c r="E27" s="7"/>
      <c r="F27" s="7"/>
      <c r="G27" s="7"/>
      <c r="H27" s="7"/>
      <c r="I27" s="7"/>
      <c r="J27" s="7"/>
      <c r="K27" s="7"/>
      <c r="L27" s="7"/>
      <c r="M27" s="7"/>
    </row>
    <row r="28" spans="1:13" x14ac:dyDescent="0.25">
      <c r="A28" s="7"/>
      <c r="B28" s="7"/>
      <c r="C28" s="7"/>
      <c r="D28" s="7"/>
      <c r="E28" s="7"/>
      <c r="F28" s="7"/>
      <c r="G28" s="7"/>
      <c r="H28" s="7"/>
      <c r="I28" s="7"/>
      <c r="J28" s="7"/>
      <c r="K28" s="7"/>
      <c r="L28" s="7"/>
      <c r="M28" s="7"/>
    </row>
    <row r="29" spans="1:13" x14ac:dyDescent="0.25">
      <c r="A29" s="7"/>
      <c r="B29" s="7"/>
      <c r="C29" s="7"/>
      <c r="D29" s="7"/>
      <c r="E29" s="7"/>
      <c r="F29" s="7"/>
      <c r="G29" s="7"/>
      <c r="H29" s="7"/>
      <c r="I29" s="7"/>
      <c r="J29" s="7"/>
      <c r="K29" s="7"/>
      <c r="L29" s="7"/>
      <c r="M29" s="7"/>
    </row>
  </sheetData>
  <sheetProtection sheet="1" objects="1" scenarios="1" formatCells="0" formatColumns="0" formatRows="0"/>
  <mergeCells count="2">
    <mergeCell ref="B13:C13"/>
    <mergeCell ref="B25:C25"/>
  </mergeCells>
  <phoneticPr fontId="0" type="noConversion"/>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K37"/>
  <sheetViews>
    <sheetView showGridLines="0" tabSelected="1" zoomScaleNormal="100" workbookViewId="0">
      <selection activeCell="A2" sqref="A2:E2"/>
    </sheetView>
  </sheetViews>
  <sheetFormatPr baseColWidth="10" defaultColWidth="11.44140625" defaultRowHeight="13.8" x14ac:dyDescent="0.25"/>
  <cols>
    <col min="1" max="1" width="21.88671875" style="12" customWidth="1"/>
    <col min="2" max="2" width="78.44140625" style="12" customWidth="1"/>
    <col min="3" max="7" width="11.44140625" style="12"/>
    <col min="8" max="8" width="23.44140625" style="12" customWidth="1"/>
    <col min="9" max="16384" width="11.44140625" style="12"/>
  </cols>
  <sheetData>
    <row r="1" spans="1:7" s="9" customFormat="1" ht="115.5" customHeight="1" x14ac:dyDescent="0.25">
      <c r="B1" s="646" t="s">
        <v>1248</v>
      </c>
      <c r="C1" s="646"/>
      <c r="D1" s="646"/>
      <c r="E1" s="1"/>
      <c r="F1" s="9" t="s">
        <v>88</v>
      </c>
    </row>
    <row r="2" spans="1:7" s="9" customFormat="1" ht="192" customHeight="1" x14ac:dyDescent="0.25">
      <c r="A2" s="651" t="s">
        <v>89</v>
      </c>
      <c r="B2" s="652"/>
      <c r="C2" s="652"/>
      <c r="D2" s="652"/>
      <c r="E2" s="652"/>
    </row>
    <row r="3" spans="1:7" s="10" customFormat="1" ht="32.25" customHeight="1" x14ac:dyDescent="0.25">
      <c r="A3" s="13" t="s">
        <v>90</v>
      </c>
      <c r="B3" s="14"/>
      <c r="C3" s="14"/>
      <c r="D3" s="14"/>
      <c r="E3" s="14"/>
      <c r="F3" s="14"/>
    </row>
    <row r="4" spans="1:7" s="11" customFormat="1" ht="20.25" customHeight="1" x14ac:dyDescent="0.25">
      <c r="A4" s="11" t="s">
        <v>91</v>
      </c>
    </row>
    <row r="5" spans="1:7" s="11" customFormat="1" ht="20.25" customHeight="1" x14ac:dyDescent="0.25">
      <c r="A5" s="11" t="s">
        <v>92</v>
      </c>
    </row>
    <row r="6" spans="1:7" s="11" customFormat="1" ht="20.25" customHeight="1" x14ac:dyDescent="0.25">
      <c r="A6" s="11" t="s">
        <v>93</v>
      </c>
    </row>
    <row r="7" spans="1:7" s="11" customFormat="1" ht="20.25" customHeight="1" x14ac:dyDescent="0.25">
      <c r="A7" s="11" t="s">
        <v>94</v>
      </c>
    </row>
    <row r="8" spans="1:7" s="11" customFormat="1" ht="20.25" customHeight="1" x14ac:dyDescent="0.25">
      <c r="A8" s="11" t="s">
        <v>95</v>
      </c>
    </row>
    <row r="9" spans="1:7" s="11" customFormat="1" ht="20.25" customHeight="1" x14ac:dyDescent="0.25">
      <c r="A9" s="11" t="s">
        <v>96</v>
      </c>
    </row>
    <row r="10" spans="1:7" s="11" customFormat="1" ht="20.25" customHeight="1" x14ac:dyDescent="0.25">
      <c r="A10" s="11" t="s">
        <v>97</v>
      </c>
    </row>
    <row r="11" spans="1:7" s="11" customFormat="1" ht="20.25" customHeight="1" x14ac:dyDescent="0.25">
      <c r="A11" s="11" t="s">
        <v>98</v>
      </c>
    </row>
    <row r="12" spans="1:7" s="11" customFormat="1" ht="20.25" customHeight="1" x14ac:dyDescent="0.25">
      <c r="A12" s="11" t="s">
        <v>99</v>
      </c>
    </row>
    <row r="13" spans="1:7" s="9" customFormat="1" x14ac:dyDescent="0.25">
      <c r="A13" s="1"/>
      <c r="B13" s="1"/>
      <c r="C13" s="1"/>
      <c r="D13" s="1"/>
      <c r="E13" s="1"/>
    </row>
    <row r="14" spans="1:7" ht="22.95" customHeight="1" x14ac:dyDescent="0.25">
      <c r="A14" s="13" t="s">
        <v>100</v>
      </c>
      <c r="B14" s="14"/>
      <c r="C14" s="14"/>
      <c r="D14" s="14"/>
      <c r="E14" s="14"/>
      <c r="F14" s="14"/>
      <c r="G14" s="11"/>
    </row>
    <row r="15" spans="1:7" s="11" customFormat="1" ht="32.4" customHeight="1" x14ac:dyDescent="0.25">
      <c r="A15" s="662" t="s">
        <v>101</v>
      </c>
      <c r="B15" s="662"/>
      <c r="C15" s="662"/>
      <c r="D15" s="662"/>
      <c r="E15" s="662"/>
      <c r="F15" s="662"/>
    </row>
    <row r="16" spans="1:7" s="11" customFormat="1" ht="20.25" customHeight="1" x14ac:dyDescent="0.25">
      <c r="A16" s="394" t="s">
        <v>102</v>
      </c>
    </row>
    <row r="17" spans="1:11" s="11" customFormat="1" ht="20.25" customHeight="1" x14ac:dyDescent="0.25">
      <c r="A17" s="394" t="s">
        <v>103</v>
      </c>
    </row>
    <row r="18" spans="1:11" s="11" customFormat="1" ht="20.25" customHeight="1" x14ac:dyDescent="0.25">
      <c r="A18" s="394" t="s">
        <v>104</v>
      </c>
    </row>
    <row r="19" spans="1:11" s="11" customFormat="1" ht="20.25" customHeight="1" x14ac:dyDescent="0.25">
      <c r="A19" s="394" t="s">
        <v>105</v>
      </c>
    </row>
    <row r="20" spans="1:11" s="11" customFormat="1" ht="20.25" customHeight="1" x14ac:dyDescent="0.25">
      <c r="A20" s="394" t="s">
        <v>106</v>
      </c>
    </row>
    <row r="21" spans="1:11" s="11" customFormat="1" ht="20.25" customHeight="1" x14ac:dyDescent="0.25">
      <c r="A21" s="394" t="s">
        <v>107</v>
      </c>
    </row>
    <row r="22" spans="1:11" x14ac:dyDescent="0.25">
      <c r="A22" s="1"/>
      <c r="B22" s="1"/>
      <c r="C22" s="1"/>
      <c r="D22" s="1"/>
      <c r="E22" s="1"/>
      <c r="F22" s="1"/>
      <c r="G22" s="1"/>
    </row>
    <row r="23" spans="1:11" ht="23.25" customHeight="1" x14ac:dyDescent="0.25">
      <c r="A23" s="13" t="s">
        <v>108</v>
      </c>
      <c r="B23" s="14"/>
      <c r="C23" s="14"/>
      <c r="D23" s="14"/>
      <c r="E23" s="14"/>
      <c r="F23" s="14"/>
      <c r="G23" s="11"/>
    </row>
    <row r="24" spans="1:11" ht="30.75" customHeight="1" x14ac:dyDescent="0.25">
      <c r="A24" s="650" t="s">
        <v>109</v>
      </c>
      <c r="B24" s="650"/>
      <c r="C24" s="650"/>
      <c r="D24" s="650"/>
      <c r="E24" s="650"/>
      <c r="F24" s="650"/>
      <c r="G24" s="637"/>
    </row>
    <row r="25" spans="1:11" x14ac:dyDescent="0.25">
      <c r="A25" s="1"/>
      <c r="B25" s="1"/>
      <c r="C25" s="1"/>
      <c r="D25" s="1"/>
      <c r="E25" s="1"/>
      <c r="F25" s="1"/>
      <c r="G25" s="1"/>
    </row>
    <row r="26" spans="1:11" ht="23.25" customHeight="1" x14ac:dyDescent="0.25">
      <c r="A26" s="13" t="s">
        <v>110</v>
      </c>
      <c r="B26" s="14"/>
      <c r="C26" s="14"/>
      <c r="D26" s="14"/>
      <c r="E26" s="14"/>
      <c r="F26" s="14"/>
    </row>
    <row r="27" spans="1:11" ht="14.25" customHeight="1" x14ac:dyDescent="0.25">
      <c r="A27" s="650" t="s">
        <v>111</v>
      </c>
      <c r="B27" s="650"/>
      <c r="C27" s="650"/>
      <c r="D27" s="650"/>
      <c r="E27" s="650"/>
      <c r="F27" s="650"/>
      <c r="G27" s="637"/>
      <c r="H27" s="637"/>
      <c r="I27" s="637"/>
      <c r="J27" s="637"/>
      <c r="K27" s="637"/>
    </row>
    <row r="28" spans="1:11" x14ac:dyDescent="0.25">
      <c r="B28" s="1"/>
    </row>
    <row r="29" spans="1:11" x14ac:dyDescent="0.25">
      <c r="E29"/>
      <c r="F29"/>
      <c r="G29"/>
      <c r="H29"/>
    </row>
    <row r="30" spans="1:11" x14ac:dyDescent="0.25">
      <c r="E30"/>
      <c r="F30"/>
      <c r="G30"/>
      <c r="H30"/>
    </row>
    <row r="31" spans="1:11" x14ac:dyDescent="0.25">
      <c r="E31"/>
      <c r="F31"/>
      <c r="G31"/>
      <c r="H31"/>
    </row>
    <row r="32" spans="1:11" x14ac:dyDescent="0.25">
      <c r="E32"/>
      <c r="F32"/>
      <c r="G32"/>
      <c r="H32"/>
    </row>
    <row r="33" spans="3:7" hidden="1" x14ac:dyDescent="0.25">
      <c r="C33" s="194" t="s">
        <v>112</v>
      </c>
    </row>
    <row r="34" spans="3:7" hidden="1" x14ac:dyDescent="0.25">
      <c r="C34" s="653" t="s">
        <v>113</v>
      </c>
      <c r="D34" s="654"/>
      <c r="E34" s="654"/>
      <c r="F34" s="654"/>
      <c r="G34" s="655"/>
    </row>
    <row r="35" spans="3:7" hidden="1" x14ac:dyDescent="0.25">
      <c r="C35" s="656" t="s">
        <v>114</v>
      </c>
      <c r="D35" s="657"/>
      <c r="E35" s="657"/>
      <c r="F35" s="657"/>
      <c r="G35" s="658"/>
    </row>
    <row r="36" spans="3:7" hidden="1" x14ac:dyDescent="0.25">
      <c r="C36" s="659" t="s">
        <v>115</v>
      </c>
      <c r="D36" s="660"/>
      <c r="E36" s="660"/>
      <c r="F36" s="660"/>
      <c r="G36" s="661"/>
    </row>
    <row r="37" spans="3:7" hidden="1" x14ac:dyDescent="0.25">
      <c r="C37" s="647" t="s">
        <v>116</v>
      </c>
      <c r="D37" s="648"/>
      <c r="E37" s="648"/>
      <c r="F37" s="648"/>
      <c r="G37" s="649"/>
    </row>
  </sheetData>
  <sheetProtection sheet="1" objects="1" scenarios="1"/>
  <mergeCells count="9">
    <mergeCell ref="B1:D1"/>
    <mergeCell ref="C37:G37"/>
    <mergeCell ref="A24:F24"/>
    <mergeCell ref="A2:E2"/>
    <mergeCell ref="C34:G34"/>
    <mergeCell ref="C35:G35"/>
    <mergeCell ref="C36:G36"/>
    <mergeCell ref="A27:F27"/>
    <mergeCell ref="A15:F15"/>
  </mergeCells>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J69"/>
  <sheetViews>
    <sheetView showGridLines="0" zoomScale="85" zoomScaleNormal="85" workbookViewId="0">
      <selection sqref="A1:C1"/>
    </sheetView>
  </sheetViews>
  <sheetFormatPr baseColWidth="10" defaultColWidth="11.44140625" defaultRowHeight="13.2" x14ac:dyDescent="0.25"/>
  <cols>
    <col min="1" max="1" width="62.109375" customWidth="1"/>
    <col min="3" max="3" width="71.33203125" customWidth="1"/>
  </cols>
  <sheetData>
    <row r="1" spans="1:10" s="247" customFormat="1" ht="34.5" customHeight="1" x14ac:dyDescent="0.25">
      <c r="A1" s="663" t="s">
        <v>1236</v>
      </c>
      <c r="B1" s="663"/>
      <c r="C1" s="663"/>
    </row>
    <row r="3" spans="1:10" s="247" customFormat="1" ht="34.5" customHeight="1" thickBot="1" x14ac:dyDescent="0.3">
      <c r="A3" s="246" t="s">
        <v>117</v>
      </c>
      <c r="B3" s="137"/>
      <c r="C3" s="137"/>
    </row>
    <row r="4" spans="1:10" s="18" customFormat="1" ht="34.5" customHeight="1" thickTop="1" x14ac:dyDescent="0.3">
      <c r="A4" s="240" t="s">
        <v>118</v>
      </c>
      <c r="B4" s="241"/>
      <c r="C4" s="242" t="s">
        <v>119</v>
      </c>
    </row>
    <row r="5" spans="1:10" s="18" customFormat="1" ht="36.75" customHeight="1" x14ac:dyDescent="0.25">
      <c r="A5" s="638" t="s">
        <v>120</v>
      </c>
      <c r="B5" s="238"/>
      <c r="C5" s="243" t="s">
        <v>121</v>
      </c>
    </row>
    <row r="6" spans="1:10" s="18" customFormat="1" ht="25.5" customHeight="1" x14ac:dyDescent="0.3">
      <c r="A6" s="244" t="s">
        <v>122</v>
      </c>
      <c r="B6" s="238"/>
      <c r="C6" s="245"/>
      <c r="F6" s="17"/>
      <c r="G6" s="7"/>
      <c r="H6" s="7"/>
      <c r="I6" s="7"/>
      <c r="J6" s="7"/>
    </row>
    <row r="7" spans="1:10" s="18" customFormat="1" ht="138" customHeight="1" thickBot="1" x14ac:dyDescent="0.3">
      <c r="A7" s="672" t="s">
        <v>123</v>
      </c>
      <c r="B7" s="668"/>
      <c r="C7" s="669"/>
      <c r="F7" s="191"/>
    </row>
    <row r="8" spans="1:10" ht="13.8" thickTop="1" x14ac:dyDescent="0.25">
      <c r="A8" s="18"/>
    </row>
    <row r="9" spans="1:10" s="247" customFormat="1" ht="34.5" customHeight="1" thickBot="1" x14ac:dyDescent="0.3">
      <c r="A9" s="246" t="s">
        <v>124</v>
      </c>
      <c r="B9" s="137"/>
      <c r="C9" s="137"/>
    </row>
    <row r="10" spans="1:10" s="18" customFormat="1" ht="34.5" customHeight="1" thickTop="1" x14ac:dyDescent="0.3">
      <c r="A10" s="240" t="s">
        <v>118</v>
      </c>
      <c r="B10" s="241"/>
      <c r="C10" s="242" t="s">
        <v>125</v>
      </c>
    </row>
    <row r="11" spans="1:10" s="18" customFormat="1" ht="57" customHeight="1" x14ac:dyDescent="0.25">
      <c r="A11" s="638" t="s">
        <v>126</v>
      </c>
      <c r="B11" s="238"/>
      <c r="C11" s="243" t="s">
        <v>127</v>
      </c>
    </row>
    <row r="12" spans="1:10" s="18" customFormat="1" ht="25.5" customHeight="1" x14ac:dyDescent="0.3">
      <c r="A12" s="244" t="s">
        <v>122</v>
      </c>
      <c r="B12" s="238"/>
      <c r="C12" s="245"/>
      <c r="F12" s="17"/>
      <c r="G12" s="7"/>
      <c r="H12" s="7"/>
      <c r="I12" s="7"/>
      <c r="J12" s="7"/>
    </row>
    <row r="13" spans="1:10" s="18" customFormat="1" ht="56.25" customHeight="1" thickBot="1" x14ac:dyDescent="0.3">
      <c r="A13" s="667" t="s">
        <v>128</v>
      </c>
      <c r="B13" s="668"/>
      <c r="C13" s="669"/>
      <c r="F13" s="191"/>
    </row>
    <row r="14" spans="1:10" ht="22.2" thickTop="1" thickBot="1" x14ac:dyDescent="0.3">
      <c r="A14" s="246" t="s">
        <v>129</v>
      </c>
      <c r="B14" s="137"/>
      <c r="C14" s="137"/>
    </row>
    <row r="15" spans="1:10" ht="25.5" customHeight="1" thickTop="1" x14ac:dyDescent="0.3">
      <c r="A15" s="240" t="s">
        <v>130</v>
      </c>
      <c r="B15" s="241"/>
      <c r="C15" s="242" t="s">
        <v>131</v>
      </c>
    </row>
    <row r="16" spans="1:10" ht="48" customHeight="1" x14ac:dyDescent="0.25">
      <c r="A16" s="639" t="s">
        <v>132</v>
      </c>
      <c r="B16" s="238"/>
      <c r="C16" s="243" t="s">
        <v>133</v>
      </c>
    </row>
    <row r="17" spans="1:10" ht="15.6" x14ac:dyDescent="0.3">
      <c r="A17" s="244" t="s">
        <v>122</v>
      </c>
      <c r="B17" s="238"/>
      <c r="C17" s="245"/>
    </row>
    <row r="18" spans="1:10" ht="305.25" customHeight="1" x14ac:dyDescent="0.25">
      <c r="A18" s="670" t="s">
        <v>134</v>
      </c>
      <c r="B18" s="665"/>
      <c r="C18" s="666"/>
    </row>
    <row r="19" spans="1:10" s="239" customFormat="1" ht="15.6" x14ac:dyDescent="0.3">
      <c r="A19" s="244" t="s">
        <v>135</v>
      </c>
      <c r="B19" s="238"/>
      <c r="C19" s="245"/>
    </row>
    <row r="20" spans="1:10" ht="66" customHeight="1" thickBot="1" x14ac:dyDescent="0.3">
      <c r="A20" s="667" t="s">
        <v>136</v>
      </c>
      <c r="B20" s="668"/>
      <c r="C20" s="669"/>
    </row>
    <row r="21" spans="1:10" ht="13.8" thickTop="1" x14ac:dyDescent="0.25"/>
    <row r="22" spans="1:10" s="247" customFormat="1" ht="34.5" customHeight="1" thickBot="1" x14ac:dyDescent="0.3">
      <c r="A22" s="246" t="s">
        <v>137</v>
      </c>
      <c r="B22" s="137"/>
      <c r="C22" s="137"/>
    </row>
    <row r="23" spans="1:10" s="18" customFormat="1" ht="34.5" customHeight="1" thickTop="1" x14ac:dyDescent="0.3">
      <c r="A23" s="240" t="s">
        <v>130</v>
      </c>
      <c r="B23" s="241"/>
      <c r="C23" s="242" t="s">
        <v>131</v>
      </c>
    </row>
    <row r="24" spans="1:10" s="18" customFormat="1" ht="57.75" customHeight="1" x14ac:dyDescent="0.25">
      <c r="A24" s="639" t="s">
        <v>138</v>
      </c>
      <c r="B24" s="238"/>
      <c r="C24" s="243" t="s">
        <v>139</v>
      </c>
    </row>
    <row r="25" spans="1:10" s="18" customFormat="1" ht="25.5" customHeight="1" x14ac:dyDescent="0.3">
      <c r="A25" s="244" t="s">
        <v>122</v>
      </c>
      <c r="B25" s="238"/>
      <c r="C25" s="245"/>
      <c r="F25" s="17"/>
      <c r="G25" s="7"/>
      <c r="H25" s="7"/>
      <c r="I25" s="7"/>
      <c r="J25" s="7"/>
    </row>
    <row r="26" spans="1:10" s="18" customFormat="1" ht="327.75" customHeight="1" thickBot="1" x14ac:dyDescent="0.3">
      <c r="A26" s="672" t="s">
        <v>140</v>
      </c>
      <c r="B26" s="668"/>
      <c r="C26" s="669"/>
      <c r="F26" s="191"/>
    </row>
    <row r="27" spans="1:10" ht="13.8" thickTop="1" x14ac:dyDescent="0.25"/>
    <row r="28" spans="1:10" ht="25.5" customHeight="1" thickBot="1" x14ac:dyDescent="0.3">
      <c r="A28" s="246" t="s">
        <v>141</v>
      </c>
      <c r="B28" s="137"/>
      <c r="C28" s="137"/>
    </row>
    <row r="29" spans="1:10" ht="27.75" customHeight="1" thickTop="1" x14ac:dyDescent="0.3">
      <c r="A29" s="240" t="s">
        <v>118</v>
      </c>
      <c r="B29" s="241"/>
      <c r="C29" s="242" t="s">
        <v>131</v>
      </c>
    </row>
    <row r="30" spans="1:10" ht="52.8" x14ac:dyDescent="0.25">
      <c r="A30" s="638" t="s">
        <v>142</v>
      </c>
      <c r="B30" s="238"/>
      <c r="C30" s="243" t="s">
        <v>139</v>
      </c>
    </row>
    <row r="31" spans="1:10" ht="27.75" customHeight="1" x14ac:dyDescent="0.3">
      <c r="A31" s="244" t="s">
        <v>122</v>
      </c>
      <c r="B31" s="238"/>
      <c r="C31" s="245"/>
    </row>
    <row r="32" spans="1:10" ht="110.25" customHeight="1" x14ac:dyDescent="0.25">
      <c r="A32" s="670" t="s">
        <v>143</v>
      </c>
      <c r="B32" s="665"/>
      <c r="C32" s="666"/>
    </row>
    <row r="33" spans="1:10" s="238" customFormat="1" ht="25.5" customHeight="1" x14ac:dyDescent="0.3">
      <c r="A33" s="244" t="s">
        <v>144</v>
      </c>
      <c r="C33" s="245"/>
      <c r="F33" s="149"/>
      <c r="G33" s="196"/>
      <c r="H33" s="196"/>
      <c r="I33" s="196"/>
      <c r="J33" s="196"/>
    </row>
    <row r="34" spans="1:10" s="18" customFormat="1" ht="137.4" customHeight="1" thickBot="1" x14ac:dyDescent="0.3">
      <c r="A34" s="667" t="s">
        <v>145</v>
      </c>
      <c r="B34" s="668"/>
      <c r="C34" s="669"/>
      <c r="F34" s="191"/>
    </row>
    <row r="35" spans="1:10" ht="13.8" thickTop="1" x14ac:dyDescent="0.25"/>
    <row r="36" spans="1:10" ht="25.5" customHeight="1" thickBot="1" x14ac:dyDescent="0.3">
      <c r="A36" s="246" t="s">
        <v>146</v>
      </c>
      <c r="B36" s="137"/>
      <c r="C36" s="137"/>
    </row>
    <row r="37" spans="1:10" ht="27.75" customHeight="1" thickTop="1" x14ac:dyDescent="0.3">
      <c r="A37" s="240" t="s">
        <v>118</v>
      </c>
      <c r="B37" s="241"/>
      <c r="C37" s="242" t="s">
        <v>131</v>
      </c>
    </row>
    <row r="38" spans="1:10" ht="52.8" x14ac:dyDescent="0.25">
      <c r="A38" s="638" t="s">
        <v>147</v>
      </c>
      <c r="B38" s="238"/>
      <c r="C38" s="243" t="s">
        <v>139</v>
      </c>
    </row>
    <row r="39" spans="1:10" ht="27.75" customHeight="1" x14ac:dyDescent="0.3">
      <c r="A39" s="244" t="s">
        <v>122</v>
      </c>
      <c r="B39" s="238"/>
      <c r="C39" s="245"/>
    </row>
    <row r="40" spans="1:10" ht="149.4" customHeight="1" x14ac:dyDescent="0.25">
      <c r="A40" s="670" t="s">
        <v>148</v>
      </c>
      <c r="B40" s="665"/>
      <c r="C40" s="666"/>
    </row>
    <row r="41" spans="1:10" s="238" customFormat="1" ht="25.5" customHeight="1" x14ac:dyDescent="0.3">
      <c r="A41" s="244" t="s">
        <v>144</v>
      </c>
      <c r="C41" s="245"/>
      <c r="F41" s="149"/>
      <c r="G41" s="196"/>
      <c r="H41" s="196"/>
      <c r="I41" s="196"/>
      <c r="J41" s="196"/>
    </row>
    <row r="42" spans="1:10" s="18" customFormat="1" ht="19.95" customHeight="1" thickBot="1" x14ac:dyDescent="0.3">
      <c r="A42" s="667" t="s">
        <v>149</v>
      </c>
      <c r="B42" s="668"/>
      <c r="C42" s="669"/>
      <c r="F42" s="191"/>
    </row>
    <row r="43" spans="1:10" ht="13.8" thickTop="1" x14ac:dyDescent="0.25">
      <c r="C43" s="393"/>
    </row>
    <row r="44" spans="1:10" ht="25.5" customHeight="1" thickBot="1" x14ac:dyDescent="0.3">
      <c r="A44" s="246" t="s">
        <v>150</v>
      </c>
      <c r="B44" s="137"/>
      <c r="C44" s="137"/>
    </row>
    <row r="45" spans="1:10" ht="27.75" customHeight="1" thickTop="1" x14ac:dyDescent="0.3">
      <c r="A45" s="240" t="s">
        <v>118</v>
      </c>
      <c r="B45" s="241"/>
      <c r="C45" s="242" t="s">
        <v>131</v>
      </c>
    </row>
    <row r="46" spans="1:10" ht="52.8" x14ac:dyDescent="0.25">
      <c r="A46" s="638" t="s">
        <v>151</v>
      </c>
      <c r="B46" s="238"/>
      <c r="C46" s="243" t="s">
        <v>152</v>
      </c>
    </row>
    <row r="47" spans="1:10" ht="27.75" customHeight="1" x14ac:dyDescent="0.3">
      <c r="A47" s="244" t="s">
        <v>122</v>
      </c>
      <c r="B47" s="238"/>
      <c r="C47" s="245"/>
    </row>
    <row r="48" spans="1:10" ht="88.95" customHeight="1" thickBot="1" x14ac:dyDescent="0.3">
      <c r="A48" s="667" t="s">
        <v>153</v>
      </c>
      <c r="B48" s="668"/>
      <c r="C48" s="669"/>
    </row>
    <row r="49" spans="1:10" ht="13.8" thickTop="1" x14ac:dyDescent="0.25"/>
    <row r="50" spans="1:10" s="247" customFormat="1" ht="34.5" customHeight="1" thickBot="1" x14ac:dyDescent="0.3">
      <c r="A50" s="246" t="s">
        <v>154</v>
      </c>
      <c r="B50" s="137"/>
      <c r="C50" s="137"/>
    </row>
    <row r="51" spans="1:10" s="18" customFormat="1" ht="34.5" customHeight="1" thickTop="1" x14ac:dyDescent="0.3">
      <c r="A51" s="240" t="s">
        <v>118</v>
      </c>
      <c r="B51" s="241"/>
      <c r="C51" s="242" t="s">
        <v>131</v>
      </c>
    </row>
    <row r="52" spans="1:10" s="18" customFormat="1" ht="51" customHeight="1" x14ac:dyDescent="0.25">
      <c r="A52" s="638" t="s">
        <v>155</v>
      </c>
      <c r="B52" s="238"/>
      <c r="C52" s="243" t="s">
        <v>156</v>
      </c>
    </row>
    <row r="53" spans="1:10" s="18" customFormat="1" ht="25.5" customHeight="1" x14ac:dyDescent="0.3">
      <c r="A53" s="244" t="s">
        <v>157</v>
      </c>
      <c r="B53" s="238"/>
      <c r="C53" s="245"/>
      <c r="F53" s="17"/>
      <c r="G53" s="7"/>
      <c r="H53" s="7"/>
      <c r="I53" s="7"/>
      <c r="J53" s="7"/>
    </row>
    <row r="54" spans="1:10" s="18" customFormat="1" ht="168.75" customHeight="1" thickBot="1" x14ac:dyDescent="0.3">
      <c r="A54" s="667" t="s">
        <v>158</v>
      </c>
      <c r="B54" s="668"/>
      <c r="C54" s="669"/>
      <c r="F54" s="191"/>
    </row>
    <row r="55" spans="1:10" ht="13.8" thickTop="1" x14ac:dyDescent="0.25"/>
    <row r="56" spans="1:10" s="247" customFormat="1" ht="55.5" customHeight="1" thickBot="1" x14ac:dyDescent="0.3">
      <c r="A56" s="671" t="s">
        <v>159</v>
      </c>
      <c r="B56" s="671"/>
      <c r="C56" s="671"/>
    </row>
    <row r="57" spans="1:10" s="18" customFormat="1" ht="34.5" customHeight="1" thickTop="1" x14ac:dyDescent="0.3">
      <c r="A57" s="240" t="s">
        <v>118</v>
      </c>
      <c r="B57" s="241"/>
      <c r="C57" s="242" t="s">
        <v>131</v>
      </c>
    </row>
    <row r="58" spans="1:10" s="18" customFormat="1" ht="57" customHeight="1" x14ac:dyDescent="0.25">
      <c r="A58" s="638" t="s">
        <v>160</v>
      </c>
      <c r="B58" s="238"/>
      <c r="C58" s="243" t="s">
        <v>161</v>
      </c>
    </row>
    <row r="59" spans="1:10" s="18" customFormat="1" ht="25.5" customHeight="1" x14ac:dyDescent="0.3">
      <c r="A59" s="244" t="s">
        <v>122</v>
      </c>
      <c r="B59" s="238"/>
      <c r="C59" s="245"/>
      <c r="F59" s="17"/>
      <c r="G59" s="7"/>
      <c r="H59" s="7"/>
      <c r="I59" s="7"/>
      <c r="J59" s="7"/>
    </row>
    <row r="60" spans="1:10" s="18" customFormat="1" ht="214.5" customHeight="1" x14ac:dyDescent="0.25">
      <c r="A60" s="664" t="s">
        <v>162</v>
      </c>
      <c r="B60" s="665"/>
      <c r="C60" s="666"/>
      <c r="F60" s="191"/>
    </row>
    <row r="61" spans="1:10" s="238" customFormat="1" ht="25.5" customHeight="1" x14ac:dyDescent="0.3">
      <c r="A61" s="244" t="s">
        <v>144</v>
      </c>
      <c r="C61" s="245"/>
      <c r="F61" s="149"/>
      <c r="G61" s="196"/>
      <c r="H61" s="196"/>
      <c r="I61" s="196"/>
      <c r="J61" s="196"/>
    </row>
    <row r="62" spans="1:10" s="18" customFormat="1" ht="24.75" customHeight="1" thickBot="1" x14ac:dyDescent="0.3">
      <c r="A62" s="667" t="s">
        <v>163</v>
      </c>
      <c r="B62" s="668"/>
      <c r="C62" s="669"/>
      <c r="F62" s="191"/>
    </row>
    <row r="63" spans="1:10" ht="13.8" thickTop="1" x14ac:dyDescent="0.25"/>
    <row r="64" spans="1:10" s="247" customFormat="1" ht="34.5" customHeight="1" thickBot="1" x14ac:dyDescent="0.3">
      <c r="A64" s="246" t="s">
        <v>164</v>
      </c>
      <c r="B64" s="137"/>
      <c r="C64" s="137"/>
    </row>
    <row r="65" spans="1:10" s="18" customFormat="1" ht="34.5" customHeight="1" thickTop="1" x14ac:dyDescent="0.3">
      <c r="A65" s="240" t="s">
        <v>118</v>
      </c>
      <c r="B65" s="241"/>
      <c r="C65" s="242" t="s">
        <v>119</v>
      </c>
    </row>
    <row r="66" spans="1:10" s="18" customFormat="1" ht="36.75" customHeight="1" x14ac:dyDescent="0.25">
      <c r="A66" s="638" t="s">
        <v>165</v>
      </c>
      <c r="B66" s="238"/>
      <c r="C66" s="243" t="s">
        <v>166</v>
      </c>
    </row>
    <row r="67" spans="1:10" s="18" customFormat="1" ht="25.5" customHeight="1" x14ac:dyDescent="0.3">
      <c r="A67" s="244" t="s">
        <v>122</v>
      </c>
      <c r="B67" s="238"/>
      <c r="C67" s="245"/>
      <c r="F67" s="17"/>
      <c r="G67" s="7"/>
      <c r="H67" s="7"/>
      <c r="I67" s="7"/>
      <c r="J67" s="7"/>
    </row>
    <row r="68" spans="1:10" s="18" customFormat="1" ht="138" customHeight="1" thickBot="1" x14ac:dyDescent="0.3">
      <c r="A68" s="667" t="s">
        <v>167</v>
      </c>
      <c r="B68" s="668"/>
      <c r="C68" s="669"/>
      <c r="F68" s="191"/>
    </row>
    <row r="69" spans="1:10" ht="13.8" thickTop="1" x14ac:dyDescent="0.25"/>
  </sheetData>
  <sheetProtection sheet="1" objects="1" scenarios="1"/>
  <mergeCells count="16">
    <mergeCell ref="A1:C1"/>
    <mergeCell ref="A60:C60"/>
    <mergeCell ref="A62:C62"/>
    <mergeCell ref="A68:C68"/>
    <mergeCell ref="A34:C34"/>
    <mergeCell ref="A40:C40"/>
    <mergeCell ref="A42:C42"/>
    <mergeCell ref="A48:C48"/>
    <mergeCell ref="A54:C54"/>
    <mergeCell ref="A56:C56"/>
    <mergeCell ref="A32:C32"/>
    <mergeCell ref="A7:C7"/>
    <mergeCell ref="A13:C13"/>
    <mergeCell ref="A18:C18"/>
    <mergeCell ref="A20:C20"/>
    <mergeCell ref="A26:C26"/>
  </mergeCells>
  <hyperlinks>
    <hyperlink ref="A1:C1" r:id="rId1" display="La notice détaillée (avec illustrations) est téléchargeable ici" xr:uid="{3990EE98-E056-4A80-9EA1-2F9124B19181}"/>
  </hyperlinks>
  <printOptions horizontalCentered="1" verticalCentered="1"/>
  <pageMargins left="0.23622047244094491" right="0.23622047244094491" top="0.74803149606299213" bottom="0.74803149606299213" header="0.31496062992125984" footer="0.31496062992125984"/>
  <pageSetup paperSize="9" scale="88" orientation="landscape" r:id="rId2"/>
  <rowBreaks count="7" manualBreakCount="7">
    <brk id="13" max="2" man="1"/>
    <brk id="20" max="2" man="1"/>
    <brk id="26" max="2" man="1"/>
    <brk id="34" max="2" man="1"/>
    <brk id="48" max="2" man="1"/>
    <brk id="55" max="16383" man="1"/>
    <brk id="62" max="2"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rgb="FF0070C0"/>
  </sheetPr>
  <dimension ref="A1:H38"/>
  <sheetViews>
    <sheetView showGridLines="0" workbookViewId="0">
      <selection activeCell="C9" sqref="C9"/>
    </sheetView>
  </sheetViews>
  <sheetFormatPr baseColWidth="10" defaultColWidth="11.44140625" defaultRowHeight="13.2" x14ac:dyDescent="0.25"/>
  <cols>
    <col min="1" max="1" width="15" style="18" customWidth="1"/>
    <col min="2" max="2" width="33" style="18" customWidth="1"/>
    <col min="3" max="3" width="44.5546875" style="18" customWidth="1"/>
    <col min="4" max="4" width="12.44140625" style="18" bestFit="1" customWidth="1"/>
    <col min="5" max="5" width="11.5546875" style="18" bestFit="1" customWidth="1"/>
    <col min="6" max="8" width="12.44140625" style="18" bestFit="1" customWidth="1"/>
    <col min="9" max="9" width="17.5546875" style="18" customWidth="1"/>
    <col min="10" max="16384" width="11.44140625" style="18"/>
  </cols>
  <sheetData>
    <row r="1" spans="1:8" ht="21" x14ac:dyDescent="0.4">
      <c r="A1" s="19" t="s">
        <v>168</v>
      </c>
      <c r="B1" s="7"/>
      <c r="C1" s="7"/>
      <c r="D1" s="7"/>
      <c r="E1" s="7"/>
      <c r="F1" s="7"/>
      <c r="G1" s="7"/>
    </row>
    <row r="2" spans="1:8" x14ac:dyDescent="0.25">
      <c r="C2" s="15"/>
    </row>
    <row r="3" spans="1:8" x14ac:dyDescent="0.25">
      <c r="A3"/>
      <c r="B3"/>
      <c r="C3"/>
      <c r="D3"/>
      <c r="E3"/>
      <c r="F3"/>
      <c r="G3"/>
      <c r="H3"/>
    </row>
    <row r="4" spans="1:8" x14ac:dyDescent="0.25">
      <c r="A4"/>
      <c r="B4"/>
      <c r="C4"/>
      <c r="D4"/>
      <c r="E4"/>
      <c r="F4"/>
      <c r="G4"/>
      <c r="H4"/>
    </row>
    <row r="5" spans="1:8" ht="12.75" customHeight="1" x14ac:dyDescent="0.25">
      <c r="A5"/>
      <c r="B5"/>
      <c r="C5"/>
      <c r="D5"/>
      <c r="E5"/>
      <c r="F5"/>
      <c r="G5"/>
      <c r="H5"/>
    </row>
    <row r="6" spans="1:8" x14ac:dyDescent="0.25">
      <c r="A6"/>
      <c r="B6"/>
      <c r="C6"/>
      <c r="D6"/>
      <c r="E6"/>
      <c r="F6"/>
      <c r="G6"/>
      <c r="H6"/>
    </row>
    <row r="7" spans="1:8" ht="12.75" customHeight="1" x14ac:dyDescent="0.25">
      <c r="A7"/>
      <c r="B7"/>
      <c r="C7"/>
      <c r="D7"/>
      <c r="E7"/>
      <c r="F7"/>
      <c r="G7"/>
      <c r="H7"/>
    </row>
    <row r="8" spans="1:8" x14ac:dyDescent="0.25">
      <c r="A8"/>
      <c r="B8"/>
      <c r="C8"/>
      <c r="D8"/>
      <c r="E8"/>
      <c r="F8"/>
      <c r="G8"/>
      <c r="H8"/>
    </row>
    <row r="9" spans="1:8" x14ac:dyDescent="0.25">
      <c r="A9"/>
      <c r="B9"/>
      <c r="C9"/>
      <c r="D9"/>
      <c r="E9"/>
      <c r="F9"/>
      <c r="G9"/>
      <c r="H9"/>
    </row>
    <row r="10" spans="1:8" ht="12.75" customHeight="1" x14ac:dyDescent="0.25">
      <c r="A10"/>
      <c r="B10"/>
      <c r="C10"/>
      <c r="D10"/>
      <c r="E10"/>
      <c r="F10"/>
      <c r="G10"/>
      <c r="H10"/>
    </row>
    <row r="11" spans="1:8" x14ac:dyDescent="0.25">
      <c r="A11"/>
      <c r="B11"/>
      <c r="C11"/>
      <c r="D11"/>
      <c r="E11"/>
      <c r="F11"/>
      <c r="G11"/>
      <c r="H11"/>
    </row>
    <row r="12" spans="1:8" ht="12.75" customHeight="1"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ht="12.75" customHeight="1" x14ac:dyDescent="0.25">
      <c r="A21"/>
      <c r="B21"/>
      <c r="C21"/>
      <c r="D21"/>
      <c r="E21"/>
      <c r="F21"/>
      <c r="G21"/>
      <c r="H21"/>
    </row>
    <row r="22" spans="1:8" ht="12.75" customHeight="1"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ht="12.75" customHeight="1" x14ac:dyDescent="0.25">
      <c r="A32"/>
      <c r="B32"/>
      <c r="C32"/>
      <c r="D32"/>
      <c r="E32"/>
      <c r="F32"/>
      <c r="G32"/>
      <c r="H32"/>
    </row>
    <row r="33" spans="1:8" ht="12.75" customHeight="1" x14ac:dyDescent="0.25">
      <c r="A33"/>
      <c r="B33"/>
      <c r="C33"/>
      <c r="D33"/>
      <c r="E33"/>
      <c r="F33"/>
      <c r="G33"/>
      <c r="H33"/>
    </row>
    <row r="34" spans="1:8" ht="12.75" customHeight="1"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ht="12.75" customHeight="1" x14ac:dyDescent="0.25">
      <c r="A38"/>
      <c r="B38"/>
      <c r="C38"/>
      <c r="D38"/>
      <c r="E38"/>
      <c r="F38"/>
      <c r="G38"/>
      <c r="H38"/>
    </row>
  </sheetData>
  <sheetProtection formatCells="0" formatColumns="0" formatRow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tabColor rgb="FF0070C0"/>
    <pageSetUpPr fitToPage="1"/>
  </sheetPr>
  <dimension ref="A1:AG115"/>
  <sheetViews>
    <sheetView showGridLines="0" zoomScaleNormal="100" workbookViewId="0">
      <pane xSplit="1" ySplit="4" topLeftCell="B5" activePane="bottomRight" state="frozen"/>
      <selection pane="topRight" activeCell="B1" sqref="B1"/>
      <selection pane="bottomLeft" activeCell="A6" sqref="A6"/>
      <selection pane="bottomRight" activeCell="AD25" sqref="AD25"/>
    </sheetView>
  </sheetViews>
  <sheetFormatPr baseColWidth="10" defaultColWidth="11.44140625" defaultRowHeight="13.2" x14ac:dyDescent="0.25"/>
  <cols>
    <col min="1" max="1" width="41.44140625" style="20" customWidth="1"/>
    <col min="2" max="5" width="13.44140625" style="20" customWidth="1"/>
    <col min="6" max="9" width="13.44140625" style="20" hidden="1" customWidth="1"/>
    <col min="10" max="10" width="2.5546875" style="20" hidden="1" customWidth="1"/>
    <col min="11" max="26" width="2.44140625" style="20" hidden="1" customWidth="1"/>
    <col min="27" max="27" width="13.44140625" style="20" customWidth="1"/>
    <col min="28" max="28" width="11.44140625" style="7" customWidth="1"/>
    <col min="29" max="16384" width="11.44140625" style="7"/>
  </cols>
  <sheetData>
    <row r="1" spans="1:33" ht="21" x14ac:dyDescent="0.4">
      <c r="A1" s="19" t="s">
        <v>169</v>
      </c>
      <c r="C1" s="21" t="s">
        <v>170</v>
      </c>
      <c r="D1" s="26"/>
      <c r="E1" s="7"/>
      <c r="F1" s="7"/>
      <c r="G1" s="7"/>
      <c r="H1" s="7"/>
      <c r="I1" s="7"/>
      <c r="J1" s="7"/>
      <c r="AA1" s="443" t="str">
        <f>IF(duree_amort="ADEME"," ","ATTENTION ! La durée d'amortissement des biens indiquée dans l'onglet '6-Amortissements et reprises' n'est pas la durée 'ADEME'. Merci de sélectionner 'ADEME' dans le menu déroulant avant de saisir votre matrice sous SINOE®.")</f>
        <v xml:space="preserve"> </v>
      </c>
    </row>
    <row r="2" spans="1:33" ht="15" customHeight="1" x14ac:dyDescent="0.25">
      <c r="C2"/>
      <c r="D2"/>
      <c r="E2"/>
      <c r="F2"/>
      <c r="G2"/>
      <c r="H2"/>
      <c r="I2" s="7"/>
      <c r="J2" s="7"/>
      <c r="AA2" s="443" t="str">
        <f>IF(ROUND(SUM('7 - Contrôle CA'!C14,'7 - Contrôle CA'!C26),0)=0," ","ATTENTION ! Il y a un écart non expliqué entre la matrice et le CA (onglet '7 - Contrôle CA', cellule C14 ou C26). Merci de corriger votre matrice afin de réduire cet écart à zéro avant de saisir votre matrice sur SINOE®.")</f>
        <v xml:space="preserve"> </v>
      </c>
    </row>
    <row r="3" spans="1:33" ht="21" customHeight="1" x14ac:dyDescent="0.25">
      <c r="B3" s="674" t="s">
        <v>171</v>
      </c>
      <c r="C3" s="674"/>
      <c r="D3" s="674"/>
      <c r="E3" s="674"/>
      <c r="F3" s="674"/>
      <c r="G3" s="674"/>
      <c r="H3" s="674"/>
      <c r="I3" s="674"/>
      <c r="J3" s="674"/>
      <c r="K3" s="674"/>
      <c r="L3" s="674"/>
      <c r="M3" s="674"/>
      <c r="N3" s="674"/>
      <c r="O3" s="674"/>
      <c r="P3" s="674"/>
      <c r="Q3" s="674"/>
      <c r="R3" s="674"/>
      <c r="S3" s="674"/>
      <c r="T3" s="674"/>
      <c r="U3" s="674"/>
      <c r="V3" s="674"/>
      <c r="W3" s="674"/>
      <c r="X3" s="674"/>
      <c r="Y3" s="674"/>
      <c r="Z3" s="674"/>
      <c r="AA3" s="675" t="s">
        <v>172</v>
      </c>
    </row>
    <row r="4" spans="1:33" ht="42" customHeight="1" x14ac:dyDescent="0.25">
      <c r="A4" s="44" t="s">
        <v>173</v>
      </c>
      <c r="B4" s="46" t="s">
        <v>6</v>
      </c>
      <c r="C4" s="47" t="s">
        <v>21</v>
      </c>
      <c r="D4" s="47" t="s">
        <v>24</v>
      </c>
      <c r="E4" s="47" t="s">
        <v>53</v>
      </c>
      <c r="F4" s="47" t="s">
        <v>174</v>
      </c>
      <c r="G4" s="47" t="s">
        <v>175</v>
      </c>
      <c r="H4" s="47" t="s">
        <v>176</v>
      </c>
      <c r="I4" s="47" t="s">
        <v>177</v>
      </c>
      <c r="J4" s="47" t="s">
        <v>178</v>
      </c>
      <c r="K4" s="47" t="s">
        <v>179</v>
      </c>
      <c r="L4" s="47" t="s">
        <v>180</v>
      </c>
      <c r="M4" s="47" t="s">
        <v>181</v>
      </c>
      <c r="N4" s="47" t="s">
        <v>182</v>
      </c>
      <c r="O4" s="47" t="s">
        <v>183</v>
      </c>
      <c r="P4" s="47" t="s">
        <v>184</v>
      </c>
      <c r="Q4" s="47" t="s">
        <v>185</v>
      </c>
      <c r="R4" s="47" t="s">
        <v>186</v>
      </c>
      <c r="S4" s="47" t="s">
        <v>187</v>
      </c>
      <c r="T4" s="47" t="s">
        <v>188</v>
      </c>
      <c r="U4" s="47" t="s">
        <v>189</v>
      </c>
      <c r="V4" s="47" t="s">
        <v>190</v>
      </c>
      <c r="W4" s="47" t="s">
        <v>191</v>
      </c>
      <c r="X4" s="47" t="s">
        <v>192</v>
      </c>
      <c r="Y4" s="47" t="s">
        <v>193</v>
      </c>
      <c r="Z4" s="48" t="s">
        <v>194</v>
      </c>
      <c r="AA4" s="675"/>
    </row>
    <row r="5" spans="1:33" ht="15" customHeight="1" x14ac:dyDescent="0.25">
      <c r="A5" s="43" t="s">
        <v>8</v>
      </c>
      <c r="B5" s="260">
        <f>SUMIF('4 - Codes matrice'!$C$4:$C$99,Matrice[[#This Row],[Ligne de la matrice]],'4 - Codes matrice'!BF$4:BF$99)+Matrice_Clés_multilignes!B5</f>
        <v>0</v>
      </c>
      <c r="C5" s="260">
        <f>SUMIF('4 - Codes matrice'!$C$4:$C$99,Matrice[[#This Row],[Ligne de la matrice]],'4 - Codes matrice'!BG$4:BG$99)+Matrice_Clés_multilignes!C5</f>
        <v>0</v>
      </c>
      <c r="D5" s="260">
        <f>SUMIF('4 - Codes matrice'!$C$4:$C$99,Matrice[[#This Row],[Ligne de la matrice]],'4 - Codes matrice'!BH$4:BH$99)+Matrice_Clés_multilignes!D5</f>
        <v>0</v>
      </c>
      <c r="E5" s="260">
        <f>SUMIF('4 - Codes matrice'!$C$4:$C$99,Matrice[[#This Row],[Ligne de la matrice]],'4 - Codes matrice'!BI$4:BI$99)+Matrice_Clés_multilignes!E5</f>
        <v>0</v>
      </c>
      <c r="F5" s="260">
        <f>SUMIF('4 - Codes matrice'!$C$4:$C$99,Matrice[[#This Row],[Ligne de la matrice]],'4 - Codes matrice'!BJ$4:BJ$99)+Matrice_Clés_multilignes!F5</f>
        <v>0</v>
      </c>
      <c r="G5" s="260">
        <f>SUMIF('4 - Codes matrice'!$C$4:$C$99,Matrice[[#This Row],[Ligne de la matrice]],'4 - Codes matrice'!BK$4:BK$99)+Matrice_Clés_multilignes!G5</f>
        <v>0</v>
      </c>
      <c r="H5" s="260">
        <f>SUMIF('4 - Codes matrice'!$C$4:$C$99,Matrice[[#This Row],[Ligne de la matrice]],'4 - Codes matrice'!BL$4:BL$99)+Matrice_Clés_multilignes!H5</f>
        <v>0</v>
      </c>
      <c r="I5" s="260">
        <f>SUMIF('4 - Codes matrice'!$C$4:$C$99,Matrice[[#This Row],[Ligne de la matrice]],'4 - Codes matrice'!BM$4:BM$99)+Matrice_Clés_multilignes!I5</f>
        <v>0</v>
      </c>
      <c r="J5" s="260">
        <f>SUMIF('4 - Codes matrice'!$C$4:$C$99,Matrice[[#This Row],[Ligne de la matrice]],'4 - Codes matrice'!BN$4:BN$99)+Matrice_Clés_multilignes!J5</f>
        <v>0</v>
      </c>
      <c r="K5" s="260">
        <f>SUMIF('4 - Codes matrice'!$C$4:$C$99,Matrice[[#This Row],[Ligne de la matrice]],'4 - Codes matrice'!BO$4:BO$99)+Matrice_Clés_multilignes!K5</f>
        <v>0</v>
      </c>
      <c r="L5" s="260">
        <f>SUMIF('4 - Codes matrice'!$C$4:$C$99,Matrice[[#This Row],[Ligne de la matrice]],'4 - Codes matrice'!BP$4:BP$99)+Matrice_Clés_multilignes!L5</f>
        <v>0</v>
      </c>
      <c r="M5" s="260">
        <f>SUMIF('4 - Codes matrice'!$C$4:$C$99,Matrice[[#This Row],[Ligne de la matrice]],'4 - Codes matrice'!BQ$4:BQ$99)+Matrice_Clés_multilignes!M5</f>
        <v>0</v>
      </c>
      <c r="N5" s="260">
        <f>SUMIF('4 - Codes matrice'!$C$4:$C$99,Matrice[[#This Row],[Ligne de la matrice]],'4 - Codes matrice'!BR$4:BR$99)+Matrice_Clés_multilignes!N5</f>
        <v>0</v>
      </c>
      <c r="O5" s="260">
        <f>SUMIF('4 - Codes matrice'!$C$4:$C$99,Matrice[[#This Row],[Ligne de la matrice]],'4 - Codes matrice'!BS$4:BS$99)+Matrice_Clés_multilignes!O5</f>
        <v>0</v>
      </c>
      <c r="P5" s="260">
        <f>SUMIF('4 - Codes matrice'!$C$4:$C$99,Matrice[[#This Row],[Ligne de la matrice]],'4 - Codes matrice'!BT$4:BT$99)+Matrice_Clés_multilignes!P5</f>
        <v>0</v>
      </c>
      <c r="Q5" s="260">
        <f>SUMIF('4 - Codes matrice'!$C$4:$C$99,Matrice[[#This Row],[Ligne de la matrice]],'4 - Codes matrice'!BU$4:BU$99)+Matrice_Clés_multilignes!Q5</f>
        <v>0</v>
      </c>
      <c r="R5" s="260">
        <f>SUMIF('4 - Codes matrice'!$C$4:$C$99,Matrice[[#This Row],[Ligne de la matrice]],'4 - Codes matrice'!BV$4:BV$99)+Matrice_Clés_multilignes!R5</f>
        <v>0</v>
      </c>
      <c r="S5" s="260">
        <f>SUMIF('4 - Codes matrice'!$C$4:$C$99,Matrice[[#This Row],[Ligne de la matrice]],'4 - Codes matrice'!BW$4:BW$99)+Matrice_Clés_multilignes!S5</f>
        <v>0</v>
      </c>
      <c r="T5" s="260">
        <f>SUMIF('4 - Codes matrice'!$C$4:$C$99,Matrice[[#This Row],[Ligne de la matrice]],'4 - Codes matrice'!BX$4:BX$99)+Matrice_Clés_multilignes!T5</f>
        <v>0</v>
      </c>
      <c r="U5" s="260">
        <f>SUMIF('4 - Codes matrice'!$C$4:$C$99,Matrice[[#This Row],[Ligne de la matrice]],'4 - Codes matrice'!BY$4:BY$99)+Matrice_Clés_multilignes!U5</f>
        <v>0</v>
      </c>
      <c r="V5" s="260">
        <f>SUMIF('4 - Codes matrice'!$C$4:$C$99,Matrice[[#This Row],[Ligne de la matrice]],'4 - Codes matrice'!BZ$4:BZ$99)+Matrice_Clés_multilignes!V5</f>
        <v>0</v>
      </c>
      <c r="W5" s="260">
        <f>SUMIF('4 - Codes matrice'!$C$4:$C$99,Matrice[[#This Row],[Ligne de la matrice]],'4 - Codes matrice'!CA$4:CA$99)+Matrice_Clés_multilignes!W5</f>
        <v>0</v>
      </c>
      <c r="X5" s="260">
        <f>SUMIF('4 - Codes matrice'!$C$4:$C$99,Matrice[[#This Row],[Ligne de la matrice]],'4 - Codes matrice'!CB$4:CB$99)+Matrice_Clés_multilignes!X5</f>
        <v>0</v>
      </c>
      <c r="Y5" s="260">
        <f>SUMIF('4 - Codes matrice'!$C$4:$C$99,Matrice[[#This Row],[Ligne de la matrice]],'4 - Codes matrice'!CC$4:CC$99)+Matrice_Clés_multilignes!Y5</f>
        <v>0</v>
      </c>
      <c r="Z5" s="260">
        <f>SUMIF('4 - Codes matrice'!$C$4:$C$99,Matrice[[#This Row],[Ligne de la matrice]],'4 - Codes matrice'!CD$4:CD$99)+Matrice_Clés_multilignes!Z5</f>
        <v>0</v>
      </c>
      <c r="AA5" s="260">
        <f t="shared" ref="AA5:AA52" si="0">SUM(B5:Z5)</f>
        <v>0</v>
      </c>
    </row>
    <row r="6" spans="1:33" ht="15" customHeight="1" x14ac:dyDescent="0.25">
      <c r="A6" s="40" t="s">
        <v>11</v>
      </c>
      <c r="B6" s="260">
        <f>SUMIF('4 - Codes matrice'!$C$4:$C$99,Matrice[[#This Row],[Ligne de la matrice]],'4 - Codes matrice'!BF$4:BF$99)+Matrice_Clés_multilignes!B6</f>
        <v>0</v>
      </c>
      <c r="C6" s="260">
        <f>SUMIF('4 - Codes matrice'!$C$4:$C$99,Matrice[[#This Row],[Ligne de la matrice]],'4 - Codes matrice'!BG$4:BG$99)+Matrice_Clés_multilignes!C6</f>
        <v>0</v>
      </c>
      <c r="D6" s="260">
        <f>SUMIF('4 - Codes matrice'!$C$4:$C$99,Matrice[[#This Row],[Ligne de la matrice]],'4 - Codes matrice'!BH$4:BH$99)+Matrice_Clés_multilignes!D6</f>
        <v>0</v>
      </c>
      <c r="E6" s="260">
        <f>SUMIF('4 - Codes matrice'!$C$4:$C$99,Matrice[[#This Row],[Ligne de la matrice]],'4 - Codes matrice'!BI$4:BI$99)+Matrice_Clés_multilignes!E6</f>
        <v>0</v>
      </c>
      <c r="F6" s="260">
        <f>SUMIF('4 - Codes matrice'!$C$4:$C$99,Matrice[[#This Row],[Ligne de la matrice]],'4 - Codes matrice'!BJ$4:BJ$99)+Matrice_Clés_multilignes!F6</f>
        <v>0</v>
      </c>
      <c r="G6" s="260">
        <f>SUMIF('4 - Codes matrice'!$C$4:$C$99,Matrice[[#This Row],[Ligne de la matrice]],'4 - Codes matrice'!BK$4:BK$99)+Matrice_Clés_multilignes!G6</f>
        <v>0</v>
      </c>
      <c r="H6" s="260">
        <f>SUMIF('4 - Codes matrice'!$C$4:$C$99,Matrice[[#This Row],[Ligne de la matrice]],'4 - Codes matrice'!BL$4:BL$99)+Matrice_Clés_multilignes!H6</f>
        <v>0</v>
      </c>
      <c r="I6" s="260">
        <f>SUMIF('4 - Codes matrice'!$C$4:$C$99,Matrice[[#This Row],[Ligne de la matrice]],'4 - Codes matrice'!BM$4:BM$99)+Matrice_Clés_multilignes!I6</f>
        <v>0</v>
      </c>
      <c r="J6" s="260">
        <f>SUMIF('4 - Codes matrice'!$C$4:$C$99,Matrice[[#This Row],[Ligne de la matrice]],'4 - Codes matrice'!BN$4:BN$99)+Matrice_Clés_multilignes!J6</f>
        <v>0</v>
      </c>
      <c r="K6" s="260">
        <f>SUMIF('4 - Codes matrice'!$C$4:$C$99,Matrice[[#This Row],[Ligne de la matrice]],'4 - Codes matrice'!BO$4:BO$99)+Matrice_Clés_multilignes!K6</f>
        <v>0</v>
      </c>
      <c r="L6" s="260">
        <f>SUMIF('4 - Codes matrice'!$C$4:$C$99,Matrice[[#This Row],[Ligne de la matrice]],'4 - Codes matrice'!BP$4:BP$99)+Matrice_Clés_multilignes!L6</f>
        <v>0</v>
      </c>
      <c r="M6" s="260">
        <f>SUMIF('4 - Codes matrice'!$C$4:$C$99,Matrice[[#This Row],[Ligne de la matrice]],'4 - Codes matrice'!BQ$4:BQ$99)+Matrice_Clés_multilignes!M6</f>
        <v>0</v>
      </c>
      <c r="N6" s="260">
        <f>SUMIF('4 - Codes matrice'!$C$4:$C$99,Matrice[[#This Row],[Ligne de la matrice]],'4 - Codes matrice'!BR$4:BR$99)+Matrice_Clés_multilignes!N6</f>
        <v>0</v>
      </c>
      <c r="O6" s="260">
        <f>SUMIF('4 - Codes matrice'!$C$4:$C$99,Matrice[[#This Row],[Ligne de la matrice]],'4 - Codes matrice'!BS$4:BS$99)+Matrice_Clés_multilignes!O6</f>
        <v>0</v>
      </c>
      <c r="P6" s="260">
        <f>SUMIF('4 - Codes matrice'!$C$4:$C$99,Matrice[[#This Row],[Ligne de la matrice]],'4 - Codes matrice'!BT$4:BT$99)+Matrice_Clés_multilignes!P6</f>
        <v>0</v>
      </c>
      <c r="Q6" s="260">
        <f>SUMIF('4 - Codes matrice'!$C$4:$C$99,Matrice[[#This Row],[Ligne de la matrice]],'4 - Codes matrice'!BU$4:BU$99)+Matrice_Clés_multilignes!Q6</f>
        <v>0</v>
      </c>
      <c r="R6" s="260">
        <f>SUMIF('4 - Codes matrice'!$C$4:$C$99,Matrice[[#This Row],[Ligne de la matrice]],'4 - Codes matrice'!BV$4:BV$99)+Matrice_Clés_multilignes!R6</f>
        <v>0</v>
      </c>
      <c r="S6" s="260">
        <f>SUMIF('4 - Codes matrice'!$C$4:$C$99,Matrice[[#This Row],[Ligne de la matrice]],'4 - Codes matrice'!BW$4:BW$99)+Matrice_Clés_multilignes!S6</f>
        <v>0</v>
      </c>
      <c r="T6" s="260">
        <f>SUMIF('4 - Codes matrice'!$C$4:$C$99,Matrice[[#This Row],[Ligne de la matrice]],'4 - Codes matrice'!BX$4:BX$99)+Matrice_Clés_multilignes!T6</f>
        <v>0</v>
      </c>
      <c r="U6" s="260">
        <f>SUMIF('4 - Codes matrice'!$C$4:$C$99,Matrice[[#This Row],[Ligne de la matrice]],'4 - Codes matrice'!BY$4:BY$99)+Matrice_Clés_multilignes!U6</f>
        <v>0</v>
      </c>
      <c r="V6" s="260">
        <f>SUMIF('4 - Codes matrice'!$C$4:$C$99,Matrice[[#This Row],[Ligne de la matrice]],'4 - Codes matrice'!BZ$4:BZ$99)+Matrice_Clés_multilignes!V6</f>
        <v>0</v>
      </c>
      <c r="W6" s="260">
        <f>SUMIF('4 - Codes matrice'!$C$4:$C$99,Matrice[[#This Row],[Ligne de la matrice]],'4 - Codes matrice'!CA$4:CA$99)+Matrice_Clés_multilignes!W6</f>
        <v>0</v>
      </c>
      <c r="X6" s="260">
        <f>SUMIF('4 - Codes matrice'!$C$4:$C$99,Matrice[[#This Row],[Ligne de la matrice]],'4 - Codes matrice'!CB$4:CB$99)+Matrice_Clés_multilignes!X6</f>
        <v>0</v>
      </c>
      <c r="Y6" s="260">
        <f>SUMIF('4 - Codes matrice'!$C$4:$C$99,Matrice[[#This Row],[Ligne de la matrice]],'4 - Codes matrice'!CC$4:CC$99)+Matrice_Clés_multilignes!Y6</f>
        <v>0</v>
      </c>
      <c r="Z6" s="260">
        <f>SUMIF('4 - Codes matrice'!$C$4:$C$99,Matrice[[#This Row],[Ligne de la matrice]],'4 - Codes matrice'!CD$4:CD$99)+Matrice_Clés_multilignes!Z6</f>
        <v>0</v>
      </c>
      <c r="AA6" s="260">
        <f t="shared" si="0"/>
        <v>0</v>
      </c>
      <c r="AG6" s="22"/>
    </row>
    <row r="7" spans="1:33" ht="15" customHeight="1" x14ac:dyDescent="0.25">
      <c r="A7" s="40" t="s">
        <v>17</v>
      </c>
      <c r="B7" s="260">
        <f>SUMIF('4 - Codes matrice'!$C$4:$C$99,Matrice[[#This Row],[Ligne de la matrice]],'4 - Codes matrice'!BF$4:BF$99)+Matrice_Clés_multilignes!B7</f>
        <v>0</v>
      </c>
      <c r="C7" s="260">
        <f>SUMIF('4 - Codes matrice'!$C$4:$C$99,Matrice[[#This Row],[Ligne de la matrice]],'4 - Codes matrice'!BG$4:BG$99)+Matrice_Clés_multilignes!C7</f>
        <v>0</v>
      </c>
      <c r="D7" s="260">
        <f>SUMIF('4 - Codes matrice'!$C$4:$C$99,Matrice[[#This Row],[Ligne de la matrice]],'4 - Codes matrice'!BH$4:BH$99)+Matrice_Clés_multilignes!D7</f>
        <v>0</v>
      </c>
      <c r="E7" s="260">
        <f>SUMIF('4 - Codes matrice'!$C$4:$C$99,Matrice[[#This Row],[Ligne de la matrice]],'4 - Codes matrice'!BI$4:BI$99)+Matrice_Clés_multilignes!E7</f>
        <v>0</v>
      </c>
      <c r="F7" s="260">
        <f>SUMIF('4 - Codes matrice'!$C$4:$C$99,Matrice[[#This Row],[Ligne de la matrice]],'4 - Codes matrice'!BJ$4:BJ$99)+Matrice_Clés_multilignes!F7</f>
        <v>0</v>
      </c>
      <c r="G7" s="260">
        <f>SUMIF('4 - Codes matrice'!$C$4:$C$99,Matrice[[#This Row],[Ligne de la matrice]],'4 - Codes matrice'!BK$4:BK$99)+Matrice_Clés_multilignes!G7</f>
        <v>0</v>
      </c>
      <c r="H7" s="260">
        <f>SUMIF('4 - Codes matrice'!$C$4:$C$99,Matrice[[#This Row],[Ligne de la matrice]],'4 - Codes matrice'!BL$4:BL$99)+Matrice_Clés_multilignes!H7</f>
        <v>0</v>
      </c>
      <c r="I7" s="260">
        <f>SUMIF('4 - Codes matrice'!$C$4:$C$99,Matrice[[#This Row],[Ligne de la matrice]],'4 - Codes matrice'!BM$4:BM$99)+Matrice_Clés_multilignes!I7</f>
        <v>0</v>
      </c>
      <c r="J7" s="260">
        <f>SUMIF('4 - Codes matrice'!$C$4:$C$99,Matrice[[#This Row],[Ligne de la matrice]],'4 - Codes matrice'!BN$4:BN$99)+Matrice_Clés_multilignes!J7</f>
        <v>0</v>
      </c>
      <c r="K7" s="260">
        <f>SUMIF('4 - Codes matrice'!$C$4:$C$99,Matrice[[#This Row],[Ligne de la matrice]],'4 - Codes matrice'!BO$4:BO$99)+Matrice_Clés_multilignes!K7</f>
        <v>0</v>
      </c>
      <c r="L7" s="260">
        <f>SUMIF('4 - Codes matrice'!$C$4:$C$99,Matrice[[#This Row],[Ligne de la matrice]],'4 - Codes matrice'!BP$4:BP$99)+Matrice_Clés_multilignes!L7</f>
        <v>0</v>
      </c>
      <c r="M7" s="260">
        <f>SUMIF('4 - Codes matrice'!$C$4:$C$99,Matrice[[#This Row],[Ligne de la matrice]],'4 - Codes matrice'!BQ$4:BQ$99)+Matrice_Clés_multilignes!M7</f>
        <v>0</v>
      </c>
      <c r="N7" s="260">
        <f>SUMIF('4 - Codes matrice'!$C$4:$C$99,Matrice[[#This Row],[Ligne de la matrice]],'4 - Codes matrice'!BR$4:BR$99)+Matrice_Clés_multilignes!N7</f>
        <v>0</v>
      </c>
      <c r="O7" s="260">
        <f>SUMIF('4 - Codes matrice'!$C$4:$C$99,Matrice[[#This Row],[Ligne de la matrice]],'4 - Codes matrice'!BS$4:BS$99)+Matrice_Clés_multilignes!O7</f>
        <v>0</v>
      </c>
      <c r="P7" s="260">
        <f>SUMIF('4 - Codes matrice'!$C$4:$C$99,Matrice[[#This Row],[Ligne de la matrice]],'4 - Codes matrice'!BT$4:BT$99)+Matrice_Clés_multilignes!P7</f>
        <v>0</v>
      </c>
      <c r="Q7" s="260">
        <f>SUMIF('4 - Codes matrice'!$C$4:$C$99,Matrice[[#This Row],[Ligne de la matrice]],'4 - Codes matrice'!BU$4:BU$99)+Matrice_Clés_multilignes!Q7</f>
        <v>0</v>
      </c>
      <c r="R7" s="260">
        <f>SUMIF('4 - Codes matrice'!$C$4:$C$99,Matrice[[#This Row],[Ligne de la matrice]],'4 - Codes matrice'!BV$4:BV$99)+Matrice_Clés_multilignes!R7</f>
        <v>0</v>
      </c>
      <c r="S7" s="260">
        <f>SUMIF('4 - Codes matrice'!$C$4:$C$99,Matrice[[#This Row],[Ligne de la matrice]],'4 - Codes matrice'!BW$4:BW$99)+Matrice_Clés_multilignes!S7</f>
        <v>0</v>
      </c>
      <c r="T7" s="260">
        <f>SUMIF('4 - Codes matrice'!$C$4:$C$99,Matrice[[#This Row],[Ligne de la matrice]],'4 - Codes matrice'!BX$4:BX$99)+Matrice_Clés_multilignes!T7</f>
        <v>0</v>
      </c>
      <c r="U7" s="260">
        <f>SUMIF('4 - Codes matrice'!$C$4:$C$99,Matrice[[#This Row],[Ligne de la matrice]],'4 - Codes matrice'!BY$4:BY$99)+Matrice_Clés_multilignes!U7</f>
        <v>0</v>
      </c>
      <c r="V7" s="260">
        <f>SUMIF('4 - Codes matrice'!$C$4:$C$99,Matrice[[#This Row],[Ligne de la matrice]],'4 - Codes matrice'!BZ$4:BZ$99)+Matrice_Clés_multilignes!V7</f>
        <v>0</v>
      </c>
      <c r="W7" s="260">
        <f>SUMIF('4 - Codes matrice'!$C$4:$C$99,Matrice[[#This Row],[Ligne de la matrice]],'4 - Codes matrice'!CA$4:CA$99)+Matrice_Clés_multilignes!W7</f>
        <v>0</v>
      </c>
      <c r="X7" s="260">
        <f>SUMIF('4 - Codes matrice'!$C$4:$C$99,Matrice[[#This Row],[Ligne de la matrice]],'4 - Codes matrice'!CB$4:CB$99)+Matrice_Clés_multilignes!X7</f>
        <v>0</v>
      </c>
      <c r="Y7" s="260">
        <f>SUMIF('4 - Codes matrice'!$C$4:$C$99,Matrice[[#This Row],[Ligne de la matrice]],'4 - Codes matrice'!CC$4:CC$99)+Matrice_Clés_multilignes!Y7</f>
        <v>0</v>
      </c>
      <c r="Z7" s="260">
        <f>SUMIF('4 - Codes matrice'!$C$4:$C$99,Matrice[[#This Row],[Ligne de la matrice]],'4 - Codes matrice'!CD$4:CD$99)+Matrice_Clés_multilignes!Z7</f>
        <v>0</v>
      </c>
      <c r="AA7" s="260">
        <f t="shared" si="0"/>
        <v>0</v>
      </c>
      <c r="AG7" s="22"/>
    </row>
    <row r="8" spans="1:33" ht="12.75" customHeight="1" x14ac:dyDescent="0.25">
      <c r="A8" s="40" t="s">
        <v>20</v>
      </c>
      <c r="B8" s="260">
        <f>SUMIF('4 - Codes matrice'!$C$4:$C$99,Matrice[[#This Row],[Ligne de la matrice]],'4 - Codes matrice'!BF$4:BF$99)+Matrice_Clés_multilignes!B8</f>
        <v>0</v>
      </c>
      <c r="C8" s="260">
        <f>SUMIF('4 - Codes matrice'!$C$4:$C$99,Matrice[[#This Row],[Ligne de la matrice]],'4 - Codes matrice'!BG$4:BG$99)+Matrice_Clés_multilignes!C8</f>
        <v>0</v>
      </c>
      <c r="D8" s="260">
        <f>SUMIF('4 - Codes matrice'!$C$4:$C$99,Matrice[[#This Row],[Ligne de la matrice]],'4 - Codes matrice'!BH$4:BH$99)+Matrice_Clés_multilignes!D8</f>
        <v>0</v>
      </c>
      <c r="E8" s="260">
        <f>SUMIF('4 - Codes matrice'!$C$4:$C$99,Matrice[[#This Row],[Ligne de la matrice]],'4 - Codes matrice'!BI$4:BI$99)+Matrice_Clés_multilignes!E8</f>
        <v>0</v>
      </c>
      <c r="F8" s="260">
        <f>SUMIF('4 - Codes matrice'!$C$4:$C$99,Matrice[[#This Row],[Ligne de la matrice]],'4 - Codes matrice'!BJ$4:BJ$99)+Matrice_Clés_multilignes!F8</f>
        <v>0</v>
      </c>
      <c r="G8" s="260">
        <f>SUMIF('4 - Codes matrice'!$C$4:$C$99,Matrice[[#This Row],[Ligne de la matrice]],'4 - Codes matrice'!BK$4:BK$99)+Matrice_Clés_multilignes!G8</f>
        <v>0</v>
      </c>
      <c r="H8" s="260">
        <f>SUMIF('4 - Codes matrice'!$C$4:$C$99,Matrice[[#This Row],[Ligne de la matrice]],'4 - Codes matrice'!BL$4:BL$99)+Matrice_Clés_multilignes!H8</f>
        <v>0</v>
      </c>
      <c r="I8" s="260">
        <f>SUMIF('4 - Codes matrice'!$C$4:$C$99,Matrice[[#This Row],[Ligne de la matrice]],'4 - Codes matrice'!BM$4:BM$99)+Matrice_Clés_multilignes!I8</f>
        <v>0</v>
      </c>
      <c r="J8" s="260">
        <f>SUMIF('4 - Codes matrice'!$C$4:$C$99,Matrice[[#This Row],[Ligne de la matrice]],'4 - Codes matrice'!BN$4:BN$99)+Matrice_Clés_multilignes!J8</f>
        <v>0</v>
      </c>
      <c r="K8" s="260">
        <f>SUMIF('4 - Codes matrice'!$C$4:$C$99,Matrice[[#This Row],[Ligne de la matrice]],'4 - Codes matrice'!BO$4:BO$99)+Matrice_Clés_multilignes!K8</f>
        <v>0</v>
      </c>
      <c r="L8" s="260">
        <f>SUMIF('4 - Codes matrice'!$C$4:$C$99,Matrice[[#This Row],[Ligne de la matrice]],'4 - Codes matrice'!BP$4:BP$99)+Matrice_Clés_multilignes!L8</f>
        <v>0</v>
      </c>
      <c r="M8" s="260">
        <f>SUMIF('4 - Codes matrice'!$C$4:$C$99,Matrice[[#This Row],[Ligne de la matrice]],'4 - Codes matrice'!BQ$4:BQ$99)+Matrice_Clés_multilignes!M8</f>
        <v>0</v>
      </c>
      <c r="N8" s="260">
        <f>SUMIF('4 - Codes matrice'!$C$4:$C$99,Matrice[[#This Row],[Ligne de la matrice]],'4 - Codes matrice'!BR$4:BR$99)+Matrice_Clés_multilignes!N8</f>
        <v>0</v>
      </c>
      <c r="O8" s="260">
        <f>SUMIF('4 - Codes matrice'!$C$4:$C$99,Matrice[[#This Row],[Ligne de la matrice]],'4 - Codes matrice'!BS$4:BS$99)+Matrice_Clés_multilignes!O8</f>
        <v>0</v>
      </c>
      <c r="P8" s="260">
        <f>SUMIF('4 - Codes matrice'!$C$4:$C$99,Matrice[[#This Row],[Ligne de la matrice]],'4 - Codes matrice'!BT$4:BT$99)+Matrice_Clés_multilignes!P8</f>
        <v>0</v>
      </c>
      <c r="Q8" s="260">
        <f>SUMIF('4 - Codes matrice'!$C$4:$C$99,Matrice[[#This Row],[Ligne de la matrice]],'4 - Codes matrice'!BU$4:BU$99)+Matrice_Clés_multilignes!Q8</f>
        <v>0</v>
      </c>
      <c r="R8" s="260">
        <f>SUMIF('4 - Codes matrice'!$C$4:$C$99,Matrice[[#This Row],[Ligne de la matrice]],'4 - Codes matrice'!BV$4:BV$99)+Matrice_Clés_multilignes!R8</f>
        <v>0</v>
      </c>
      <c r="S8" s="260">
        <f>SUMIF('4 - Codes matrice'!$C$4:$C$99,Matrice[[#This Row],[Ligne de la matrice]],'4 - Codes matrice'!BW$4:BW$99)+Matrice_Clés_multilignes!S8</f>
        <v>0</v>
      </c>
      <c r="T8" s="260">
        <f>SUMIF('4 - Codes matrice'!$C$4:$C$99,Matrice[[#This Row],[Ligne de la matrice]],'4 - Codes matrice'!BX$4:BX$99)+Matrice_Clés_multilignes!T8</f>
        <v>0</v>
      </c>
      <c r="U8" s="260">
        <f>SUMIF('4 - Codes matrice'!$C$4:$C$99,Matrice[[#This Row],[Ligne de la matrice]],'4 - Codes matrice'!BY$4:BY$99)+Matrice_Clés_multilignes!U8</f>
        <v>0</v>
      </c>
      <c r="V8" s="260">
        <f>SUMIF('4 - Codes matrice'!$C$4:$C$99,Matrice[[#This Row],[Ligne de la matrice]],'4 - Codes matrice'!BZ$4:BZ$99)+Matrice_Clés_multilignes!V8</f>
        <v>0</v>
      </c>
      <c r="W8" s="260">
        <f>SUMIF('4 - Codes matrice'!$C$4:$C$99,Matrice[[#This Row],[Ligne de la matrice]],'4 - Codes matrice'!CA$4:CA$99)+Matrice_Clés_multilignes!W8</f>
        <v>0</v>
      </c>
      <c r="X8" s="260">
        <f>SUMIF('4 - Codes matrice'!$C$4:$C$99,Matrice[[#This Row],[Ligne de la matrice]],'4 - Codes matrice'!CB$4:CB$99)+Matrice_Clés_multilignes!X8</f>
        <v>0</v>
      </c>
      <c r="Y8" s="260">
        <f>SUMIF('4 - Codes matrice'!$C$4:$C$99,Matrice[[#This Row],[Ligne de la matrice]],'4 - Codes matrice'!CC$4:CC$99)+Matrice_Clés_multilignes!Y8</f>
        <v>0</v>
      </c>
      <c r="Z8" s="260">
        <f>SUMIF('4 - Codes matrice'!$C$4:$C$99,Matrice[[#This Row],[Ligne de la matrice]],'4 - Codes matrice'!CD$4:CD$99)+Matrice_Clés_multilignes!Z8</f>
        <v>0</v>
      </c>
      <c r="AA8" s="260">
        <f t="shared" si="0"/>
        <v>0</v>
      </c>
      <c r="AG8" s="22"/>
    </row>
    <row r="9" spans="1:33" s="22" customFormat="1" ht="12.75" customHeight="1" x14ac:dyDescent="0.25">
      <c r="A9" s="40" t="s">
        <v>23</v>
      </c>
      <c r="B9" s="260">
        <f>SUMIF('4 - Codes matrice'!$C$4:$C$99,Matrice[[#This Row],[Ligne de la matrice]],'4 - Codes matrice'!BF$4:BF$99)+Matrice_Clés_multilignes!B9</f>
        <v>0</v>
      </c>
      <c r="C9" s="260">
        <f>SUMIF('4 - Codes matrice'!$C$4:$C$99,Matrice[[#This Row],[Ligne de la matrice]],'4 - Codes matrice'!BG$4:BG$99)+Matrice_Clés_multilignes!C9</f>
        <v>0</v>
      </c>
      <c r="D9" s="260">
        <f>SUMIF('4 - Codes matrice'!$C$4:$C$99,Matrice[[#This Row],[Ligne de la matrice]],'4 - Codes matrice'!BH$4:BH$99)+Matrice_Clés_multilignes!D9</f>
        <v>0</v>
      </c>
      <c r="E9" s="260">
        <f>SUMIF('4 - Codes matrice'!$C$4:$C$99,Matrice[[#This Row],[Ligne de la matrice]],'4 - Codes matrice'!BI$4:BI$99)+Matrice_Clés_multilignes!E9</f>
        <v>0</v>
      </c>
      <c r="F9" s="260">
        <f>SUMIF('4 - Codes matrice'!$C$4:$C$99,Matrice[[#This Row],[Ligne de la matrice]],'4 - Codes matrice'!BJ$4:BJ$99)+Matrice_Clés_multilignes!F9</f>
        <v>0</v>
      </c>
      <c r="G9" s="260">
        <f>SUMIF('4 - Codes matrice'!$C$4:$C$99,Matrice[[#This Row],[Ligne de la matrice]],'4 - Codes matrice'!BK$4:BK$99)+Matrice_Clés_multilignes!G9</f>
        <v>0</v>
      </c>
      <c r="H9" s="260">
        <f>SUMIF('4 - Codes matrice'!$C$4:$C$99,Matrice[[#This Row],[Ligne de la matrice]],'4 - Codes matrice'!BL$4:BL$99)+Matrice_Clés_multilignes!H9</f>
        <v>0</v>
      </c>
      <c r="I9" s="260">
        <f>SUMIF('4 - Codes matrice'!$C$4:$C$99,Matrice[[#This Row],[Ligne de la matrice]],'4 - Codes matrice'!BM$4:BM$99)+Matrice_Clés_multilignes!I9</f>
        <v>0</v>
      </c>
      <c r="J9" s="260">
        <f>SUMIF('4 - Codes matrice'!$C$4:$C$99,Matrice[[#This Row],[Ligne de la matrice]],'4 - Codes matrice'!BN$4:BN$99)+Matrice_Clés_multilignes!J9</f>
        <v>0</v>
      </c>
      <c r="K9" s="260">
        <f>SUMIF('4 - Codes matrice'!$C$4:$C$99,Matrice[[#This Row],[Ligne de la matrice]],'4 - Codes matrice'!BO$4:BO$99)+Matrice_Clés_multilignes!K9</f>
        <v>0</v>
      </c>
      <c r="L9" s="260">
        <f>SUMIF('4 - Codes matrice'!$C$4:$C$99,Matrice[[#This Row],[Ligne de la matrice]],'4 - Codes matrice'!BP$4:BP$99)+Matrice_Clés_multilignes!L9</f>
        <v>0</v>
      </c>
      <c r="M9" s="260">
        <f>SUMIF('4 - Codes matrice'!$C$4:$C$99,Matrice[[#This Row],[Ligne de la matrice]],'4 - Codes matrice'!BQ$4:BQ$99)+Matrice_Clés_multilignes!M9</f>
        <v>0</v>
      </c>
      <c r="N9" s="260">
        <f>SUMIF('4 - Codes matrice'!$C$4:$C$99,Matrice[[#This Row],[Ligne de la matrice]],'4 - Codes matrice'!BR$4:BR$99)+Matrice_Clés_multilignes!N9</f>
        <v>0</v>
      </c>
      <c r="O9" s="260">
        <f>SUMIF('4 - Codes matrice'!$C$4:$C$99,Matrice[[#This Row],[Ligne de la matrice]],'4 - Codes matrice'!BS$4:BS$99)+Matrice_Clés_multilignes!O9</f>
        <v>0</v>
      </c>
      <c r="P9" s="260">
        <f>SUMIF('4 - Codes matrice'!$C$4:$C$99,Matrice[[#This Row],[Ligne de la matrice]],'4 - Codes matrice'!BT$4:BT$99)+Matrice_Clés_multilignes!P9</f>
        <v>0</v>
      </c>
      <c r="Q9" s="260">
        <f>SUMIF('4 - Codes matrice'!$C$4:$C$99,Matrice[[#This Row],[Ligne de la matrice]],'4 - Codes matrice'!BU$4:BU$99)+Matrice_Clés_multilignes!Q9</f>
        <v>0</v>
      </c>
      <c r="R9" s="260">
        <f>SUMIF('4 - Codes matrice'!$C$4:$C$99,Matrice[[#This Row],[Ligne de la matrice]],'4 - Codes matrice'!BV$4:BV$99)+Matrice_Clés_multilignes!R9</f>
        <v>0</v>
      </c>
      <c r="S9" s="260">
        <f>SUMIF('4 - Codes matrice'!$C$4:$C$99,Matrice[[#This Row],[Ligne de la matrice]],'4 - Codes matrice'!BW$4:BW$99)+Matrice_Clés_multilignes!S9</f>
        <v>0</v>
      </c>
      <c r="T9" s="260">
        <f>SUMIF('4 - Codes matrice'!$C$4:$C$99,Matrice[[#This Row],[Ligne de la matrice]],'4 - Codes matrice'!BX$4:BX$99)+Matrice_Clés_multilignes!T9</f>
        <v>0</v>
      </c>
      <c r="U9" s="260">
        <f>SUMIF('4 - Codes matrice'!$C$4:$C$99,Matrice[[#This Row],[Ligne de la matrice]],'4 - Codes matrice'!BY$4:BY$99)+Matrice_Clés_multilignes!U9</f>
        <v>0</v>
      </c>
      <c r="V9" s="260">
        <f>SUMIF('4 - Codes matrice'!$C$4:$C$99,Matrice[[#This Row],[Ligne de la matrice]],'4 - Codes matrice'!BZ$4:BZ$99)+Matrice_Clés_multilignes!V9</f>
        <v>0</v>
      </c>
      <c r="W9" s="260">
        <f>SUMIF('4 - Codes matrice'!$C$4:$C$99,Matrice[[#This Row],[Ligne de la matrice]],'4 - Codes matrice'!CA$4:CA$99)+Matrice_Clés_multilignes!W9</f>
        <v>0</v>
      </c>
      <c r="X9" s="260">
        <f>SUMIF('4 - Codes matrice'!$C$4:$C$99,Matrice[[#This Row],[Ligne de la matrice]],'4 - Codes matrice'!CB$4:CB$99)+Matrice_Clés_multilignes!X9</f>
        <v>0</v>
      </c>
      <c r="Y9" s="260">
        <f>SUMIF('4 - Codes matrice'!$C$4:$C$99,Matrice[[#This Row],[Ligne de la matrice]],'4 - Codes matrice'!CC$4:CC$99)+Matrice_Clés_multilignes!Y9</f>
        <v>0</v>
      </c>
      <c r="Z9" s="260">
        <f>SUMIF('4 - Codes matrice'!$C$4:$C$99,Matrice[[#This Row],[Ligne de la matrice]],'4 - Codes matrice'!CD$4:CD$99)+Matrice_Clés_multilignes!Z9</f>
        <v>0</v>
      </c>
      <c r="AA9" s="260">
        <f t="shared" si="0"/>
        <v>0</v>
      </c>
      <c r="AC9" s="7"/>
      <c r="AD9" s="7"/>
      <c r="AE9" s="7"/>
      <c r="AF9" s="7"/>
    </row>
    <row r="10" spans="1:33" s="22" customFormat="1" ht="12.75" customHeight="1" x14ac:dyDescent="0.25">
      <c r="A10" s="40" t="s">
        <v>26</v>
      </c>
      <c r="B10" s="260">
        <f>SUMIF('4 - Codes matrice'!$C$4:$C$99,Matrice[[#This Row],[Ligne de la matrice]],'4 - Codes matrice'!BF$4:BF$99)+Matrice_Clés_multilignes!B10</f>
        <v>0</v>
      </c>
      <c r="C10" s="260">
        <f>SUMIF('4 - Codes matrice'!$C$4:$C$99,Matrice[[#This Row],[Ligne de la matrice]],'4 - Codes matrice'!BG$4:BG$99)+Matrice_Clés_multilignes!C10</f>
        <v>0</v>
      </c>
      <c r="D10" s="260">
        <f>SUMIF('4 - Codes matrice'!$C$4:$C$99,Matrice[[#This Row],[Ligne de la matrice]],'4 - Codes matrice'!BH$4:BH$99)+Matrice_Clés_multilignes!D10</f>
        <v>0</v>
      </c>
      <c r="E10" s="260">
        <f>SUMIF('4 - Codes matrice'!$C$4:$C$99,Matrice[[#This Row],[Ligne de la matrice]],'4 - Codes matrice'!BI$4:BI$99)+Matrice_Clés_multilignes!E10</f>
        <v>0</v>
      </c>
      <c r="F10" s="260">
        <f>SUMIF('4 - Codes matrice'!$C$4:$C$99,Matrice[[#This Row],[Ligne de la matrice]],'4 - Codes matrice'!BJ$4:BJ$99)+Matrice_Clés_multilignes!F10</f>
        <v>0</v>
      </c>
      <c r="G10" s="260">
        <f>SUMIF('4 - Codes matrice'!$C$4:$C$99,Matrice[[#This Row],[Ligne de la matrice]],'4 - Codes matrice'!BK$4:BK$99)+Matrice_Clés_multilignes!G10</f>
        <v>0</v>
      </c>
      <c r="H10" s="260">
        <f>SUMIF('4 - Codes matrice'!$C$4:$C$99,Matrice[[#This Row],[Ligne de la matrice]],'4 - Codes matrice'!BL$4:BL$99)+Matrice_Clés_multilignes!H10</f>
        <v>0</v>
      </c>
      <c r="I10" s="260">
        <f>SUMIF('4 - Codes matrice'!$C$4:$C$99,Matrice[[#This Row],[Ligne de la matrice]],'4 - Codes matrice'!BM$4:BM$99)+Matrice_Clés_multilignes!I10</f>
        <v>0</v>
      </c>
      <c r="J10" s="260">
        <f>SUMIF('4 - Codes matrice'!$C$4:$C$99,Matrice[[#This Row],[Ligne de la matrice]],'4 - Codes matrice'!BN$4:BN$99)+Matrice_Clés_multilignes!J10</f>
        <v>0</v>
      </c>
      <c r="K10" s="260">
        <f>SUMIF('4 - Codes matrice'!$C$4:$C$99,Matrice[[#This Row],[Ligne de la matrice]],'4 - Codes matrice'!BO$4:BO$99)+Matrice_Clés_multilignes!K10</f>
        <v>0</v>
      </c>
      <c r="L10" s="260">
        <f>SUMIF('4 - Codes matrice'!$C$4:$C$99,Matrice[[#This Row],[Ligne de la matrice]],'4 - Codes matrice'!BP$4:BP$99)+Matrice_Clés_multilignes!L10</f>
        <v>0</v>
      </c>
      <c r="M10" s="260">
        <f>SUMIF('4 - Codes matrice'!$C$4:$C$99,Matrice[[#This Row],[Ligne de la matrice]],'4 - Codes matrice'!BQ$4:BQ$99)+Matrice_Clés_multilignes!M10</f>
        <v>0</v>
      </c>
      <c r="N10" s="260">
        <f>SUMIF('4 - Codes matrice'!$C$4:$C$99,Matrice[[#This Row],[Ligne de la matrice]],'4 - Codes matrice'!BR$4:BR$99)+Matrice_Clés_multilignes!N10</f>
        <v>0</v>
      </c>
      <c r="O10" s="260">
        <f>SUMIF('4 - Codes matrice'!$C$4:$C$99,Matrice[[#This Row],[Ligne de la matrice]],'4 - Codes matrice'!BS$4:BS$99)+Matrice_Clés_multilignes!O10</f>
        <v>0</v>
      </c>
      <c r="P10" s="260">
        <f>SUMIF('4 - Codes matrice'!$C$4:$C$99,Matrice[[#This Row],[Ligne de la matrice]],'4 - Codes matrice'!BT$4:BT$99)+Matrice_Clés_multilignes!P10</f>
        <v>0</v>
      </c>
      <c r="Q10" s="260">
        <f>SUMIF('4 - Codes matrice'!$C$4:$C$99,Matrice[[#This Row],[Ligne de la matrice]],'4 - Codes matrice'!BU$4:BU$99)+Matrice_Clés_multilignes!Q10</f>
        <v>0</v>
      </c>
      <c r="R10" s="260">
        <f>SUMIF('4 - Codes matrice'!$C$4:$C$99,Matrice[[#This Row],[Ligne de la matrice]],'4 - Codes matrice'!BV$4:BV$99)+Matrice_Clés_multilignes!R10</f>
        <v>0</v>
      </c>
      <c r="S10" s="260">
        <f>SUMIF('4 - Codes matrice'!$C$4:$C$99,Matrice[[#This Row],[Ligne de la matrice]],'4 - Codes matrice'!BW$4:BW$99)+Matrice_Clés_multilignes!S10</f>
        <v>0</v>
      </c>
      <c r="T10" s="260">
        <f>SUMIF('4 - Codes matrice'!$C$4:$C$99,Matrice[[#This Row],[Ligne de la matrice]],'4 - Codes matrice'!BX$4:BX$99)+Matrice_Clés_multilignes!T10</f>
        <v>0</v>
      </c>
      <c r="U10" s="260">
        <f>SUMIF('4 - Codes matrice'!$C$4:$C$99,Matrice[[#This Row],[Ligne de la matrice]],'4 - Codes matrice'!BY$4:BY$99)+Matrice_Clés_multilignes!U10</f>
        <v>0</v>
      </c>
      <c r="V10" s="260">
        <f>SUMIF('4 - Codes matrice'!$C$4:$C$99,Matrice[[#This Row],[Ligne de la matrice]],'4 - Codes matrice'!BZ$4:BZ$99)+Matrice_Clés_multilignes!V10</f>
        <v>0</v>
      </c>
      <c r="W10" s="260">
        <f>SUMIF('4 - Codes matrice'!$C$4:$C$99,Matrice[[#This Row],[Ligne de la matrice]],'4 - Codes matrice'!CA$4:CA$99)+Matrice_Clés_multilignes!W10</f>
        <v>0</v>
      </c>
      <c r="X10" s="260">
        <f>SUMIF('4 - Codes matrice'!$C$4:$C$99,Matrice[[#This Row],[Ligne de la matrice]],'4 - Codes matrice'!CB$4:CB$99)+Matrice_Clés_multilignes!X10</f>
        <v>0</v>
      </c>
      <c r="Y10" s="260">
        <f>SUMIF('4 - Codes matrice'!$C$4:$C$99,Matrice[[#This Row],[Ligne de la matrice]],'4 - Codes matrice'!CC$4:CC$99)+Matrice_Clés_multilignes!Y10</f>
        <v>0</v>
      </c>
      <c r="Z10" s="260">
        <f>SUMIF('4 - Codes matrice'!$C$4:$C$99,Matrice[[#This Row],[Ligne de la matrice]],'4 - Codes matrice'!CD$4:CD$99)+Matrice_Clés_multilignes!Z10</f>
        <v>0</v>
      </c>
      <c r="AA10" s="260">
        <f t="shared" si="0"/>
        <v>0</v>
      </c>
      <c r="AC10" s="7"/>
      <c r="AD10" s="7"/>
      <c r="AE10" s="7"/>
      <c r="AF10" s="7"/>
    </row>
    <row r="11" spans="1:33" s="22" customFormat="1" ht="12.75" customHeight="1" x14ac:dyDescent="0.25">
      <c r="A11" s="40" t="s">
        <v>34</v>
      </c>
      <c r="B11" s="260">
        <f>SUMIF('4 - Codes matrice'!$C$4:$C$99,Matrice[[#This Row],[Ligne de la matrice]],'4 - Codes matrice'!BF$4:BF$99)+Matrice_Clés_multilignes!B11</f>
        <v>0</v>
      </c>
      <c r="C11" s="260">
        <f>SUMIF('4 - Codes matrice'!$C$4:$C$99,Matrice[[#This Row],[Ligne de la matrice]],'4 - Codes matrice'!BG$4:BG$99)+Matrice_Clés_multilignes!C11</f>
        <v>0</v>
      </c>
      <c r="D11" s="260">
        <f>SUMIF('4 - Codes matrice'!$C$4:$C$99,Matrice[[#This Row],[Ligne de la matrice]],'4 - Codes matrice'!BH$4:BH$99)+Matrice_Clés_multilignes!D11</f>
        <v>0</v>
      </c>
      <c r="E11" s="260">
        <f>SUMIF('4 - Codes matrice'!$C$4:$C$99,Matrice[[#This Row],[Ligne de la matrice]],'4 - Codes matrice'!BI$4:BI$99)+Matrice_Clés_multilignes!E11</f>
        <v>0</v>
      </c>
      <c r="F11" s="260">
        <f>SUMIF('4 - Codes matrice'!$C$4:$C$99,Matrice[[#This Row],[Ligne de la matrice]],'4 - Codes matrice'!BJ$4:BJ$99)+Matrice_Clés_multilignes!F11</f>
        <v>0</v>
      </c>
      <c r="G11" s="260">
        <f>SUMIF('4 - Codes matrice'!$C$4:$C$99,Matrice[[#This Row],[Ligne de la matrice]],'4 - Codes matrice'!BK$4:BK$99)+Matrice_Clés_multilignes!G11</f>
        <v>0</v>
      </c>
      <c r="H11" s="260">
        <f>SUMIF('4 - Codes matrice'!$C$4:$C$99,Matrice[[#This Row],[Ligne de la matrice]],'4 - Codes matrice'!BL$4:BL$99)+Matrice_Clés_multilignes!H11</f>
        <v>0</v>
      </c>
      <c r="I11" s="260">
        <f>SUMIF('4 - Codes matrice'!$C$4:$C$99,Matrice[[#This Row],[Ligne de la matrice]],'4 - Codes matrice'!BM$4:BM$99)+Matrice_Clés_multilignes!I11</f>
        <v>0</v>
      </c>
      <c r="J11" s="260">
        <f>SUMIF('4 - Codes matrice'!$C$4:$C$99,Matrice[[#This Row],[Ligne de la matrice]],'4 - Codes matrice'!BN$4:BN$99)+Matrice_Clés_multilignes!J11</f>
        <v>0</v>
      </c>
      <c r="K11" s="260">
        <f>SUMIF('4 - Codes matrice'!$C$4:$C$99,Matrice[[#This Row],[Ligne de la matrice]],'4 - Codes matrice'!BO$4:BO$99)+Matrice_Clés_multilignes!K11</f>
        <v>0</v>
      </c>
      <c r="L11" s="260">
        <f>SUMIF('4 - Codes matrice'!$C$4:$C$99,Matrice[[#This Row],[Ligne de la matrice]],'4 - Codes matrice'!BP$4:BP$99)+Matrice_Clés_multilignes!L11</f>
        <v>0</v>
      </c>
      <c r="M11" s="260">
        <f>SUMIF('4 - Codes matrice'!$C$4:$C$99,Matrice[[#This Row],[Ligne de la matrice]],'4 - Codes matrice'!BQ$4:BQ$99)+Matrice_Clés_multilignes!M11</f>
        <v>0</v>
      </c>
      <c r="N11" s="260">
        <f>SUMIF('4 - Codes matrice'!$C$4:$C$99,Matrice[[#This Row],[Ligne de la matrice]],'4 - Codes matrice'!BR$4:BR$99)+Matrice_Clés_multilignes!N11</f>
        <v>0</v>
      </c>
      <c r="O11" s="260">
        <f>SUMIF('4 - Codes matrice'!$C$4:$C$99,Matrice[[#This Row],[Ligne de la matrice]],'4 - Codes matrice'!BS$4:BS$99)+Matrice_Clés_multilignes!O11</f>
        <v>0</v>
      </c>
      <c r="P11" s="260">
        <f>SUMIF('4 - Codes matrice'!$C$4:$C$99,Matrice[[#This Row],[Ligne de la matrice]],'4 - Codes matrice'!BT$4:BT$99)+Matrice_Clés_multilignes!P11</f>
        <v>0</v>
      </c>
      <c r="Q11" s="260">
        <f>SUMIF('4 - Codes matrice'!$C$4:$C$99,Matrice[[#This Row],[Ligne de la matrice]],'4 - Codes matrice'!BU$4:BU$99)+Matrice_Clés_multilignes!Q11</f>
        <v>0</v>
      </c>
      <c r="R11" s="260">
        <f>SUMIF('4 - Codes matrice'!$C$4:$C$99,Matrice[[#This Row],[Ligne de la matrice]],'4 - Codes matrice'!BV$4:BV$99)+Matrice_Clés_multilignes!R11</f>
        <v>0</v>
      </c>
      <c r="S11" s="260">
        <f>SUMIF('4 - Codes matrice'!$C$4:$C$99,Matrice[[#This Row],[Ligne de la matrice]],'4 - Codes matrice'!BW$4:BW$99)+Matrice_Clés_multilignes!S11</f>
        <v>0</v>
      </c>
      <c r="T11" s="260">
        <f>SUMIF('4 - Codes matrice'!$C$4:$C$99,Matrice[[#This Row],[Ligne de la matrice]],'4 - Codes matrice'!BX$4:BX$99)+Matrice_Clés_multilignes!T11</f>
        <v>0</v>
      </c>
      <c r="U11" s="260">
        <f>SUMIF('4 - Codes matrice'!$C$4:$C$99,Matrice[[#This Row],[Ligne de la matrice]],'4 - Codes matrice'!BY$4:BY$99)+Matrice_Clés_multilignes!U11</f>
        <v>0</v>
      </c>
      <c r="V11" s="260">
        <f>SUMIF('4 - Codes matrice'!$C$4:$C$99,Matrice[[#This Row],[Ligne de la matrice]],'4 - Codes matrice'!BZ$4:BZ$99)+Matrice_Clés_multilignes!V11</f>
        <v>0</v>
      </c>
      <c r="W11" s="260">
        <f>SUMIF('4 - Codes matrice'!$C$4:$C$99,Matrice[[#This Row],[Ligne de la matrice]],'4 - Codes matrice'!CA$4:CA$99)+Matrice_Clés_multilignes!W11</f>
        <v>0</v>
      </c>
      <c r="X11" s="260">
        <f>SUMIF('4 - Codes matrice'!$C$4:$C$99,Matrice[[#This Row],[Ligne de la matrice]],'4 - Codes matrice'!CB$4:CB$99)+Matrice_Clés_multilignes!X11</f>
        <v>0</v>
      </c>
      <c r="Y11" s="260">
        <f>SUMIF('4 - Codes matrice'!$C$4:$C$99,Matrice[[#This Row],[Ligne de la matrice]],'4 - Codes matrice'!CC$4:CC$99)+Matrice_Clés_multilignes!Y11</f>
        <v>0</v>
      </c>
      <c r="Z11" s="260">
        <f>SUMIF('4 - Codes matrice'!$C$4:$C$99,Matrice[[#This Row],[Ligne de la matrice]],'4 - Codes matrice'!CD$4:CD$99)+Matrice_Clés_multilignes!Z11</f>
        <v>0</v>
      </c>
      <c r="AA11" s="260">
        <f t="shared" si="0"/>
        <v>0</v>
      </c>
      <c r="AC11" s="7"/>
      <c r="AD11" s="7"/>
      <c r="AE11" s="7"/>
      <c r="AF11" s="7"/>
    </row>
    <row r="12" spans="1:33" s="22" customFormat="1" ht="12.75" customHeight="1" x14ac:dyDescent="0.25">
      <c r="A12" s="40" t="s">
        <v>81</v>
      </c>
      <c r="B12" s="260">
        <f>SUMIF('4 - Codes matrice'!$C$4:$C$99,Matrice[[#This Row],[Ligne de la matrice]],'4 - Codes matrice'!BF$4:BF$99)+Matrice_Clés_multilignes!B12</f>
        <v>0</v>
      </c>
      <c r="C12" s="260">
        <f>SUMIF('4 - Codes matrice'!$C$4:$C$99,Matrice[[#This Row],[Ligne de la matrice]],'4 - Codes matrice'!BG$4:BG$99)+Matrice_Clés_multilignes!C12</f>
        <v>0</v>
      </c>
      <c r="D12" s="260">
        <f>SUMIF('4 - Codes matrice'!$C$4:$C$99,Matrice[[#This Row],[Ligne de la matrice]],'4 - Codes matrice'!BH$4:BH$99)+Matrice_Clés_multilignes!D12</f>
        <v>0</v>
      </c>
      <c r="E12" s="260">
        <f>SUMIF('4 - Codes matrice'!$C$4:$C$99,Matrice[[#This Row],[Ligne de la matrice]],'4 - Codes matrice'!BI$4:BI$99)+Matrice_Clés_multilignes!E12</f>
        <v>0</v>
      </c>
      <c r="F12" s="260">
        <f>SUMIF('4 - Codes matrice'!$C$4:$C$99,Matrice[[#This Row],[Ligne de la matrice]],'4 - Codes matrice'!BJ$4:BJ$99)+Matrice_Clés_multilignes!F12</f>
        <v>0</v>
      </c>
      <c r="G12" s="260">
        <f>SUMIF('4 - Codes matrice'!$C$4:$C$99,Matrice[[#This Row],[Ligne de la matrice]],'4 - Codes matrice'!BK$4:BK$99)+Matrice_Clés_multilignes!G12</f>
        <v>0</v>
      </c>
      <c r="H12" s="260">
        <f>SUMIF('4 - Codes matrice'!$C$4:$C$99,Matrice[[#This Row],[Ligne de la matrice]],'4 - Codes matrice'!BL$4:BL$99)+Matrice_Clés_multilignes!H12</f>
        <v>0</v>
      </c>
      <c r="I12" s="260">
        <f>SUMIF('4 - Codes matrice'!$C$4:$C$99,Matrice[[#This Row],[Ligne de la matrice]],'4 - Codes matrice'!BM$4:BM$99)+Matrice_Clés_multilignes!I12</f>
        <v>0</v>
      </c>
      <c r="J12" s="260">
        <f>SUMIF('4 - Codes matrice'!$C$4:$C$99,Matrice[[#This Row],[Ligne de la matrice]],'4 - Codes matrice'!BN$4:BN$99)+Matrice_Clés_multilignes!J12</f>
        <v>0</v>
      </c>
      <c r="K12" s="260">
        <f>SUMIF('4 - Codes matrice'!$C$4:$C$99,Matrice[[#This Row],[Ligne de la matrice]],'4 - Codes matrice'!BO$4:BO$99)+Matrice_Clés_multilignes!K12</f>
        <v>0</v>
      </c>
      <c r="L12" s="260">
        <f>SUMIF('4 - Codes matrice'!$C$4:$C$99,Matrice[[#This Row],[Ligne de la matrice]],'4 - Codes matrice'!BP$4:BP$99)+Matrice_Clés_multilignes!L12</f>
        <v>0</v>
      </c>
      <c r="M12" s="260">
        <f>SUMIF('4 - Codes matrice'!$C$4:$C$99,Matrice[[#This Row],[Ligne de la matrice]],'4 - Codes matrice'!BQ$4:BQ$99)+Matrice_Clés_multilignes!M12</f>
        <v>0</v>
      </c>
      <c r="N12" s="260">
        <f>SUMIF('4 - Codes matrice'!$C$4:$C$99,Matrice[[#This Row],[Ligne de la matrice]],'4 - Codes matrice'!BR$4:BR$99)+Matrice_Clés_multilignes!N12</f>
        <v>0</v>
      </c>
      <c r="O12" s="260">
        <f>SUMIF('4 - Codes matrice'!$C$4:$C$99,Matrice[[#This Row],[Ligne de la matrice]],'4 - Codes matrice'!BS$4:BS$99)+Matrice_Clés_multilignes!O12</f>
        <v>0</v>
      </c>
      <c r="P12" s="260">
        <f>SUMIF('4 - Codes matrice'!$C$4:$C$99,Matrice[[#This Row],[Ligne de la matrice]],'4 - Codes matrice'!BT$4:BT$99)+Matrice_Clés_multilignes!P12</f>
        <v>0</v>
      </c>
      <c r="Q12" s="260">
        <f>SUMIF('4 - Codes matrice'!$C$4:$C$99,Matrice[[#This Row],[Ligne de la matrice]],'4 - Codes matrice'!BU$4:BU$99)+Matrice_Clés_multilignes!Q12</f>
        <v>0</v>
      </c>
      <c r="R12" s="260">
        <f>SUMIF('4 - Codes matrice'!$C$4:$C$99,Matrice[[#This Row],[Ligne de la matrice]],'4 - Codes matrice'!BV$4:BV$99)+Matrice_Clés_multilignes!R12</f>
        <v>0</v>
      </c>
      <c r="S12" s="260">
        <f>SUMIF('4 - Codes matrice'!$C$4:$C$99,Matrice[[#This Row],[Ligne de la matrice]],'4 - Codes matrice'!BW$4:BW$99)+Matrice_Clés_multilignes!S12</f>
        <v>0</v>
      </c>
      <c r="T12" s="260">
        <f>SUMIF('4 - Codes matrice'!$C$4:$C$99,Matrice[[#This Row],[Ligne de la matrice]],'4 - Codes matrice'!BX$4:BX$99)+Matrice_Clés_multilignes!T12</f>
        <v>0</v>
      </c>
      <c r="U12" s="260">
        <f>SUMIF('4 - Codes matrice'!$C$4:$C$99,Matrice[[#This Row],[Ligne de la matrice]],'4 - Codes matrice'!BY$4:BY$99)+Matrice_Clés_multilignes!U12</f>
        <v>0</v>
      </c>
      <c r="V12" s="260">
        <f>SUMIF('4 - Codes matrice'!$C$4:$C$99,Matrice[[#This Row],[Ligne de la matrice]],'4 - Codes matrice'!BZ$4:BZ$99)+Matrice_Clés_multilignes!V12</f>
        <v>0</v>
      </c>
      <c r="W12" s="260">
        <f>SUMIF('4 - Codes matrice'!$C$4:$C$99,Matrice[[#This Row],[Ligne de la matrice]],'4 - Codes matrice'!CA$4:CA$99)+Matrice_Clés_multilignes!W12</f>
        <v>0</v>
      </c>
      <c r="X12" s="260">
        <f>SUMIF('4 - Codes matrice'!$C$4:$C$99,Matrice[[#This Row],[Ligne de la matrice]],'4 - Codes matrice'!CB$4:CB$99)+Matrice_Clés_multilignes!X12</f>
        <v>0</v>
      </c>
      <c r="Y12" s="260">
        <f>SUMIF('4 - Codes matrice'!$C$4:$C$99,Matrice[[#This Row],[Ligne de la matrice]],'4 - Codes matrice'!CC$4:CC$99)+Matrice_Clés_multilignes!Y12</f>
        <v>0</v>
      </c>
      <c r="Z12" s="260">
        <f>SUMIF('4 - Codes matrice'!$C$4:$C$99,Matrice[[#This Row],[Ligne de la matrice]],'4 - Codes matrice'!CD$4:CD$99)+Matrice_Clés_multilignes!Z12</f>
        <v>0</v>
      </c>
      <c r="AA12" s="260">
        <f t="shared" si="0"/>
        <v>0</v>
      </c>
      <c r="AC12" s="7"/>
      <c r="AD12" s="7"/>
      <c r="AE12" s="7"/>
      <c r="AF12" s="7"/>
    </row>
    <row r="13" spans="1:33" s="22" customFormat="1" ht="12.75" customHeight="1" x14ac:dyDescent="0.25">
      <c r="A13" s="401"/>
      <c r="B13" s="260">
        <f>SUMIF('4 - Codes matrice'!$C$4:$C$99,Matrice[[#This Row],[Ligne de la matrice]],'4 - Codes matrice'!BF$4:BF$99)+Matrice_Clés_multilignes!B13</f>
        <v>0</v>
      </c>
      <c r="C13" s="260">
        <f>SUMIF('4 - Codes matrice'!$C$4:$C$99,Matrice[[#This Row],[Ligne de la matrice]],'4 - Codes matrice'!BG$4:BG$99)+Matrice_Clés_multilignes!C13</f>
        <v>0</v>
      </c>
      <c r="D13" s="260">
        <f>SUMIF('4 - Codes matrice'!$C$4:$C$99,Matrice[[#This Row],[Ligne de la matrice]],'4 - Codes matrice'!BH$4:BH$99)+Matrice_Clés_multilignes!D13</f>
        <v>0</v>
      </c>
      <c r="E13" s="260">
        <f>SUMIF('4 - Codes matrice'!$C$4:$C$99,Matrice[[#This Row],[Ligne de la matrice]],'4 - Codes matrice'!BI$4:BI$99)+Matrice_Clés_multilignes!E13</f>
        <v>0</v>
      </c>
      <c r="F13" s="260">
        <f>SUMIF('4 - Codes matrice'!$C$4:$C$99,Matrice[[#This Row],[Ligne de la matrice]],'4 - Codes matrice'!BJ$4:BJ$99)+Matrice_Clés_multilignes!F13</f>
        <v>0</v>
      </c>
      <c r="G13" s="260">
        <f>SUMIF('4 - Codes matrice'!$C$4:$C$99,Matrice[[#This Row],[Ligne de la matrice]],'4 - Codes matrice'!BK$4:BK$99)+Matrice_Clés_multilignes!G13</f>
        <v>0</v>
      </c>
      <c r="H13" s="260">
        <f>SUMIF('4 - Codes matrice'!$C$4:$C$99,Matrice[[#This Row],[Ligne de la matrice]],'4 - Codes matrice'!BL$4:BL$99)+Matrice_Clés_multilignes!H13</f>
        <v>0</v>
      </c>
      <c r="I13" s="260">
        <f>SUMIF('4 - Codes matrice'!$C$4:$C$99,Matrice[[#This Row],[Ligne de la matrice]],'4 - Codes matrice'!BM$4:BM$99)+Matrice_Clés_multilignes!I13</f>
        <v>0</v>
      </c>
      <c r="J13" s="260">
        <f>SUMIF('4 - Codes matrice'!$C$4:$C$99,Matrice[[#This Row],[Ligne de la matrice]],'4 - Codes matrice'!BN$4:BN$99)+Matrice_Clés_multilignes!J13</f>
        <v>0</v>
      </c>
      <c r="K13" s="260">
        <f>SUMIF('4 - Codes matrice'!$C$4:$C$99,Matrice[[#This Row],[Ligne de la matrice]],'4 - Codes matrice'!BO$4:BO$99)+Matrice_Clés_multilignes!K13</f>
        <v>0</v>
      </c>
      <c r="L13" s="260">
        <f>SUMIF('4 - Codes matrice'!$C$4:$C$99,Matrice[[#This Row],[Ligne de la matrice]],'4 - Codes matrice'!BP$4:BP$99)+Matrice_Clés_multilignes!L13</f>
        <v>0</v>
      </c>
      <c r="M13" s="260">
        <f>SUMIF('4 - Codes matrice'!$C$4:$C$99,Matrice[[#This Row],[Ligne de la matrice]],'4 - Codes matrice'!BQ$4:BQ$99)+Matrice_Clés_multilignes!M13</f>
        <v>0</v>
      </c>
      <c r="N13" s="260">
        <f>SUMIF('4 - Codes matrice'!$C$4:$C$99,Matrice[[#This Row],[Ligne de la matrice]],'4 - Codes matrice'!BR$4:BR$99)+Matrice_Clés_multilignes!N13</f>
        <v>0</v>
      </c>
      <c r="O13" s="260">
        <f>SUMIF('4 - Codes matrice'!$C$4:$C$99,Matrice[[#This Row],[Ligne de la matrice]],'4 - Codes matrice'!BS$4:BS$99)+Matrice_Clés_multilignes!O13</f>
        <v>0</v>
      </c>
      <c r="P13" s="260">
        <f>SUMIF('4 - Codes matrice'!$C$4:$C$99,Matrice[[#This Row],[Ligne de la matrice]],'4 - Codes matrice'!BT$4:BT$99)+Matrice_Clés_multilignes!P13</f>
        <v>0</v>
      </c>
      <c r="Q13" s="260">
        <f>SUMIF('4 - Codes matrice'!$C$4:$C$99,Matrice[[#This Row],[Ligne de la matrice]],'4 - Codes matrice'!BU$4:BU$99)+Matrice_Clés_multilignes!Q13</f>
        <v>0</v>
      </c>
      <c r="R13" s="260">
        <f>SUMIF('4 - Codes matrice'!$C$4:$C$99,Matrice[[#This Row],[Ligne de la matrice]],'4 - Codes matrice'!BV$4:BV$99)+Matrice_Clés_multilignes!R13</f>
        <v>0</v>
      </c>
      <c r="S13" s="260">
        <f>SUMIF('4 - Codes matrice'!$C$4:$C$99,Matrice[[#This Row],[Ligne de la matrice]],'4 - Codes matrice'!BW$4:BW$99)+Matrice_Clés_multilignes!S13</f>
        <v>0</v>
      </c>
      <c r="T13" s="260">
        <f>SUMIF('4 - Codes matrice'!$C$4:$C$99,Matrice[[#This Row],[Ligne de la matrice]],'4 - Codes matrice'!BX$4:BX$99)+Matrice_Clés_multilignes!T13</f>
        <v>0</v>
      </c>
      <c r="U13" s="260">
        <f>SUMIF('4 - Codes matrice'!$C$4:$C$99,Matrice[[#This Row],[Ligne de la matrice]],'4 - Codes matrice'!BY$4:BY$99)+Matrice_Clés_multilignes!U13</f>
        <v>0</v>
      </c>
      <c r="V13" s="260">
        <f>SUMIF('4 - Codes matrice'!$C$4:$C$99,Matrice[[#This Row],[Ligne de la matrice]],'4 - Codes matrice'!BZ$4:BZ$99)+Matrice_Clés_multilignes!V13</f>
        <v>0</v>
      </c>
      <c r="W13" s="260">
        <f>SUMIF('4 - Codes matrice'!$C$4:$C$99,Matrice[[#This Row],[Ligne de la matrice]],'4 - Codes matrice'!CA$4:CA$99)+Matrice_Clés_multilignes!W13</f>
        <v>0</v>
      </c>
      <c r="X13" s="260">
        <f>SUMIF('4 - Codes matrice'!$C$4:$C$99,Matrice[[#This Row],[Ligne de la matrice]],'4 - Codes matrice'!CB$4:CB$99)+Matrice_Clés_multilignes!X13</f>
        <v>0</v>
      </c>
      <c r="Y13" s="260">
        <f>SUMIF('4 - Codes matrice'!$C$4:$C$99,Matrice[[#This Row],[Ligne de la matrice]],'4 - Codes matrice'!CC$4:CC$99)+Matrice_Clés_multilignes!Y13</f>
        <v>0</v>
      </c>
      <c r="Z13" s="260">
        <f>SUMIF('4 - Codes matrice'!$C$4:$C$99,Matrice[[#This Row],[Ligne de la matrice]],'4 - Codes matrice'!CD$4:CD$99)+Matrice_Clés_multilignes!Z13</f>
        <v>0</v>
      </c>
      <c r="AA13" s="260">
        <f t="shared" si="0"/>
        <v>0</v>
      </c>
      <c r="AC13" s="7"/>
      <c r="AD13" s="7"/>
      <c r="AE13" s="7"/>
      <c r="AF13" s="7"/>
    </row>
    <row r="14" spans="1:33" s="22" customFormat="1" ht="12.75" hidden="1" customHeight="1" x14ac:dyDescent="0.25">
      <c r="A14" s="401"/>
      <c r="B14" s="260">
        <f>SUMIF('4 - Codes matrice'!$C$4:$C$99,Matrice[[#This Row],[Ligne de la matrice]],'4 - Codes matrice'!BF$4:BF$99)+Matrice_Clés_multilignes!B14</f>
        <v>0</v>
      </c>
      <c r="C14" s="260">
        <f>SUMIF('4 - Codes matrice'!$C$4:$C$99,Matrice[[#This Row],[Ligne de la matrice]],'4 - Codes matrice'!BG$4:BG$99)+Matrice_Clés_multilignes!C14</f>
        <v>0</v>
      </c>
      <c r="D14" s="260">
        <f>SUMIF('4 - Codes matrice'!$C$4:$C$99,Matrice[[#This Row],[Ligne de la matrice]],'4 - Codes matrice'!BH$4:BH$99)+Matrice_Clés_multilignes!D14</f>
        <v>0</v>
      </c>
      <c r="E14" s="260">
        <f>SUMIF('4 - Codes matrice'!$C$4:$C$99,Matrice[[#This Row],[Ligne de la matrice]],'4 - Codes matrice'!BI$4:BI$99)+Matrice_Clés_multilignes!E14</f>
        <v>0</v>
      </c>
      <c r="F14" s="260">
        <f>SUMIF('4 - Codes matrice'!$C$4:$C$99,Matrice[[#This Row],[Ligne de la matrice]],'4 - Codes matrice'!BJ$4:BJ$99)+Matrice_Clés_multilignes!F14</f>
        <v>0</v>
      </c>
      <c r="G14" s="260">
        <f>SUMIF('4 - Codes matrice'!$C$4:$C$99,Matrice[[#This Row],[Ligne de la matrice]],'4 - Codes matrice'!BK$4:BK$99)+Matrice_Clés_multilignes!G14</f>
        <v>0</v>
      </c>
      <c r="H14" s="260">
        <f>SUMIF('4 - Codes matrice'!$C$4:$C$99,Matrice[[#This Row],[Ligne de la matrice]],'4 - Codes matrice'!BL$4:BL$99)+Matrice_Clés_multilignes!H14</f>
        <v>0</v>
      </c>
      <c r="I14" s="260">
        <f>SUMIF('4 - Codes matrice'!$C$4:$C$99,Matrice[[#This Row],[Ligne de la matrice]],'4 - Codes matrice'!BM$4:BM$99)+Matrice_Clés_multilignes!I14</f>
        <v>0</v>
      </c>
      <c r="J14" s="260">
        <f>SUMIF('4 - Codes matrice'!$C$4:$C$99,Matrice[[#This Row],[Ligne de la matrice]],'4 - Codes matrice'!BN$4:BN$99)+Matrice_Clés_multilignes!J14</f>
        <v>0</v>
      </c>
      <c r="K14" s="260">
        <f>SUMIF('4 - Codes matrice'!$C$4:$C$99,Matrice[[#This Row],[Ligne de la matrice]],'4 - Codes matrice'!BO$4:BO$99)+Matrice_Clés_multilignes!K14</f>
        <v>0</v>
      </c>
      <c r="L14" s="260">
        <f>SUMIF('4 - Codes matrice'!$C$4:$C$99,Matrice[[#This Row],[Ligne de la matrice]],'4 - Codes matrice'!BP$4:BP$99)+Matrice_Clés_multilignes!L14</f>
        <v>0</v>
      </c>
      <c r="M14" s="260">
        <f>SUMIF('4 - Codes matrice'!$C$4:$C$99,Matrice[[#This Row],[Ligne de la matrice]],'4 - Codes matrice'!BQ$4:BQ$99)+Matrice_Clés_multilignes!M14</f>
        <v>0</v>
      </c>
      <c r="N14" s="260">
        <f>SUMIF('4 - Codes matrice'!$C$4:$C$99,Matrice[[#This Row],[Ligne de la matrice]],'4 - Codes matrice'!BR$4:BR$99)+Matrice_Clés_multilignes!N14</f>
        <v>0</v>
      </c>
      <c r="O14" s="260">
        <f>SUMIF('4 - Codes matrice'!$C$4:$C$99,Matrice[[#This Row],[Ligne de la matrice]],'4 - Codes matrice'!BS$4:BS$99)+Matrice_Clés_multilignes!O14</f>
        <v>0</v>
      </c>
      <c r="P14" s="260">
        <f>SUMIF('4 - Codes matrice'!$C$4:$C$99,Matrice[[#This Row],[Ligne de la matrice]],'4 - Codes matrice'!BT$4:BT$99)+Matrice_Clés_multilignes!P14</f>
        <v>0</v>
      </c>
      <c r="Q14" s="260">
        <f>SUMIF('4 - Codes matrice'!$C$4:$C$99,Matrice[[#This Row],[Ligne de la matrice]],'4 - Codes matrice'!BU$4:BU$99)+Matrice_Clés_multilignes!Q14</f>
        <v>0</v>
      </c>
      <c r="R14" s="260">
        <f>SUMIF('4 - Codes matrice'!$C$4:$C$99,Matrice[[#This Row],[Ligne de la matrice]],'4 - Codes matrice'!BV$4:BV$99)+Matrice_Clés_multilignes!R14</f>
        <v>0</v>
      </c>
      <c r="S14" s="260">
        <f>SUMIF('4 - Codes matrice'!$C$4:$C$99,Matrice[[#This Row],[Ligne de la matrice]],'4 - Codes matrice'!BW$4:BW$99)+Matrice_Clés_multilignes!S14</f>
        <v>0</v>
      </c>
      <c r="T14" s="260">
        <f>SUMIF('4 - Codes matrice'!$C$4:$C$99,Matrice[[#This Row],[Ligne de la matrice]],'4 - Codes matrice'!BX$4:BX$99)+Matrice_Clés_multilignes!T14</f>
        <v>0</v>
      </c>
      <c r="U14" s="260">
        <f>SUMIF('4 - Codes matrice'!$C$4:$C$99,Matrice[[#This Row],[Ligne de la matrice]],'4 - Codes matrice'!BY$4:BY$99)+Matrice_Clés_multilignes!U14</f>
        <v>0</v>
      </c>
      <c r="V14" s="260">
        <f>SUMIF('4 - Codes matrice'!$C$4:$C$99,Matrice[[#This Row],[Ligne de la matrice]],'4 - Codes matrice'!BZ$4:BZ$99)+Matrice_Clés_multilignes!V14</f>
        <v>0</v>
      </c>
      <c r="W14" s="260">
        <f>SUMIF('4 - Codes matrice'!$C$4:$C$99,Matrice[[#This Row],[Ligne de la matrice]],'4 - Codes matrice'!CA$4:CA$99)+Matrice_Clés_multilignes!W14</f>
        <v>0</v>
      </c>
      <c r="X14" s="260">
        <f>SUMIF('4 - Codes matrice'!$C$4:$C$99,Matrice[[#This Row],[Ligne de la matrice]],'4 - Codes matrice'!CB$4:CB$99)+Matrice_Clés_multilignes!X14</f>
        <v>0</v>
      </c>
      <c r="Y14" s="260">
        <f>SUMIF('4 - Codes matrice'!$C$4:$C$99,Matrice[[#This Row],[Ligne de la matrice]],'4 - Codes matrice'!CC$4:CC$99)+Matrice_Clés_multilignes!Y14</f>
        <v>0</v>
      </c>
      <c r="Z14" s="260">
        <f>SUMIF('4 - Codes matrice'!$C$4:$C$99,Matrice[[#This Row],[Ligne de la matrice]],'4 - Codes matrice'!CD$4:CD$99)+Matrice_Clés_multilignes!Z14</f>
        <v>0</v>
      </c>
      <c r="AA14" s="260">
        <f t="shared" si="0"/>
        <v>0</v>
      </c>
      <c r="AC14" s="7"/>
      <c r="AD14" s="7"/>
      <c r="AE14" s="7"/>
      <c r="AF14" s="7"/>
    </row>
    <row r="15" spans="1:33" s="22" customFormat="1" ht="12.75" hidden="1" customHeight="1" x14ac:dyDescent="0.25">
      <c r="A15" s="401"/>
      <c r="B15" s="260">
        <f>SUMIF('4 - Codes matrice'!$C$4:$C$99,Matrice[[#This Row],[Ligne de la matrice]],'4 - Codes matrice'!BF$4:BF$99)+Matrice_Clés_multilignes!B15</f>
        <v>0</v>
      </c>
      <c r="C15" s="260">
        <f>SUMIF('4 - Codes matrice'!$C$4:$C$99,Matrice[[#This Row],[Ligne de la matrice]],'4 - Codes matrice'!BG$4:BG$99)+Matrice_Clés_multilignes!C15</f>
        <v>0</v>
      </c>
      <c r="D15" s="260">
        <f>SUMIF('4 - Codes matrice'!$C$4:$C$99,Matrice[[#This Row],[Ligne de la matrice]],'4 - Codes matrice'!BH$4:BH$99)+Matrice_Clés_multilignes!D15</f>
        <v>0</v>
      </c>
      <c r="E15" s="260">
        <f>SUMIF('4 - Codes matrice'!$C$4:$C$99,Matrice[[#This Row],[Ligne de la matrice]],'4 - Codes matrice'!BI$4:BI$99)+Matrice_Clés_multilignes!E15</f>
        <v>0</v>
      </c>
      <c r="F15" s="260">
        <f>SUMIF('4 - Codes matrice'!$C$4:$C$99,Matrice[[#This Row],[Ligne de la matrice]],'4 - Codes matrice'!BJ$4:BJ$99)+Matrice_Clés_multilignes!F15</f>
        <v>0</v>
      </c>
      <c r="G15" s="260">
        <f>SUMIF('4 - Codes matrice'!$C$4:$C$99,Matrice[[#This Row],[Ligne de la matrice]],'4 - Codes matrice'!BK$4:BK$99)+Matrice_Clés_multilignes!G15</f>
        <v>0</v>
      </c>
      <c r="H15" s="260">
        <f>SUMIF('4 - Codes matrice'!$C$4:$C$99,Matrice[[#This Row],[Ligne de la matrice]],'4 - Codes matrice'!BL$4:BL$99)+Matrice_Clés_multilignes!H15</f>
        <v>0</v>
      </c>
      <c r="I15" s="260">
        <f>SUMIF('4 - Codes matrice'!$C$4:$C$99,Matrice[[#This Row],[Ligne de la matrice]],'4 - Codes matrice'!BM$4:BM$99)+Matrice_Clés_multilignes!I15</f>
        <v>0</v>
      </c>
      <c r="J15" s="260">
        <f>SUMIF('4 - Codes matrice'!$C$4:$C$99,Matrice[[#This Row],[Ligne de la matrice]],'4 - Codes matrice'!BN$4:BN$99)+Matrice_Clés_multilignes!J15</f>
        <v>0</v>
      </c>
      <c r="K15" s="260">
        <f>SUMIF('4 - Codes matrice'!$C$4:$C$99,Matrice[[#This Row],[Ligne de la matrice]],'4 - Codes matrice'!BO$4:BO$99)+Matrice_Clés_multilignes!K15</f>
        <v>0</v>
      </c>
      <c r="L15" s="260">
        <f>SUMIF('4 - Codes matrice'!$C$4:$C$99,Matrice[[#This Row],[Ligne de la matrice]],'4 - Codes matrice'!BP$4:BP$99)+Matrice_Clés_multilignes!L15</f>
        <v>0</v>
      </c>
      <c r="M15" s="260">
        <f>SUMIF('4 - Codes matrice'!$C$4:$C$99,Matrice[[#This Row],[Ligne de la matrice]],'4 - Codes matrice'!BQ$4:BQ$99)+Matrice_Clés_multilignes!M15</f>
        <v>0</v>
      </c>
      <c r="N15" s="260">
        <f>SUMIF('4 - Codes matrice'!$C$4:$C$99,Matrice[[#This Row],[Ligne de la matrice]],'4 - Codes matrice'!BR$4:BR$99)+Matrice_Clés_multilignes!N15</f>
        <v>0</v>
      </c>
      <c r="O15" s="260">
        <f>SUMIF('4 - Codes matrice'!$C$4:$C$99,Matrice[[#This Row],[Ligne de la matrice]],'4 - Codes matrice'!BS$4:BS$99)+Matrice_Clés_multilignes!O15</f>
        <v>0</v>
      </c>
      <c r="P15" s="260">
        <f>SUMIF('4 - Codes matrice'!$C$4:$C$99,Matrice[[#This Row],[Ligne de la matrice]],'4 - Codes matrice'!BT$4:BT$99)+Matrice_Clés_multilignes!P15</f>
        <v>0</v>
      </c>
      <c r="Q15" s="260">
        <f>SUMIF('4 - Codes matrice'!$C$4:$C$99,Matrice[[#This Row],[Ligne de la matrice]],'4 - Codes matrice'!BU$4:BU$99)+Matrice_Clés_multilignes!Q15</f>
        <v>0</v>
      </c>
      <c r="R15" s="260">
        <f>SUMIF('4 - Codes matrice'!$C$4:$C$99,Matrice[[#This Row],[Ligne de la matrice]],'4 - Codes matrice'!BV$4:BV$99)+Matrice_Clés_multilignes!R15</f>
        <v>0</v>
      </c>
      <c r="S15" s="260">
        <f>SUMIF('4 - Codes matrice'!$C$4:$C$99,Matrice[[#This Row],[Ligne de la matrice]],'4 - Codes matrice'!BW$4:BW$99)+Matrice_Clés_multilignes!S15</f>
        <v>0</v>
      </c>
      <c r="T15" s="260">
        <f>SUMIF('4 - Codes matrice'!$C$4:$C$99,Matrice[[#This Row],[Ligne de la matrice]],'4 - Codes matrice'!BX$4:BX$99)+Matrice_Clés_multilignes!T15</f>
        <v>0</v>
      </c>
      <c r="U15" s="260">
        <f>SUMIF('4 - Codes matrice'!$C$4:$C$99,Matrice[[#This Row],[Ligne de la matrice]],'4 - Codes matrice'!BY$4:BY$99)+Matrice_Clés_multilignes!U15</f>
        <v>0</v>
      </c>
      <c r="V15" s="260">
        <f>SUMIF('4 - Codes matrice'!$C$4:$C$99,Matrice[[#This Row],[Ligne de la matrice]],'4 - Codes matrice'!BZ$4:BZ$99)+Matrice_Clés_multilignes!V15</f>
        <v>0</v>
      </c>
      <c r="W15" s="260">
        <f>SUMIF('4 - Codes matrice'!$C$4:$C$99,Matrice[[#This Row],[Ligne de la matrice]],'4 - Codes matrice'!CA$4:CA$99)+Matrice_Clés_multilignes!W15</f>
        <v>0</v>
      </c>
      <c r="X15" s="260">
        <f>SUMIF('4 - Codes matrice'!$C$4:$C$99,Matrice[[#This Row],[Ligne de la matrice]],'4 - Codes matrice'!CB$4:CB$99)+Matrice_Clés_multilignes!X15</f>
        <v>0</v>
      </c>
      <c r="Y15" s="260">
        <f>SUMIF('4 - Codes matrice'!$C$4:$C$99,Matrice[[#This Row],[Ligne de la matrice]],'4 - Codes matrice'!CC$4:CC$99)+Matrice_Clés_multilignes!Y15</f>
        <v>0</v>
      </c>
      <c r="Z15" s="260">
        <f>SUMIF('4 - Codes matrice'!$C$4:$C$99,Matrice[[#This Row],[Ligne de la matrice]],'4 - Codes matrice'!CD$4:CD$99)+Matrice_Clés_multilignes!Z15</f>
        <v>0</v>
      </c>
      <c r="AA15" s="260">
        <f t="shared" si="0"/>
        <v>0</v>
      </c>
      <c r="AC15" s="7"/>
      <c r="AD15" s="7"/>
      <c r="AE15" s="7"/>
      <c r="AF15" s="7"/>
    </row>
    <row r="16" spans="1:33" s="22" customFormat="1" ht="12.75" hidden="1" customHeight="1" x14ac:dyDescent="0.25">
      <c r="A16" s="401"/>
      <c r="B16" s="260">
        <f>SUMIF('4 - Codes matrice'!$C$4:$C$99,Matrice[[#This Row],[Ligne de la matrice]],'4 - Codes matrice'!BF$4:BF$99)+Matrice_Clés_multilignes!B16</f>
        <v>0</v>
      </c>
      <c r="C16" s="260">
        <f>SUMIF('4 - Codes matrice'!$C$4:$C$99,Matrice[[#This Row],[Ligne de la matrice]],'4 - Codes matrice'!BG$4:BG$99)+Matrice_Clés_multilignes!C16</f>
        <v>0</v>
      </c>
      <c r="D16" s="260">
        <f>SUMIF('4 - Codes matrice'!$C$4:$C$99,Matrice[[#This Row],[Ligne de la matrice]],'4 - Codes matrice'!BH$4:BH$99)+Matrice_Clés_multilignes!D16</f>
        <v>0</v>
      </c>
      <c r="E16" s="260">
        <f>SUMIF('4 - Codes matrice'!$C$4:$C$99,Matrice[[#This Row],[Ligne de la matrice]],'4 - Codes matrice'!BI$4:BI$99)+Matrice_Clés_multilignes!E16</f>
        <v>0</v>
      </c>
      <c r="F16" s="260">
        <f>SUMIF('4 - Codes matrice'!$C$4:$C$99,Matrice[[#This Row],[Ligne de la matrice]],'4 - Codes matrice'!BJ$4:BJ$99)+Matrice_Clés_multilignes!F16</f>
        <v>0</v>
      </c>
      <c r="G16" s="260">
        <f>SUMIF('4 - Codes matrice'!$C$4:$C$99,Matrice[[#This Row],[Ligne de la matrice]],'4 - Codes matrice'!BK$4:BK$99)+Matrice_Clés_multilignes!G16</f>
        <v>0</v>
      </c>
      <c r="H16" s="260">
        <f>SUMIF('4 - Codes matrice'!$C$4:$C$99,Matrice[[#This Row],[Ligne de la matrice]],'4 - Codes matrice'!BL$4:BL$99)+Matrice_Clés_multilignes!H16</f>
        <v>0</v>
      </c>
      <c r="I16" s="260">
        <f>SUMIF('4 - Codes matrice'!$C$4:$C$99,Matrice[[#This Row],[Ligne de la matrice]],'4 - Codes matrice'!BM$4:BM$99)+Matrice_Clés_multilignes!I16</f>
        <v>0</v>
      </c>
      <c r="J16" s="260">
        <f>SUMIF('4 - Codes matrice'!$C$4:$C$99,Matrice[[#This Row],[Ligne de la matrice]],'4 - Codes matrice'!BN$4:BN$99)+Matrice_Clés_multilignes!J16</f>
        <v>0</v>
      </c>
      <c r="K16" s="260">
        <f>SUMIF('4 - Codes matrice'!$C$4:$C$99,Matrice[[#This Row],[Ligne de la matrice]],'4 - Codes matrice'!BO$4:BO$99)+Matrice_Clés_multilignes!K16</f>
        <v>0</v>
      </c>
      <c r="L16" s="260">
        <f>SUMIF('4 - Codes matrice'!$C$4:$C$99,Matrice[[#This Row],[Ligne de la matrice]],'4 - Codes matrice'!BP$4:BP$99)+Matrice_Clés_multilignes!L16</f>
        <v>0</v>
      </c>
      <c r="M16" s="260">
        <f>SUMIF('4 - Codes matrice'!$C$4:$C$99,Matrice[[#This Row],[Ligne de la matrice]],'4 - Codes matrice'!BQ$4:BQ$99)+Matrice_Clés_multilignes!M16</f>
        <v>0</v>
      </c>
      <c r="N16" s="260">
        <f>SUMIF('4 - Codes matrice'!$C$4:$C$99,Matrice[[#This Row],[Ligne de la matrice]],'4 - Codes matrice'!BR$4:BR$99)+Matrice_Clés_multilignes!N16</f>
        <v>0</v>
      </c>
      <c r="O16" s="260">
        <f>SUMIF('4 - Codes matrice'!$C$4:$C$99,Matrice[[#This Row],[Ligne de la matrice]],'4 - Codes matrice'!BS$4:BS$99)+Matrice_Clés_multilignes!O16</f>
        <v>0</v>
      </c>
      <c r="P16" s="260">
        <f>SUMIF('4 - Codes matrice'!$C$4:$C$99,Matrice[[#This Row],[Ligne de la matrice]],'4 - Codes matrice'!BT$4:BT$99)+Matrice_Clés_multilignes!P16</f>
        <v>0</v>
      </c>
      <c r="Q16" s="260">
        <f>SUMIF('4 - Codes matrice'!$C$4:$C$99,Matrice[[#This Row],[Ligne de la matrice]],'4 - Codes matrice'!BU$4:BU$99)+Matrice_Clés_multilignes!Q16</f>
        <v>0</v>
      </c>
      <c r="R16" s="260">
        <f>SUMIF('4 - Codes matrice'!$C$4:$C$99,Matrice[[#This Row],[Ligne de la matrice]],'4 - Codes matrice'!BV$4:BV$99)+Matrice_Clés_multilignes!R16</f>
        <v>0</v>
      </c>
      <c r="S16" s="260">
        <f>SUMIF('4 - Codes matrice'!$C$4:$C$99,Matrice[[#This Row],[Ligne de la matrice]],'4 - Codes matrice'!BW$4:BW$99)+Matrice_Clés_multilignes!S16</f>
        <v>0</v>
      </c>
      <c r="T16" s="260">
        <f>SUMIF('4 - Codes matrice'!$C$4:$C$99,Matrice[[#This Row],[Ligne de la matrice]],'4 - Codes matrice'!BX$4:BX$99)+Matrice_Clés_multilignes!T16</f>
        <v>0</v>
      </c>
      <c r="U16" s="260">
        <f>SUMIF('4 - Codes matrice'!$C$4:$C$99,Matrice[[#This Row],[Ligne de la matrice]],'4 - Codes matrice'!BY$4:BY$99)+Matrice_Clés_multilignes!U16</f>
        <v>0</v>
      </c>
      <c r="V16" s="260">
        <f>SUMIF('4 - Codes matrice'!$C$4:$C$99,Matrice[[#This Row],[Ligne de la matrice]],'4 - Codes matrice'!BZ$4:BZ$99)+Matrice_Clés_multilignes!V16</f>
        <v>0</v>
      </c>
      <c r="W16" s="260">
        <f>SUMIF('4 - Codes matrice'!$C$4:$C$99,Matrice[[#This Row],[Ligne de la matrice]],'4 - Codes matrice'!CA$4:CA$99)+Matrice_Clés_multilignes!W16</f>
        <v>0</v>
      </c>
      <c r="X16" s="260">
        <f>SUMIF('4 - Codes matrice'!$C$4:$C$99,Matrice[[#This Row],[Ligne de la matrice]],'4 - Codes matrice'!CB$4:CB$99)+Matrice_Clés_multilignes!X16</f>
        <v>0</v>
      </c>
      <c r="Y16" s="260">
        <f>SUMIF('4 - Codes matrice'!$C$4:$C$99,Matrice[[#This Row],[Ligne de la matrice]],'4 - Codes matrice'!CC$4:CC$99)+Matrice_Clés_multilignes!Y16</f>
        <v>0</v>
      </c>
      <c r="Z16" s="260">
        <f>SUMIF('4 - Codes matrice'!$C$4:$C$99,Matrice[[#This Row],[Ligne de la matrice]],'4 - Codes matrice'!CD$4:CD$99)+Matrice_Clés_multilignes!Z16</f>
        <v>0</v>
      </c>
      <c r="AA16" s="260">
        <f t="shared" si="0"/>
        <v>0</v>
      </c>
      <c r="AC16" s="7"/>
      <c r="AD16" s="7"/>
      <c r="AE16" s="7"/>
      <c r="AF16" s="7"/>
    </row>
    <row r="17" spans="1:33" ht="12.75" hidden="1" customHeight="1" x14ac:dyDescent="0.25">
      <c r="A17" s="401"/>
      <c r="B17" s="260">
        <f>SUMIF('4 - Codes matrice'!$C$4:$C$99,Matrice[[#This Row],[Ligne de la matrice]],'4 - Codes matrice'!BF$4:BF$99)+Matrice_Clés_multilignes!B17</f>
        <v>0</v>
      </c>
      <c r="C17" s="260">
        <f>SUMIF('4 - Codes matrice'!$C$4:$C$99,Matrice[[#This Row],[Ligne de la matrice]],'4 - Codes matrice'!BG$4:BG$99)+Matrice_Clés_multilignes!C17</f>
        <v>0</v>
      </c>
      <c r="D17" s="260">
        <f>SUMIF('4 - Codes matrice'!$C$4:$C$99,Matrice[[#This Row],[Ligne de la matrice]],'4 - Codes matrice'!BH$4:BH$99)+Matrice_Clés_multilignes!D17</f>
        <v>0</v>
      </c>
      <c r="E17" s="260">
        <f>SUMIF('4 - Codes matrice'!$C$4:$C$99,Matrice[[#This Row],[Ligne de la matrice]],'4 - Codes matrice'!BI$4:BI$99)+Matrice_Clés_multilignes!E17</f>
        <v>0</v>
      </c>
      <c r="F17" s="260">
        <f>SUMIF('4 - Codes matrice'!$C$4:$C$99,Matrice[[#This Row],[Ligne de la matrice]],'4 - Codes matrice'!BJ$4:BJ$99)+Matrice_Clés_multilignes!F17</f>
        <v>0</v>
      </c>
      <c r="G17" s="260">
        <f>SUMIF('4 - Codes matrice'!$C$4:$C$99,Matrice[[#This Row],[Ligne de la matrice]],'4 - Codes matrice'!BK$4:BK$99)+Matrice_Clés_multilignes!G17</f>
        <v>0</v>
      </c>
      <c r="H17" s="260">
        <f>SUMIF('4 - Codes matrice'!$C$4:$C$99,Matrice[[#This Row],[Ligne de la matrice]],'4 - Codes matrice'!BL$4:BL$99)+Matrice_Clés_multilignes!H17</f>
        <v>0</v>
      </c>
      <c r="I17" s="260">
        <f>SUMIF('4 - Codes matrice'!$C$4:$C$99,Matrice[[#This Row],[Ligne de la matrice]],'4 - Codes matrice'!BM$4:BM$99)+Matrice_Clés_multilignes!I17</f>
        <v>0</v>
      </c>
      <c r="J17" s="260">
        <f>SUMIF('4 - Codes matrice'!$C$4:$C$99,Matrice[[#This Row],[Ligne de la matrice]],'4 - Codes matrice'!BN$4:BN$99)+Matrice_Clés_multilignes!J17</f>
        <v>0</v>
      </c>
      <c r="K17" s="260">
        <f>SUMIF('4 - Codes matrice'!$C$4:$C$99,Matrice[[#This Row],[Ligne de la matrice]],'4 - Codes matrice'!BO$4:BO$99)+Matrice_Clés_multilignes!K17</f>
        <v>0</v>
      </c>
      <c r="L17" s="260">
        <f>SUMIF('4 - Codes matrice'!$C$4:$C$99,Matrice[[#This Row],[Ligne de la matrice]],'4 - Codes matrice'!BP$4:BP$99)+Matrice_Clés_multilignes!L17</f>
        <v>0</v>
      </c>
      <c r="M17" s="260">
        <f>SUMIF('4 - Codes matrice'!$C$4:$C$99,Matrice[[#This Row],[Ligne de la matrice]],'4 - Codes matrice'!BQ$4:BQ$99)+Matrice_Clés_multilignes!M17</f>
        <v>0</v>
      </c>
      <c r="N17" s="260">
        <f>SUMIF('4 - Codes matrice'!$C$4:$C$99,Matrice[[#This Row],[Ligne de la matrice]],'4 - Codes matrice'!BR$4:BR$99)+Matrice_Clés_multilignes!N17</f>
        <v>0</v>
      </c>
      <c r="O17" s="260">
        <f>SUMIF('4 - Codes matrice'!$C$4:$C$99,Matrice[[#This Row],[Ligne de la matrice]],'4 - Codes matrice'!BS$4:BS$99)+Matrice_Clés_multilignes!O17</f>
        <v>0</v>
      </c>
      <c r="P17" s="260">
        <f>SUMIF('4 - Codes matrice'!$C$4:$C$99,Matrice[[#This Row],[Ligne de la matrice]],'4 - Codes matrice'!BT$4:BT$99)+Matrice_Clés_multilignes!P17</f>
        <v>0</v>
      </c>
      <c r="Q17" s="260">
        <f>SUMIF('4 - Codes matrice'!$C$4:$C$99,Matrice[[#This Row],[Ligne de la matrice]],'4 - Codes matrice'!BU$4:BU$99)+Matrice_Clés_multilignes!Q17</f>
        <v>0</v>
      </c>
      <c r="R17" s="260">
        <f>SUMIF('4 - Codes matrice'!$C$4:$C$99,Matrice[[#This Row],[Ligne de la matrice]],'4 - Codes matrice'!BV$4:BV$99)+Matrice_Clés_multilignes!R17</f>
        <v>0</v>
      </c>
      <c r="S17" s="260">
        <f>SUMIF('4 - Codes matrice'!$C$4:$C$99,Matrice[[#This Row],[Ligne de la matrice]],'4 - Codes matrice'!BW$4:BW$99)+Matrice_Clés_multilignes!S17</f>
        <v>0</v>
      </c>
      <c r="T17" s="260">
        <f>SUMIF('4 - Codes matrice'!$C$4:$C$99,Matrice[[#This Row],[Ligne de la matrice]],'4 - Codes matrice'!BX$4:BX$99)+Matrice_Clés_multilignes!T17</f>
        <v>0</v>
      </c>
      <c r="U17" s="260">
        <f>SUMIF('4 - Codes matrice'!$C$4:$C$99,Matrice[[#This Row],[Ligne de la matrice]],'4 - Codes matrice'!BY$4:BY$99)+Matrice_Clés_multilignes!U17</f>
        <v>0</v>
      </c>
      <c r="V17" s="260">
        <f>SUMIF('4 - Codes matrice'!$C$4:$C$99,Matrice[[#This Row],[Ligne de la matrice]],'4 - Codes matrice'!BZ$4:BZ$99)+Matrice_Clés_multilignes!V17</f>
        <v>0</v>
      </c>
      <c r="W17" s="260">
        <f>SUMIF('4 - Codes matrice'!$C$4:$C$99,Matrice[[#This Row],[Ligne de la matrice]],'4 - Codes matrice'!CA$4:CA$99)+Matrice_Clés_multilignes!W17</f>
        <v>0</v>
      </c>
      <c r="X17" s="260">
        <f>SUMIF('4 - Codes matrice'!$C$4:$C$99,Matrice[[#This Row],[Ligne de la matrice]],'4 - Codes matrice'!CB$4:CB$99)+Matrice_Clés_multilignes!X17</f>
        <v>0</v>
      </c>
      <c r="Y17" s="260">
        <f>SUMIF('4 - Codes matrice'!$C$4:$C$99,Matrice[[#This Row],[Ligne de la matrice]],'4 - Codes matrice'!CC$4:CC$99)+Matrice_Clés_multilignes!Y17</f>
        <v>0</v>
      </c>
      <c r="Z17" s="260">
        <f>SUMIF('4 - Codes matrice'!$C$4:$C$99,Matrice[[#This Row],[Ligne de la matrice]],'4 - Codes matrice'!CD$4:CD$99)+Matrice_Clés_multilignes!Z17</f>
        <v>0</v>
      </c>
      <c r="AA17" s="260">
        <f t="shared" si="0"/>
        <v>0</v>
      </c>
      <c r="AG17" s="22"/>
    </row>
    <row r="18" spans="1:33" ht="12.75" hidden="1" customHeight="1" x14ac:dyDescent="0.25">
      <c r="A18" s="401"/>
      <c r="B18" s="260">
        <f>SUMIF('4 - Codes matrice'!$C$4:$C$99,Matrice[[#This Row],[Ligne de la matrice]],'4 - Codes matrice'!BF$4:BF$99)+Matrice_Clés_multilignes!B18</f>
        <v>0</v>
      </c>
      <c r="C18" s="260">
        <f>SUMIF('4 - Codes matrice'!$C$4:$C$99,Matrice[[#This Row],[Ligne de la matrice]],'4 - Codes matrice'!BG$4:BG$99)+Matrice_Clés_multilignes!C18</f>
        <v>0</v>
      </c>
      <c r="D18" s="260">
        <f>SUMIF('4 - Codes matrice'!$C$4:$C$99,Matrice[[#This Row],[Ligne de la matrice]],'4 - Codes matrice'!BH$4:BH$99)+Matrice_Clés_multilignes!D18</f>
        <v>0</v>
      </c>
      <c r="E18" s="260">
        <f>SUMIF('4 - Codes matrice'!$C$4:$C$99,Matrice[[#This Row],[Ligne de la matrice]],'4 - Codes matrice'!BI$4:BI$99)+Matrice_Clés_multilignes!E18</f>
        <v>0</v>
      </c>
      <c r="F18" s="260">
        <f>SUMIF('4 - Codes matrice'!$C$4:$C$99,Matrice[[#This Row],[Ligne de la matrice]],'4 - Codes matrice'!BJ$4:BJ$99)+Matrice_Clés_multilignes!F18</f>
        <v>0</v>
      </c>
      <c r="G18" s="260">
        <f>SUMIF('4 - Codes matrice'!$C$4:$C$99,Matrice[[#This Row],[Ligne de la matrice]],'4 - Codes matrice'!BK$4:BK$99)+Matrice_Clés_multilignes!G18</f>
        <v>0</v>
      </c>
      <c r="H18" s="260">
        <f>SUMIF('4 - Codes matrice'!$C$4:$C$99,Matrice[[#This Row],[Ligne de la matrice]],'4 - Codes matrice'!BL$4:BL$99)+Matrice_Clés_multilignes!H18</f>
        <v>0</v>
      </c>
      <c r="I18" s="260">
        <f>SUMIF('4 - Codes matrice'!$C$4:$C$99,Matrice[[#This Row],[Ligne de la matrice]],'4 - Codes matrice'!BM$4:BM$99)+Matrice_Clés_multilignes!I18</f>
        <v>0</v>
      </c>
      <c r="J18" s="260">
        <f>SUMIF('4 - Codes matrice'!$C$4:$C$99,Matrice[[#This Row],[Ligne de la matrice]],'4 - Codes matrice'!BN$4:BN$99)+Matrice_Clés_multilignes!J18</f>
        <v>0</v>
      </c>
      <c r="K18" s="260">
        <f>SUMIF('4 - Codes matrice'!$C$4:$C$99,Matrice[[#This Row],[Ligne de la matrice]],'4 - Codes matrice'!BO$4:BO$99)+Matrice_Clés_multilignes!K18</f>
        <v>0</v>
      </c>
      <c r="L18" s="260">
        <f>SUMIF('4 - Codes matrice'!$C$4:$C$99,Matrice[[#This Row],[Ligne de la matrice]],'4 - Codes matrice'!BP$4:BP$99)+Matrice_Clés_multilignes!L18</f>
        <v>0</v>
      </c>
      <c r="M18" s="260">
        <f>SUMIF('4 - Codes matrice'!$C$4:$C$99,Matrice[[#This Row],[Ligne de la matrice]],'4 - Codes matrice'!BQ$4:BQ$99)+Matrice_Clés_multilignes!M18</f>
        <v>0</v>
      </c>
      <c r="N18" s="260">
        <f>SUMIF('4 - Codes matrice'!$C$4:$C$99,Matrice[[#This Row],[Ligne de la matrice]],'4 - Codes matrice'!BR$4:BR$99)+Matrice_Clés_multilignes!N18</f>
        <v>0</v>
      </c>
      <c r="O18" s="260">
        <f>SUMIF('4 - Codes matrice'!$C$4:$C$99,Matrice[[#This Row],[Ligne de la matrice]],'4 - Codes matrice'!BS$4:BS$99)+Matrice_Clés_multilignes!O18</f>
        <v>0</v>
      </c>
      <c r="P18" s="260">
        <f>SUMIF('4 - Codes matrice'!$C$4:$C$99,Matrice[[#This Row],[Ligne de la matrice]],'4 - Codes matrice'!BT$4:BT$99)+Matrice_Clés_multilignes!P18</f>
        <v>0</v>
      </c>
      <c r="Q18" s="260">
        <f>SUMIF('4 - Codes matrice'!$C$4:$C$99,Matrice[[#This Row],[Ligne de la matrice]],'4 - Codes matrice'!BU$4:BU$99)+Matrice_Clés_multilignes!Q18</f>
        <v>0</v>
      </c>
      <c r="R18" s="260">
        <f>SUMIF('4 - Codes matrice'!$C$4:$C$99,Matrice[[#This Row],[Ligne de la matrice]],'4 - Codes matrice'!BV$4:BV$99)+Matrice_Clés_multilignes!R18</f>
        <v>0</v>
      </c>
      <c r="S18" s="260">
        <f>SUMIF('4 - Codes matrice'!$C$4:$C$99,Matrice[[#This Row],[Ligne de la matrice]],'4 - Codes matrice'!BW$4:BW$99)+Matrice_Clés_multilignes!S18</f>
        <v>0</v>
      </c>
      <c r="T18" s="260">
        <f>SUMIF('4 - Codes matrice'!$C$4:$C$99,Matrice[[#This Row],[Ligne de la matrice]],'4 - Codes matrice'!BX$4:BX$99)+Matrice_Clés_multilignes!T18</f>
        <v>0</v>
      </c>
      <c r="U18" s="260">
        <f>SUMIF('4 - Codes matrice'!$C$4:$C$99,Matrice[[#This Row],[Ligne de la matrice]],'4 - Codes matrice'!BY$4:BY$99)+Matrice_Clés_multilignes!U18</f>
        <v>0</v>
      </c>
      <c r="V18" s="260">
        <f>SUMIF('4 - Codes matrice'!$C$4:$C$99,Matrice[[#This Row],[Ligne de la matrice]],'4 - Codes matrice'!BZ$4:BZ$99)+Matrice_Clés_multilignes!V18</f>
        <v>0</v>
      </c>
      <c r="W18" s="260">
        <f>SUMIF('4 - Codes matrice'!$C$4:$C$99,Matrice[[#This Row],[Ligne de la matrice]],'4 - Codes matrice'!CA$4:CA$99)+Matrice_Clés_multilignes!W18</f>
        <v>0</v>
      </c>
      <c r="X18" s="260">
        <f>SUMIF('4 - Codes matrice'!$C$4:$C$99,Matrice[[#This Row],[Ligne de la matrice]],'4 - Codes matrice'!CB$4:CB$99)+Matrice_Clés_multilignes!X18</f>
        <v>0</v>
      </c>
      <c r="Y18" s="260">
        <f>SUMIF('4 - Codes matrice'!$C$4:$C$99,Matrice[[#This Row],[Ligne de la matrice]],'4 - Codes matrice'!CC$4:CC$99)+Matrice_Clés_multilignes!Y18</f>
        <v>0</v>
      </c>
      <c r="Z18" s="260">
        <f>SUMIF('4 - Codes matrice'!$C$4:$C$99,Matrice[[#This Row],[Ligne de la matrice]],'4 - Codes matrice'!CD$4:CD$99)+Matrice_Clés_multilignes!Z18</f>
        <v>0</v>
      </c>
      <c r="AA18" s="260">
        <f t="shared" si="0"/>
        <v>0</v>
      </c>
      <c r="AG18" s="22"/>
    </row>
    <row r="19" spans="1:33" ht="12.75" hidden="1" customHeight="1" x14ac:dyDescent="0.25">
      <c r="A19" s="401"/>
      <c r="B19" s="260">
        <f>SUMIF('4 - Codes matrice'!$C$4:$C$99,Matrice[[#This Row],[Ligne de la matrice]],'4 - Codes matrice'!BF$4:BF$99)+Matrice_Clés_multilignes!B19</f>
        <v>0</v>
      </c>
      <c r="C19" s="260">
        <f>SUMIF('4 - Codes matrice'!$C$4:$C$99,Matrice[[#This Row],[Ligne de la matrice]],'4 - Codes matrice'!BG$4:BG$99)+Matrice_Clés_multilignes!C19</f>
        <v>0</v>
      </c>
      <c r="D19" s="260">
        <f>SUMIF('4 - Codes matrice'!$C$4:$C$99,Matrice[[#This Row],[Ligne de la matrice]],'4 - Codes matrice'!BH$4:BH$99)+Matrice_Clés_multilignes!D19</f>
        <v>0</v>
      </c>
      <c r="E19" s="260">
        <f>SUMIF('4 - Codes matrice'!$C$4:$C$99,Matrice[[#This Row],[Ligne de la matrice]],'4 - Codes matrice'!BI$4:BI$99)+Matrice_Clés_multilignes!E19</f>
        <v>0</v>
      </c>
      <c r="F19" s="260">
        <f>SUMIF('4 - Codes matrice'!$C$4:$C$99,Matrice[[#This Row],[Ligne de la matrice]],'4 - Codes matrice'!BJ$4:BJ$99)+Matrice_Clés_multilignes!F19</f>
        <v>0</v>
      </c>
      <c r="G19" s="260">
        <f>SUMIF('4 - Codes matrice'!$C$4:$C$99,Matrice[[#This Row],[Ligne de la matrice]],'4 - Codes matrice'!BK$4:BK$99)+Matrice_Clés_multilignes!G19</f>
        <v>0</v>
      </c>
      <c r="H19" s="260">
        <f>SUMIF('4 - Codes matrice'!$C$4:$C$99,Matrice[[#This Row],[Ligne de la matrice]],'4 - Codes matrice'!BL$4:BL$99)+Matrice_Clés_multilignes!H19</f>
        <v>0</v>
      </c>
      <c r="I19" s="260">
        <f>SUMIF('4 - Codes matrice'!$C$4:$C$99,Matrice[[#This Row],[Ligne de la matrice]],'4 - Codes matrice'!BM$4:BM$99)+Matrice_Clés_multilignes!I19</f>
        <v>0</v>
      </c>
      <c r="J19" s="260">
        <f>SUMIF('4 - Codes matrice'!$C$4:$C$99,Matrice[[#This Row],[Ligne de la matrice]],'4 - Codes matrice'!BN$4:BN$99)+Matrice_Clés_multilignes!J19</f>
        <v>0</v>
      </c>
      <c r="K19" s="260">
        <f>SUMIF('4 - Codes matrice'!$C$4:$C$99,Matrice[[#This Row],[Ligne de la matrice]],'4 - Codes matrice'!BO$4:BO$99)+Matrice_Clés_multilignes!K19</f>
        <v>0</v>
      </c>
      <c r="L19" s="260">
        <f>SUMIF('4 - Codes matrice'!$C$4:$C$99,Matrice[[#This Row],[Ligne de la matrice]],'4 - Codes matrice'!BP$4:BP$99)+Matrice_Clés_multilignes!L19</f>
        <v>0</v>
      </c>
      <c r="M19" s="260">
        <f>SUMIF('4 - Codes matrice'!$C$4:$C$99,Matrice[[#This Row],[Ligne de la matrice]],'4 - Codes matrice'!BQ$4:BQ$99)+Matrice_Clés_multilignes!M19</f>
        <v>0</v>
      </c>
      <c r="N19" s="260">
        <f>SUMIF('4 - Codes matrice'!$C$4:$C$99,Matrice[[#This Row],[Ligne de la matrice]],'4 - Codes matrice'!BR$4:BR$99)+Matrice_Clés_multilignes!N19</f>
        <v>0</v>
      </c>
      <c r="O19" s="260">
        <f>SUMIF('4 - Codes matrice'!$C$4:$C$99,Matrice[[#This Row],[Ligne de la matrice]],'4 - Codes matrice'!BS$4:BS$99)+Matrice_Clés_multilignes!O19</f>
        <v>0</v>
      </c>
      <c r="P19" s="260">
        <f>SUMIF('4 - Codes matrice'!$C$4:$C$99,Matrice[[#This Row],[Ligne de la matrice]],'4 - Codes matrice'!BT$4:BT$99)+Matrice_Clés_multilignes!P19</f>
        <v>0</v>
      </c>
      <c r="Q19" s="260">
        <f>SUMIF('4 - Codes matrice'!$C$4:$C$99,Matrice[[#This Row],[Ligne de la matrice]],'4 - Codes matrice'!BU$4:BU$99)+Matrice_Clés_multilignes!Q19</f>
        <v>0</v>
      </c>
      <c r="R19" s="260">
        <f>SUMIF('4 - Codes matrice'!$C$4:$C$99,Matrice[[#This Row],[Ligne de la matrice]],'4 - Codes matrice'!BV$4:BV$99)+Matrice_Clés_multilignes!R19</f>
        <v>0</v>
      </c>
      <c r="S19" s="260">
        <f>SUMIF('4 - Codes matrice'!$C$4:$C$99,Matrice[[#This Row],[Ligne de la matrice]],'4 - Codes matrice'!BW$4:BW$99)+Matrice_Clés_multilignes!S19</f>
        <v>0</v>
      </c>
      <c r="T19" s="260">
        <f>SUMIF('4 - Codes matrice'!$C$4:$C$99,Matrice[[#This Row],[Ligne de la matrice]],'4 - Codes matrice'!BX$4:BX$99)+Matrice_Clés_multilignes!T19</f>
        <v>0</v>
      </c>
      <c r="U19" s="260">
        <f>SUMIF('4 - Codes matrice'!$C$4:$C$99,Matrice[[#This Row],[Ligne de la matrice]],'4 - Codes matrice'!BY$4:BY$99)+Matrice_Clés_multilignes!U19</f>
        <v>0</v>
      </c>
      <c r="V19" s="260">
        <f>SUMIF('4 - Codes matrice'!$C$4:$C$99,Matrice[[#This Row],[Ligne de la matrice]],'4 - Codes matrice'!BZ$4:BZ$99)+Matrice_Clés_multilignes!V19</f>
        <v>0</v>
      </c>
      <c r="W19" s="260">
        <f>SUMIF('4 - Codes matrice'!$C$4:$C$99,Matrice[[#This Row],[Ligne de la matrice]],'4 - Codes matrice'!CA$4:CA$99)+Matrice_Clés_multilignes!W19</f>
        <v>0</v>
      </c>
      <c r="X19" s="260">
        <f>SUMIF('4 - Codes matrice'!$C$4:$C$99,Matrice[[#This Row],[Ligne de la matrice]],'4 - Codes matrice'!CB$4:CB$99)+Matrice_Clés_multilignes!X19</f>
        <v>0</v>
      </c>
      <c r="Y19" s="260">
        <f>SUMIF('4 - Codes matrice'!$C$4:$C$99,Matrice[[#This Row],[Ligne de la matrice]],'4 - Codes matrice'!CC$4:CC$99)+Matrice_Clés_multilignes!Y19</f>
        <v>0</v>
      </c>
      <c r="Z19" s="260">
        <f>SUMIF('4 - Codes matrice'!$C$4:$C$99,Matrice[[#This Row],[Ligne de la matrice]],'4 - Codes matrice'!CD$4:CD$99)+Matrice_Clés_multilignes!Z19</f>
        <v>0</v>
      </c>
      <c r="AA19" s="260">
        <f t="shared" si="0"/>
        <v>0</v>
      </c>
      <c r="AG19" s="22"/>
    </row>
    <row r="20" spans="1:33" ht="12.75" hidden="1" customHeight="1" x14ac:dyDescent="0.25">
      <c r="A20" s="401"/>
      <c r="B20" s="260">
        <f>SUMIF('4 - Codes matrice'!$C$4:$C$99,Matrice[[#This Row],[Ligne de la matrice]],'4 - Codes matrice'!BF$4:BF$99)+Matrice_Clés_multilignes!B20</f>
        <v>0</v>
      </c>
      <c r="C20" s="260">
        <f>SUMIF('4 - Codes matrice'!$C$4:$C$99,Matrice[[#This Row],[Ligne de la matrice]],'4 - Codes matrice'!BG$4:BG$99)+Matrice_Clés_multilignes!C20</f>
        <v>0</v>
      </c>
      <c r="D20" s="260">
        <f>SUMIF('4 - Codes matrice'!$C$4:$C$99,Matrice[[#This Row],[Ligne de la matrice]],'4 - Codes matrice'!BH$4:BH$99)+Matrice_Clés_multilignes!D20</f>
        <v>0</v>
      </c>
      <c r="E20" s="260">
        <f>SUMIF('4 - Codes matrice'!$C$4:$C$99,Matrice[[#This Row],[Ligne de la matrice]],'4 - Codes matrice'!BI$4:BI$99)+Matrice_Clés_multilignes!E20</f>
        <v>0</v>
      </c>
      <c r="F20" s="260">
        <f>SUMIF('4 - Codes matrice'!$C$4:$C$99,Matrice[[#This Row],[Ligne de la matrice]],'4 - Codes matrice'!BJ$4:BJ$99)+Matrice_Clés_multilignes!F20</f>
        <v>0</v>
      </c>
      <c r="G20" s="260">
        <f>SUMIF('4 - Codes matrice'!$C$4:$C$99,Matrice[[#This Row],[Ligne de la matrice]],'4 - Codes matrice'!BK$4:BK$99)+Matrice_Clés_multilignes!G20</f>
        <v>0</v>
      </c>
      <c r="H20" s="260">
        <f>SUMIF('4 - Codes matrice'!$C$4:$C$99,Matrice[[#This Row],[Ligne de la matrice]],'4 - Codes matrice'!BL$4:BL$99)+Matrice_Clés_multilignes!H20</f>
        <v>0</v>
      </c>
      <c r="I20" s="260">
        <f>SUMIF('4 - Codes matrice'!$C$4:$C$99,Matrice[[#This Row],[Ligne de la matrice]],'4 - Codes matrice'!BM$4:BM$99)+Matrice_Clés_multilignes!I20</f>
        <v>0</v>
      </c>
      <c r="J20" s="260">
        <f>SUMIF('4 - Codes matrice'!$C$4:$C$99,Matrice[[#This Row],[Ligne de la matrice]],'4 - Codes matrice'!BN$4:BN$99)+Matrice_Clés_multilignes!J20</f>
        <v>0</v>
      </c>
      <c r="K20" s="260">
        <f>SUMIF('4 - Codes matrice'!$C$4:$C$99,Matrice[[#This Row],[Ligne de la matrice]],'4 - Codes matrice'!BO$4:BO$99)+Matrice_Clés_multilignes!K20</f>
        <v>0</v>
      </c>
      <c r="L20" s="260">
        <f>SUMIF('4 - Codes matrice'!$C$4:$C$99,Matrice[[#This Row],[Ligne de la matrice]],'4 - Codes matrice'!BP$4:BP$99)+Matrice_Clés_multilignes!L20</f>
        <v>0</v>
      </c>
      <c r="M20" s="260">
        <f>SUMIF('4 - Codes matrice'!$C$4:$C$99,Matrice[[#This Row],[Ligne de la matrice]],'4 - Codes matrice'!BQ$4:BQ$99)+Matrice_Clés_multilignes!M20</f>
        <v>0</v>
      </c>
      <c r="N20" s="260">
        <f>SUMIF('4 - Codes matrice'!$C$4:$C$99,Matrice[[#This Row],[Ligne de la matrice]],'4 - Codes matrice'!BR$4:BR$99)+Matrice_Clés_multilignes!N20</f>
        <v>0</v>
      </c>
      <c r="O20" s="260">
        <f>SUMIF('4 - Codes matrice'!$C$4:$C$99,Matrice[[#This Row],[Ligne de la matrice]],'4 - Codes matrice'!BS$4:BS$99)+Matrice_Clés_multilignes!O20</f>
        <v>0</v>
      </c>
      <c r="P20" s="260">
        <f>SUMIF('4 - Codes matrice'!$C$4:$C$99,Matrice[[#This Row],[Ligne de la matrice]],'4 - Codes matrice'!BT$4:BT$99)+Matrice_Clés_multilignes!P20</f>
        <v>0</v>
      </c>
      <c r="Q20" s="260">
        <f>SUMIF('4 - Codes matrice'!$C$4:$C$99,Matrice[[#This Row],[Ligne de la matrice]],'4 - Codes matrice'!BU$4:BU$99)+Matrice_Clés_multilignes!Q20</f>
        <v>0</v>
      </c>
      <c r="R20" s="260">
        <f>SUMIF('4 - Codes matrice'!$C$4:$C$99,Matrice[[#This Row],[Ligne de la matrice]],'4 - Codes matrice'!BV$4:BV$99)+Matrice_Clés_multilignes!R20</f>
        <v>0</v>
      </c>
      <c r="S20" s="260">
        <f>SUMIF('4 - Codes matrice'!$C$4:$C$99,Matrice[[#This Row],[Ligne de la matrice]],'4 - Codes matrice'!BW$4:BW$99)+Matrice_Clés_multilignes!S20</f>
        <v>0</v>
      </c>
      <c r="T20" s="260">
        <f>SUMIF('4 - Codes matrice'!$C$4:$C$99,Matrice[[#This Row],[Ligne de la matrice]],'4 - Codes matrice'!BX$4:BX$99)+Matrice_Clés_multilignes!T20</f>
        <v>0</v>
      </c>
      <c r="U20" s="260">
        <f>SUMIF('4 - Codes matrice'!$C$4:$C$99,Matrice[[#This Row],[Ligne de la matrice]],'4 - Codes matrice'!BY$4:BY$99)+Matrice_Clés_multilignes!U20</f>
        <v>0</v>
      </c>
      <c r="V20" s="260">
        <f>SUMIF('4 - Codes matrice'!$C$4:$C$99,Matrice[[#This Row],[Ligne de la matrice]],'4 - Codes matrice'!BZ$4:BZ$99)+Matrice_Clés_multilignes!V20</f>
        <v>0</v>
      </c>
      <c r="W20" s="260">
        <f>SUMIF('4 - Codes matrice'!$C$4:$C$99,Matrice[[#This Row],[Ligne de la matrice]],'4 - Codes matrice'!CA$4:CA$99)+Matrice_Clés_multilignes!W20</f>
        <v>0</v>
      </c>
      <c r="X20" s="260">
        <f>SUMIF('4 - Codes matrice'!$C$4:$C$99,Matrice[[#This Row],[Ligne de la matrice]],'4 - Codes matrice'!CB$4:CB$99)+Matrice_Clés_multilignes!X20</f>
        <v>0</v>
      </c>
      <c r="Y20" s="260">
        <f>SUMIF('4 - Codes matrice'!$C$4:$C$99,Matrice[[#This Row],[Ligne de la matrice]],'4 - Codes matrice'!CC$4:CC$99)+Matrice_Clés_multilignes!Y20</f>
        <v>0</v>
      </c>
      <c r="Z20" s="260">
        <f>SUMIF('4 - Codes matrice'!$C$4:$C$99,Matrice[[#This Row],[Ligne de la matrice]],'4 - Codes matrice'!CD$4:CD$99)+Matrice_Clés_multilignes!Z20</f>
        <v>0</v>
      </c>
      <c r="AA20" s="260">
        <f t="shared" si="0"/>
        <v>0</v>
      </c>
      <c r="AG20" s="22"/>
    </row>
    <row r="21" spans="1:33" s="22" customFormat="1" ht="12.75" hidden="1" customHeight="1" x14ac:dyDescent="0.25">
      <c r="A21" s="401"/>
      <c r="B21" s="260">
        <f>SUMIF('4 - Codes matrice'!$C$4:$C$99,Matrice[[#This Row],[Ligne de la matrice]],'4 - Codes matrice'!BF$4:BF$99)+Matrice_Clés_multilignes!B21</f>
        <v>0</v>
      </c>
      <c r="C21" s="260">
        <f>SUMIF('4 - Codes matrice'!$C$4:$C$99,Matrice[[#This Row],[Ligne de la matrice]],'4 - Codes matrice'!BG$4:BG$99)+Matrice_Clés_multilignes!C21</f>
        <v>0</v>
      </c>
      <c r="D21" s="260">
        <f>SUMIF('4 - Codes matrice'!$C$4:$C$99,Matrice[[#This Row],[Ligne de la matrice]],'4 - Codes matrice'!BH$4:BH$99)+Matrice_Clés_multilignes!D21</f>
        <v>0</v>
      </c>
      <c r="E21" s="260">
        <f>SUMIF('4 - Codes matrice'!$C$4:$C$99,Matrice[[#This Row],[Ligne de la matrice]],'4 - Codes matrice'!BI$4:BI$99)+Matrice_Clés_multilignes!E21</f>
        <v>0</v>
      </c>
      <c r="F21" s="260">
        <f>SUMIF('4 - Codes matrice'!$C$4:$C$99,Matrice[[#This Row],[Ligne de la matrice]],'4 - Codes matrice'!BJ$4:BJ$99)+Matrice_Clés_multilignes!F21</f>
        <v>0</v>
      </c>
      <c r="G21" s="260">
        <f>SUMIF('4 - Codes matrice'!$C$4:$C$99,Matrice[[#This Row],[Ligne de la matrice]],'4 - Codes matrice'!BK$4:BK$99)+Matrice_Clés_multilignes!G21</f>
        <v>0</v>
      </c>
      <c r="H21" s="260">
        <f>SUMIF('4 - Codes matrice'!$C$4:$C$99,Matrice[[#This Row],[Ligne de la matrice]],'4 - Codes matrice'!BL$4:BL$99)+Matrice_Clés_multilignes!H21</f>
        <v>0</v>
      </c>
      <c r="I21" s="260">
        <f>SUMIF('4 - Codes matrice'!$C$4:$C$99,Matrice[[#This Row],[Ligne de la matrice]],'4 - Codes matrice'!BM$4:BM$99)+Matrice_Clés_multilignes!I21</f>
        <v>0</v>
      </c>
      <c r="J21" s="260">
        <f>SUMIF('4 - Codes matrice'!$C$4:$C$99,Matrice[[#This Row],[Ligne de la matrice]],'4 - Codes matrice'!BN$4:BN$99)+Matrice_Clés_multilignes!J21</f>
        <v>0</v>
      </c>
      <c r="K21" s="260">
        <f>SUMIF('4 - Codes matrice'!$C$4:$C$99,Matrice[[#This Row],[Ligne de la matrice]],'4 - Codes matrice'!BO$4:BO$99)+Matrice_Clés_multilignes!K21</f>
        <v>0</v>
      </c>
      <c r="L21" s="260">
        <f>SUMIF('4 - Codes matrice'!$C$4:$C$99,Matrice[[#This Row],[Ligne de la matrice]],'4 - Codes matrice'!BP$4:BP$99)+Matrice_Clés_multilignes!L21</f>
        <v>0</v>
      </c>
      <c r="M21" s="260">
        <f>SUMIF('4 - Codes matrice'!$C$4:$C$99,Matrice[[#This Row],[Ligne de la matrice]],'4 - Codes matrice'!BQ$4:BQ$99)+Matrice_Clés_multilignes!M21</f>
        <v>0</v>
      </c>
      <c r="N21" s="260">
        <f>SUMIF('4 - Codes matrice'!$C$4:$C$99,Matrice[[#This Row],[Ligne de la matrice]],'4 - Codes matrice'!BR$4:BR$99)+Matrice_Clés_multilignes!N21</f>
        <v>0</v>
      </c>
      <c r="O21" s="260">
        <f>SUMIF('4 - Codes matrice'!$C$4:$C$99,Matrice[[#This Row],[Ligne de la matrice]],'4 - Codes matrice'!BS$4:BS$99)+Matrice_Clés_multilignes!O21</f>
        <v>0</v>
      </c>
      <c r="P21" s="260">
        <f>SUMIF('4 - Codes matrice'!$C$4:$C$99,Matrice[[#This Row],[Ligne de la matrice]],'4 - Codes matrice'!BT$4:BT$99)+Matrice_Clés_multilignes!P21</f>
        <v>0</v>
      </c>
      <c r="Q21" s="260">
        <f>SUMIF('4 - Codes matrice'!$C$4:$C$99,Matrice[[#This Row],[Ligne de la matrice]],'4 - Codes matrice'!BU$4:BU$99)+Matrice_Clés_multilignes!Q21</f>
        <v>0</v>
      </c>
      <c r="R21" s="260">
        <f>SUMIF('4 - Codes matrice'!$C$4:$C$99,Matrice[[#This Row],[Ligne de la matrice]],'4 - Codes matrice'!BV$4:BV$99)+Matrice_Clés_multilignes!R21</f>
        <v>0</v>
      </c>
      <c r="S21" s="260">
        <f>SUMIF('4 - Codes matrice'!$C$4:$C$99,Matrice[[#This Row],[Ligne de la matrice]],'4 - Codes matrice'!BW$4:BW$99)+Matrice_Clés_multilignes!S21</f>
        <v>0</v>
      </c>
      <c r="T21" s="260">
        <f>SUMIF('4 - Codes matrice'!$C$4:$C$99,Matrice[[#This Row],[Ligne de la matrice]],'4 - Codes matrice'!BX$4:BX$99)+Matrice_Clés_multilignes!T21</f>
        <v>0</v>
      </c>
      <c r="U21" s="260">
        <f>SUMIF('4 - Codes matrice'!$C$4:$C$99,Matrice[[#This Row],[Ligne de la matrice]],'4 - Codes matrice'!BY$4:BY$99)+Matrice_Clés_multilignes!U21</f>
        <v>0</v>
      </c>
      <c r="V21" s="260">
        <f>SUMIF('4 - Codes matrice'!$C$4:$C$99,Matrice[[#This Row],[Ligne de la matrice]],'4 - Codes matrice'!BZ$4:BZ$99)+Matrice_Clés_multilignes!V21</f>
        <v>0</v>
      </c>
      <c r="W21" s="260">
        <f>SUMIF('4 - Codes matrice'!$C$4:$C$99,Matrice[[#This Row],[Ligne de la matrice]],'4 - Codes matrice'!CA$4:CA$99)+Matrice_Clés_multilignes!W21</f>
        <v>0</v>
      </c>
      <c r="X21" s="260">
        <f>SUMIF('4 - Codes matrice'!$C$4:$C$99,Matrice[[#This Row],[Ligne de la matrice]],'4 - Codes matrice'!CB$4:CB$99)+Matrice_Clés_multilignes!X21</f>
        <v>0</v>
      </c>
      <c r="Y21" s="260">
        <f>SUMIF('4 - Codes matrice'!$C$4:$C$99,Matrice[[#This Row],[Ligne de la matrice]],'4 - Codes matrice'!CC$4:CC$99)+Matrice_Clés_multilignes!Y21</f>
        <v>0</v>
      </c>
      <c r="Z21" s="260">
        <f>SUMIF('4 - Codes matrice'!$C$4:$C$99,Matrice[[#This Row],[Ligne de la matrice]],'4 - Codes matrice'!CD$4:CD$99)+Matrice_Clés_multilignes!Z21</f>
        <v>0</v>
      </c>
      <c r="AA21" s="260">
        <f t="shared" si="0"/>
        <v>0</v>
      </c>
      <c r="AC21" s="7"/>
      <c r="AD21" s="7"/>
      <c r="AE21" s="7"/>
      <c r="AF21" s="7"/>
    </row>
    <row r="22" spans="1:33" s="22" customFormat="1" ht="12.75" hidden="1" customHeight="1" x14ac:dyDescent="0.25">
      <c r="A22" s="401"/>
      <c r="B22" s="260">
        <f>SUMIF('4 - Codes matrice'!$C$4:$C$99,Matrice[[#This Row],[Ligne de la matrice]],'4 - Codes matrice'!BF$4:BF$99)+Matrice_Clés_multilignes!B22</f>
        <v>0</v>
      </c>
      <c r="C22" s="260">
        <f>SUMIF('4 - Codes matrice'!$C$4:$C$99,Matrice[[#This Row],[Ligne de la matrice]],'4 - Codes matrice'!BG$4:BG$99)+Matrice_Clés_multilignes!C22</f>
        <v>0</v>
      </c>
      <c r="D22" s="260">
        <f>SUMIF('4 - Codes matrice'!$C$4:$C$99,Matrice[[#This Row],[Ligne de la matrice]],'4 - Codes matrice'!BH$4:BH$99)+Matrice_Clés_multilignes!D22</f>
        <v>0</v>
      </c>
      <c r="E22" s="260">
        <f>SUMIF('4 - Codes matrice'!$C$4:$C$99,Matrice[[#This Row],[Ligne de la matrice]],'4 - Codes matrice'!BI$4:BI$99)+Matrice_Clés_multilignes!E22</f>
        <v>0</v>
      </c>
      <c r="F22" s="260">
        <f>SUMIF('4 - Codes matrice'!$C$4:$C$99,Matrice[[#This Row],[Ligne de la matrice]],'4 - Codes matrice'!BJ$4:BJ$99)+Matrice_Clés_multilignes!F22</f>
        <v>0</v>
      </c>
      <c r="G22" s="260">
        <f>SUMIF('4 - Codes matrice'!$C$4:$C$99,Matrice[[#This Row],[Ligne de la matrice]],'4 - Codes matrice'!BK$4:BK$99)+Matrice_Clés_multilignes!G22</f>
        <v>0</v>
      </c>
      <c r="H22" s="260">
        <f>SUMIF('4 - Codes matrice'!$C$4:$C$99,Matrice[[#This Row],[Ligne de la matrice]],'4 - Codes matrice'!BL$4:BL$99)+Matrice_Clés_multilignes!H22</f>
        <v>0</v>
      </c>
      <c r="I22" s="260">
        <f>SUMIF('4 - Codes matrice'!$C$4:$C$99,Matrice[[#This Row],[Ligne de la matrice]],'4 - Codes matrice'!BM$4:BM$99)+Matrice_Clés_multilignes!I22</f>
        <v>0</v>
      </c>
      <c r="J22" s="260">
        <f>SUMIF('4 - Codes matrice'!$C$4:$C$99,Matrice[[#This Row],[Ligne de la matrice]],'4 - Codes matrice'!BN$4:BN$99)+Matrice_Clés_multilignes!J22</f>
        <v>0</v>
      </c>
      <c r="K22" s="260">
        <f>SUMIF('4 - Codes matrice'!$C$4:$C$99,Matrice[[#This Row],[Ligne de la matrice]],'4 - Codes matrice'!BO$4:BO$99)+Matrice_Clés_multilignes!K22</f>
        <v>0</v>
      </c>
      <c r="L22" s="260">
        <f>SUMIF('4 - Codes matrice'!$C$4:$C$99,Matrice[[#This Row],[Ligne de la matrice]],'4 - Codes matrice'!BP$4:BP$99)+Matrice_Clés_multilignes!L22</f>
        <v>0</v>
      </c>
      <c r="M22" s="260">
        <f>SUMIF('4 - Codes matrice'!$C$4:$C$99,Matrice[[#This Row],[Ligne de la matrice]],'4 - Codes matrice'!BQ$4:BQ$99)+Matrice_Clés_multilignes!M22</f>
        <v>0</v>
      </c>
      <c r="N22" s="260">
        <f>SUMIF('4 - Codes matrice'!$C$4:$C$99,Matrice[[#This Row],[Ligne de la matrice]],'4 - Codes matrice'!BR$4:BR$99)+Matrice_Clés_multilignes!N22</f>
        <v>0</v>
      </c>
      <c r="O22" s="260">
        <f>SUMIF('4 - Codes matrice'!$C$4:$C$99,Matrice[[#This Row],[Ligne de la matrice]],'4 - Codes matrice'!BS$4:BS$99)+Matrice_Clés_multilignes!O22</f>
        <v>0</v>
      </c>
      <c r="P22" s="260">
        <f>SUMIF('4 - Codes matrice'!$C$4:$C$99,Matrice[[#This Row],[Ligne de la matrice]],'4 - Codes matrice'!BT$4:BT$99)+Matrice_Clés_multilignes!P22</f>
        <v>0</v>
      </c>
      <c r="Q22" s="260">
        <f>SUMIF('4 - Codes matrice'!$C$4:$C$99,Matrice[[#This Row],[Ligne de la matrice]],'4 - Codes matrice'!BU$4:BU$99)+Matrice_Clés_multilignes!Q22</f>
        <v>0</v>
      </c>
      <c r="R22" s="260">
        <f>SUMIF('4 - Codes matrice'!$C$4:$C$99,Matrice[[#This Row],[Ligne de la matrice]],'4 - Codes matrice'!BV$4:BV$99)+Matrice_Clés_multilignes!R22</f>
        <v>0</v>
      </c>
      <c r="S22" s="260">
        <f>SUMIF('4 - Codes matrice'!$C$4:$C$99,Matrice[[#This Row],[Ligne de la matrice]],'4 - Codes matrice'!BW$4:BW$99)+Matrice_Clés_multilignes!S22</f>
        <v>0</v>
      </c>
      <c r="T22" s="260">
        <f>SUMIF('4 - Codes matrice'!$C$4:$C$99,Matrice[[#This Row],[Ligne de la matrice]],'4 - Codes matrice'!BX$4:BX$99)+Matrice_Clés_multilignes!T22</f>
        <v>0</v>
      </c>
      <c r="U22" s="260">
        <f>SUMIF('4 - Codes matrice'!$C$4:$C$99,Matrice[[#This Row],[Ligne de la matrice]],'4 - Codes matrice'!BY$4:BY$99)+Matrice_Clés_multilignes!U22</f>
        <v>0</v>
      </c>
      <c r="V22" s="260">
        <f>SUMIF('4 - Codes matrice'!$C$4:$C$99,Matrice[[#This Row],[Ligne de la matrice]],'4 - Codes matrice'!BZ$4:BZ$99)+Matrice_Clés_multilignes!V22</f>
        <v>0</v>
      </c>
      <c r="W22" s="260">
        <f>SUMIF('4 - Codes matrice'!$C$4:$C$99,Matrice[[#This Row],[Ligne de la matrice]],'4 - Codes matrice'!CA$4:CA$99)+Matrice_Clés_multilignes!W22</f>
        <v>0</v>
      </c>
      <c r="X22" s="260">
        <f>SUMIF('4 - Codes matrice'!$C$4:$C$99,Matrice[[#This Row],[Ligne de la matrice]],'4 - Codes matrice'!CB$4:CB$99)+Matrice_Clés_multilignes!X22</f>
        <v>0</v>
      </c>
      <c r="Y22" s="260">
        <f>SUMIF('4 - Codes matrice'!$C$4:$C$99,Matrice[[#This Row],[Ligne de la matrice]],'4 - Codes matrice'!CC$4:CC$99)+Matrice_Clés_multilignes!Y22</f>
        <v>0</v>
      </c>
      <c r="Z22" s="260">
        <f>SUMIF('4 - Codes matrice'!$C$4:$C$99,Matrice[[#This Row],[Ligne de la matrice]],'4 - Codes matrice'!CD$4:CD$99)+Matrice_Clés_multilignes!Z22</f>
        <v>0</v>
      </c>
      <c r="AA22" s="260">
        <f t="shared" si="0"/>
        <v>0</v>
      </c>
      <c r="AC22" s="7"/>
      <c r="AD22" s="7"/>
      <c r="AE22" s="7"/>
      <c r="AF22" s="7"/>
    </row>
    <row r="23" spans="1:33" s="22" customFormat="1" ht="12.75" customHeight="1" x14ac:dyDescent="0.25">
      <c r="A23" s="402" t="s">
        <v>195</v>
      </c>
      <c r="B23" s="319">
        <f t="shared" ref="B23" si="1">SUM(B5:B22)</f>
        <v>0</v>
      </c>
      <c r="C23" s="319">
        <f t="shared" ref="C23" si="2">SUM(C5:C22)</f>
        <v>0</v>
      </c>
      <c r="D23" s="319">
        <f t="shared" ref="D23" si="3">SUM(D5:D22)</f>
        <v>0</v>
      </c>
      <c r="E23" s="319">
        <f t="shared" ref="E23" si="4">SUM(E5:E22)</f>
        <v>0</v>
      </c>
      <c r="F23" s="319">
        <f t="shared" ref="F23" si="5">SUM(F5:F22)</f>
        <v>0</v>
      </c>
      <c r="G23" s="319">
        <f t="shared" ref="G23:K23" si="6">SUM(G5:G22)</f>
        <v>0</v>
      </c>
      <c r="H23" s="319">
        <f t="shared" si="6"/>
        <v>0</v>
      </c>
      <c r="I23" s="319">
        <f t="shared" si="6"/>
        <v>0</v>
      </c>
      <c r="J23" s="319">
        <f t="shared" si="6"/>
        <v>0</v>
      </c>
      <c r="K23" s="319">
        <f t="shared" si="6"/>
        <v>0</v>
      </c>
      <c r="L23" s="319">
        <f t="shared" ref="L23:Z23" si="7">SUM(L5:L22)</f>
        <v>0</v>
      </c>
      <c r="M23" s="319">
        <f t="shared" si="7"/>
        <v>0</v>
      </c>
      <c r="N23" s="319">
        <f t="shared" si="7"/>
        <v>0</v>
      </c>
      <c r="O23" s="319">
        <f t="shared" si="7"/>
        <v>0</v>
      </c>
      <c r="P23" s="319">
        <f t="shared" si="7"/>
        <v>0</v>
      </c>
      <c r="Q23" s="319">
        <f t="shared" si="7"/>
        <v>0</v>
      </c>
      <c r="R23" s="319">
        <f t="shared" si="7"/>
        <v>0</v>
      </c>
      <c r="S23" s="319">
        <f t="shared" si="7"/>
        <v>0</v>
      </c>
      <c r="T23" s="319">
        <f t="shared" si="7"/>
        <v>0</v>
      </c>
      <c r="U23" s="319">
        <f t="shared" si="7"/>
        <v>0</v>
      </c>
      <c r="V23" s="319">
        <f t="shared" si="7"/>
        <v>0</v>
      </c>
      <c r="W23" s="319">
        <f t="shared" si="7"/>
        <v>0</v>
      </c>
      <c r="X23" s="319">
        <f t="shared" si="7"/>
        <v>0</v>
      </c>
      <c r="Y23" s="319">
        <f t="shared" si="7"/>
        <v>0</v>
      </c>
      <c r="Z23" s="319">
        <f t="shared" si="7"/>
        <v>0</v>
      </c>
      <c r="AA23" s="319">
        <f t="shared" si="0"/>
        <v>0</v>
      </c>
      <c r="AC23" s="7"/>
      <c r="AD23" s="7"/>
      <c r="AE23" s="7"/>
      <c r="AF23" s="7"/>
    </row>
    <row r="24" spans="1:33" s="22" customFormat="1" ht="12.75" customHeight="1" x14ac:dyDescent="0.25">
      <c r="A24" s="400" t="s">
        <v>196</v>
      </c>
      <c r="B24" s="320">
        <f>SUMIF('4 - Codes matrice'!$C$4:$C$99,Matrice[[#This Row],[Ligne de la matrice]],'4 - Codes matrice'!BF$4:BF$99)+Matrice_Clés_multilignes!B24</f>
        <v>0</v>
      </c>
      <c r="C24" s="320">
        <f>SUMIF('4 - Codes matrice'!$C$4:$C$99,Matrice[[#This Row],[Ligne de la matrice]],'4 - Codes matrice'!BG$4:BG$99)+Matrice_Clés_multilignes!C24</f>
        <v>0</v>
      </c>
      <c r="D24" s="320">
        <f>SUMIF('4 - Codes matrice'!$C$4:$C$99,Matrice[[#This Row],[Ligne de la matrice]],'4 - Codes matrice'!BH$4:BH$99)+Matrice_Clés_multilignes!D24</f>
        <v>0</v>
      </c>
      <c r="E24" s="320">
        <f>SUMIF('4 - Codes matrice'!$C$4:$C$99,Matrice[[#This Row],[Ligne de la matrice]],'4 - Codes matrice'!BI$4:BI$99)+Matrice_Clés_multilignes!E24</f>
        <v>0</v>
      </c>
      <c r="F24" s="320">
        <f>SUMIF('4 - Codes matrice'!$C$4:$C$99,Matrice[[#This Row],[Ligne de la matrice]],'4 - Codes matrice'!BJ$4:BJ$99)+Matrice_Clés_multilignes!F24</f>
        <v>0</v>
      </c>
      <c r="G24" s="320">
        <f>SUMIF('4 - Codes matrice'!$C$4:$C$99,Matrice[[#This Row],[Ligne de la matrice]],'4 - Codes matrice'!BK$4:BK$99)+Matrice_Clés_multilignes!G24</f>
        <v>0</v>
      </c>
      <c r="H24" s="320">
        <f>SUMIF('4 - Codes matrice'!$C$4:$C$99,Matrice[[#This Row],[Ligne de la matrice]],'4 - Codes matrice'!BL$4:BL$99)+Matrice_Clés_multilignes!H24</f>
        <v>0</v>
      </c>
      <c r="I24" s="320">
        <f>SUMIF('4 - Codes matrice'!$C$4:$C$99,Matrice[[#This Row],[Ligne de la matrice]],'4 - Codes matrice'!BM$4:BM$99)+Matrice_Clés_multilignes!I24</f>
        <v>0</v>
      </c>
      <c r="J24" s="320">
        <f>SUMIF('4 - Codes matrice'!$C$4:$C$99,Matrice[[#This Row],[Ligne de la matrice]],'4 - Codes matrice'!BN$4:BN$99)+Matrice_Clés_multilignes!J24</f>
        <v>0</v>
      </c>
      <c r="K24" s="320">
        <f>SUMIF('4 - Codes matrice'!$C$4:$C$99,Matrice[[#This Row],[Ligne de la matrice]],'4 - Codes matrice'!BO$4:BO$99)+Matrice_Clés_multilignes!K24</f>
        <v>0</v>
      </c>
      <c r="L24" s="320">
        <f>SUMIF('4 - Codes matrice'!$C$4:$C$99,Matrice[[#This Row],[Ligne de la matrice]],'4 - Codes matrice'!BP$4:BP$99)+Matrice_Clés_multilignes!L24</f>
        <v>0</v>
      </c>
      <c r="M24" s="320">
        <f>SUMIF('4 - Codes matrice'!$C$4:$C$99,Matrice[[#This Row],[Ligne de la matrice]],'4 - Codes matrice'!BQ$4:BQ$99)+Matrice_Clés_multilignes!M24</f>
        <v>0</v>
      </c>
      <c r="N24" s="320">
        <f>SUMIF('4 - Codes matrice'!$C$4:$C$99,Matrice[[#This Row],[Ligne de la matrice]],'4 - Codes matrice'!BR$4:BR$99)+Matrice_Clés_multilignes!N24</f>
        <v>0</v>
      </c>
      <c r="O24" s="320">
        <f>SUMIF('4 - Codes matrice'!$C$4:$C$99,Matrice[[#This Row],[Ligne de la matrice]],'4 - Codes matrice'!BS$4:BS$99)+Matrice_Clés_multilignes!O24</f>
        <v>0</v>
      </c>
      <c r="P24" s="320">
        <f>SUMIF('4 - Codes matrice'!$C$4:$C$99,Matrice[[#This Row],[Ligne de la matrice]],'4 - Codes matrice'!BT$4:BT$99)+Matrice_Clés_multilignes!P24</f>
        <v>0</v>
      </c>
      <c r="Q24" s="320">
        <f>SUMIF('4 - Codes matrice'!$C$4:$C$99,Matrice[[#This Row],[Ligne de la matrice]],'4 - Codes matrice'!BU$4:BU$99)+Matrice_Clés_multilignes!Q24</f>
        <v>0</v>
      </c>
      <c r="R24" s="320">
        <f>SUMIF('4 - Codes matrice'!$C$4:$C$99,Matrice[[#This Row],[Ligne de la matrice]],'4 - Codes matrice'!BV$4:BV$99)+Matrice_Clés_multilignes!R24</f>
        <v>0</v>
      </c>
      <c r="S24" s="320">
        <f>SUMIF('4 - Codes matrice'!$C$4:$C$99,Matrice[[#This Row],[Ligne de la matrice]],'4 - Codes matrice'!BW$4:BW$99)+Matrice_Clés_multilignes!S24</f>
        <v>0</v>
      </c>
      <c r="T24" s="320">
        <f>SUMIF('4 - Codes matrice'!$C$4:$C$99,Matrice[[#This Row],[Ligne de la matrice]],'4 - Codes matrice'!BX$4:BX$99)+Matrice_Clés_multilignes!T24</f>
        <v>0</v>
      </c>
      <c r="U24" s="320">
        <f>SUMIF('4 - Codes matrice'!$C$4:$C$99,Matrice[[#This Row],[Ligne de la matrice]],'4 - Codes matrice'!BY$4:BY$99)+Matrice_Clés_multilignes!U24</f>
        <v>0</v>
      </c>
      <c r="V24" s="320">
        <f>SUMIF('4 - Codes matrice'!$C$4:$C$99,Matrice[[#This Row],[Ligne de la matrice]],'4 - Codes matrice'!BZ$4:BZ$99)+Matrice_Clés_multilignes!V24</f>
        <v>0</v>
      </c>
      <c r="W24" s="320">
        <f>SUMIF('4 - Codes matrice'!$C$4:$C$99,Matrice[[#This Row],[Ligne de la matrice]],'4 - Codes matrice'!CA$4:CA$99)+Matrice_Clés_multilignes!W24</f>
        <v>0</v>
      </c>
      <c r="X24" s="320">
        <f>SUMIF('4 - Codes matrice'!$C$4:$C$99,Matrice[[#This Row],[Ligne de la matrice]],'4 - Codes matrice'!CB$4:CB$99)+Matrice_Clés_multilignes!X24</f>
        <v>0</v>
      </c>
      <c r="Y24" s="320">
        <f>SUMIF('4 - Codes matrice'!$C$4:$C$99,Matrice[[#This Row],[Ligne de la matrice]],'4 - Codes matrice'!CC$4:CC$99)+Matrice_Clés_multilignes!Y24</f>
        <v>0</v>
      </c>
      <c r="Z24" s="320">
        <f>SUMIF('4 - Codes matrice'!$C$4:$C$99,Matrice[[#This Row],[Ligne de la matrice]],'4 - Codes matrice'!CD$4:CD$99)+Matrice_Clés_multilignes!Z24</f>
        <v>0</v>
      </c>
      <c r="AA24" s="320">
        <f t="shared" si="0"/>
        <v>0</v>
      </c>
      <c r="AC24" s="7"/>
      <c r="AD24" s="7"/>
      <c r="AE24" s="7"/>
      <c r="AF24" s="7"/>
    </row>
    <row r="25" spans="1:33" s="22" customFormat="1" ht="12.75" customHeight="1" x14ac:dyDescent="0.25">
      <c r="A25" s="42" t="s">
        <v>197</v>
      </c>
      <c r="B25" s="320">
        <f>SUMIF('4 - Codes matrice'!$C$4:$C$99,Matrice[[#This Row],[Ligne de la matrice]],'4 - Codes matrice'!BF$4:BF$99)+Matrice_Clés_multilignes!B25</f>
        <v>0</v>
      </c>
      <c r="C25" s="320">
        <f>SUMIF('4 - Codes matrice'!$C$4:$C$99,Matrice[[#This Row],[Ligne de la matrice]],'4 - Codes matrice'!BG$4:BG$99)+Matrice_Clés_multilignes!C25</f>
        <v>0</v>
      </c>
      <c r="D25" s="320">
        <f>SUMIF('4 - Codes matrice'!$C$4:$C$99,Matrice[[#This Row],[Ligne de la matrice]],'4 - Codes matrice'!BH$4:BH$99)+Matrice_Clés_multilignes!D25</f>
        <v>0</v>
      </c>
      <c r="E25" s="320">
        <f>SUMIF('4 - Codes matrice'!$C$4:$C$99,Matrice[[#This Row],[Ligne de la matrice]],'4 - Codes matrice'!BI$4:BI$99)+Matrice_Clés_multilignes!E25</f>
        <v>0</v>
      </c>
      <c r="F25" s="320">
        <f>SUMIF('4 - Codes matrice'!$C$4:$C$99,Matrice[[#This Row],[Ligne de la matrice]],'4 - Codes matrice'!BJ$4:BJ$99)+Matrice_Clés_multilignes!F25</f>
        <v>0</v>
      </c>
      <c r="G25" s="320">
        <f>SUMIF('4 - Codes matrice'!$C$4:$C$99,Matrice[[#This Row],[Ligne de la matrice]],'4 - Codes matrice'!BK$4:BK$99)+Matrice_Clés_multilignes!G25</f>
        <v>0</v>
      </c>
      <c r="H25" s="320">
        <f>SUMIF('4 - Codes matrice'!$C$4:$C$99,Matrice[[#This Row],[Ligne de la matrice]],'4 - Codes matrice'!BL$4:BL$99)+Matrice_Clés_multilignes!H25</f>
        <v>0</v>
      </c>
      <c r="I25" s="320">
        <f>SUMIF('4 - Codes matrice'!$C$4:$C$99,Matrice[[#This Row],[Ligne de la matrice]],'4 - Codes matrice'!BM$4:BM$99)+Matrice_Clés_multilignes!I25</f>
        <v>0</v>
      </c>
      <c r="J25" s="320">
        <f>SUMIF('4 - Codes matrice'!$C$4:$C$99,Matrice[[#This Row],[Ligne de la matrice]],'4 - Codes matrice'!BN$4:BN$99)+Matrice_Clés_multilignes!J25</f>
        <v>0</v>
      </c>
      <c r="K25" s="320">
        <f>SUMIF('4 - Codes matrice'!$C$4:$C$99,Matrice[[#This Row],[Ligne de la matrice]],'4 - Codes matrice'!BO$4:BO$99)+Matrice_Clés_multilignes!K25</f>
        <v>0</v>
      </c>
      <c r="L25" s="320">
        <f>SUMIF('4 - Codes matrice'!$C$4:$C$99,Matrice[[#This Row],[Ligne de la matrice]],'4 - Codes matrice'!BP$4:BP$99)+Matrice_Clés_multilignes!L25</f>
        <v>0</v>
      </c>
      <c r="M25" s="320">
        <f>SUMIF('4 - Codes matrice'!$C$4:$C$99,Matrice[[#This Row],[Ligne de la matrice]],'4 - Codes matrice'!BQ$4:BQ$99)+Matrice_Clés_multilignes!M25</f>
        <v>0</v>
      </c>
      <c r="N25" s="320">
        <f>SUMIF('4 - Codes matrice'!$C$4:$C$99,Matrice[[#This Row],[Ligne de la matrice]],'4 - Codes matrice'!BR$4:BR$99)+Matrice_Clés_multilignes!N25</f>
        <v>0</v>
      </c>
      <c r="O25" s="320">
        <f>SUMIF('4 - Codes matrice'!$C$4:$C$99,Matrice[[#This Row],[Ligne de la matrice]],'4 - Codes matrice'!BS$4:BS$99)+Matrice_Clés_multilignes!O25</f>
        <v>0</v>
      </c>
      <c r="P25" s="320">
        <f>SUMIF('4 - Codes matrice'!$C$4:$C$99,Matrice[[#This Row],[Ligne de la matrice]],'4 - Codes matrice'!BT$4:BT$99)+Matrice_Clés_multilignes!P25</f>
        <v>0</v>
      </c>
      <c r="Q25" s="320">
        <f>SUMIF('4 - Codes matrice'!$C$4:$C$99,Matrice[[#This Row],[Ligne de la matrice]],'4 - Codes matrice'!BU$4:BU$99)+Matrice_Clés_multilignes!Q25</f>
        <v>0</v>
      </c>
      <c r="R25" s="320">
        <f>SUMIF('4 - Codes matrice'!$C$4:$C$99,Matrice[[#This Row],[Ligne de la matrice]],'4 - Codes matrice'!BV$4:BV$99)+Matrice_Clés_multilignes!R25</f>
        <v>0</v>
      </c>
      <c r="S25" s="320">
        <f>SUMIF('4 - Codes matrice'!$C$4:$C$99,Matrice[[#This Row],[Ligne de la matrice]],'4 - Codes matrice'!BW$4:BW$99)+Matrice_Clés_multilignes!S25</f>
        <v>0</v>
      </c>
      <c r="T25" s="320">
        <f>SUMIF('4 - Codes matrice'!$C$4:$C$99,Matrice[[#This Row],[Ligne de la matrice]],'4 - Codes matrice'!BX$4:BX$99)+Matrice_Clés_multilignes!T25</f>
        <v>0</v>
      </c>
      <c r="U25" s="320">
        <f>SUMIF('4 - Codes matrice'!$C$4:$C$99,Matrice[[#This Row],[Ligne de la matrice]],'4 - Codes matrice'!BY$4:BY$99)+Matrice_Clés_multilignes!U25</f>
        <v>0</v>
      </c>
      <c r="V25" s="320">
        <f>SUMIF('4 - Codes matrice'!$C$4:$C$99,Matrice[[#This Row],[Ligne de la matrice]],'4 - Codes matrice'!BZ$4:BZ$99)+Matrice_Clés_multilignes!V25</f>
        <v>0</v>
      </c>
      <c r="W25" s="320">
        <f>SUMIF('4 - Codes matrice'!$C$4:$C$99,Matrice[[#This Row],[Ligne de la matrice]],'4 - Codes matrice'!CA$4:CA$99)+Matrice_Clés_multilignes!W25</f>
        <v>0</v>
      </c>
      <c r="X25" s="320">
        <f>SUMIF('4 - Codes matrice'!$C$4:$C$99,Matrice[[#This Row],[Ligne de la matrice]],'4 - Codes matrice'!CB$4:CB$99)+Matrice_Clés_multilignes!X25</f>
        <v>0</v>
      </c>
      <c r="Y25" s="320">
        <f>SUMIF('4 - Codes matrice'!$C$4:$C$99,Matrice[[#This Row],[Ligne de la matrice]],'4 - Codes matrice'!CC$4:CC$99)+Matrice_Clés_multilignes!Y25</f>
        <v>0</v>
      </c>
      <c r="Z25" s="320">
        <f>SUMIF('4 - Codes matrice'!$C$4:$C$99,Matrice[[#This Row],[Ligne de la matrice]],'4 - Codes matrice'!CD$4:CD$99)+Matrice_Clés_multilignes!Z25</f>
        <v>0</v>
      </c>
      <c r="AA25" s="320">
        <f t="shared" si="0"/>
        <v>0</v>
      </c>
      <c r="AC25" s="7"/>
      <c r="AD25" s="7"/>
      <c r="AE25" s="7"/>
      <c r="AF25" s="7"/>
    </row>
    <row r="26" spans="1:33" s="22" customFormat="1" ht="12.75" customHeight="1" x14ac:dyDescent="0.25">
      <c r="A26" s="42" t="s">
        <v>198</v>
      </c>
      <c r="B26" s="320">
        <f>SUMIF('4 - Codes matrice'!$C$4:$C$99,Matrice[[#This Row],[Ligne de la matrice]],'4 - Codes matrice'!BF$4:BF$99)+Matrice_Clés_multilignes!B26</f>
        <v>0</v>
      </c>
      <c r="C26" s="320">
        <f>SUMIF('4 - Codes matrice'!$C$4:$C$99,Matrice[[#This Row],[Ligne de la matrice]],'4 - Codes matrice'!BG$4:BG$99)+Matrice_Clés_multilignes!C26</f>
        <v>0</v>
      </c>
      <c r="D26" s="320">
        <f>SUMIF('4 - Codes matrice'!$C$4:$C$99,Matrice[[#This Row],[Ligne de la matrice]],'4 - Codes matrice'!BH$4:BH$99)+Matrice_Clés_multilignes!D26</f>
        <v>0</v>
      </c>
      <c r="E26" s="320">
        <f>SUMIF('4 - Codes matrice'!$C$4:$C$99,Matrice[[#This Row],[Ligne de la matrice]],'4 - Codes matrice'!BI$4:BI$99)+Matrice_Clés_multilignes!E26</f>
        <v>0</v>
      </c>
      <c r="F26" s="320">
        <f>SUMIF('4 - Codes matrice'!$C$4:$C$99,Matrice[[#This Row],[Ligne de la matrice]],'4 - Codes matrice'!BJ$4:BJ$99)+Matrice_Clés_multilignes!F26</f>
        <v>0</v>
      </c>
      <c r="G26" s="320">
        <f>SUMIF('4 - Codes matrice'!$C$4:$C$99,Matrice[[#This Row],[Ligne de la matrice]],'4 - Codes matrice'!BK$4:BK$99)+Matrice_Clés_multilignes!G26</f>
        <v>0</v>
      </c>
      <c r="H26" s="320">
        <f>SUMIF('4 - Codes matrice'!$C$4:$C$99,Matrice[[#This Row],[Ligne de la matrice]],'4 - Codes matrice'!BL$4:BL$99)+Matrice_Clés_multilignes!H26</f>
        <v>0</v>
      </c>
      <c r="I26" s="320">
        <f>SUMIF('4 - Codes matrice'!$C$4:$C$99,Matrice[[#This Row],[Ligne de la matrice]],'4 - Codes matrice'!BM$4:BM$99)+Matrice_Clés_multilignes!I26</f>
        <v>0</v>
      </c>
      <c r="J26" s="320">
        <f>SUMIF('4 - Codes matrice'!$C$4:$C$99,Matrice[[#This Row],[Ligne de la matrice]],'4 - Codes matrice'!BN$4:BN$99)+Matrice_Clés_multilignes!J26</f>
        <v>0</v>
      </c>
      <c r="K26" s="320">
        <f>SUMIF('4 - Codes matrice'!$C$4:$C$99,Matrice[[#This Row],[Ligne de la matrice]],'4 - Codes matrice'!BO$4:BO$99)+Matrice_Clés_multilignes!K26</f>
        <v>0</v>
      </c>
      <c r="L26" s="320">
        <f>SUMIF('4 - Codes matrice'!$C$4:$C$99,Matrice[[#This Row],[Ligne de la matrice]],'4 - Codes matrice'!BP$4:BP$99)+Matrice_Clés_multilignes!L26</f>
        <v>0</v>
      </c>
      <c r="M26" s="320">
        <f>SUMIF('4 - Codes matrice'!$C$4:$C$99,Matrice[[#This Row],[Ligne de la matrice]],'4 - Codes matrice'!BQ$4:BQ$99)+Matrice_Clés_multilignes!M26</f>
        <v>0</v>
      </c>
      <c r="N26" s="320">
        <f>SUMIF('4 - Codes matrice'!$C$4:$C$99,Matrice[[#This Row],[Ligne de la matrice]],'4 - Codes matrice'!BR$4:BR$99)+Matrice_Clés_multilignes!N26</f>
        <v>0</v>
      </c>
      <c r="O26" s="320">
        <f>SUMIF('4 - Codes matrice'!$C$4:$C$99,Matrice[[#This Row],[Ligne de la matrice]],'4 - Codes matrice'!BS$4:BS$99)+Matrice_Clés_multilignes!O26</f>
        <v>0</v>
      </c>
      <c r="P26" s="320">
        <f>SUMIF('4 - Codes matrice'!$C$4:$C$99,Matrice[[#This Row],[Ligne de la matrice]],'4 - Codes matrice'!BT$4:BT$99)+Matrice_Clés_multilignes!P26</f>
        <v>0</v>
      </c>
      <c r="Q26" s="320">
        <f>SUMIF('4 - Codes matrice'!$C$4:$C$99,Matrice[[#This Row],[Ligne de la matrice]],'4 - Codes matrice'!BU$4:BU$99)+Matrice_Clés_multilignes!Q26</f>
        <v>0</v>
      </c>
      <c r="R26" s="320">
        <f>SUMIF('4 - Codes matrice'!$C$4:$C$99,Matrice[[#This Row],[Ligne de la matrice]],'4 - Codes matrice'!BV$4:BV$99)+Matrice_Clés_multilignes!R26</f>
        <v>0</v>
      </c>
      <c r="S26" s="320">
        <f>SUMIF('4 - Codes matrice'!$C$4:$C$99,Matrice[[#This Row],[Ligne de la matrice]],'4 - Codes matrice'!BW$4:BW$99)+Matrice_Clés_multilignes!S26</f>
        <v>0</v>
      </c>
      <c r="T26" s="320">
        <f>SUMIF('4 - Codes matrice'!$C$4:$C$99,Matrice[[#This Row],[Ligne de la matrice]],'4 - Codes matrice'!BX$4:BX$99)+Matrice_Clés_multilignes!T26</f>
        <v>0</v>
      </c>
      <c r="U26" s="320">
        <f>SUMIF('4 - Codes matrice'!$C$4:$C$99,Matrice[[#This Row],[Ligne de la matrice]],'4 - Codes matrice'!BY$4:BY$99)+Matrice_Clés_multilignes!U26</f>
        <v>0</v>
      </c>
      <c r="V26" s="320">
        <f>SUMIF('4 - Codes matrice'!$C$4:$C$99,Matrice[[#This Row],[Ligne de la matrice]],'4 - Codes matrice'!BZ$4:BZ$99)+Matrice_Clés_multilignes!V26</f>
        <v>0</v>
      </c>
      <c r="W26" s="320">
        <f>SUMIF('4 - Codes matrice'!$C$4:$C$99,Matrice[[#This Row],[Ligne de la matrice]],'4 - Codes matrice'!CA$4:CA$99)+Matrice_Clés_multilignes!W26</f>
        <v>0</v>
      </c>
      <c r="X26" s="320">
        <f>SUMIF('4 - Codes matrice'!$C$4:$C$99,Matrice[[#This Row],[Ligne de la matrice]],'4 - Codes matrice'!CB$4:CB$99)+Matrice_Clés_multilignes!X26</f>
        <v>0</v>
      </c>
      <c r="Y26" s="320">
        <f>SUMIF('4 - Codes matrice'!$C$4:$C$99,Matrice[[#This Row],[Ligne de la matrice]],'4 - Codes matrice'!CC$4:CC$99)+Matrice_Clés_multilignes!Y26</f>
        <v>0</v>
      </c>
      <c r="Z26" s="320">
        <f>SUMIF('4 - Codes matrice'!$C$4:$C$99,Matrice[[#This Row],[Ligne de la matrice]],'4 - Codes matrice'!CD$4:CD$99)+Matrice_Clés_multilignes!Z26</f>
        <v>0</v>
      </c>
      <c r="AA26" s="320">
        <f t="shared" si="0"/>
        <v>0</v>
      </c>
      <c r="AC26" s="7"/>
      <c r="AD26" s="7"/>
      <c r="AE26" s="7"/>
      <c r="AF26" s="7"/>
    </row>
    <row r="27" spans="1:33" s="22" customFormat="1" ht="12.75" customHeight="1" x14ac:dyDescent="0.25">
      <c r="A27" s="42" t="s">
        <v>199</v>
      </c>
      <c r="B27" s="320">
        <f>SUMIF('4 - Codes matrice'!$C$4:$C$99,Matrice[[#This Row],[Ligne de la matrice]],'4 - Codes matrice'!BF$4:BF$99)+Matrice_Clés_multilignes!B27</f>
        <v>0</v>
      </c>
      <c r="C27" s="320">
        <f>SUMIF('4 - Codes matrice'!$C$4:$C$99,Matrice[[#This Row],[Ligne de la matrice]],'4 - Codes matrice'!BG$4:BG$99)+Matrice_Clés_multilignes!C27</f>
        <v>0</v>
      </c>
      <c r="D27" s="320">
        <f>SUMIF('4 - Codes matrice'!$C$4:$C$99,Matrice[[#This Row],[Ligne de la matrice]],'4 - Codes matrice'!BH$4:BH$99)+Matrice_Clés_multilignes!D27</f>
        <v>0</v>
      </c>
      <c r="E27" s="320">
        <f>SUMIF('4 - Codes matrice'!$C$4:$C$99,Matrice[[#This Row],[Ligne de la matrice]],'4 - Codes matrice'!BI$4:BI$99)+Matrice_Clés_multilignes!E27</f>
        <v>0</v>
      </c>
      <c r="F27" s="320">
        <f>SUMIF('4 - Codes matrice'!$C$4:$C$99,Matrice[[#This Row],[Ligne de la matrice]],'4 - Codes matrice'!BJ$4:BJ$99)+Matrice_Clés_multilignes!F27</f>
        <v>0</v>
      </c>
      <c r="G27" s="320">
        <f>SUMIF('4 - Codes matrice'!$C$4:$C$99,Matrice[[#This Row],[Ligne de la matrice]],'4 - Codes matrice'!BK$4:BK$99)+Matrice_Clés_multilignes!G27</f>
        <v>0</v>
      </c>
      <c r="H27" s="320">
        <f>SUMIF('4 - Codes matrice'!$C$4:$C$99,Matrice[[#This Row],[Ligne de la matrice]],'4 - Codes matrice'!BL$4:BL$99)+Matrice_Clés_multilignes!H27</f>
        <v>0</v>
      </c>
      <c r="I27" s="320">
        <f>SUMIF('4 - Codes matrice'!$C$4:$C$99,Matrice[[#This Row],[Ligne de la matrice]],'4 - Codes matrice'!BM$4:BM$99)+Matrice_Clés_multilignes!I27</f>
        <v>0</v>
      </c>
      <c r="J27" s="320">
        <f>SUMIF('4 - Codes matrice'!$C$4:$C$99,Matrice[[#This Row],[Ligne de la matrice]],'4 - Codes matrice'!BN$4:BN$99)+Matrice_Clés_multilignes!J27</f>
        <v>0</v>
      </c>
      <c r="K27" s="320">
        <f>SUMIF('4 - Codes matrice'!$C$4:$C$99,Matrice[[#This Row],[Ligne de la matrice]],'4 - Codes matrice'!BO$4:BO$99)+Matrice_Clés_multilignes!K27</f>
        <v>0</v>
      </c>
      <c r="L27" s="320">
        <f>SUMIF('4 - Codes matrice'!$C$4:$C$99,Matrice[[#This Row],[Ligne de la matrice]],'4 - Codes matrice'!BP$4:BP$99)+Matrice_Clés_multilignes!L27</f>
        <v>0</v>
      </c>
      <c r="M27" s="320">
        <f>SUMIF('4 - Codes matrice'!$C$4:$C$99,Matrice[[#This Row],[Ligne de la matrice]],'4 - Codes matrice'!BQ$4:BQ$99)+Matrice_Clés_multilignes!M27</f>
        <v>0</v>
      </c>
      <c r="N27" s="320">
        <f>SUMIF('4 - Codes matrice'!$C$4:$C$99,Matrice[[#This Row],[Ligne de la matrice]],'4 - Codes matrice'!BR$4:BR$99)+Matrice_Clés_multilignes!N27</f>
        <v>0</v>
      </c>
      <c r="O27" s="320">
        <f>SUMIF('4 - Codes matrice'!$C$4:$C$99,Matrice[[#This Row],[Ligne de la matrice]],'4 - Codes matrice'!BS$4:BS$99)+Matrice_Clés_multilignes!O27</f>
        <v>0</v>
      </c>
      <c r="P27" s="320">
        <f>SUMIF('4 - Codes matrice'!$C$4:$C$99,Matrice[[#This Row],[Ligne de la matrice]],'4 - Codes matrice'!BT$4:BT$99)+Matrice_Clés_multilignes!P27</f>
        <v>0</v>
      </c>
      <c r="Q27" s="320">
        <f>SUMIF('4 - Codes matrice'!$C$4:$C$99,Matrice[[#This Row],[Ligne de la matrice]],'4 - Codes matrice'!BU$4:BU$99)+Matrice_Clés_multilignes!Q27</f>
        <v>0</v>
      </c>
      <c r="R27" s="320">
        <f>SUMIF('4 - Codes matrice'!$C$4:$C$99,Matrice[[#This Row],[Ligne de la matrice]],'4 - Codes matrice'!BV$4:BV$99)+Matrice_Clés_multilignes!R27</f>
        <v>0</v>
      </c>
      <c r="S27" s="320">
        <f>SUMIF('4 - Codes matrice'!$C$4:$C$99,Matrice[[#This Row],[Ligne de la matrice]],'4 - Codes matrice'!BW$4:BW$99)+Matrice_Clés_multilignes!S27</f>
        <v>0</v>
      </c>
      <c r="T27" s="320">
        <f>SUMIF('4 - Codes matrice'!$C$4:$C$99,Matrice[[#This Row],[Ligne de la matrice]],'4 - Codes matrice'!BX$4:BX$99)+Matrice_Clés_multilignes!T27</f>
        <v>0</v>
      </c>
      <c r="U27" s="320">
        <f>SUMIF('4 - Codes matrice'!$C$4:$C$99,Matrice[[#This Row],[Ligne de la matrice]],'4 - Codes matrice'!BY$4:BY$99)+Matrice_Clés_multilignes!U27</f>
        <v>0</v>
      </c>
      <c r="V27" s="320">
        <f>SUMIF('4 - Codes matrice'!$C$4:$C$99,Matrice[[#This Row],[Ligne de la matrice]],'4 - Codes matrice'!BZ$4:BZ$99)+Matrice_Clés_multilignes!V27</f>
        <v>0</v>
      </c>
      <c r="W27" s="320">
        <f>SUMIF('4 - Codes matrice'!$C$4:$C$99,Matrice[[#This Row],[Ligne de la matrice]],'4 - Codes matrice'!CA$4:CA$99)+Matrice_Clés_multilignes!W27</f>
        <v>0</v>
      </c>
      <c r="X27" s="320">
        <f>SUMIF('4 - Codes matrice'!$C$4:$C$99,Matrice[[#This Row],[Ligne de la matrice]],'4 - Codes matrice'!CB$4:CB$99)+Matrice_Clés_multilignes!X27</f>
        <v>0</v>
      </c>
      <c r="Y27" s="320">
        <f>SUMIF('4 - Codes matrice'!$C$4:$C$99,Matrice[[#This Row],[Ligne de la matrice]],'4 - Codes matrice'!CC$4:CC$99)+Matrice_Clés_multilignes!Y27</f>
        <v>0</v>
      </c>
      <c r="Z27" s="320">
        <f>SUMIF('4 - Codes matrice'!$C$4:$C$99,Matrice[[#This Row],[Ligne de la matrice]],'4 - Codes matrice'!CD$4:CD$99)+Matrice_Clés_multilignes!Z27</f>
        <v>0</v>
      </c>
      <c r="AA27" s="320">
        <f t="shared" si="0"/>
        <v>0</v>
      </c>
      <c r="AC27" s="7"/>
      <c r="AD27" s="7"/>
      <c r="AE27" s="7"/>
      <c r="AF27" s="7"/>
    </row>
    <row r="28" spans="1:33" s="22" customFormat="1" ht="12.75" customHeight="1" x14ac:dyDescent="0.25">
      <c r="A28" s="42" t="s">
        <v>200</v>
      </c>
      <c r="B28" s="320">
        <f>SUMIF('4 - Codes matrice'!$C$4:$C$99,Matrice[[#This Row],[Ligne de la matrice]],'4 - Codes matrice'!BF$4:BF$99)+Matrice_Clés_multilignes!B28</f>
        <v>0</v>
      </c>
      <c r="C28" s="320">
        <f>SUMIF('4 - Codes matrice'!$C$4:$C$99,Matrice[[#This Row],[Ligne de la matrice]],'4 - Codes matrice'!BG$4:BG$99)+Matrice_Clés_multilignes!C28</f>
        <v>0</v>
      </c>
      <c r="D28" s="320">
        <f>SUMIF('4 - Codes matrice'!$C$4:$C$99,Matrice[[#This Row],[Ligne de la matrice]],'4 - Codes matrice'!BH$4:BH$99)+Matrice_Clés_multilignes!D28</f>
        <v>0</v>
      </c>
      <c r="E28" s="320">
        <f>SUMIF('4 - Codes matrice'!$C$4:$C$99,Matrice[[#This Row],[Ligne de la matrice]],'4 - Codes matrice'!BI$4:BI$99)+Matrice_Clés_multilignes!E28</f>
        <v>0</v>
      </c>
      <c r="F28" s="320">
        <f>SUMIF('4 - Codes matrice'!$C$4:$C$99,Matrice[[#This Row],[Ligne de la matrice]],'4 - Codes matrice'!BJ$4:BJ$99)+Matrice_Clés_multilignes!F28</f>
        <v>0</v>
      </c>
      <c r="G28" s="320">
        <f>SUMIF('4 - Codes matrice'!$C$4:$C$99,Matrice[[#This Row],[Ligne de la matrice]],'4 - Codes matrice'!BK$4:BK$99)+Matrice_Clés_multilignes!G28</f>
        <v>0</v>
      </c>
      <c r="H28" s="320">
        <f>SUMIF('4 - Codes matrice'!$C$4:$C$99,Matrice[[#This Row],[Ligne de la matrice]],'4 - Codes matrice'!BL$4:BL$99)+Matrice_Clés_multilignes!H28</f>
        <v>0</v>
      </c>
      <c r="I28" s="320">
        <f>SUMIF('4 - Codes matrice'!$C$4:$C$99,Matrice[[#This Row],[Ligne de la matrice]],'4 - Codes matrice'!BM$4:BM$99)+Matrice_Clés_multilignes!I28</f>
        <v>0</v>
      </c>
      <c r="J28" s="320">
        <f>SUMIF('4 - Codes matrice'!$C$4:$C$99,Matrice[[#This Row],[Ligne de la matrice]],'4 - Codes matrice'!BN$4:BN$99)+Matrice_Clés_multilignes!J28</f>
        <v>0</v>
      </c>
      <c r="K28" s="320">
        <f>SUMIF('4 - Codes matrice'!$C$4:$C$99,Matrice[[#This Row],[Ligne de la matrice]],'4 - Codes matrice'!BO$4:BO$99)+Matrice_Clés_multilignes!K28</f>
        <v>0</v>
      </c>
      <c r="L28" s="320">
        <f>SUMIF('4 - Codes matrice'!$C$4:$C$99,Matrice[[#This Row],[Ligne de la matrice]],'4 - Codes matrice'!BP$4:BP$99)+Matrice_Clés_multilignes!L28</f>
        <v>0</v>
      </c>
      <c r="M28" s="320">
        <f>SUMIF('4 - Codes matrice'!$C$4:$C$99,Matrice[[#This Row],[Ligne de la matrice]],'4 - Codes matrice'!BQ$4:BQ$99)+Matrice_Clés_multilignes!M28</f>
        <v>0</v>
      </c>
      <c r="N28" s="320">
        <f>SUMIF('4 - Codes matrice'!$C$4:$C$99,Matrice[[#This Row],[Ligne de la matrice]],'4 - Codes matrice'!BR$4:BR$99)+Matrice_Clés_multilignes!N28</f>
        <v>0</v>
      </c>
      <c r="O28" s="320">
        <f>SUMIF('4 - Codes matrice'!$C$4:$C$99,Matrice[[#This Row],[Ligne de la matrice]],'4 - Codes matrice'!BS$4:BS$99)+Matrice_Clés_multilignes!O28</f>
        <v>0</v>
      </c>
      <c r="P28" s="320">
        <f>SUMIF('4 - Codes matrice'!$C$4:$C$99,Matrice[[#This Row],[Ligne de la matrice]],'4 - Codes matrice'!BT$4:BT$99)+Matrice_Clés_multilignes!P28</f>
        <v>0</v>
      </c>
      <c r="Q28" s="320">
        <f>SUMIF('4 - Codes matrice'!$C$4:$C$99,Matrice[[#This Row],[Ligne de la matrice]],'4 - Codes matrice'!BU$4:BU$99)+Matrice_Clés_multilignes!Q28</f>
        <v>0</v>
      </c>
      <c r="R28" s="320">
        <f>SUMIF('4 - Codes matrice'!$C$4:$C$99,Matrice[[#This Row],[Ligne de la matrice]],'4 - Codes matrice'!BV$4:BV$99)+Matrice_Clés_multilignes!R28</f>
        <v>0</v>
      </c>
      <c r="S28" s="320">
        <f>SUMIF('4 - Codes matrice'!$C$4:$C$99,Matrice[[#This Row],[Ligne de la matrice]],'4 - Codes matrice'!BW$4:BW$99)+Matrice_Clés_multilignes!S28</f>
        <v>0</v>
      </c>
      <c r="T28" s="320">
        <f>SUMIF('4 - Codes matrice'!$C$4:$C$99,Matrice[[#This Row],[Ligne de la matrice]],'4 - Codes matrice'!BX$4:BX$99)+Matrice_Clés_multilignes!T28</f>
        <v>0</v>
      </c>
      <c r="U28" s="320">
        <f>SUMIF('4 - Codes matrice'!$C$4:$C$99,Matrice[[#This Row],[Ligne de la matrice]],'4 - Codes matrice'!BY$4:BY$99)+Matrice_Clés_multilignes!U28</f>
        <v>0</v>
      </c>
      <c r="V28" s="320">
        <f>SUMIF('4 - Codes matrice'!$C$4:$C$99,Matrice[[#This Row],[Ligne de la matrice]],'4 - Codes matrice'!BZ$4:BZ$99)+Matrice_Clés_multilignes!V28</f>
        <v>0</v>
      </c>
      <c r="W28" s="320">
        <f>SUMIF('4 - Codes matrice'!$C$4:$C$99,Matrice[[#This Row],[Ligne de la matrice]],'4 - Codes matrice'!CA$4:CA$99)+Matrice_Clés_multilignes!W28</f>
        <v>0</v>
      </c>
      <c r="X28" s="320">
        <f>SUMIF('4 - Codes matrice'!$C$4:$C$99,Matrice[[#This Row],[Ligne de la matrice]],'4 - Codes matrice'!CB$4:CB$99)+Matrice_Clés_multilignes!X28</f>
        <v>0</v>
      </c>
      <c r="Y28" s="320">
        <f>SUMIF('4 - Codes matrice'!$C$4:$C$99,Matrice[[#This Row],[Ligne de la matrice]],'4 - Codes matrice'!CC$4:CC$99)+Matrice_Clés_multilignes!Y28</f>
        <v>0</v>
      </c>
      <c r="Z28" s="320">
        <f>SUMIF('4 - Codes matrice'!$C$4:$C$99,Matrice[[#This Row],[Ligne de la matrice]],'4 - Codes matrice'!CD$4:CD$99)+Matrice_Clés_multilignes!Z28</f>
        <v>0</v>
      </c>
      <c r="AA28" s="320">
        <f t="shared" si="0"/>
        <v>0</v>
      </c>
      <c r="AC28" s="7"/>
      <c r="AD28" s="7"/>
      <c r="AE28" s="7"/>
      <c r="AF28" s="7"/>
    </row>
    <row r="29" spans="1:33" s="22" customFormat="1" ht="12.75" customHeight="1" x14ac:dyDescent="0.25">
      <c r="A29" s="42" t="s">
        <v>201</v>
      </c>
      <c r="B29" s="320">
        <f>SUMIF('4 - Codes matrice'!$C$4:$C$99,Matrice[[#This Row],[Ligne de la matrice]],'4 - Codes matrice'!BF$4:BF$99)+Matrice_Clés_multilignes!B29</f>
        <v>0</v>
      </c>
      <c r="C29" s="320">
        <f>SUMIF('4 - Codes matrice'!$C$4:$C$99,Matrice[[#This Row],[Ligne de la matrice]],'4 - Codes matrice'!BG$4:BG$99)+Matrice_Clés_multilignes!C29</f>
        <v>0</v>
      </c>
      <c r="D29" s="320">
        <f>SUMIF('4 - Codes matrice'!$C$4:$C$99,Matrice[[#This Row],[Ligne de la matrice]],'4 - Codes matrice'!BH$4:BH$99)+Matrice_Clés_multilignes!D29</f>
        <v>0</v>
      </c>
      <c r="E29" s="320">
        <f>SUMIF('4 - Codes matrice'!$C$4:$C$99,Matrice[[#This Row],[Ligne de la matrice]],'4 - Codes matrice'!BI$4:BI$99)+Matrice_Clés_multilignes!E29</f>
        <v>0</v>
      </c>
      <c r="F29" s="320">
        <f>SUMIF('4 - Codes matrice'!$C$4:$C$99,Matrice[[#This Row],[Ligne de la matrice]],'4 - Codes matrice'!BJ$4:BJ$99)+Matrice_Clés_multilignes!F29</f>
        <v>0</v>
      </c>
      <c r="G29" s="320">
        <f>SUMIF('4 - Codes matrice'!$C$4:$C$99,Matrice[[#This Row],[Ligne de la matrice]],'4 - Codes matrice'!BK$4:BK$99)+Matrice_Clés_multilignes!G29</f>
        <v>0</v>
      </c>
      <c r="H29" s="320">
        <f>SUMIF('4 - Codes matrice'!$C$4:$C$99,Matrice[[#This Row],[Ligne de la matrice]],'4 - Codes matrice'!BL$4:BL$99)+Matrice_Clés_multilignes!H29</f>
        <v>0</v>
      </c>
      <c r="I29" s="320">
        <f>SUMIF('4 - Codes matrice'!$C$4:$C$99,Matrice[[#This Row],[Ligne de la matrice]],'4 - Codes matrice'!BM$4:BM$99)+Matrice_Clés_multilignes!I29</f>
        <v>0</v>
      </c>
      <c r="J29" s="320">
        <f>SUMIF('4 - Codes matrice'!$C$4:$C$99,Matrice[[#This Row],[Ligne de la matrice]],'4 - Codes matrice'!BN$4:BN$99)+Matrice_Clés_multilignes!J29</f>
        <v>0</v>
      </c>
      <c r="K29" s="320">
        <f>SUMIF('4 - Codes matrice'!$C$4:$C$99,Matrice[[#This Row],[Ligne de la matrice]],'4 - Codes matrice'!BO$4:BO$99)+Matrice_Clés_multilignes!K29</f>
        <v>0</v>
      </c>
      <c r="L29" s="320">
        <f>SUMIF('4 - Codes matrice'!$C$4:$C$99,Matrice[[#This Row],[Ligne de la matrice]],'4 - Codes matrice'!BP$4:BP$99)+Matrice_Clés_multilignes!L29</f>
        <v>0</v>
      </c>
      <c r="M29" s="320">
        <f>SUMIF('4 - Codes matrice'!$C$4:$C$99,Matrice[[#This Row],[Ligne de la matrice]],'4 - Codes matrice'!BQ$4:BQ$99)+Matrice_Clés_multilignes!M29</f>
        <v>0</v>
      </c>
      <c r="N29" s="320">
        <f>SUMIF('4 - Codes matrice'!$C$4:$C$99,Matrice[[#This Row],[Ligne de la matrice]],'4 - Codes matrice'!BR$4:BR$99)+Matrice_Clés_multilignes!N29</f>
        <v>0</v>
      </c>
      <c r="O29" s="320">
        <f>SUMIF('4 - Codes matrice'!$C$4:$C$99,Matrice[[#This Row],[Ligne de la matrice]],'4 - Codes matrice'!BS$4:BS$99)+Matrice_Clés_multilignes!O29</f>
        <v>0</v>
      </c>
      <c r="P29" s="320">
        <f>SUMIF('4 - Codes matrice'!$C$4:$C$99,Matrice[[#This Row],[Ligne de la matrice]],'4 - Codes matrice'!BT$4:BT$99)+Matrice_Clés_multilignes!P29</f>
        <v>0</v>
      </c>
      <c r="Q29" s="320">
        <f>SUMIF('4 - Codes matrice'!$C$4:$C$99,Matrice[[#This Row],[Ligne de la matrice]],'4 - Codes matrice'!BU$4:BU$99)+Matrice_Clés_multilignes!Q29</f>
        <v>0</v>
      </c>
      <c r="R29" s="320">
        <f>SUMIF('4 - Codes matrice'!$C$4:$C$99,Matrice[[#This Row],[Ligne de la matrice]],'4 - Codes matrice'!BV$4:BV$99)+Matrice_Clés_multilignes!R29</f>
        <v>0</v>
      </c>
      <c r="S29" s="320">
        <f>SUMIF('4 - Codes matrice'!$C$4:$C$99,Matrice[[#This Row],[Ligne de la matrice]],'4 - Codes matrice'!BW$4:BW$99)+Matrice_Clés_multilignes!S29</f>
        <v>0</v>
      </c>
      <c r="T29" s="320">
        <f>SUMIF('4 - Codes matrice'!$C$4:$C$99,Matrice[[#This Row],[Ligne de la matrice]],'4 - Codes matrice'!BX$4:BX$99)+Matrice_Clés_multilignes!T29</f>
        <v>0</v>
      </c>
      <c r="U29" s="320">
        <f>SUMIF('4 - Codes matrice'!$C$4:$C$99,Matrice[[#This Row],[Ligne de la matrice]],'4 - Codes matrice'!BY$4:BY$99)+Matrice_Clés_multilignes!U29</f>
        <v>0</v>
      </c>
      <c r="V29" s="320">
        <f>SUMIF('4 - Codes matrice'!$C$4:$C$99,Matrice[[#This Row],[Ligne de la matrice]],'4 - Codes matrice'!BZ$4:BZ$99)+Matrice_Clés_multilignes!V29</f>
        <v>0</v>
      </c>
      <c r="W29" s="320">
        <f>SUMIF('4 - Codes matrice'!$C$4:$C$99,Matrice[[#This Row],[Ligne de la matrice]],'4 - Codes matrice'!CA$4:CA$99)+Matrice_Clés_multilignes!W29</f>
        <v>0</v>
      </c>
      <c r="X29" s="320">
        <f>SUMIF('4 - Codes matrice'!$C$4:$C$99,Matrice[[#This Row],[Ligne de la matrice]],'4 - Codes matrice'!CB$4:CB$99)+Matrice_Clés_multilignes!X29</f>
        <v>0</v>
      </c>
      <c r="Y29" s="320">
        <f>SUMIF('4 - Codes matrice'!$C$4:$C$99,Matrice[[#This Row],[Ligne de la matrice]],'4 - Codes matrice'!CC$4:CC$99)+Matrice_Clés_multilignes!Y29</f>
        <v>0</v>
      </c>
      <c r="Z29" s="320">
        <f>SUMIF('4 - Codes matrice'!$C$4:$C$99,Matrice[[#This Row],[Ligne de la matrice]],'4 - Codes matrice'!CD$4:CD$99)+Matrice_Clés_multilignes!Z29</f>
        <v>0</v>
      </c>
      <c r="AA29" s="320">
        <f t="shared" si="0"/>
        <v>0</v>
      </c>
      <c r="AC29" s="7"/>
      <c r="AD29" s="7"/>
      <c r="AE29" s="7"/>
      <c r="AF29" s="7"/>
    </row>
    <row r="30" spans="1:33" s="22" customFormat="1" ht="12.75" customHeight="1" x14ac:dyDescent="0.25">
      <c r="A30" s="42" t="s">
        <v>202</v>
      </c>
      <c r="B30" s="320">
        <f>SUMIF('4 - Codes matrice'!$C$4:$C$99,Matrice[[#This Row],[Ligne de la matrice]],'4 - Codes matrice'!BF$4:BF$99)+Matrice_Clés_multilignes!B30</f>
        <v>0</v>
      </c>
      <c r="C30" s="320">
        <f>SUMIF('4 - Codes matrice'!$C$4:$C$99,Matrice[[#This Row],[Ligne de la matrice]],'4 - Codes matrice'!BG$4:BG$99)+Matrice_Clés_multilignes!C30</f>
        <v>0</v>
      </c>
      <c r="D30" s="320">
        <f>SUMIF('4 - Codes matrice'!$C$4:$C$99,Matrice[[#This Row],[Ligne de la matrice]],'4 - Codes matrice'!BH$4:BH$99)+Matrice_Clés_multilignes!D30</f>
        <v>0</v>
      </c>
      <c r="E30" s="320">
        <f>SUMIF('4 - Codes matrice'!$C$4:$C$99,Matrice[[#This Row],[Ligne de la matrice]],'4 - Codes matrice'!BI$4:BI$99)+Matrice_Clés_multilignes!E30</f>
        <v>0</v>
      </c>
      <c r="F30" s="320">
        <f>SUMIF('4 - Codes matrice'!$C$4:$C$99,Matrice[[#This Row],[Ligne de la matrice]],'4 - Codes matrice'!BJ$4:BJ$99)+Matrice_Clés_multilignes!F30</f>
        <v>0</v>
      </c>
      <c r="G30" s="320">
        <f>SUMIF('4 - Codes matrice'!$C$4:$C$99,Matrice[[#This Row],[Ligne de la matrice]],'4 - Codes matrice'!BK$4:BK$99)+Matrice_Clés_multilignes!G30</f>
        <v>0</v>
      </c>
      <c r="H30" s="320">
        <f>SUMIF('4 - Codes matrice'!$C$4:$C$99,Matrice[[#This Row],[Ligne de la matrice]],'4 - Codes matrice'!BL$4:BL$99)+Matrice_Clés_multilignes!H30</f>
        <v>0</v>
      </c>
      <c r="I30" s="320">
        <f>SUMIF('4 - Codes matrice'!$C$4:$C$99,Matrice[[#This Row],[Ligne de la matrice]],'4 - Codes matrice'!BM$4:BM$99)+Matrice_Clés_multilignes!I30</f>
        <v>0</v>
      </c>
      <c r="J30" s="320">
        <f>SUMIF('4 - Codes matrice'!$C$4:$C$99,Matrice[[#This Row],[Ligne de la matrice]],'4 - Codes matrice'!BN$4:BN$99)+Matrice_Clés_multilignes!J30</f>
        <v>0</v>
      </c>
      <c r="K30" s="320">
        <f>SUMIF('4 - Codes matrice'!$C$4:$C$99,Matrice[[#This Row],[Ligne de la matrice]],'4 - Codes matrice'!BO$4:BO$99)+Matrice_Clés_multilignes!K30</f>
        <v>0</v>
      </c>
      <c r="L30" s="320">
        <f>SUMIF('4 - Codes matrice'!$C$4:$C$99,Matrice[[#This Row],[Ligne de la matrice]],'4 - Codes matrice'!BP$4:BP$99)+Matrice_Clés_multilignes!L30</f>
        <v>0</v>
      </c>
      <c r="M30" s="320">
        <f>SUMIF('4 - Codes matrice'!$C$4:$C$99,Matrice[[#This Row],[Ligne de la matrice]],'4 - Codes matrice'!BQ$4:BQ$99)+Matrice_Clés_multilignes!M30</f>
        <v>0</v>
      </c>
      <c r="N30" s="320">
        <f>SUMIF('4 - Codes matrice'!$C$4:$C$99,Matrice[[#This Row],[Ligne de la matrice]],'4 - Codes matrice'!BR$4:BR$99)+Matrice_Clés_multilignes!N30</f>
        <v>0</v>
      </c>
      <c r="O30" s="320">
        <f>SUMIF('4 - Codes matrice'!$C$4:$C$99,Matrice[[#This Row],[Ligne de la matrice]],'4 - Codes matrice'!BS$4:BS$99)+Matrice_Clés_multilignes!O30</f>
        <v>0</v>
      </c>
      <c r="P30" s="320">
        <f>SUMIF('4 - Codes matrice'!$C$4:$C$99,Matrice[[#This Row],[Ligne de la matrice]],'4 - Codes matrice'!BT$4:BT$99)+Matrice_Clés_multilignes!P30</f>
        <v>0</v>
      </c>
      <c r="Q30" s="320">
        <f>SUMIF('4 - Codes matrice'!$C$4:$C$99,Matrice[[#This Row],[Ligne de la matrice]],'4 - Codes matrice'!BU$4:BU$99)+Matrice_Clés_multilignes!Q30</f>
        <v>0</v>
      </c>
      <c r="R30" s="320">
        <f>SUMIF('4 - Codes matrice'!$C$4:$C$99,Matrice[[#This Row],[Ligne de la matrice]],'4 - Codes matrice'!BV$4:BV$99)+Matrice_Clés_multilignes!R30</f>
        <v>0</v>
      </c>
      <c r="S30" s="320">
        <f>SUMIF('4 - Codes matrice'!$C$4:$C$99,Matrice[[#This Row],[Ligne de la matrice]],'4 - Codes matrice'!BW$4:BW$99)+Matrice_Clés_multilignes!S30</f>
        <v>0</v>
      </c>
      <c r="T30" s="320">
        <f>SUMIF('4 - Codes matrice'!$C$4:$C$99,Matrice[[#This Row],[Ligne de la matrice]],'4 - Codes matrice'!BX$4:BX$99)+Matrice_Clés_multilignes!T30</f>
        <v>0</v>
      </c>
      <c r="U30" s="320">
        <f>SUMIF('4 - Codes matrice'!$C$4:$C$99,Matrice[[#This Row],[Ligne de la matrice]],'4 - Codes matrice'!BY$4:BY$99)+Matrice_Clés_multilignes!U30</f>
        <v>0</v>
      </c>
      <c r="V30" s="320">
        <f>SUMIF('4 - Codes matrice'!$C$4:$C$99,Matrice[[#This Row],[Ligne de la matrice]],'4 - Codes matrice'!BZ$4:BZ$99)+Matrice_Clés_multilignes!V30</f>
        <v>0</v>
      </c>
      <c r="W30" s="320">
        <f>SUMIF('4 - Codes matrice'!$C$4:$C$99,Matrice[[#This Row],[Ligne de la matrice]],'4 - Codes matrice'!CA$4:CA$99)+Matrice_Clés_multilignes!W30</f>
        <v>0</v>
      </c>
      <c r="X30" s="320">
        <f>SUMIF('4 - Codes matrice'!$C$4:$C$99,Matrice[[#This Row],[Ligne de la matrice]],'4 - Codes matrice'!CB$4:CB$99)+Matrice_Clés_multilignes!X30</f>
        <v>0</v>
      </c>
      <c r="Y30" s="320">
        <f>SUMIF('4 - Codes matrice'!$C$4:$C$99,Matrice[[#This Row],[Ligne de la matrice]],'4 - Codes matrice'!CC$4:CC$99)+Matrice_Clés_multilignes!Y30</f>
        <v>0</v>
      </c>
      <c r="Z30" s="320">
        <f>SUMIF('4 - Codes matrice'!$C$4:$C$99,Matrice[[#This Row],[Ligne de la matrice]],'4 - Codes matrice'!CD$4:CD$99)+Matrice_Clés_multilignes!Z30</f>
        <v>0</v>
      </c>
      <c r="AA30" s="320">
        <f t="shared" si="0"/>
        <v>0</v>
      </c>
      <c r="AC30" s="7"/>
      <c r="AD30" s="7"/>
      <c r="AE30" s="7"/>
      <c r="AF30" s="7"/>
    </row>
    <row r="31" spans="1:33" s="22" customFormat="1" ht="12.75" customHeight="1" x14ac:dyDescent="0.25">
      <c r="A31" s="42" t="s">
        <v>203</v>
      </c>
      <c r="B31" s="320">
        <f>SUMIF('4 - Codes matrice'!$C$4:$C$99,Matrice[[#This Row],[Ligne de la matrice]],'4 - Codes matrice'!BF$4:BF$99)+Matrice_Clés_multilignes!B31</f>
        <v>0</v>
      </c>
      <c r="C31" s="320">
        <f>SUMIF('4 - Codes matrice'!$C$4:$C$99,Matrice[[#This Row],[Ligne de la matrice]],'4 - Codes matrice'!BG$4:BG$99)+Matrice_Clés_multilignes!C31</f>
        <v>0</v>
      </c>
      <c r="D31" s="320">
        <f>SUMIF('4 - Codes matrice'!$C$4:$C$99,Matrice[[#This Row],[Ligne de la matrice]],'4 - Codes matrice'!BH$4:BH$99)+Matrice_Clés_multilignes!D31</f>
        <v>0</v>
      </c>
      <c r="E31" s="320">
        <f>SUMIF('4 - Codes matrice'!$C$4:$C$99,Matrice[[#This Row],[Ligne de la matrice]],'4 - Codes matrice'!BI$4:BI$99)+Matrice_Clés_multilignes!E31</f>
        <v>0</v>
      </c>
      <c r="F31" s="320">
        <f>SUMIF('4 - Codes matrice'!$C$4:$C$99,Matrice[[#This Row],[Ligne de la matrice]],'4 - Codes matrice'!BJ$4:BJ$99)+Matrice_Clés_multilignes!F31</f>
        <v>0</v>
      </c>
      <c r="G31" s="320">
        <f>SUMIF('4 - Codes matrice'!$C$4:$C$99,Matrice[[#This Row],[Ligne de la matrice]],'4 - Codes matrice'!BK$4:BK$99)+Matrice_Clés_multilignes!G31</f>
        <v>0</v>
      </c>
      <c r="H31" s="320">
        <f>SUMIF('4 - Codes matrice'!$C$4:$C$99,Matrice[[#This Row],[Ligne de la matrice]],'4 - Codes matrice'!BL$4:BL$99)+Matrice_Clés_multilignes!H31</f>
        <v>0</v>
      </c>
      <c r="I31" s="320">
        <f>SUMIF('4 - Codes matrice'!$C$4:$C$99,Matrice[[#This Row],[Ligne de la matrice]],'4 - Codes matrice'!BM$4:BM$99)+Matrice_Clés_multilignes!I31</f>
        <v>0</v>
      </c>
      <c r="J31" s="320">
        <f>SUMIF('4 - Codes matrice'!$C$4:$C$99,Matrice[[#This Row],[Ligne de la matrice]],'4 - Codes matrice'!BN$4:BN$99)+Matrice_Clés_multilignes!J31</f>
        <v>0</v>
      </c>
      <c r="K31" s="320">
        <f>SUMIF('4 - Codes matrice'!$C$4:$C$99,Matrice[[#This Row],[Ligne de la matrice]],'4 - Codes matrice'!BO$4:BO$99)+Matrice_Clés_multilignes!K31</f>
        <v>0</v>
      </c>
      <c r="L31" s="320">
        <f>SUMIF('4 - Codes matrice'!$C$4:$C$99,Matrice[[#This Row],[Ligne de la matrice]],'4 - Codes matrice'!BP$4:BP$99)+Matrice_Clés_multilignes!L31</f>
        <v>0</v>
      </c>
      <c r="M31" s="320">
        <f>SUMIF('4 - Codes matrice'!$C$4:$C$99,Matrice[[#This Row],[Ligne de la matrice]],'4 - Codes matrice'!BQ$4:BQ$99)+Matrice_Clés_multilignes!M31</f>
        <v>0</v>
      </c>
      <c r="N31" s="320">
        <f>SUMIF('4 - Codes matrice'!$C$4:$C$99,Matrice[[#This Row],[Ligne de la matrice]],'4 - Codes matrice'!BR$4:BR$99)+Matrice_Clés_multilignes!N31</f>
        <v>0</v>
      </c>
      <c r="O31" s="320">
        <f>SUMIF('4 - Codes matrice'!$C$4:$C$99,Matrice[[#This Row],[Ligne de la matrice]],'4 - Codes matrice'!BS$4:BS$99)+Matrice_Clés_multilignes!O31</f>
        <v>0</v>
      </c>
      <c r="P31" s="320">
        <f>SUMIF('4 - Codes matrice'!$C$4:$C$99,Matrice[[#This Row],[Ligne de la matrice]],'4 - Codes matrice'!BT$4:BT$99)+Matrice_Clés_multilignes!P31</f>
        <v>0</v>
      </c>
      <c r="Q31" s="320">
        <f>SUMIF('4 - Codes matrice'!$C$4:$C$99,Matrice[[#This Row],[Ligne de la matrice]],'4 - Codes matrice'!BU$4:BU$99)+Matrice_Clés_multilignes!Q31</f>
        <v>0</v>
      </c>
      <c r="R31" s="320">
        <f>SUMIF('4 - Codes matrice'!$C$4:$C$99,Matrice[[#This Row],[Ligne de la matrice]],'4 - Codes matrice'!BV$4:BV$99)+Matrice_Clés_multilignes!R31</f>
        <v>0</v>
      </c>
      <c r="S31" s="320">
        <f>SUMIF('4 - Codes matrice'!$C$4:$C$99,Matrice[[#This Row],[Ligne de la matrice]],'4 - Codes matrice'!BW$4:BW$99)+Matrice_Clés_multilignes!S31</f>
        <v>0</v>
      </c>
      <c r="T31" s="320">
        <f>SUMIF('4 - Codes matrice'!$C$4:$C$99,Matrice[[#This Row],[Ligne de la matrice]],'4 - Codes matrice'!BX$4:BX$99)+Matrice_Clés_multilignes!T31</f>
        <v>0</v>
      </c>
      <c r="U31" s="320">
        <f>SUMIF('4 - Codes matrice'!$C$4:$C$99,Matrice[[#This Row],[Ligne de la matrice]],'4 - Codes matrice'!BY$4:BY$99)+Matrice_Clés_multilignes!U31</f>
        <v>0</v>
      </c>
      <c r="V31" s="320">
        <f>SUMIF('4 - Codes matrice'!$C$4:$C$99,Matrice[[#This Row],[Ligne de la matrice]],'4 - Codes matrice'!BZ$4:BZ$99)+Matrice_Clés_multilignes!V31</f>
        <v>0</v>
      </c>
      <c r="W31" s="320">
        <f>SUMIF('4 - Codes matrice'!$C$4:$C$99,Matrice[[#This Row],[Ligne de la matrice]],'4 - Codes matrice'!CA$4:CA$99)+Matrice_Clés_multilignes!W31</f>
        <v>0</v>
      </c>
      <c r="X31" s="320">
        <f>SUMIF('4 - Codes matrice'!$C$4:$C$99,Matrice[[#This Row],[Ligne de la matrice]],'4 - Codes matrice'!CB$4:CB$99)+Matrice_Clés_multilignes!X31</f>
        <v>0</v>
      </c>
      <c r="Y31" s="320">
        <f>SUMIF('4 - Codes matrice'!$C$4:$C$99,Matrice[[#This Row],[Ligne de la matrice]],'4 - Codes matrice'!CC$4:CC$99)+Matrice_Clés_multilignes!Y31</f>
        <v>0</v>
      </c>
      <c r="Z31" s="320">
        <f>SUMIF('4 - Codes matrice'!$C$4:$C$99,Matrice[[#This Row],[Ligne de la matrice]],'4 - Codes matrice'!CD$4:CD$99)+Matrice_Clés_multilignes!Z31</f>
        <v>0</v>
      </c>
      <c r="AA31" s="320">
        <f t="shared" si="0"/>
        <v>0</v>
      </c>
      <c r="AC31" s="7"/>
      <c r="AD31" s="7"/>
      <c r="AE31" s="7"/>
      <c r="AF31" s="7"/>
    </row>
    <row r="32" spans="1:33" s="22" customFormat="1" ht="12.75" customHeight="1" x14ac:dyDescent="0.25">
      <c r="A32" s="42" t="s">
        <v>204</v>
      </c>
      <c r="B32" s="320">
        <f>SUMIF('4 - Codes matrice'!$C$4:$C$99,Matrice[[#This Row],[Ligne de la matrice]],'4 - Codes matrice'!BF$4:BF$99)+Matrice_Clés_multilignes!B32</f>
        <v>0</v>
      </c>
      <c r="C32" s="320">
        <f>SUMIF('4 - Codes matrice'!$C$4:$C$99,Matrice[[#This Row],[Ligne de la matrice]],'4 - Codes matrice'!BG$4:BG$99)+Matrice_Clés_multilignes!C32</f>
        <v>0</v>
      </c>
      <c r="D32" s="320">
        <f>SUMIF('4 - Codes matrice'!$C$4:$C$99,Matrice[[#This Row],[Ligne de la matrice]],'4 - Codes matrice'!BH$4:BH$99)+Matrice_Clés_multilignes!D32</f>
        <v>0</v>
      </c>
      <c r="E32" s="320">
        <f>SUMIF('4 - Codes matrice'!$C$4:$C$99,Matrice[[#This Row],[Ligne de la matrice]],'4 - Codes matrice'!BI$4:BI$99)+Matrice_Clés_multilignes!E32</f>
        <v>0</v>
      </c>
      <c r="F32" s="320">
        <f>SUMIF('4 - Codes matrice'!$C$4:$C$99,Matrice[[#This Row],[Ligne de la matrice]],'4 - Codes matrice'!BJ$4:BJ$99)+Matrice_Clés_multilignes!F32</f>
        <v>0</v>
      </c>
      <c r="G32" s="320">
        <f>SUMIF('4 - Codes matrice'!$C$4:$C$99,Matrice[[#This Row],[Ligne de la matrice]],'4 - Codes matrice'!BK$4:BK$99)+Matrice_Clés_multilignes!G32</f>
        <v>0</v>
      </c>
      <c r="H32" s="320">
        <f>SUMIF('4 - Codes matrice'!$C$4:$C$99,Matrice[[#This Row],[Ligne de la matrice]],'4 - Codes matrice'!BL$4:BL$99)+Matrice_Clés_multilignes!H32</f>
        <v>0</v>
      </c>
      <c r="I32" s="320">
        <f>SUMIF('4 - Codes matrice'!$C$4:$C$99,Matrice[[#This Row],[Ligne de la matrice]],'4 - Codes matrice'!BM$4:BM$99)+Matrice_Clés_multilignes!I32</f>
        <v>0</v>
      </c>
      <c r="J32" s="320">
        <f>SUMIF('4 - Codes matrice'!$C$4:$C$99,Matrice[[#This Row],[Ligne de la matrice]],'4 - Codes matrice'!BN$4:BN$99)+Matrice_Clés_multilignes!J32</f>
        <v>0</v>
      </c>
      <c r="K32" s="320">
        <f>SUMIF('4 - Codes matrice'!$C$4:$C$99,Matrice[[#This Row],[Ligne de la matrice]],'4 - Codes matrice'!BO$4:BO$99)+Matrice_Clés_multilignes!K32</f>
        <v>0</v>
      </c>
      <c r="L32" s="320">
        <f>SUMIF('4 - Codes matrice'!$C$4:$C$99,Matrice[[#This Row],[Ligne de la matrice]],'4 - Codes matrice'!BP$4:BP$99)+Matrice_Clés_multilignes!L32</f>
        <v>0</v>
      </c>
      <c r="M32" s="320">
        <f>SUMIF('4 - Codes matrice'!$C$4:$C$99,Matrice[[#This Row],[Ligne de la matrice]],'4 - Codes matrice'!BQ$4:BQ$99)+Matrice_Clés_multilignes!M32</f>
        <v>0</v>
      </c>
      <c r="N32" s="320">
        <f>SUMIF('4 - Codes matrice'!$C$4:$C$99,Matrice[[#This Row],[Ligne de la matrice]],'4 - Codes matrice'!BR$4:BR$99)+Matrice_Clés_multilignes!N32</f>
        <v>0</v>
      </c>
      <c r="O32" s="320">
        <f>SUMIF('4 - Codes matrice'!$C$4:$C$99,Matrice[[#This Row],[Ligne de la matrice]],'4 - Codes matrice'!BS$4:BS$99)+Matrice_Clés_multilignes!O32</f>
        <v>0</v>
      </c>
      <c r="P32" s="320">
        <f>SUMIF('4 - Codes matrice'!$C$4:$C$99,Matrice[[#This Row],[Ligne de la matrice]],'4 - Codes matrice'!BT$4:BT$99)+Matrice_Clés_multilignes!P32</f>
        <v>0</v>
      </c>
      <c r="Q32" s="320">
        <f>SUMIF('4 - Codes matrice'!$C$4:$C$99,Matrice[[#This Row],[Ligne de la matrice]],'4 - Codes matrice'!BU$4:BU$99)+Matrice_Clés_multilignes!Q32</f>
        <v>0</v>
      </c>
      <c r="R32" s="320">
        <f>SUMIF('4 - Codes matrice'!$C$4:$C$99,Matrice[[#This Row],[Ligne de la matrice]],'4 - Codes matrice'!BV$4:BV$99)+Matrice_Clés_multilignes!R32</f>
        <v>0</v>
      </c>
      <c r="S32" s="320">
        <f>SUMIF('4 - Codes matrice'!$C$4:$C$99,Matrice[[#This Row],[Ligne de la matrice]],'4 - Codes matrice'!BW$4:BW$99)+Matrice_Clés_multilignes!S32</f>
        <v>0</v>
      </c>
      <c r="T32" s="320">
        <f>SUMIF('4 - Codes matrice'!$C$4:$C$99,Matrice[[#This Row],[Ligne de la matrice]],'4 - Codes matrice'!BX$4:BX$99)+Matrice_Clés_multilignes!T32</f>
        <v>0</v>
      </c>
      <c r="U32" s="320">
        <f>SUMIF('4 - Codes matrice'!$C$4:$C$99,Matrice[[#This Row],[Ligne de la matrice]],'4 - Codes matrice'!BY$4:BY$99)+Matrice_Clés_multilignes!U32</f>
        <v>0</v>
      </c>
      <c r="V32" s="320">
        <f>SUMIF('4 - Codes matrice'!$C$4:$C$99,Matrice[[#This Row],[Ligne de la matrice]],'4 - Codes matrice'!BZ$4:BZ$99)+Matrice_Clés_multilignes!V32</f>
        <v>0</v>
      </c>
      <c r="W32" s="320">
        <f>SUMIF('4 - Codes matrice'!$C$4:$C$99,Matrice[[#This Row],[Ligne de la matrice]],'4 - Codes matrice'!CA$4:CA$99)+Matrice_Clés_multilignes!W32</f>
        <v>0</v>
      </c>
      <c r="X32" s="320">
        <f>SUMIF('4 - Codes matrice'!$C$4:$C$99,Matrice[[#This Row],[Ligne de la matrice]],'4 - Codes matrice'!CB$4:CB$99)+Matrice_Clés_multilignes!X32</f>
        <v>0</v>
      </c>
      <c r="Y32" s="320">
        <f>SUMIF('4 - Codes matrice'!$C$4:$C$99,Matrice[[#This Row],[Ligne de la matrice]],'4 - Codes matrice'!CC$4:CC$99)+Matrice_Clés_multilignes!Y32</f>
        <v>0</v>
      </c>
      <c r="Z32" s="320">
        <f>SUMIF('4 - Codes matrice'!$C$4:$C$99,Matrice[[#This Row],[Ligne de la matrice]],'4 - Codes matrice'!CD$4:CD$99)+Matrice_Clés_multilignes!Z32</f>
        <v>0</v>
      </c>
      <c r="AA32" s="320">
        <f t="shared" si="0"/>
        <v>0</v>
      </c>
      <c r="AC32" s="7"/>
      <c r="AD32" s="7"/>
      <c r="AE32" s="7"/>
      <c r="AF32" s="7"/>
    </row>
    <row r="33" spans="1:32" s="22" customFormat="1" ht="12.75" customHeight="1" x14ac:dyDescent="0.25">
      <c r="A33" s="42" t="s">
        <v>205</v>
      </c>
      <c r="B33" s="320">
        <f>SUMIF('4 - Codes matrice'!$C$4:$C$99,Matrice[[#This Row],[Ligne de la matrice]],'4 - Codes matrice'!BF$4:BF$99)+Matrice_Clés_multilignes!B33</f>
        <v>0</v>
      </c>
      <c r="C33" s="320">
        <f>SUMIF('4 - Codes matrice'!$C$4:$C$99,Matrice[[#This Row],[Ligne de la matrice]],'4 - Codes matrice'!BG$4:BG$99)+Matrice_Clés_multilignes!C33</f>
        <v>0</v>
      </c>
      <c r="D33" s="320">
        <f>SUMIF('4 - Codes matrice'!$C$4:$C$99,Matrice[[#This Row],[Ligne de la matrice]],'4 - Codes matrice'!BH$4:BH$99)+Matrice_Clés_multilignes!D33</f>
        <v>0</v>
      </c>
      <c r="E33" s="320">
        <f>SUMIF('4 - Codes matrice'!$C$4:$C$99,Matrice[[#This Row],[Ligne de la matrice]],'4 - Codes matrice'!BI$4:BI$99)+Matrice_Clés_multilignes!E33</f>
        <v>0</v>
      </c>
      <c r="F33" s="320">
        <f>SUMIF('4 - Codes matrice'!$C$4:$C$99,Matrice[[#This Row],[Ligne de la matrice]],'4 - Codes matrice'!BJ$4:BJ$99)+Matrice_Clés_multilignes!F33</f>
        <v>0</v>
      </c>
      <c r="G33" s="320">
        <f>SUMIF('4 - Codes matrice'!$C$4:$C$99,Matrice[[#This Row],[Ligne de la matrice]],'4 - Codes matrice'!BK$4:BK$99)+Matrice_Clés_multilignes!G33</f>
        <v>0</v>
      </c>
      <c r="H33" s="320">
        <f>SUMIF('4 - Codes matrice'!$C$4:$C$99,Matrice[[#This Row],[Ligne de la matrice]],'4 - Codes matrice'!BL$4:BL$99)+Matrice_Clés_multilignes!H33</f>
        <v>0</v>
      </c>
      <c r="I33" s="320">
        <f>SUMIF('4 - Codes matrice'!$C$4:$C$99,Matrice[[#This Row],[Ligne de la matrice]],'4 - Codes matrice'!BM$4:BM$99)+Matrice_Clés_multilignes!I33</f>
        <v>0</v>
      </c>
      <c r="J33" s="320">
        <f>SUMIF('4 - Codes matrice'!$C$4:$C$99,Matrice[[#This Row],[Ligne de la matrice]],'4 - Codes matrice'!BN$4:BN$99)+Matrice_Clés_multilignes!J33</f>
        <v>0</v>
      </c>
      <c r="K33" s="320">
        <f>SUMIF('4 - Codes matrice'!$C$4:$C$99,Matrice[[#This Row],[Ligne de la matrice]],'4 - Codes matrice'!BO$4:BO$99)+Matrice_Clés_multilignes!K33</f>
        <v>0</v>
      </c>
      <c r="L33" s="320">
        <f>SUMIF('4 - Codes matrice'!$C$4:$C$99,Matrice[[#This Row],[Ligne de la matrice]],'4 - Codes matrice'!BP$4:BP$99)+Matrice_Clés_multilignes!L33</f>
        <v>0</v>
      </c>
      <c r="M33" s="320">
        <f>SUMIF('4 - Codes matrice'!$C$4:$C$99,Matrice[[#This Row],[Ligne de la matrice]],'4 - Codes matrice'!BQ$4:BQ$99)+Matrice_Clés_multilignes!M33</f>
        <v>0</v>
      </c>
      <c r="N33" s="320">
        <f>SUMIF('4 - Codes matrice'!$C$4:$C$99,Matrice[[#This Row],[Ligne de la matrice]],'4 - Codes matrice'!BR$4:BR$99)+Matrice_Clés_multilignes!N33</f>
        <v>0</v>
      </c>
      <c r="O33" s="320">
        <f>SUMIF('4 - Codes matrice'!$C$4:$C$99,Matrice[[#This Row],[Ligne de la matrice]],'4 - Codes matrice'!BS$4:BS$99)+Matrice_Clés_multilignes!O33</f>
        <v>0</v>
      </c>
      <c r="P33" s="320">
        <f>SUMIF('4 - Codes matrice'!$C$4:$C$99,Matrice[[#This Row],[Ligne de la matrice]],'4 - Codes matrice'!BT$4:BT$99)+Matrice_Clés_multilignes!P33</f>
        <v>0</v>
      </c>
      <c r="Q33" s="320">
        <f>SUMIF('4 - Codes matrice'!$C$4:$C$99,Matrice[[#This Row],[Ligne de la matrice]],'4 - Codes matrice'!BU$4:BU$99)+Matrice_Clés_multilignes!Q33</f>
        <v>0</v>
      </c>
      <c r="R33" s="320">
        <f>SUMIF('4 - Codes matrice'!$C$4:$C$99,Matrice[[#This Row],[Ligne de la matrice]],'4 - Codes matrice'!BV$4:BV$99)+Matrice_Clés_multilignes!R33</f>
        <v>0</v>
      </c>
      <c r="S33" s="320">
        <f>SUMIF('4 - Codes matrice'!$C$4:$C$99,Matrice[[#This Row],[Ligne de la matrice]],'4 - Codes matrice'!BW$4:BW$99)+Matrice_Clés_multilignes!S33</f>
        <v>0</v>
      </c>
      <c r="T33" s="320">
        <f>SUMIF('4 - Codes matrice'!$C$4:$C$99,Matrice[[#This Row],[Ligne de la matrice]],'4 - Codes matrice'!BX$4:BX$99)+Matrice_Clés_multilignes!T33</f>
        <v>0</v>
      </c>
      <c r="U33" s="320">
        <f>SUMIF('4 - Codes matrice'!$C$4:$C$99,Matrice[[#This Row],[Ligne de la matrice]],'4 - Codes matrice'!BY$4:BY$99)+Matrice_Clés_multilignes!U33</f>
        <v>0</v>
      </c>
      <c r="V33" s="320">
        <f>SUMIF('4 - Codes matrice'!$C$4:$C$99,Matrice[[#This Row],[Ligne de la matrice]],'4 - Codes matrice'!BZ$4:BZ$99)+Matrice_Clés_multilignes!V33</f>
        <v>0</v>
      </c>
      <c r="W33" s="320">
        <f>SUMIF('4 - Codes matrice'!$C$4:$C$99,Matrice[[#This Row],[Ligne de la matrice]],'4 - Codes matrice'!CA$4:CA$99)+Matrice_Clés_multilignes!W33</f>
        <v>0</v>
      </c>
      <c r="X33" s="320">
        <f>SUMIF('4 - Codes matrice'!$C$4:$C$99,Matrice[[#This Row],[Ligne de la matrice]],'4 - Codes matrice'!CB$4:CB$99)+Matrice_Clés_multilignes!X33</f>
        <v>0</v>
      </c>
      <c r="Y33" s="320">
        <f>SUMIF('4 - Codes matrice'!$C$4:$C$99,Matrice[[#This Row],[Ligne de la matrice]],'4 - Codes matrice'!CC$4:CC$99)+Matrice_Clés_multilignes!Y33</f>
        <v>0</v>
      </c>
      <c r="Z33" s="320">
        <f>SUMIF('4 - Codes matrice'!$C$4:$C$99,Matrice[[#This Row],[Ligne de la matrice]],'4 - Codes matrice'!CD$4:CD$99)+Matrice_Clés_multilignes!Z33</f>
        <v>0</v>
      </c>
      <c r="AA33" s="320">
        <f t="shared" si="0"/>
        <v>0</v>
      </c>
      <c r="AC33" s="7"/>
      <c r="AD33" s="7"/>
      <c r="AE33" s="7"/>
      <c r="AF33" s="7"/>
    </row>
    <row r="34" spans="1:32" s="22" customFormat="1" ht="12.75" customHeight="1" x14ac:dyDescent="0.25">
      <c r="A34" s="41" t="s">
        <v>206</v>
      </c>
      <c r="B34" s="317">
        <f>SUM(B24:B33)</f>
        <v>0</v>
      </c>
      <c r="C34" s="317">
        <f t="shared" ref="C34:K34" si="8">SUM(C24:C33)</f>
        <v>0</v>
      </c>
      <c r="D34" s="317">
        <f t="shared" si="8"/>
        <v>0</v>
      </c>
      <c r="E34" s="317">
        <f t="shared" si="8"/>
        <v>0</v>
      </c>
      <c r="F34" s="317">
        <f t="shared" si="8"/>
        <v>0</v>
      </c>
      <c r="G34" s="317">
        <f t="shared" si="8"/>
        <v>0</v>
      </c>
      <c r="H34" s="317">
        <f t="shared" si="8"/>
        <v>0</v>
      </c>
      <c r="I34" s="317">
        <f t="shared" si="8"/>
        <v>0</v>
      </c>
      <c r="J34" s="317">
        <f t="shared" si="8"/>
        <v>0</v>
      </c>
      <c r="K34" s="317">
        <f t="shared" si="8"/>
        <v>0</v>
      </c>
      <c r="L34" s="317">
        <f t="shared" ref="L34:Z34" si="9">SUM(L24:L33)</f>
        <v>0</v>
      </c>
      <c r="M34" s="317">
        <f t="shared" si="9"/>
        <v>0</v>
      </c>
      <c r="N34" s="317">
        <f t="shared" si="9"/>
        <v>0</v>
      </c>
      <c r="O34" s="317">
        <f t="shared" si="9"/>
        <v>0</v>
      </c>
      <c r="P34" s="317">
        <f t="shared" si="9"/>
        <v>0</v>
      </c>
      <c r="Q34" s="317">
        <f t="shared" si="9"/>
        <v>0</v>
      </c>
      <c r="R34" s="317">
        <f t="shared" si="9"/>
        <v>0</v>
      </c>
      <c r="S34" s="317">
        <f t="shared" si="9"/>
        <v>0</v>
      </c>
      <c r="T34" s="317">
        <f t="shared" si="9"/>
        <v>0</v>
      </c>
      <c r="U34" s="317">
        <f t="shared" si="9"/>
        <v>0</v>
      </c>
      <c r="V34" s="317">
        <f t="shared" si="9"/>
        <v>0</v>
      </c>
      <c r="W34" s="317">
        <f t="shared" si="9"/>
        <v>0</v>
      </c>
      <c r="X34" s="317">
        <f t="shared" si="9"/>
        <v>0</v>
      </c>
      <c r="Y34" s="317">
        <f t="shared" si="9"/>
        <v>0</v>
      </c>
      <c r="Z34" s="317">
        <f t="shared" si="9"/>
        <v>0</v>
      </c>
      <c r="AA34" s="317">
        <f t="shared" si="0"/>
        <v>0</v>
      </c>
      <c r="AC34" s="7"/>
      <c r="AD34" s="7"/>
      <c r="AE34" s="7"/>
      <c r="AF34" s="7"/>
    </row>
    <row r="35" spans="1:32" s="22" customFormat="1" ht="12.75" customHeight="1" x14ac:dyDescent="0.25">
      <c r="A35" s="318" t="s">
        <v>207</v>
      </c>
      <c r="B35" s="319">
        <f>'4 - Codes matrice'!AF100+SUM(TVA_Clés_lignes!B$5:B$52)</f>
        <v>0</v>
      </c>
      <c r="C35" s="319">
        <f>'4 - Codes matrice'!AG100+SUM(TVA_Clés_lignes!C$5:C$52)</f>
        <v>0</v>
      </c>
      <c r="D35" s="319">
        <f>'4 - Codes matrice'!AH100+SUM(TVA_Clés_lignes!D$5:D$52)</f>
        <v>0</v>
      </c>
      <c r="E35" s="319">
        <f>'4 - Codes matrice'!AI100+SUM(TVA_Clés_lignes!E$5:E$52)</f>
        <v>0</v>
      </c>
      <c r="F35" s="319">
        <f>'4 - Codes matrice'!AJ100+SUM(TVA_Clés_lignes!F$5:F$52)</f>
        <v>0</v>
      </c>
      <c r="G35" s="319">
        <f>'4 - Codes matrice'!AK100+SUM(TVA_Clés_lignes!G$5:G$52)</f>
        <v>0</v>
      </c>
      <c r="H35" s="319">
        <f>'4 - Codes matrice'!AL100+SUM(TVA_Clés_lignes!H$5:H$52)</f>
        <v>0</v>
      </c>
      <c r="I35" s="319">
        <f>'4 - Codes matrice'!AM100+SUM(TVA_Clés_lignes!I$5:I$52)</f>
        <v>0</v>
      </c>
      <c r="J35" s="319">
        <f>'4 - Codes matrice'!AN100+SUM(TVA_Clés_lignes!J$5:J$52)</f>
        <v>0</v>
      </c>
      <c r="K35" s="319">
        <f>'4 - Codes matrice'!AO100+SUM(TVA_Clés_lignes!K$5:K$52)</f>
        <v>0</v>
      </c>
      <c r="L35" s="319">
        <f>'4 - Codes matrice'!AP100+SUM(TVA_Clés_lignes!L$5:L$52)</f>
        <v>0</v>
      </c>
      <c r="M35" s="319">
        <f>'4 - Codes matrice'!AQ100+SUM(TVA_Clés_lignes!M$5:M$52)</f>
        <v>0</v>
      </c>
      <c r="N35" s="319">
        <f>'4 - Codes matrice'!AR100+SUM(TVA_Clés_lignes!N$5:N$52)</f>
        <v>0</v>
      </c>
      <c r="O35" s="319">
        <f>'4 - Codes matrice'!AS100+SUM(TVA_Clés_lignes!O$5:O$52)</f>
        <v>0</v>
      </c>
      <c r="P35" s="319">
        <f>'4 - Codes matrice'!AT100+SUM(TVA_Clés_lignes!P$5:P$52)</f>
        <v>0</v>
      </c>
      <c r="Q35" s="319">
        <f>'4 - Codes matrice'!AU100+SUM(TVA_Clés_lignes!Q$5:Q$52)</f>
        <v>0</v>
      </c>
      <c r="R35" s="319">
        <f>'4 - Codes matrice'!AV100+SUM(TVA_Clés_lignes!R$5:R$52)</f>
        <v>0</v>
      </c>
      <c r="S35" s="319">
        <f>'4 - Codes matrice'!AW100+SUM(TVA_Clés_lignes!S$5:S$52)</f>
        <v>0</v>
      </c>
      <c r="T35" s="319">
        <f>'4 - Codes matrice'!AX100+SUM(TVA_Clés_lignes!T$5:T$52)</f>
        <v>0</v>
      </c>
      <c r="U35" s="319">
        <f>'4 - Codes matrice'!AY100+SUM(TVA_Clés_lignes!U$5:U$52)</f>
        <v>0</v>
      </c>
      <c r="V35" s="319">
        <f>'4 - Codes matrice'!AZ100+SUM(TVA_Clés_lignes!V$5:V$52)</f>
        <v>0</v>
      </c>
      <c r="W35" s="319">
        <f>'4 - Codes matrice'!BA100+SUM(TVA_Clés_lignes!W$5:W$52)</f>
        <v>0</v>
      </c>
      <c r="X35" s="319">
        <f>'4 - Codes matrice'!BB100+SUM(TVA_Clés_lignes!X$5:X$52)</f>
        <v>0</v>
      </c>
      <c r="Y35" s="319">
        <f>'4 - Codes matrice'!BC100+SUM(TVA_Clés_lignes!Y$5:Y$52)</f>
        <v>0</v>
      </c>
      <c r="Z35" s="319">
        <f>'4 - Codes matrice'!BD100+SUM(TVA_Clés_lignes!Z$5:Z$52)</f>
        <v>0</v>
      </c>
      <c r="AA35" s="319">
        <f t="shared" si="0"/>
        <v>0</v>
      </c>
      <c r="AC35" s="7"/>
      <c r="AD35" s="7"/>
      <c r="AE35" s="7"/>
      <c r="AF35" s="7"/>
    </row>
    <row r="36" spans="1:32" s="22" customFormat="1" ht="12.75" customHeight="1" x14ac:dyDescent="0.25">
      <c r="A36" s="42" t="s">
        <v>208</v>
      </c>
      <c r="B36" s="320">
        <f>SUMIF('4 - Codes matrice'!$C$4:$C$99,Matrice[[#This Row],[Ligne de la matrice]],'4 - Codes matrice'!BF$4:BF$99)+Matrice_Clés_multilignes!B36</f>
        <v>0</v>
      </c>
      <c r="C36" s="320">
        <f>SUMIF('4 - Codes matrice'!$C$4:$C$99,Matrice[[#This Row],[Ligne de la matrice]],'4 - Codes matrice'!BG$4:BG$99)+Matrice_Clés_multilignes!C36</f>
        <v>0</v>
      </c>
      <c r="D36" s="320">
        <f>SUMIF('4 - Codes matrice'!$C$4:$C$99,Matrice[[#This Row],[Ligne de la matrice]],'4 - Codes matrice'!BH$4:BH$99)+Matrice_Clés_multilignes!D36</f>
        <v>0</v>
      </c>
      <c r="E36" s="320">
        <f>SUMIF('4 - Codes matrice'!$C$4:$C$99,Matrice[[#This Row],[Ligne de la matrice]],'4 - Codes matrice'!BI$4:BI$99)+Matrice_Clés_multilignes!E36</f>
        <v>0</v>
      </c>
      <c r="F36" s="320">
        <f>SUMIF('4 - Codes matrice'!$C$4:$C$99,Matrice[[#This Row],[Ligne de la matrice]],'4 - Codes matrice'!BJ$4:BJ$99)+Matrice_Clés_multilignes!F36</f>
        <v>0</v>
      </c>
      <c r="G36" s="320">
        <f>SUMIF('4 - Codes matrice'!$C$4:$C$99,Matrice[[#This Row],[Ligne de la matrice]],'4 - Codes matrice'!BK$4:BK$99)+Matrice_Clés_multilignes!G36</f>
        <v>0</v>
      </c>
      <c r="H36" s="320">
        <f>SUMIF('4 - Codes matrice'!$C$4:$C$99,Matrice[[#This Row],[Ligne de la matrice]],'4 - Codes matrice'!BL$4:BL$99)+Matrice_Clés_multilignes!H36</f>
        <v>0</v>
      </c>
      <c r="I36" s="320">
        <f>SUMIF('4 - Codes matrice'!$C$4:$C$99,Matrice[[#This Row],[Ligne de la matrice]],'4 - Codes matrice'!BM$4:BM$99)+Matrice_Clés_multilignes!I36</f>
        <v>0</v>
      </c>
      <c r="J36" s="320">
        <f>SUMIF('4 - Codes matrice'!$C$4:$C$99,Matrice[[#This Row],[Ligne de la matrice]],'4 - Codes matrice'!BN$4:BN$99)+Matrice_Clés_multilignes!J36</f>
        <v>0</v>
      </c>
      <c r="K36" s="320">
        <f>SUMIF('4 - Codes matrice'!$C$4:$C$99,Matrice[[#This Row],[Ligne de la matrice]],'4 - Codes matrice'!BO$4:BO$99)+Matrice_Clés_multilignes!K36</f>
        <v>0</v>
      </c>
      <c r="L36" s="320">
        <f>SUMIF('4 - Codes matrice'!$C$4:$C$99,Matrice[[#This Row],[Ligne de la matrice]],'4 - Codes matrice'!BP$4:BP$99)+Matrice_Clés_multilignes!L36</f>
        <v>0</v>
      </c>
      <c r="M36" s="320">
        <f>SUMIF('4 - Codes matrice'!$C$4:$C$99,Matrice[[#This Row],[Ligne de la matrice]],'4 - Codes matrice'!BQ$4:BQ$99)+Matrice_Clés_multilignes!M36</f>
        <v>0</v>
      </c>
      <c r="N36" s="320">
        <f>SUMIF('4 - Codes matrice'!$C$4:$C$99,Matrice[[#This Row],[Ligne de la matrice]],'4 - Codes matrice'!BR$4:BR$99)+Matrice_Clés_multilignes!N36</f>
        <v>0</v>
      </c>
      <c r="O36" s="320">
        <f>SUMIF('4 - Codes matrice'!$C$4:$C$99,Matrice[[#This Row],[Ligne de la matrice]],'4 - Codes matrice'!BS$4:BS$99)+Matrice_Clés_multilignes!O36</f>
        <v>0</v>
      </c>
      <c r="P36" s="320">
        <f>SUMIF('4 - Codes matrice'!$C$4:$C$99,Matrice[[#This Row],[Ligne de la matrice]],'4 - Codes matrice'!BT$4:BT$99)+Matrice_Clés_multilignes!P36</f>
        <v>0</v>
      </c>
      <c r="Q36" s="320">
        <f>SUMIF('4 - Codes matrice'!$C$4:$C$99,Matrice[[#This Row],[Ligne de la matrice]],'4 - Codes matrice'!BU$4:BU$99)+Matrice_Clés_multilignes!Q36</f>
        <v>0</v>
      </c>
      <c r="R36" s="320">
        <f>SUMIF('4 - Codes matrice'!$C$4:$C$99,Matrice[[#This Row],[Ligne de la matrice]],'4 - Codes matrice'!BV$4:BV$99)+Matrice_Clés_multilignes!R36</f>
        <v>0</v>
      </c>
      <c r="S36" s="320">
        <f>SUMIF('4 - Codes matrice'!$C$4:$C$99,Matrice[[#This Row],[Ligne de la matrice]],'4 - Codes matrice'!BW$4:BW$99)+Matrice_Clés_multilignes!S36</f>
        <v>0</v>
      </c>
      <c r="T36" s="320">
        <f>SUMIF('4 - Codes matrice'!$C$4:$C$99,Matrice[[#This Row],[Ligne de la matrice]],'4 - Codes matrice'!BX$4:BX$99)+Matrice_Clés_multilignes!T36</f>
        <v>0</v>
      </c>
      <c r="U36" s="320">
        <f>SUMIF('4 - Codes matrice'!$C$4:$C$99,Matrice[[#This Row],[Ligne de la matrice]],'4 - Codes matrice'!BY$4:BY$99)+Matrice_Clés_multilignes!U36</f>
        <v>0</v>
      </c>
      <c r="V36" s="320">
        <f>SUMIF('4 - Codes matrice'!$C$4:$C$99,Matrice[[#This Row],[Ligne de la matrice]],'4 - Codes matrice'!BZ$4:BZ$99)+Matrice_Clés_multilignes!V36</f>
        <v>0</v>
      </c>
      <c r="W36" s="320">
        <f>SUMIF('4 - Codes matrice'!$C$4:$C$99,Matrice[[#This Row],[Ligne de la matrice]],'4 - Codes matrice'!CA$4:CA$99)+Matrice_Clés_multilignes!W36</f>
        <v>0</v>
      </c>
      <c r="X36" s="320">
        <f>SUMIF('4 - Codes matrice'!$C$4:$C$99,Matrice[[#This Row],[Ligne de la matrice]],'4 - Codes matrice'!CB$4:CB$99)+Matrice_Clés_multilignes!X36</f>
        <v>0</v>
      </c>
      <c r="Y36" s="320">
        <f>SUMIF('4 - Codes matrice'!$C$4:$C$99,Matrice[[#This Row],[Ligne de la matrice]],'4 - Codes matrice'!CC$4:CC$99)+Matrice_Clés_multilignes!Y36</f>
        <v>0</v>
      </c>
      <c r="Z36" s="320">
        <f>SUMIF('4 - Codes matrice'!$C$4:$C$99,Matrice[[#This Row],[Ligne de la matrice]],'4 - Codes matrice'!CD$4:CD$99)+Matrice_Clés_multilignes!Z36</f>
        <v>0</v>
      </c>
      <c r="AA36" s="320">
        <f t="shared" si="0"/>
        <v>0</v>
      </c>
      <c r="AC36" s="7"/>
      <c r="AD36" s="7"/>
      <c r="AE36" s="7"/>
      <c r="AF36" s="7"/>
    </row>
    <row r="37" spans="1:32" s="22" customFormat="1" ht="12.75" customHeight="1" x14ac:dyDescent="0.25">
      <c r="A37" s="42" t="s">
        <v>209</v>
      </c>
      <c r="B37" s="320">
        <f>SUMIF('4 - Codes matrice'!$C$4:$C$99,Matrice[[#This Row],[Ligne de la matrice]],'4 - Codes matrice'!BF$4:BF$99)+Matrice_Clés_multilignes!B37</f>
        <v>0</v>
      </c>
      <c r="C37" s="320">
        <f>SUMIF('4 - Codes matrice'!$C$4:$C$99,Matrice[[#This Row],[Ligne de la matrice]],'4 - Codes matrice'!BG$4:BG$99)+Matrice_Clés_multilignes!C37</f>
        <v>0</v>
      </c>
      <c r="D37" s="320">
        <f>SUMIF('4 - Codes matrice'!$C$4:$C$99,Matrice[[#This Row],[Ligne de la matrice]],'4 - Codes matrice'!BH$4:BH$99)+Matrice_Clés_multilignes!D37</f>
        <v>0</v>
      </c>
      <c r="E37" s="320">
        <f>SUMIF('4 - Codes matrice'!$C$4:$C$99,Matrice[[#This Row],[Ligne de la matrice]],'4 - Codes matrice'!BI$4:BI$99)+Matrice_Clés_multilignes!E37</f>
        <v>0</v>
      </c>
      <c r="F37" s="320">
        <f>SUMIF('4 - Codes matrice'!$C$4:$C$99,Matrice[[#This Row],[Ligne de la matrice]],'4 - Codes matrice'!BJ$4:BJ$99)+Matrice_Clés_multilignes!F37</f>
        <v>0</v>
      </c>
      <c r="G37" s="320">
        <f>SUMIF('4 - Codes matrice'!$C$4:$C$99,Matrice[[#This Row],[Ligne de la matrice]],'4 - Codes matrice'!BK$4:BK$99)+Matrice_Clés_multilignes!G37</f>
        <v>0</v>
      </c>
      <c r="H37" s="320">
        <f>SUMIF('4 - Codes matrice'!$C$4:$C$99,Matrice[[#This Row],[Ligne de la matrice]],'4 - Codes matrice'!BL$4:BL$99)+Matrice_Clés_multilignes!H37</f>
        <v>0</v>
      </c>
      <c r="I37" s="320">
        <f>SUMIF('4 - Codes matrice'!$C$4:$C$99,Matrice[[#This Row],[Ligne de la matrice]],'4 - Codes matrice'!BM$4:BM$99)+Matrice_Clés_multilignes!I37</f>
        <v>0</v>
      </c>
      <c r="J37" s="320">
        <f>SUMIF('4 - Codes matrice'!$C$4:$C$99,Matrice[[#This Row],[Ligne de la matrice]],'4 - Codes matrice'!BN$4:BN$99)+Matrice_Clés_multilignes!J37</f>
        <v>0</v>
      </c>
      <c r="K37" s="320">
        <f>SUMIF('4 - Codes matrice'!$C$4:$C$99,Matrice[[#This Row],[Ligne de la matrice]],'4 - Codes matrice'!BO$4:BO$99)+Matrice_Clés_multilignes!K37</f>
        <v>0</v>
      </c>
      <c r="L37" s="320">
        <f>SUMIF('4 - Codes matrice'!$C$4:$C$99,Matrice[[#This Row],[Ligne de la matrice]],'4 - Codes matrice'!BP$4:BP$99)+Matrice_Clés_multilignes!L37</f>
        <v>0</v>
      </c>
      <c r="M37" s="320">
        <f>SUMIF('4 - Codes matrice'!$C$4:$C$99,Matrice[[#This Row],[Ligne de la matrice]],'4 - Codes matrice'!BQ$4:BQ$99)+Matrice_Clés_multilignes!M37</f>
        <v>0</v>
      </c>
      <c r="N37" s="320">
        <f>SUMIF('4 - Codes matrice'!$C$4:$C$99,Matrice[[#This Row],[Ligne de la matrice]],'4 - Codes matrice'!BR$4:BR$99)+Matrice_Clés_multilignes!N37</f>
        <v>0</v>
      </c>
      <c r="O37" s="320">
        <f>SUMIF('4 - Codes matrice'!$C$4:$C$99,Matrice[[#This Row],[Ligne de la matrice]],'4 - Codes matrice'!BS$4:BS$99)+Matrice_Clés_multilignes!O37</f>
        <v>0</v>
      </c>
      <c r="P37" s="320">
        <f>SUMIF('4 - Codes matrice'!$C$4:$C$99,Matrice[[#This Row],[Ligne de la matrice]],'4 - Codes matrice'!BT$4:BT$99)+Matrice_Clés_multilignes!P37</f>
        <v>0</v>
      </c>
      <c r="Q37" s="320">
        <f>SUMIF('4 - Codes matrice'!$C$4:$C$99,Matrice[[#This Row],[Ligne de la matrice]],'4 - Codes matrice'!BU$4:BU$99)+Matrice_Clés_multilignes!Q37</f>
        <v>0</v>
      </c>
      <c r="R37" s="320">
        <f>SUMIF('4 - Codes matrice'!$C$4:$C$99,Matrice[[#This Row],[Ligne de la matrice]],'4 - Codes matrice'!BV$4:BV$99)+Matrice_Clés_multilignes!R37</f>
        <v>0</v>
      </c>
      <c r="S37" s="320">
        <f>SUMIF('4 - Codes matrice'!$C$4:$C$99,Matrice[[#This Row],[Ligne de la matrice]],'4 - Codes matrice'!BW$4:BW$99)+Matrice_Clés_multilignes!S37</f>
        <v>0</v>
      </c>
      <c r="T37" s="320">
        <f>SUMIF('4 - Codes matrice'!$C$4:$C$99,Matrice[[#This Row],[Ligne de la matrice]],'4 - Codes matrice'!BX$4:BX$99)+Matrice_Clés_multilignes!T37</f>
        <v>0</v>
      </c>
      <c r="U37" s="320">
        <f>SUMIF('4 - Codes matrice'!$C$4:$C$99,Matrice[[#This Row],[Ligne de la matrice]],'4 - Codes matrice'!BY$4:BY$99)+Matrice_Clés_multilignes!U37</f>
        <v>0</v>
      </c>
      <c r="V37" s="320">
        <f>SUMIF('4 - Codes matrice'!$C$4:$C$99,Matrice[[#This Row],[Ligne de la matrice]],'4 - Codes matrice'!BZ$4:BZ$99)+Matrice_Clés_multilignes!V37</f>
        <v>0</v>
      </c>
      <c r="W37" s="320">
        <f>SUMIF('4 - Codes matrice'!$C$4:$C$99,Matrice[[#This Row],[Ligne de la matrice]],'4 - Codes matrice'!CA$4:CA$99)+Matrice_Clés_multilignes!W37</f>
        <v>0</v>
      </c>
      <c r="X37" s="320">
        <f>SUMIF('4 - Codes matrice'!$C$4:$C$99,Matrice[[#This Row],[Ligne de la matrice]],'4 - Codes matrice'!CB$4:CB$99)+Matrice_Clés_multilignes!X37</f>
        <v>0</v>
      </c>
      <c r="Y37" s="320">
        <f>SUMIF('4 - Codes matrice'!$C$4:$C$99,Matrice[[#This Row],[Ligne de la matrice]],'4 - Codes matrice'!CC$4:CC$99)+Matrice_Clés_multilignes!Y37</f>
        <v>0</v>
      </c>
      <c r="Z37" s="320">
        <f>SUMIF('4 - Codes matrice'!$C$4:$C$99,Matrice[[#This Row],[Ligne de la matrice]],'4 - Codes matrice'!CD$4:CD$99)+Matrice_Clés_multilignes!Z37</f>
        <v>0</v>
      </c>
      <c r="AA37" s="320">
        <f t="shared" si="0"/>
        <v>0</v>
      </c>
      <c r="AC37" s="7"/>
      <c r="AD37" s="7"/>
      <c r="AE37" s="7"/>
      <c r="AF37" s="7"/>
    </row>
    <row r="38" spans="1:32" s="22" customFormat="1" ht="12.75" customHeight="1" x14ac:dyDescent="0.25">
      <c r="A38" s="42" t="s">
        <v>210</v>
      </c>
      <c r="B38" s="320">
        <f>SUMIF('4 - Codes matrice'!$C$4:$C$99,Matrice[[#This Row],[Ligne de la matrice]],'4 - Codes matrice'!BF$4:BF$99)+Matrice_Clés_multilignes!B38</f>
        <v>0</v>
      </c>
      <c r="C38" s="320">
        <f>SUMIF('4 - Codes matrice'!$C$4:$C$99,Matrice[[#This Row],[Ligne de la matrice]],'4 - Codes matrice'!BG$4:BG$99)+Matrice_Clés_multilignes!C38</f>
        <v>0</v>
      </c>
      <c r="D38" s="320">
        <f>SUMIF('4 - Codes matrice'!$C$4:$C$99,Matrice[[#This Row],[Ligne de la matrice]],'4 - Codes matrice'!BH$4:BH$99)+Matrice_Clés_multilignes!D38</f>
        <v>0</v>
      </c>
      <c r="E38" s="320">
        <f>SUMIF('4 - Codes matrice'!$C$4:$C$99,Matrice[[#This Row],[Ligne de la matrice]],'4 - Codes matrice'!BI$4:BI$99)+Matrice_Clés_multilignes!E38</f>
        <v>0</v>
      </c>
      <c r="F38" s="320">
        <f>SUMIF('4 - Codes matrice'!$C$4:$C$99,Matrice[[#This Row],[Ligne de la matrice]],'4 - Codes matrice'!BJ$4:BJ$99)+Matrice_Clés_multilignes!F38</f>
        <v>0</v>
      </c>
      <c r="G38" s="320">
        <f>SUMIF('4 - Codes matrice'!$C$4:$C$99,Matrice[[#This Row],[Ligne de la matrice]],'4 - Codes matrice'!BK$4:BK$99)+Matrice_Clés_multilignes!G38</f>
        <v>0</v>
      </c>
      <c r="H38" s="320">
        <f>SUMIF('4 - Codes matrice'!$C$4:$C$99,Matrice[[#This Row],[Ligne de la matrice]],'4 - Codes matrice'!BL$4:BL$99)+Matrice_Clés_multilignes!H38</f>
        <v>0</v>
      </c>
      <c r="I38" s="320">
        <f>SUMIF('4 - Codes matrice'!$C$4:$C$99,Matrice[[#This Row],[Ligne de la matrice]],'4 - Codes matrice'!BM$4:BM$99)+Matrice_Clés_multilignes!I38</f>
        <v>0</v>
      </c>
      <c r="J38" s="320">
        <f>SUMIF('4 - Codes matrice'!$C$4:$C$99,Matrice[[#This Row],[Ligne de la matrice]],'4 - Codes matrice'!BN$4:BN$99)+Matrice_Clés_multilignes!J38</f>
        <v>0</v>
      </c>
      <c r="K38" s="320">
        <f>SUMIF('4 - Codes matrice'!$C$4:$C$99,Matrice[[#This Row],[Ligne de la matrice]],'4 - Codes matrice'!BO$4:BO$99)+Matrice_Clés_multilignes!K38</f>
        <v>0</v>
      </c>
      <c r="L38" s="320">
        <f>SUMIF('4 - Codes matrice'!$C$4:$C$99,Matrice[[#This Row],[Ligne de la matrice]],'4 - Codes matrice'!BP$4:BP$99)+Matrice_Clés_multilignes!L38</f>
        <v>0</v>
      </c>
      <c r="M38" s="320">
        <f>SUMIF('4 - Codes matrice'!$C$4:$C$99,Matrice[[#This Row],[Ligne de la matrice]],'4 - Codes matrice'!BQ$4:BQ$99)+Matrice_Clés_multilignes!M38</f>
        <v>0</v>
      </c>
      <c r="N38" s="320">
        <f>SUMIF('4 - Codes matrice'!$C$4:$C$99,Matrice[[#This Row],[Ligne de la matrice]],'4 - Codes matrice'!BR$4:BR$99)+Matrice_Clés_multilignes!N38</f>
        <v>0</v>
      </c>
      <c r="O38" s="320">
        <f>SUMIF('4 - Codes matrice'!$C$4:$C$99,Matrice[[#This Row],[Ligne de la matrice]],'4 - Codes matrice'!BS$4:BS$99)+Matrice_Clés_multilignes!O38</f>
        <v>0</v>
      </c>
      <c r="P38" s="320">
        <f>SUMIF('4 - Codes matrice'!$C$4:$C$99,Matrice[[#This Row],[Ligne de la matrice]],'4 - Codes matrice'!BT$4:BT$99)+Matrice_Clés_multilignes!P38</f>
        <v>0</v>
      </c>
      <c r="Q38" s="320">
        <f>SUMIF('4 - Codes matrice'!$C$4:$C$99,Matrice[[#This Row],[Ligne de la matrice]],'4 - Codes matrice'!BU$4:BU$99)+Matrice_Clés_multilignes!Q38</f>
        <v>0</v>
      </c>
      <c r="R38" s="320">
        <f>SUMIF('4 - Codes matrice'!$C$4:$C$99,Matrice[[#This Row],[Ligne de la matrice]],'4 - Codes matrice'!BV$4:BV$99)+Matrice_Clés_multilignes!R38</f>
        <v>0</v>
      </c>
      <c r="S38" s="320">
        <f>SUMIF('4 - Codes matrice'!$C$4:$C$99,Matrice[[#This Row],[Ligne de la matrice]],'4 - Codes matrice'!BW$4:BW$99)+Matrice_Clés_multilignes!S38</f>
        <v>0</v>
      </c>
      <c r="T38" s="320">
        <f>SUMIF('4 - Codes matrice'!$C$4:$C$99,Matrice[[#This Row],[Ligne de la matrice]],'4 - Codes matrice'!BX$4:BX$99)+Matrice_Clés_multilignes!T38</f>
        <v>0</v>
      </c>
      <c r="U38" s="320">
        <f>SUMIF('4 - Codes matrice'!$C$4:$C$99,Matrice[[#This Row],[Ligne de la matrice]],'4 - Codes matrice'!BY$4:BY$99)+Matrice_Clés_multilignes!U38</f>
        <v>0</v>
      </c>
      <c r="V38" s="320">
        <f>SUMIF('4 - Codes matrice'!$C$4:$C$99,Matrice[[#This Row],[Ligne de la matrice]],'4 - Codes matrice'!BZ$4:BZ$99)+Matrice_Clés_multilignes!V38</f>
        <v>0</v>
      </c>
      <c r="W38" s="320">
        <f>SUMIF('4 - Codes matrice'!$C$4:$C$99,Matrice[[#This Row],[Ligne de la matrice]],'4 - Codes matrice'!CA$4:CA$99)+Matrice_Clés_multilignes!W38</f>
        <v>0</v>
      </c>
      <c r="X38" s="320">
        <f>SUMIF('4 - Codes matrice'!$C$4:$C$99,Matrice[[#This Row],[Ligne de la matrice]],'4 - Codes matrice'!CB$4:CB$99)+Matrice_Clés_multilignes!X38</f>
        <v>0</v>
      </c>
      <c r="Y38" s="320">
        <f>SUMIF('4 - Codes matrice'!$C$4:$C$99,Matrice[[#This Row],[Ligne de la matrice]],'4 - Codes matrice'!CC$4:CC$99)+Matrice_Clés_multilignes!Y38</f>
        <v>0</v>
      </c>
      <c r="Z38" s="320">
        <f>SUMIF('4 - Codes matrice'!$C$4:$C$99,Matrice[[#This Row],[Ligne de la matrice]],'4 - Codes matrice'!CD$4:CD$99)+Matrice_Clés_multilignes!Z38</f>
        <v>0</v>
      </c>
      <c r="AA38" s="320">
        <f t="shared" si="0"/>
        <v>0</v>
      </c>
      <c r="AC38" s="7"/>
      <c r="AD38" s="7"/>
      <c r="AE38" s="7"/>
      <c r="AF38" s="7"/>
    </row>
    <row r="39" spans="1:32" s="22" customFormat="1" ht="12.75" customHeight="1" x14ac:dyDescent="0.25">
      <c r="A39" s="42" t="s">
        <v>211</v>
      </c>
      <c r="B39" s="320">
        <f>SUMIF('4 - Codes matrice'!$C$4:$C$99,Matrice[[#This Row],[Ligne de la matrice]],'4 - Codes matrice'!BF$4:BF$99)+Matrice_Clés_multilignes!B39</f>
        <v>0</v>
      </c>
      <c r="C39" s="320">
        <f>SUMIF('4 - Codes matrice'!$C$4:$C$99,Matrice[[#This Row],[Ligne de la matrice]],'4 - Codes matrice'!BG$4:BG$99)+Matrice_Clés_multilignes!C39</f>
        <v>0</v>
      </c>
      <c r="D39" s="320">
        <f>SUMIF('4 - Codes matrice'!$C$4:$C$99,Matrice[[#This Row],[Ligne de la matrice]],'4 - Codes matrice'!BH$4:BH$99)+Matrice_Clés_multilignes!D39</f>
        <v>0</v>
      </c>
      <c r="E39" s="320">
        <f>SUMIF('4 - Codes matrice'!$C$4:$C$99,Matrice[[#This Row],[Ligne de la matrice]],'4 - Codes matrice'!BI$4:BI$99)+Matrice_Clés_multilignes!E39</f>
        <v>0</v>
      </c>
      <c r="F39" s="320">
        <f>SUMIF('4 - Codes matrice'!$C$4:$C$99,Matrice[[#This Row],[Ligne de la matrice]],'4 - Codes matrice'!BJ$4:BJ$99)+Matrice_Clés_multilignes!F39</f>
        <v>0</v>
      </c>
      <c r="G39" s="320">
        <f>SUMIF('4 - Codes matrice'!$C$4:$C$99,Matrice[[#This Row],[Ligne de la matrice]],'4 - Codes matrice'!BK$4:BK$99)+Matrice_Clés_multilignes!G39</f>
        <v>0</v>
      </c>
      <c r="H39" s="320">
        <f>SUMIF('4 - Codes matrice'!$C$4:$C$99,Matrice[[#This Row],[Ligne de la matrice]],'4 - Codes matrice'!BL$4:BL$99)+Matrice_Clés_multilignes!H39</f>
        <v>0</v>
      </c>
      <c r="I39" s="320">
        <f>SUMIF('4 - Codes matrice'!$C$4:$C$99,Matrice[[#This Row],[Ligne de la matrice]],'4 - Codes matrice'!BM$4:BM$99)+Matrice_Clés_multilignes!I39</f>
        <v>0</v>
      </c>
      <c r="J39" s="320">
        <f>SUMIF('4 - Codes matrice'!$C$4:$C$99,Matrice[[#This Row],[Ligne de la matrice]],'4 - Codes matrice'!BN$4:BN$99)+Matrice_Clés_multilignes!J39</f>
        <v>0</v>
      </c>
      <c r="K39" s="320">
        <f>SUMIF('4 - Codes matrice'!$C$4:$C$99,Matrice[[#This Row],[Ligne de la matrice]],'4 - Codes matrice'!BO$4:BO$99)+Matrice_Clés_multilignes!K39</f>
        <v>0</v>
      </c>
      <c r="L39" s="320">
        <f>SUMIF('4 - Codes matrice'!$C$4:$C$99,Matrice[[#This Row],[Ligne de la matrice]],'4 - Codes matrice'!BP$4:BP$99)+Matrice_Clés_multilignes!L39</f>
        <v>0</v>
      </c>
      <c r="M39" s="320">
        <f>SUMIF('4 - Codes matrice'!$C$4:$C$99,Matrice[[#This Row],[Ligne de la matrice]],'4 - Codes matrice'!BQ$4:BQ$99)+Matrice_Clés_multilignes!M39</f>
        <v>0</v>
      </c>
      <c r="N39" s="320">
        <f>SUMIF('4 - Codes matrice'!$C$4:$C$99,Matrice[[#This Row],[Ligne de la matrice]],'4 - Codes matrice'!BR$4:BR$99)+Matrice_Clés_multilignes!N39</f>
        <v>0</v>
      </c>
      <c r="O39" s="320">
        <f>SUMIF('4 - Codes matrice'!$C$4:$C$99,Matrice[[#This Row],[Ligne de la matrice]],'4 - Codes matrice'!BS$4:BS$99)+Matrice_Clés_multilignes!O39</f>
        <v>0</v>
      </c>
      <c r="P39" s="320">
        <f>SUMIF('4 - Codes matrice'!$C$4:$C$99,Matrice[[#This Row],[Ligne de la matrice]],'4 - Codes matrice'!BT$4:BT$99)+Matrice_Clés_multilignes!P39</f>
        <v>0</v>
      </c>
      <c r="Q39" s="320">
        <f>SUMIF('4 - Codes matrice'!$C$4:$C$99,Matrice[[#This Row],[Ligne de la matrice]],'4 - Codes matrice'!BU$4:BU$99)+Matrice_Clés_multilignes!Q39</f>
        <v>0</v>
      </c>
      <c r="R39" s="320">
        <f>SUMIF('4 - Codes matrice'!$C$4:$C$99,Matrice[[#This Row],[Ligne de la matrice]],'4 - Codes matrice'!BV$4:BV$99)+Matrice_Clés_multilignes!R39</f>
        <v>0</v>
      </c>
      <c r="S39" s="320">
        <f>SUMIF('4 - Codes matrice'!$C$4:$C$99,Matrice[[#This Row],[Ligne de la matrice]],'4 - Codes matrice'!BW$4:BW$99)+Matrice_Clés_multilignes!S39</f>
        <v>0</v>
      </c>
      <c r="T39" s="320">
        <f>SUMIF('4 - Codes matrice'!$C$4:$C$99,Matrice[[#This Row],[Ligne de la matrice]],'4 - Codes matrice'!BX$4:BX$99)+Matrice_Clés_multilignes!T39</f>
        <v>0</v>
      </c>
      <c r="U39" s="320">
        <f>SUMIF('4 - Codes matrice'!$C$4:$C$99,Matrice[[#This Row],[Ligne de la matrice]],'4 - Codes matrice'!BY$4:BY$99)+Matrice_Clés_multilignes!U39</f>
        <v>0</v>
      </c>
      <c r="V39" s="320">
        <f>SUMIF('4 - Codes matrice'!$C$4:$C$99,Matrice[[#This Row],[Ligne de la matrice]],'4 - Codes matrice'!BZ$4:BZ$99)+Matrice_Clés_multilignes!V39</f>
        <v>0</v>
      </c>
      <c r="W39" s="320">
        <f>SUMIF('4 - Codes matrice'!$C$4:$C$99,Matrice[[#This Row],[Ligne de la matrice]],'4 - Codes matrice'!CA$4:CA$99)+Matrice_Clés_multilignes!W39</f>
        <v>0</v>
      </c>
      <c r="X39" s="320">
        <f>SUMIF('4 - Codes matrice'!$C$4:$C$99,Matrice[[#This Row],[Ligne de la matrice]],'4 - Codes matrice'!CB$4:CB$99)+Matrice_Clés_multilignes!X39</f>
        <v>0</v>
      </c>
      <c r="Y39" s="320">
        <f>SUMIF('4 - Codes matrice'!$C$4:$C$99,Matrice[[#This Row],[Ligne de la matrice]],'4 - Codes matrice'!CC$4:CC$99)+Matrice_Clés_multilignes!Y39</f>
        <v>0</v>
      </c>
      <c r="Z39" s="320">
        <f>SUMIF('4 - Codes matrice'!$C$4:$C$99,Matrice[[#This Row],[Ligne de la matrice]],'4 - Codes matrice'!CD$4:CD$99)+Matrice_Clés_multilignes!Z39</f>
        <v>0</v>
      </c>
      <c r="AA39" s="320">
        <f t="shared" si="0"/>
        <v>0</v>
      </c>
      <c r="AC39" s="7"/>
      <c r="AD39" s="7"/>
      <c r="AE39" s="7"/>
      <c r="AF39" s="7"/>
    </row>
    <row r="40" spans="1:32" s="22" customFormat="1" ht="12.75" customHeight="1" x14ac:dyDescent="0.25">
      <c r="A40" s="42" t="s">
        <v>212</v>
      </c>
      <c r="B40" s="320">
        <f>SUMIF('4 - Codes matrice'!$C$4:$C$99,Matrice[[#This Row],[Ligne de la matrice]],'4 - Codes matrice'!BF$4:BF$99)+Matrice_Clés_multilignes!B40</f>
        <v>0</v>
      </c>
      <c r="C40" s="320">
        <f>SUMIF('4 - Codes matrice'!$C$4:$C$99,Matrice[[#This Row],[Ligne de la matrice]],'4 - Codes matrice'!BG$4:BG$99)+Matrice_Clés_multilignes!C40</f>
        <v>0</v>
      </c>
      <c r="D40" s="320">
        <f>SUMIF('4 - Codes matrice'!$C$4:$C$99,Matrice[[#This Row],[Ligne de la matrice]],'4 - Codes matrice'!BH$4:BH$99)+Matrice_Clés_multilignes!D40</f>
        <v>0</v>
      </c>
      <c r="E40" s="320">
        <f>SUMIF('4 - Codes matrice'!$C$4:$C$99,Matrice[[#This Row],[Ligne de la matrice]],'4 - Codes matrice'!BI$4:BI$99)+Matrice_Clés_multilignes!E40</f>
        <v>0</v>
      </c>
      <c r="F40" s="320">
        <f>SUMIF('4 - Codes matrice'!$C$4:$C$99,Matrice[[#This Row],[Ligne de la matrice]],'4 - Codes matrice'!BJ$4:BJ$99)+Matrice_Clés_multilignes!F40</f>
        <v>0</v>
      </c>
      <c r="G40" s="320">
        <f>SUMIF('4 - Codes matrice'!$C$4:$C$99,Matrice[[#This Row],[Ligne de la matrice]],'4 - Codes matrice'!BK$4:BK$99)+Matrice_Clés_multilignes!G40</f>
        <v>0</v>
      </c>
      <c r="H40" s="320">
        <f>SUMIF('4 - Codes matrice'!$C$4:$C$99,Matrice[[#This Row],[Ligne de la matrice]],'4 - Codes matrice'!BL$4:BL$99)+Matrice_Clés_multilignes!H40</f>
        <v>0</v>
      </c>
      <c r="I40" s="320">
        <f>SUMIF('4 - Codes matrice'!$C$4:$C$99,Matrice[[#This Row],[Ligne de la matrice]],'4 - Codes matrice'!BM$4:BM$99)+Matrice_Clés_multilignes!I40</f>
        <v>0</v>
      </c>
      <c r="J40" s="320">
        <f>SUMIF('4 - Codes matrice'!$C$4:$C$99,Matrice[[#This Row],[Ligne de la matrice]],'4 - Codes matrice'!BN$4:BN$99)+Matrice_Clés_multilignes!J40</f>
        <v>0</v>
      </c>
      <c r="K40" s="320">
        <f>SUMIF('4 - Codes matrice'!$C$4:$C$99,Matrice[[#This Row],[Ligne de la matrice]],'4 - Codes matrice'!BO$4:BO$99)+Matrice_Clés_multilignes!K40</f>
        <v>0</v>
      </c>
      <c r="L40" s="320">
        <f>SUMIF('4 - Codes matrice'!$C$4:$C$99,Matrice[[#This Row],[Ligne de la matrice]],'4 - Codes matrice'!BP$4:BP$99)+Matrice_Clés_multilignes!L40</f>
        <v>0</v>
      </c>
      <c r="M40" s="320">
        <f>SUMIF('4 - Codes matrice'!$C$4:$C$99,Matrice[[#This Row],[Ligne de la matrice]],'4 - Codes matrice'!BQ$4:BQ$99)+Matrice_Clés_multilignes!M40</f>
        <v>0</v>
      </c>
      <c r="N40" s="320">
        <f>SUMIF('4 - Codes matrice'!$C$4:$C$99,Matrice[[#This Row],[Ligne de la matrice]],'4 - Codes matrice'!BR$4:BR$99)+Matrice_Clés_multilignes!N40</f>
        <v>0</v>
      </c>
      <c r="O40" s="320">
        <f>SUMIF('4 - Codes matrice'!$C$4:$C$99,Matrice[[#This Row],[Ligne de la matrice]],'4 - Codes matrice'!BS$4:BS$99)+Matrice_Clés_multilignes!O40</f>
        <v>0</v>
      </c>
      <c r="P40" s="320">
        <f>SUMIF('4 - Codes matrice'!$C$4:$C$99,Matrice[[#This Row],[Ligne de la matrice]],'4 - Codes matrice'!BT$4:BT$99)+Matrice_Clés_multilignes!P40</f>
        <v>0</v>
      </c>
      <c r="Q40" s="320">
        <f>SUMIF('4 - Codes matrice'!$C$4:$C$99,Matrice[[#This Row],[Ligne de la matrice]],'4 - Codes matrice'!BU$4:BU$99)+Matrice_Clés_multilignes!Q40</f>
        <v>0</v>
      </c>
      <c r="R40" s="320">
        <f>SUMIF('4 - Codes matrice'!$C$4:$C$99,Matrice[[#This Row],[Ligne de la matrice]],'4 - Codes matrice'!BV$4:BV$99)+Matrice_Clés_multilignes!R40</f>
        <v>0</v>
      </c>
      <c r="S40" s="320">
        <f>SUMIF('4 - Codes matrice'!$C$4:$C$99,Matrice[[#This Row],[Ligne de la matrice]],'4 - Codes matrice'!BW$4:BW$99)+Matrice_Clés_multilignes!S40</f>
        <v>0</v>
      </c>
      <c r="T40" s="320">
        <f>SUMIF('4 - Codes matrice'!$C$4:$C$99,Matrice[[#This Row],[Ligne de la matrice]],'4 - Codes matrice'!BX$4:BX$99)+Matrice_Clés_multilignes!T40</f>
        <v>0</v>
      </c>
      <c r="U40" s="320">
        <f>SUMIF('4 - Codes matrice'!$C$4:$C$99,Matrice[[#This Row],[Ligne de la matrice]],'4 - Codes matrice'!BY$4:BY$99)+Matrice_Clés_multilignes!U40</f>
        <v>0</v>
      </c>
      <c r="V40" s="320">
        <f>SUMIF('4 - Codes matrice'!$C$4:$C$99,Matrice[[#This Row],[Ligne de la matrice]],'4 - Codes matrice'!BZ$4:BZ$99)+Matrice_Clés_multilignes!V40</f>
        <v>0</v>
      </c>
      <c r="W40" s="320">
        <f>SUMIF('4 - Codes matrice'!$C$4:$C$99,Matrice[[#This Row],[Ligne de la matrice]],'4 - Codes matrice'!CA$4:CA$99)+Matrice_Clés_multilignes!W40</f>
        <v>0</v>
      </c>
      <c r="X40" s="320">
        <f>SUMIF('4 - Codes matrice'!$C$4:$C$99,Matrice[[#This Row],[Ligne de la matrice]],'4 - Codes matrice'!CB$4:CB$99)+Matrice_Clés_multilignes!X40</f>
        <v>0</v>
      </c>
      <c r="Y40" s="320">
        <f>SUMIF('4 - Codes matrice'!$C$4:$C$99,Matrice[[#This Row],[Ligne de la matrice]],'4 - Codes matrice'!CC$4:CC$99)+Matrice_Clés_multilignes!Y40</f>
        <v>0</v>
      </c>
      <c r="Z40" s="320">
        <f>SUMIF('4 - Codes matrice'!$C$4:$C$99,Matrice[[#This Row],[Ligne de la matrice]],'4 - Codes matrice'!CD$4:CD$99)+Matrice_Clés_multilignes!Z40</f>
        <v>0</v>
      </c>
      <c r="AA40" s="320">
        <f t="shared" si="0"/>
        <v>0</v>
      </c>
      <c r="AC40" s="7"/>
      <c r="AD40" s="7"/>
      <c r="AE40" s="7"/>
      <c r="AF40" s="7"/>
    </row>
    <row r="41" spans="1:32" s="22" customFormat="1" ht="12.75" customHeight="1" x14ac:dyDescent="0.25">
      <c r="A41" s="42" t="s">
        <v>213</v>
      </c>
      <c r="B41" s="320">
        <f>SUMIF('4 - Codes matrice'!$C$4:$C$99,Matrice[[#This Row],[Ligne de la matrice]],'4 - Codes matrice'!BF$4:BF$99)+Matrice_Clés_multilignes!B41</f>
        <v>0</v>
      </c>
      <c r="C41" s="320">
        <f>SUMIF('4 - Codes matrice'!$C$4:$C$99,Matrice[[#This Row],[Ligne de la matrice]],'4 - Codes matrice'!BG$4:BG$99)+Matrice_Clés_multilignes!C41</f>
        <v>0</v>
      </c>
      <c r="D41" s="320">
        <f>SUMIF('4 - Codes matrice'!$C$4:$C$99,Matrice[[#This Row],[Ligne de la matrice]],'4 - Codes matrice'!BH$4:BH$99)+Matrice_Clés_multilignes!D41</f>
        <v>0</v>
      </c>
      <c r="E41" s="320">
        <f>SUMIF('4 - Codes matrice'!$C$4:$C$99,Matrice[[#This Row],[Ligne de la matrice]],'4 - Codes matrice'!BI$4:BI$99)+Matrice_Clés_multilignes!E41</f>
        <v>0</v>
      </c>
      <c r="F41" s="320">
        <f>SUMIF('4 - Codes matrice'!$C$4:$C$99,Matrice[[#This Row],[Ligne de la matrice]],'4 - Codes matrice'!BJ$4:BJ$99)+Matrice_Clés_multilignes!F41</f>
        <v>0</v>
      </c>
      <c r="G41" s="320">
        <f>SUMIF('4 - Codes matrice'!$C$4:$C$99,Matrice[[#This Row],[Ligne de la matrice]],'4 - Codes matrice'!BK$4:BK$99)+Matrice_Clés_multilignes!G41</f>
        <v>0</v>
      </c>
      <c r="H41" s="320">
        <f>SUMIF('4 - Codes matrice'!$C$4:$C$99,Matrice[[#This Row],[Ligne de la matrice]],'4 - Codes matrice'!BL$4:BL$99)+Matrice_Clés_multilignes!H41</f>
        <v>0</v>
      </c>
      <c r="I41" s="320">
        <f>SUMIF('4 - Codes matrice'!$C$4:$C$99,Matrice[[#This Row],[Ligne de la matrice]],'4 - Codes matrice'!BM$4:BM$99)+Matrice_Clés_multilignes!I41</f>
        <v>0</v>
      </c>
      <c r="J41" s="320">
        <f>SUMIF('4 - Codes matrice'!$C$4:$C$99,Matrice[[#This Row],[Ligne de la matrice]],'4 - Codes matrice'!BN$4:BN$99)+Matrice_Clés_multilignes!J41</f>
        <v>0</v>
      </c>
      <c r="K41" s="320">
        <f>SUMIF('4 - Codes matrice'!$C$4:$C$99,Matrice[[#This Row],[Ligne de la matrice]],'4 - Codes matrice'!BO$4:BO$99)+Matrice_Clés_multilignes!K41</f>
        <v>0</v>
      </c>
      <c r="L41" s="320">
        <f>SUMIF('4 - Codes matrice'!$C$4:$C$99,Matrice[[#This Row],[Ligne de la matrice]],'4 - Codes matrice'!BP$4:BP$99)+Matrice_Clés_multilignes!L41</f>
        <v>0</v>
      </c>
      <c r="M41" s="320">
        <f>SUMIF('4 - Codes matrice'!$C$4:$C$99,Matrice[[#This Row],[Ligne de la matrice]],'4 - Codes matrice'!BQ$4:BQ$99)+Matrice_Clés_multilignes!M41</f>
        <v>0</v>
      </c>
      <c r="N41" s="320">
        <f>SUMIF('4 - Codes matrice'!$C$4:$C$99,Matrice[[#This Row],[Ligne de la matrice]],'4 - Codes matrice'!BR$4:BR$99)+Matrice_Clés_multilignes!N41</f>
        <v>0</v>
      </c>
      <c r="O41" s="320">
        <f>SUMIF('4 - Codes matrice'!$C$4:$C$99,Matrice[[#This Row],[Ligne de la matrice]],'4 - Codes matrice'!BS$4:BS$99)+Matrice_Clés_multilignes!O41</f>
        <v>0</v>
      </c>
      <c r="P41" s="320">
        <f>SUMIF('4 - Codes matrice'!$C$4:$C$99,Matrice[[#This Row],[Ligne de la matrice]],'4 - Codes matrice'!BT$4:BT$99)+Matrice_Clés_multilignes!P41</f>
        <v>0</v>
      </c>
      <c r="Q41" s="320">
        <f>SUMIF('4 - Codes matrice'!$C$4:$C$99,Matrice[[#This Row],[Ligne de la matrice]],'4 - Codes matrice'!BU$4:BU$99)+Matrice_Clés_multilignes!Q41</f>
        <v>0</v>
      </c>
      <c r="R41" s="320">
        <f>SUMIF('4 - Codes matrice'!$C$4:$C$99,Matrice[[#This Row],[Ligne de la matrice]],'4 - Codes matrice'!BV$4:BV$99)+Matrice_Clés_multilignes!R41</f>
        <v>0</v>
      </c>
      <c r="S41" s="320">
        <f>SUMIF('4 - Codes matrice'!$C$4:$C$99,Matrice[[#This Row],[Ligne de la matrice]],'4 - Codes matrice'!BW$4:BW$99)+Matrice_Clés_multilignes!S41</f>
        <v>0</v>
      </c>
      <c r="T41" s="320">
        <f>SUMIF('4 - Codes matrice'!$C$4:$C$99,Matrice[[#This Row],[Ligne de la matrice]],'4 - Codes matrice'!BX$4:BX$99)+Matrice_Clés_multilignes!T41</f>
        <v>0</v>
      </c>
      <c r="U41" s="320">
        <f>SUMIF('4 - Codes matrice'!$C$4:$C$99,Matrice[[#This Row],[Ligne de la matrice]],'4 - Codes matrice'!BY$4:BY$99)+Matrice_Clés_multilignes!U41</f>
        <v>0</v>
      </c>
      <c r="V41" s="320">
        <f>SUMIF('4 - Codes matrice'!$C$4:$C$99,Matrice[[#This Row],[Ligne de la matrice]],'4 - Codes matrice'!BZ$4:BZ$99)+Matrice_Clés_multilignes!V41</f>
        <v>0</v>
      </c>
      <c r="W41" s="320">
        <f>SUMIF('4 - Codes matrice'!$C$4:$C$99,Matrice[[#This Row],[Ligne de la matrice]],'4 - Codes matrice'!CA$4:CA$99)+Matrice_Clés_multilignes!W41</f>
        <v>0</v>
      </c>
      <c r="X41" s="320">
        <f>SUMIF('4 - Codes matrice'!$C$4:$C$99,Matrice[[#This Row],[Ligne de la matrice]],'4 - Codes matrice'!CB$4:CB$99)+Matrice_Clés_multilignes!X41</f>
        <v>0</v>
      </c>
      <c r="Y41" s="320">
        <f>SUMIF('4 - Codes matrice'!$C$4:$C$99,Matrice[[#This Row],[Ligne de la matrice]],'4 - Codes matrice'!CC$4:CC$99)+Matrice_Clés_multilignes!Y41</f>
        <v>0</v>
      </c>
      <c r="Z41" s="320">
        <f>SUMIF('4 - Codes matrice'!$C$4:$C$99,Matrice[[#This Row],[Ligne de la matrice]],'4 - Codes matrice'!CD$4:CD$99)+Matrice_Clés_multilignes!Z41</f>
        <v>0</v>
      </c>
      <c r="AA41" s="320">
        <f t="shared" si="0"/>
        <v>0</v>
      </c>
      <c r="AC41" s="7"/>
      <c r="AD41" s="7"/>
      <c r="AE41" s="7"/>
      <c r="AF41" s="7"/>
    </row>
    <row r="42" spans="1:32" s="22" customFormat="1" ht="12.75" customHeight="1" x14ac:dyDescent="0.25">
      <c r="A42" s="41" t="s">
        <v>214</v>
      </c>
      <c r="B42" s="317">
        <f>SUM(B36:B41)</f>
        <v>0</v>
      </c>
      <c r="C42" s="317">
        <f t="shared" ref="C42:K42" si="10">SUM(C36:C41)</f>
        <v>0</v>
      </c>
      <c r="D42" s="317">
        <f t="shared" si="10"/>
        <v>0</v>
      </c>
      <c r="E42" s="317">
        <f t="shared" si="10"/>
        <v>0</v>
      </c>
      <c r="F42" s="317">
        <f t="shared" si="10"/>
        <v>0</v>
      </c>
      <c r="G42" s="317">
        <f t="shared" si="10"/>
        <v>0</v>
      </c>
      <c r="H42" s="317">
        <f t="shared" si="10"/>
        <v>0</v>
      </c>
      <c r="I42" s="317">
        <f t="shared" si="10"/>
        <v>0</v>
      </c>
      <c r="J42" s="317">
        <f t="shared" si="10"/>
        <v>0</v>
      </c>
      <c r="K42" s="317">
        <f t="shared" si="10"/>
        <v>0</v>
      </c>
      <c r="L42" s="317">
        <f t="shared" ref="L42:Z42" si="11">SUM(L36:L41)</f>
        <v>0</v>
      </c>
      <c r="M42" s="317">
        <f t="shared" si="11"/>
        <v>0</v>
      </c>
      <c r="N42" s="317">
        <f t="shared" si="11"/>
        <v>0</v>
      </c>
      <c r="O42" s="317">
        <f t="shared" si="11"/>
        <v>0</v>
      </c>
      <c r="P42" s="317">
        <f t="shared" si="11"/>
        <v>0</v>
      </c>
      <c r="Q42" s="317">
        <f t="shared" si="11"/>
        <v>0</v>
      </c>
      <c r="R42" s="317">
        <f t="shared" si="11"/>
        <v>0</v>
      </c>
      <c r="S42" s="317">
        <f t="shared" si="11"/>
        <v>0</v>
      </c>
      <c r="T42" s="317">
        <f t="shared" si="11"/>
        <v>0</v>
      </c>
      <c r="U42" s="317">
        <f t="shared" si="11"/>
        <v>0</v>
      </c>
      <c r="V42" s="317">
        <f t="shared" si="11"/>
        <v>0</v>
      </c>
      <c r="W42" s="317">
        <f t="shared" si="11"/>
        <v>0</v>
      </c>
      <c r="X42" s="317">
        <f t="shared" si="11"/>
        <v>0</v>
      </c>
      <c r="Y42" s="317">
        <f t="shared" si="11"/>
        <v>0</v>
      </c>
      <c r="Z42" s="317">
        <f t="shared" si="11"/>
        <v>0</v>
      </c>
      <c r="AA42" s="317">
        <f t="shared" si="0"/>
        <v>0</v>
      </c>
      <c r="AC42" s="7"/>
      <c r="AD42" s="7"/>
      <c r="AE42" s="7"/>
      <c r="AF42" s="7"/>
    </row>
    <row r="43" spans="1:32" ht="12.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row>
    <row r="44" spans="1:32" x14ac:dyDescent="0.25">
      <c r="A44" s="45" t="s">
        <v>215</v>
      </c>
      <c r="B44" s="260">
        <f>SUMIF('4 - Codes matrice'!$C$4:$C$99,Matrice[[#This Row],[Ligne de la matrice]],'4 - Codes matrice'!BF$4:BF$99)+Matrice_Clés_multilignes!B44</f>
        <v>0</v>
      </c>
      <c r="C44" s="260">
        <f>SUMIF('4 - Codes matrice'!$C$4:$C$99,Matrice[[#This Row],[Ligne de la matrice]],'4 - Codes matrice'!BG$4:BG$99)+Matrice_Clés_multilignes!C44</f>
        <v>0</v>
      </c>
      <c r="D44" s="260">
        <f>SUMIF('4 - Codes matrice'!$C$4:$C$99,Matrice[[#This Row],[Ligne de la matrice]],'4 - Codes matrice'!BH$4:BH$99)+Matrice_Clés_multilignes!D44</f>
        <v>0</v>
      </c>
      <c r="E44" s="260">
        <f>SUMIF('4 - Codes matrice'!$C$4:$C$99,Matrice[[#This Row],[Ligne de la matrice]],'4 - Codes matrice'!BI$4:BI$99)+Matrice_Clés_multilignes!E44</f>
        <v>0</v>
      </c>
      <c r="F44" s="260">
        <f>SUMIF('4 - Codes matrice'!$C$4:$C$99,Matrice[[#This Row],[Ligne de la matrice]],'4 - Codes matrice'!BJ$4:BJ$99)+Matrice_Clés_multilignes!F44</f>
        <v>0</v>
      </c>
      <c r="G44" s="260">
        <f>SUMIF('4 - Codes matrice'!$C$4:$C$99,Matrice[[#This Row],[Ligne de la matrice]],'4 - Codes matrice'!BK$4:BK$99)+Matrice_Clés_multilignes!G44</f>
        <v>0</v>
      </c>
      <c r="H44" s="260">
        <f>SUMIF('4 - Codes matrice'!$C$4:$C$99,Matrice[[#This Row],[Ligne de la matrice]],'4 - Codes matrice'!BL$4:BL$99)+Matrice_Clés_multilignes!H44</f>
        <v>0</v>
      </c>
      <c r="I44" s="260">
        <f>SUMIF('4 - Codes matrice'!$C$4:$C$99,Matrice[[#This Row],[Ligne de la matrice]],'4 - Codes matrice'!BM$4:BM$99)+Matrice_Clés_multilignes!I44</f>
        <v>0</v>
      </c>
      <c r="J44" s="260">
        <f>SUMIF('4 - Codes matrice'!$C$4:$C$99,Matrice[[#This Row],[Ligne de la matrice]],'4 - Codes matrice'!BN$4:BN$99)+Matrice_Clés_multilignes!J44</f>
        <v>0</v>
      </c>
      <c r="K44" s="260">
        <f>SUMIF('4 - Codes matrice'!$C$4:$C$99,Matrice[[#This Row],[Ligne de la matrice]],'4 - Codes matrice'!BO$4:BO$99)+Matrice_Clés_multilignes!K44</f>
        <v>0</v>
      </c>
      <c r="L44" s="260">
        <f>SUMIF('4 - Codes matrice'!$C$4:$C$99,Matrice[[#This Row],[Ligne de la matrice]],'4 - Codes matrice'!BP$4:BP$99)+Matrice_Clés_multilignes!L44</f>
        <v>0</v>
      </c>
      <c r="M44" s="260">
        <f>SUMIF('4 - Codes matrice'!$C$4:$C$99,Matrice[[#This Row],[Ligne de la matrice]],'4 - Codes matrice'!BQ$4:BQ$99)+Matrice_Clés_multilignes!M44</f>
        <v>0</v>
      </c>
      <c r="N44" s="260">
        <f>SUMIF('4 - Codes matrice'!$C$4:$C$99,Matrice[[#This Row],[Ligne de la matrice]],'4 - Codes matrice'!BR$4:BR$99)+Matrice_Clés_multilignes!N44</f>
        <v>0</v>
      </c>
      <c r="O44" s="260">
        <f>SUMIF('4 - Codes matrice'!$C$4:$C$99,Matrice[[#This Row],[Ligne de la matrice]],'4 - Codes matrice'!BS$4:BS$99)+Matrice_Clés_multilignes!O44</f>
        <v>0</v>
      </c>
      <c r="P44" s="260">
        <f>SUMIF('4 - Codes matrice'!$C$4:$C$99,Matrice[[#This Row],[Ligne de la matrice]],'4 - Codes matrice'!BT$4:BT$99)+Matrice_Clés_multilignes!P44</f>
        <v>0</v>
      </c>
      <c r="Q44" s="260">
        <f>SUMIF('4 - Codes matrice'!$C$4:$C$99,Matrice[[#This Row],[Ligne de la matrice]],'4 - Codes matrice'!BU$4:BU$99)+Matrice_Clés_multilignes!Q44</f>
        <v>0</v>
      </c>
      <c r="R44" s="260">
        <f>SUMIF('4 - Codes matrice'!$C$4:$C$99,Matrice[[#This Row],[Ligne de la matrice]],'4 - Codes matrice'!BV$4:BV$99)+Matrice_Clés_multilignes!R44</f>
        <v>0</v>
      </c>
      <c r="S44" s="260">
        <f>SUMIF('4 - Codes matrice'!$C$4:$C$99,Matrice[[#This Row],[Ligne de la matrice]],'4 - Codes matrice'!BW$4:BW$99)+Matrice_Clés_multilignes!S44</f>
        <v>0</v>
      </c>
      <c r="T44" s="260">
        <f>SUMIF('4 - Codes matrice'!$C$4:$C$99,Matrice[[#This Row],[Ligne de la matrice]],'4 - Codes matrice'!BX$4:BX$99)+Matrice_Clés_multilignes!T44</f>
        <v>0</v>
      </c>
      <c r="U44" s="260">
        <f>SUMIF('4 - Codes matrice'!$C$4:$C$99,Matrice[[#This Row],[Ligne de la matrice]],'4 - Codes matrice'!BY$4:BY$99)+Matrice_Clés_multilignes!U44</f>
        <v>0</v>
      </c>
      <c r="V44" s="260">
        <f>SUMIF('4 - Codes matrice'!$C$4:$C$99,Matrice[[#This Row],[Ligne de la matrice]],'4 - Codes matrice'!BZ$4:BZ$99)+Matrice_Clés_multilignes!V44</f>
        <v>0</v>
      </c>
      <c r="W44" s="260">
        <f>SUMIF('4 - Codes matrice'!$C$4:$C$99,Matrice[[#This Row],[Ligne de la matrice]],'4 - Codes matrice'!CA$4:CA$99)+Matrice_Clés_multilignes!W44</f>
        <v>0</v>
      </c>
      <c r="X44" s="260">
        <f>SUMIF('4 - Codes matrice'!$C$4:$C$99,Matrice[[#This Row],[Ligne de la matrice]],'4 - Codes matrice'!CB$4:CB$99)+Matrice_Clés_multilignes!X44</f>
        <v>0</v>
      </c>
      <c r="Y44" s="260">
        <f>SUMIF('4 - Codes matrice'!$C$4:$C$99,Matrice[[#This Row],[Ligne de la matrice]],'4 - Codes matrice'!CC$4:CC$99)+Matrice_Clés_multilignes!Y44</f>
        <v>0</v>
      </c>
      <c r="Z44" s="260">
        <f>SUMIF('4 - Codes matrice'!$C$4:$C$99,Matrice[[#This Row],[Ligne de la matrice]],'4 - Codes matrice'!CD$4:CD$99)+Matrice_Clés_multilignes!Z44</f>
        <v>0</v>
      </c>
      <c r="AA44" s="260">
        <f t="shared" si="0"/>
        <v>0</v>
      </c>
    </row>
    <row r="45" spans="1:32" x14ac:dyDescent="0.25">
      <c r="A45" s="45"/>
      <c r="B45" s="260">
        <f>SUMIF('4 - Codes matrice'!$C$4:$C$99,Matrice[[#This Row],[Ligne de la matrice]],'4 - Codes matrice'!BF$4:BF$99)+Matrice_Clés_multilignes!B45</f>
        <v>0</v>
      </c>
      <c r="C45" s="260">
        <f>SUMIF('4 - Codes matrice'!$C$4:$C$99,Matrice[[#This Row],[Ligne de la matrice]],'4 - Codes matrice'!BG$4:BG$99)+Matrice_Clés_multilignes!C45</f>
        <v>0</v>
      </c>
      <c r="D45" s="260">
        <f>SUMIF('4 - Codes matrice'!$C$4:$C$99,Matrice[[#This Row],[Ligne de la matrice]],'4 - Codes matrice'!BH$4:BH$99)+Matrice_Clés_multilignes!D45</f>
        <v>0</v>
      </c>
      <c r="E45" s="260">
        <f>SUMIF('4 - Codes matrice'!$C$4:$C$99,Matrice[[#This Row],[Ligne de la matrice]],'4 - Codes matrice'!BI$4:BI$99)+Matrice_Clés_multilignes!E45</f>
        <v>0</v>
      </c>
      <c r="F45" s="260">
        <f>SUMIF('4 - Codes matrice'!$C$4:$C$99,Matrice[[#This Row],[Ligne de la matrice]],'4 - Codes matrice'!BJ$4:BJ$99)+Matrice_Clés_multilignes!F45</f>
        <v>0</v>
      </c>
      <c r="G45" s="260">
        <f>SUMIF('4 - Codes matrice'!$C$4:$C$99,Matrice[[#This Row],[Ligne de la matrice]],'4 - Codes matrice'!BK$4:BK$99)+Matrice_Clés_multilignes!G45</f>
        <v>0</v>
      </c>
      <c r="H45" s="260">
        <f>SUMIF('4 - Codes matrice'!$C$4:$C$99,Matrice[[#This Row],[Ligne de la matrice]],'4 - Codes matrice'!BL$4:BL$99)+Matrice_Clés_multilignes!H45</f>
        <v>0</v>
      </c>
      <c r="I45" s="260">
        <f>SUMIF('4 - Codes matrice'!$C$4:$C$99,Matrice[[#This Row],[Ligne de la matrice]],'4 - Codes matrice'!BM$4:BM$99)+Matrice_Clés_multilignes!I45</f>
        <v>0</v>
      </c>
      <c r="J45" s="260">
        <f>SUMIF('4 - Codes matrice'!$C$4:$C$99,Matrice[[#This Row],[Ligne de la matrice]],'4 - Codes matrice'!BN$4:BN$99)+Matrice_Clés_multilignes!J45</f>
        <v>0</v>
      </c>
      <c r="K45" s="260">
        <f>SUMIF('4 - Codes matrice'!$C$4:$C$99,Matrice[[#This Row],[Ligne de la matrice]],'4 - Codes matrice'!BO$4:BO$99)+Matrice_Clés_multilignes!K45</f>
        <v>0</v>
      </c>
      <c r="L45" s="260">
        <f>SUMIF('4 - Codes matrice'!$C$4:$C$99,Matrice[[#This Row],[Ligne de la matrice]],'4 - Codes matrice'!BP$4:BP$99)+Matrice_Clés_multilignes!L45</f>
        <v>0</v>
      </c>
      <c r="M45" s="260">
        <f>SUMIF('4 - Codes matrice'!$C$4:$C$99,Matrice[[#This Row],[Ligne de la matrice]],'4 - Codes matrice'!BQ$4:BQ$99)+Matrice_Clés_multilignes!M45</f>
        <v>0</v>
      </c>
      <c r="N45" s="260">
        <f>SUMIF('4 - Codes matrice'!$C$4:$C$99,Matrice[[#This Row],[Ligne de la matrice]],'4 - Codes matrice'!BR$4:BR$99)+Matrice_Clés_multilignes!N45</f>
        <v>0</v>
      </c>
      <c r="O45" s="260">
        <f>SUMIF('4 - Codes matrice'!$C$4:$C$99,Matrice[[#This Row],[Ligne de la matrice]],'4 - Codes matrice'!BS$4:BS$99)+Matrice_Clés_multilignes!O45</f>
        <v>0</v>
      </c>
      <c r="P45" s="260">
        <f>SUMIF('4 - Codes matrice'!$C$4:$C$99,Matrice[[#This Row],[Ligne de la matrice]],'4 - Codes matrice'!BT$4:BT$99)+Matrice_Clés_multilignes!P45</f>
        <v>0</v>
      </c>
      <c r="Q45" s="260">
        <f>SUMIF('4 - Codes matrice'!$C$4:$C$99,Matrice[[#This Row],[Ligne de la matrice]],'4 - Codes matrice'!BU$4:BU$99)+Matrice_Clés_multilignes!Q45</f>
        <v>0</v>
      </c>
      <c r="R45" s="260">
        <f>SUMIF('4 - Codes matrice'!$C$4:$C$99,Matrice[[#This Row],[Ligne de la matrice]],'4 - Codes matrice'!BV$4:BV$99)+Matrice_Clés_multilignes!R45</f>
        <v>0</v>
      </c>
      <c r="S45" s="260">
        <f>SUMIF('4 - Codes matrice'!$C$4:$C$99,Matrice[[#This Row],[Ligne de la matrice]],'4 - Codes matrice'!BW$4:BW$99)+Matrice_Clés_multilignes!S45</f>
        <v>0</v>
      </c>
      <c r="T45" s="260">
        <f>SUMIF('4 - Codes matrice'!$C$4:$C$99,Matrice[[#This Row],[Ligne de la matrice]],'4 - Codes matrice'!BX$4:BX$99)+Matrice_Clés_multilignes!T45</f>
        <v>0</v>
      </c>
      <c r="U45" s="260">
        <f>SUMIF('4 - Codes matrice'!$C$4:$C$99,Matrice[[#This Row],[Ligne de la matrice]],'4 - Codes matrice'!BY$4:BY$99)+Matrice_Clés_multilignes!U45</f>
        <v>0</v>
      </c>
      <c r="V45" s="260">
        <f>SUMIF('4 - Codes matrice'!$C$4:$C$99,Matrice[[#This Row],[Ligne de la matrice]],'4 - Codes matrice'!BZ$4:BZ$99)+Matrice_Clés_multilignes!V45</f>
        <v>0</v>
      </c>
      <c r="W45" s="260">
        <f>SUMIF('4 - Codes matrice'!$C$4:$C$99,Matrice[[#This Row],[Ligne de la matrice]],'4 - Codes matrice'!CA$4:CA$99)+Matrice_Clés_multilignes!W45</f>
        <v>0</v>
      </c>
      <c r="X45" s="260">
        <f>SUMIF('4 - Codes matrice'!$C$4:$C$99,Matrice[[#This Row],[Ligne de la matrice]],'4 - Codes matrice'!CB$4:CB$99)+Matrice_Clés_multilignes!X45</f>
        <v>0</v>
      </c>
      <c r="Y45" s="260">
        <f>SUMIF('4 - Codes matrice'!$C$4:$C$99,Matrice[[#This Row],[Ligne de la matrice]],'4 - Codes matrice'!CC$4:CC$99)+Matrice_Clés_multilignes!Y45</f>
        <v>0</v>
      </c>
      <c r="Z45" s="260">
        <f>SUMIF('4 - Codes matrice'!$C$4:$C$99,Matrice[[#This Row],[Ligne de la matrice]],'4 - Codes matrice'!CD$4:CD$99)+Matrice_Clés_multilignes!Z45</f>
        <v>0</v>
      </c>
      <c r="AA45" s="260">
        <f t="shared" si="0"/>
        <v>0</v>
      </c>
    </row>
    <row r="46" spans="1:32" x14ac:dyDescent="0.25">
      <c r="A46" s="45"/>
      <c r="B46" s="260">
        <f>SUMIF('4 - Codes matrice'!$C$4:$C$99,Matrice[[#This Row],[Ligne de la matrice]],'4 - Codes matrice'!BF$4:BF$99)+Matrice_Clés_multilignes!B46</f>
        <v>0</v>
      </c>
      <c r="C46" s="260">
        <f>SUMIF('4 - Codes matrice'!$C$4:$C$99,Matrice[[#This Row],[Ligne de la matrice]],'4 - Codes matrice'!BG$4:BG$99)+Matrice_Clés_multilignes!C46</f>
        <v>0</v>
      </c>
      <c r="D46" s="260">
        <f>SUMIF('4 - Codes matrice'!$C$4:$C$99,Matrice[[#This Row],[Ligne de la matrice]],'4 - Codes matrice'!BH$4:BH$99)+Matrice_Clés_multilignes!D46</f>
        <v>0</v>
      </c>
      <c r="E46" s="260">
        <f>SUMIF('4 - Codes matrice'!$C$4:$C$99,Matrice[[#This Row],[Ligne de la matrice]],'4 - Codes matrice'!BI$4:BI$99)+Matrice_Clés_multilignes!E46</f>
        <v>0</v>
      </c>
      <c r="F46" s="260">
        <f>SUMIF('4 - Codes matrice'!$C$4:$C$99,Matrice[[#This Row],[Ligne de la matrice]],'4 - Codes matrice'!BJ$4:BJ$99)+Matrice_Clés_multilignes!F46</f>
        <v>0</v>
      </c>
      <c r="G46" s="260">
        <f>SUMIF('4 - Codes matrice'!$C$4:$C$99,Matrice[[#This Row],[Ligne de la matrice]],'4 - Codes matrice'!BK$4:BK$99)+Matrice_Clés_multilignes!G46</f>
        <v>0</v>
      </c>
      <c r="H46" s="260">
        <f>SUMIF('4 - Codes matrice'!$C$4:$C$99,Matrice[[#This Row],[Ligne de la matrice]],'4 - Codes matrice'!BL$4:BL$99)+Matrice_Clés_multilignes!H46</f>
        <v>0</v>
      </c>
      <c r="I46" s="260">
        <f>SUMIF('4 - Codes matrice'!$C$4:$C$99,Matrice[[#This Row],[Ligne de la matrice]],'4 - Codes matrice'!BM$4:BM$99)+Matrice_Clés_multilignes!I46</f>
        <v>0</v>
      </c>
      <c r="J46" s="260">
        <f>SUMIF('4 - Codes matrice'!$C$4:$C$99,Matrice[[#This Row],[Ligne de la matrice]],'4 - Codes matrice'!BN$4:BN$99)+Matrice_Clés_multilignes!J46</f>
        <v>0</v>
      </c>
      <c r="K46" s="260">
        <f>SUMIF('4 - Codes matrice'!$C$4:$C$99,Matrice[[#This Row],[Ligne de la matrice]],'4 - Codes matrice'!BO$4:BO$99)+Matrice_Clés_multilignes!K46</f>
        <v>0</v>
      </c>
      <c r="L46" s="260">
        <f>SUMIF('4 - Codes matrice'!$C$4:$C$99,Matrice[[#This Row],[Ligne de la matrice]],'4 - Codes matrice'!BP$4:BP$99)+Matrice_Clés_multilignes!L46</f>
        <v>0</v>
      </c>
      <c r="M46" s="260">
        <f>SUMIF('4 - Codes matrice'!$C$4:$C$99,Matrice[[#This Row],[Ligne de la matrice]],'4 - Codes matrice'!BQ$4:BQ$99)+Matrice_Clés_multilignes!M46</f>
        <v>0</v>
      </c>
      <c r="N46" s="260">
        <f>SUMIF('4 - Codes matrice'!$C$4:$C$99,Matrice[[#This Row],[Ligne de la matrice]],'4 - Codes matrice'!BR$4:BR$99)+Matrice_Clés_multilignes!N46</f>
        <v>0</v>
      </c>
      <c r="O46" s="260">
        <f>SUMIF('4 - Codes matrice'!$C$4:$C$99,Matrice[[#This Row],[Ligne de la matrice]],'4 - Codes matrice'!BS$4:BS$99)+Matrice_Clés_multilignes!O46</f>
        <v>0</v>
      </c>
      <c r="P46" s="260">
        <f>SUMIF('4 - Codes matrice'!$C$4:$C$99,Matrice[[#This Row],[Ligne de la matrice]],'4 - Codes matrice'!BT$4:BT$99)+Matrice_Clés_multilignes!P46</f>
        <v>0</v>
      </c>
      <c r="Q46" s="260">
        <f>SUMIF('4 - Codes matrice'!$C$4:$C$99,Matrice[[#This Row],[Ligne de la matrice]],'4 - Codes matrice'!BU$4:BU$99)+Matrice_Clés_multilignes!Q46</f>
        <v>0</v>
      </c>
      <c r="R46" s="260">
        <f>SUMIF('4 - Codes matrice'!$C$4:$C$99,Matrice[[#This Row],[Ligne de la matrice]],'4 - Codes matrice'!BV$4:BV$99)+Matrice_Clés_multilignes!R46</f>
        <v>0</v>
      </c>
      <c r="S46" s="260">
        <f>SUMIF('4 - Codes matrice'!$C$4:$C$99,Matrice[[#This Row],[Ligne de la matrice]],'4 - Codes matrice'!BW$4:BW$99)+Matrice_Clés_multilignes!S46</f>
        <v>0</v>
      </c>
      <c r="T46" s="260">
        <f>SUMIF('4 - Codes matrice'!$C$4:$C$99,Matrice[[#This Row],[Ligne de la matrice]],'4 - Codes matrice'!BX$4:BX$99)+Matrice_Clés_multilignes!T46</f>
        <v>0</v>
      </c>
      <c r="U46" s="260">
        <f>SUMIF('4 - Codes matrice'!$C$4:$C$99,Matrice[[#This Row],[Ligne de la matrice]],'4 - Codes matrice'!BY$4:BY$99)+Matrice_Clés_multilignes!U46</f>
        <v>0</v>
      </c>
      <c r="V46" s="260">
        <f>SUMIF('4 - Codes matrice'!$C$4:$C$99,Matrice[[#This Row],[Ligne de la matrice]],'4 - Codes matrice'!BZ$4:BZ$99)+Matrice_Clés_multilignes!V46</f>
        <v>0</v>
      </c>
      <c r="W46" s="260">
        <f>SUMIF('4 - Codes matrice'!$C$4:$C$99,Matrice[[#This Row],[Ligne de la matrice]],'4 - Codes matrice'!CA$4:CA$99)+Matrice_Clés_multilignes!W46</f>
        <v>0</v>
      </c>
      <c r="X46" s="260">
        <f>SUMIF('4 - Codes matrice'!$C$4:$C$99,Matrice[[#This Row],[Ligne de la matrice]],'4 - Codes matrice'!CB$4:CB$99)+Matrice_Clés_multilignes!X46</f>
        <v>0</v>
      </c>
      <c r="Y46" s="260">
        <f>SUMIF('4 - Codes matrice'!$C$4:$C$99,Matrice[[#This Row],[Ligne de la matrice]],'4 - Codes matrice'!CC$4:CC$99)+Matrice_Clés_multilignes!Y46</f>
        <v>0</v>
      </c>
      <c r="Z46" s="260">
        <f>SUMIF('4 - Codes matrice'!$C$4:$C$99,Matrice[[#This Row],[Ligne de la matrice]],'4 - Codes matrice'!CD$4:CD$99)+Matrice_Clés_multilignes!Z46</f>
        <v>0</v>
      </c>
      <c r="AA46" s="260">
        <f t="shared" si="0"/>
        <v>0</v>
      </c>
    </row>
    <row r="47" spans="1:32" x14ac:dyDescent="0.25">
      <c r="A47" s="45"/>
      <c r="B47" s="260">
        <f>SUMIF('4 - Codes matrice'!$C$4:$C$99,Matrice[[#This Row],[Ligne de la matrice]],'4 - Codes matrice'!BF$4:BF$99)+Matrice_Clés_multilignes!B47</f>
        <v>0</v>
      </c>
      <c r="C47" s="260">
        <f>SUMIF('4 - Codes matrice'!$C$4:$C$99,Matrice[[#This Row],[Ligne de la matrice]],'4 - Codes matrice'!BG$4:BG$99)+Matrice_Clés_multilignes!C47</f>
        <v>0</v>
      </c>
      <c r="D47" s="260">
        <f>SUMIF('4 - Codes matrice'!$C$4:$C$99,Matrice[[#This Row],[Ligne de la matrice]],'4 - Codes matrice'!BH$4:BH$99)+Matrice_Clés_multilignes!D47</f>
        <v>0</v>
      </c>
      <c r="E47" s="260">
        <f>SUMIF('4 - Codes matrice'!$C$4:$C$99,Matrice[[#This Row],[Ligne de la matrice]],'4 - Codes matrice'!BI$4:BI$99)+Matrice_Clés_multilignes!E47</f>
        <v>0</v>
      </c>
      <c r="F47" s="260">
        <f>SUMIF('4 - Codes matrice'!$C$4:$C$99,Matrice[[#This Row],[Ligne de la matrice]],'4 - Codes matrice'!BJ$4:BJ$99)+Matrice_Clés_multilignes!F47</f>
        <v>0</v>
      </c>
      <c r="G47" s="260">
        <f>SUMIF('4 - Codes matrice'!$C$4:$C$99,Matrice[[#This Row],[Ligne de la matrice]],'4 - Codes matrice'!BK$4:BK$99)+Matrice_Clés_multilignes!G47</f>
        <v>0</v>
      </c>
      <c r="H47" s="260">
        <f>SUMIF('4 - Codes matrice'!$C$4:$C$99,Matrice[[#This Row],[Ligne de la matrice]],'4 - Codes matrice'!BL$4:BL$99)+Matrice_Clés_multilignes!H47</f>
        <v>0</v>
      </c>
      <c r="I47" s="260">
        <f>SUMIF('4 - Codes matrice'!$C$4:$C$99,Matrice[[#This Row],[Ligne de la matrice]],'4 - Codes matrice'!BM$4:BM$99)+Matrice_Clés_multilignes!I47</f>
        <v>0</v>
      </c>
      <c r="J47" s="260">
        <f>SUMIF('4 - Codes matrice'!$C$4:$C$99,Matrice[[#This Row],[Ligne de la matrice]],'4 - Codes matrice'!BN$4:BN$99)+Matrice_Clés_multilignes!J47</f>
        <v>0</v>
      </c>
      <c r="K47" s="260">
        <f>SUMIF('4 - Codes matrice'!$C$4:$C$99,Matrice[[#This Row],[Ligne de la matrice]],'4 - Codes matrice'!BO$4:BO$99)+Matrice_Clés_multilignes!K47</f>
        <v>0</v>
      </c>
      <c r="L47" s="260">
        <f>SUMIF('4 - Codes matrice'!$C$4:$C$99,Matrice[[#This Row],[Ligne de la matrice]],'4 - Codes matrice'!BP$4:BP$99)+Matrice_Clés_multilignes!L47</f>
        <v>0</v>
      </c>
      <c r="M47" s="260">
        <f>SUMIF('4 - Codes matrice'!$C$4:$C$99,Matrice[[#This Row],[Ligne de la matrice]],'4 - Codes matrice'!BQ$4:BQ$99)+Matrice_Clés_multilignes!M47</f>
        <v>0</v>
      </c>
      <c r="N47" s="260">
        <f>SUMIF('4 - Codes matrice'!$C$4:$C$99,Matrice[[#This Row],[Ligne de la matrice]],'4 - Codes matrice'!BR$4:BR$99)+Matrice_Clés_multilignes!N47</f>
        <v>0</v>
      </c>
      <c r="O47" s="260">
        <f>SUMIF('4 - Codes matrice'!$C$4:$C$99,Matrice[[#This Row],[Ligne de la matrice]],'4 - Codes matrice'!BS$4:BS$99)+Matrice_Clés_multilignes!O47</f>
        <v>0</v>
      </c>
      <c r="P47" s="260">
        <f>SUMIF('4 - Codes matrice'!$C$4:$C$99,Matrice[[#This Row],[Ligne de la matrice]],'4 - Codes matrice'!BT$4:BT$99)+Matrice_Clés_multilignes!P47</f>
        <v>0</v>
      </c>
      <c r="Q47" s="260">
        <f>SUMIF('4 - Codes matrice'!$C$4:$C$99,Matrice[[#This Row],[Ligne de la matrice]],'4 - Codes matrice'!BU$4:BU$99)+Matrice_Clés_multilignes!Q47</f>
        <v>0</v>
      </c>
      <c r="R47" s="260">
        <f>SUMIF('4 - Codes matrice'!$C$4:$C$99,Matrice[[#This Row],[Ligne de la matrice]],'4 - Codes matrice'!BV$4:BV$99)+Matrice_Clés_multilignes!R47</f>
        <v>0</v>
      </c>
      <c r="S47" s="260">
        <f>SUMIF('4 - Codes matrice'!$C$4:$C$99,Matrice[[#This Row],[Ligne de la matrice]],'4 - Codes matrice'!BW$4:BW$99)+Matrice_Clés_multilignes!S47</f>
        <v>0</v>
      </c>
      <c r="T47" s="260">
        <f>SUMIF('4 - Codes matrice'!$C$4:$C$99,Matrice[[#This Row],[Ligne de la matrice]],'4 - Codes matrice'!BX$4:BX$99)+Matrice_Clés_multilignes!T47</f>
        <v>0</v>
      </c>
      <c r="U47" s="260">
        <f>SUMIF('4 - Codes matrice'!$C$4:$C$99,Matrice[[#This Row],[Ligne de la matrice]],'4 - Codes matrice'!BY$4:BY$99)+Matrice_Clés_multilignes!U47</f>
        <v>0</v>
      </c>
      <c r="V47" s="260">
        <f>SUMIF('4 - Codes matrice'!$C$4:$C$99,Matrice[[#This Row],[Ligne de la matrice]],'4 - Codes matrice'!BZ$4:BZ$99)+Matrice_Clés_multilignes!V47</f>
        <v>0</v>
      </c>
      <c r="W47" s="260">
        <f>SUMIF('4 - Codes matrice'!$C$4:$C$99,Matrice[[#This Row],[Ligne de la matrice]],'4 - Codes matrice'!CA$4:CA$99)+Matrice_Clés_multilignes!W47</f>
        <v>0</v>
      </c>
      <c r="X47" s="260">
        <f>SUMIF('4 - Codes matrice'!$C$4:$C$99,Matrice[[#This Row],[Ligne de la matrice]],'4 - Codes matrice'!CB$4:CB$99)+Matrice_Clés_multilignes!X47</f>
        <v>0</v>
      </c>
      <c r="Y47" s="260">
        <f>SUMIF('4 - Codes matrice'!$C$4:$C$99,Matrice[[#This Row],[Ligne de la matrice]],'4 - Codes matrice'!CC$4:CC$99)+Matrice_Clés_multilignes!Y47</f>
        <v>0</v>
      </c>
      <c r="Z47" s="260">
        <f>SUMIF('4 - Codes matrice'!$C$4:$C$99,Matrice[[#This Row],[Ligne de la matrice]],'4 - Codes matrice'!CD$4:CD$99)+Matrice_Clés_multilignes!Z47</f>
        <v>0</v>
      </c>
      <c r="AA47" s="260">
        <f t="shared" si="0"/>
        <v>0</v>
      </c>
    </row>
    <row r="48" spans="1:32" x14ac:dyDescent="0.25">
      <c r="A48" s="45"/>
      <c r="B48" s="260">
        <f>SUMIF('4 - Codes matrice'!$C$4:$C$99,Matrice[[#This Row],[Ligne de la matrice]],'4 - Codes matrice'!BF$4:BF$99)+Matrice_Clés_multilignes!B48</f>
        <v>0</v>
      </c>
      <c r="C48" s="260">
        <f>SUMIF('4 - Codes matrice'!$C$4:$C$99,Matrice[[#This Row],[Ligne de la matrice]],'4 - Codes matrice'!BG$4:BG$99)+Matrice_Clés_multilignes!C48</f>
        <v>0</v>
      </c>
      <c r="D48" s="260">
        <f>SUMIF('4 - Codes matrice'!$C$4:$C$99,Matrice[[#This Row],[Ligne de la matrice]],'4 - Codes matrice'!BH$4:BH$99)+Matrice_Clés_multilignes!D48</f>
        <v>0</v>
      </c>
      <c r="E48" s="260">
        <f>SUMIF('4 - Codes matrice'!$C$4:$C$99,Matrice[[#This Row],[Ligne de la matrice]],'4 - Codes matrice'!BI$4:BI$99)+Matrice_Clés_multilignes!E48</f>
        <v>0</v>
      </c>
      <c r="F48" s="260">
        <f>SUMIF('4 - Codes matrice'!$C$4:$C$99,Matrice[[#This Row],[Ligne de la matrice]],'4 - Codes matrice'!BJ$4:BJ$99)+Matrice_Clés_multilignes!F48</f>
        <v>0</v>
      </c>
      <c r="G48" s="260">
        <f>SUMIF('4 - Codes matrice'!$C$4:$C$99,Matrice[[#This Row],[Ligne de la matrice]],'4 - Codes matrice'!BK$4:BK$99)+Matrice_Clés_multilignes!G48</f>
        <v>0</v>
      </c>
      <c r="H48" s="260">
        <f>SUMIF('4 - Codes matrice'!$C$4:$C$99,Matrice[[#This Row],[Ligne de la matrice]],'4 - Codes matrice'!BL$4:BL$99)+Matrice_Clés_multilignes!H48</f>
        <v>0</v>
      </c>
      <c r="I48" s="260">
        <f>SUMIF('4 - Codes matrice'!$C$4:$C$99,Matrice[[#This Row],[Ligne de la matrice]],'4 - Codes matrice'!BM$4:BM$99)+Matrice_Clés_multilignes!I48</f>
        <v>0</v>
      </c>
      <c r="J48" s="260">
        <f>SUMIF('4 - Codes matrice'!$C$4:$C$99,Matrice[[#This Row],[Ligne de la matrice]],'4 - Codes matrice'!BN$4:BN$99)+Matrice_Clés_multilignes!J48</f>
        <v>0</v>
      </c>
      <c r="K48" s="260">
        <f>SUMIF('4 - Codes matrice'!$C$4:$C$99,Matrice[[#This Row],[Ligne de la matrice]],'4 - Codes matrice'!BO$4:BO$99)+Matrice_Clés_multilignes!K48</f>
        <v>0</v>
      </c>
      <c r="L48" s="260">
        <f>SUMIF('4 - Codes matrice'!$C$4:$C$99,Matrice[[#This Row],[Ligne de la matrice]],'4 - Codes matrice'!BP$4:BP$99)+Matrice_Clés_multilignes!L48</f>
        <v>0</v>
      </c>
      <c r="M48" s="260">
        <f>SUMIF('4 - Codes matrice'!$C$4:$C$99,Matrice[[#This Row],[Ligne de la matrice]],'4 - Codes matrice'!BQ$4:BQ$99)+Matrice_Clés_multilignes!M48</f>
        <v>0</v>
      </c>
      <c r="N48" s="260">
        <f>SUMIF('4 - Codes matrice'!$C$4:$C$99,Matrice[[#This Row],[Ligne de la matrice]],'4 - Codes matrice'!BR$4:BR$99)+Matrice_Clés_multilignes!N48</f>
        <v>0</v>
      </c>
      <c r="O48" s="260">
        <f>SUMIF('4 - Codes matrice'!$C$4:$C$99,Matrice[[#This Row],[Ligne de la matrice]],'4 - Codes matrice'!BS$4:BS$99)+Matrice_Clés_multilignes!O48</f>
        <v>0</v>
      </c>
      <c r="P48" s="260">
        <f>SUMIF('4 - Codes matrice'!$C$4:$C$99,Matrice[[#This Row],[Ligne de la matrice]],'4 - Codes matrice'!BT$4:BT$99)+Matrice_Clés_multilignes!P48</f>
        <v>0</v>
      </c>
      <c r="Q48" s="260">
        <f>SUMIF('4 - Codes matrice'!$C$4:$C$99,Matrice[[#This Row],[Ligne de la matrice]],'4 - Codes matrice'!BU$4:BU$99)+Matrice_Clés_multilignes!Q48</f>
        <v>0</v>
      </c>
      <c r="R48" s="260">
        <f>SUMIF('4 - Codes matrice'!$C$4:$C$99,Matrice[[#This Row],[Ligne de la matrice]],'4 - Codes matrice'!BV$4:BV$99)+Matrice_Clés_multilignes!R48</f>
        <v>0</v>
      </c>
      <c r="S48" s="260">
        <f>SUMIF('4 - Codes matrice'!$C$4:$C$99,Matrice[[#This Row],[Ligne de la matrice]],'4 - Codes matrice'!BW$4:BW$99)+Matrice_Clés_multilignes!S48</f>
        <v>0</v>
      </c>
      <c r="T48" s="260">
        <f>SUMIF('4 - Codes matrice'!$C$4:$C$99,Matrice[[#This Row],[Ligne de la matrice]],'4 - Codes matrice'!BX$4:BX$99)+Matrice_Clés_multilignes!T48</f>
        <v>0</v>
      </c>
      <c r="U48" s="260">
        <f>SUMIF('4 - Codes matrice'!$C$4:$C$99,Matrice[[#This Row],[Ligne de la matrice]],'4 - Codes matrice'!BY$4:BY$99)+Matrice_Clés_multilignes!U48</f>
        <v>0</v>
      </c>
      <c r="V48" s="260">
        <f>SUMIF('4 - Codes matrice'!$C$4:$C$99,Matrice[[#This Row],[Ligne de la matrice]],'4 - Codes matrice'!BZ$4:BZ$99)+Matrice_Clés_multilignes!V48</f>
        <v>0</v>
      </c>
      <c r="W48" s="260">
        <f>SUMIF('4 - Codes matrice'!$C$4:$C$99,Matrice[[#This Row],[Ligne de la matrice]],'4 - Codes matrice'!CA$4:CA$99)+Matrice_Clés_multilignes!W48</f>
        <v>0</v>
      </c>
      <c r="X48" s="260">
        <f>SUMIF('4 - Codes matrice'!$C$4:$C$99,Matrice[[#This Row],[Ligne de la matrice]],'4 - Codes matrice'!CB$4:CB$99)+Matrice_Clés_multilignes!X48</f>
        <v>0</v>
      </c>
      <c r="Y48" s="260">
        <f>SUMIF('4 - Codes matrice'!$C$4:$C$99,Matrice[[#This Row],[Ligne de la matrice]],'4 - Codes matrice'!CC$4:CC$99)+Matrice_Clés_multilignes!Y48</f>
        <v>0</v>
      </c>
      <c r="Z48" s="260">
        <f>SUMIF('4 - Codes matrice'!$C$4:$C$99,Matrice[[#This Row],[Ligne de la matrice]],'4 - Codes matrice'!CD$4:CD$99)+Matrice_Clés_multilignes!Z48</f>
        <v>0</v>
      </c>
      <c r="AA48" s="260">
        <f t="shared" si="0"/>
        <v>0</v>
      </c>
    </row>
    <row r="49" spans="1:32" x14ac:dyDescent="0.25">
      <c r="A49" s="45"/>
      <c r="B49" s="260">
        <f>SUMIF('4 - Codes matrice'!$C$4:$C$99,Matrice[[#This Row],[Ligne de la matrice]],'4 - Codes matrice'!BF$4:BF$99)+Matrice_Clés_multilignes!B49</f>
        <v>0</v>
      </c>
      <c r="C49" s="260">
        <f>SUMIF('4 - Codes matrice'!$C$4:$C$99,Matrice[[#This Row],[Ligne de la matrice]],'4 - Codes matrice'!BG$4:BG$99)+Matrice_Clés_multilignes!C49</f>
        <v>0</v>
      </c>
      <c r="D49" s="260">
        <f>SUMIF('4 - Codes matrice'!$C$4:$C$99,Matrice[[#This Row],[Ligne de la matrice]],'4 - Codes matrice'!BH$4:BH$99)+Matrice_Clés_multilignes!D49</f>
        <v>0</v>
      </c>
      <c r="E49" s="260">
        <f>SUMIF('4 - Codes matrice'!$C$4:$C$99,Matrice[[#This Row],[Ligne de la matrice]],'4 - Codes matrice'!BI$4:BI$99)+Matrice_Clés_multilignes!E49</f>
        <v>0</v>
      </c>
      <c r="F49" s="260">
        <f>SUMIF('4 - Codes matrice'!$C$4:$C$99,Matrice[[#This Row],[Ligne de la matrice]],'4 - Codes matrice'!BJ$4:BJ$99)+Matrice_Clés_multilignes!F49</f>
        <v>0</v>
      </c>
      <c r="G49" s="260">
        <f>SUMIF('4 - Codes matrice'!$C$4:$C$99,Matrice[[#This Row],[Ligne de la matrice]],'4 - Codes matrice'!BK$4:BK$99)+Matrice_Clés_multilignes!G49</f>
        <v>0</v>
      </c>
      <c r="H49" s="260">
        <f>SUMIF('4 - Codes matrice'!$C$4:$C$99,Matrice[[#This Row],[Ligne de la matrice]],'4 - Codes matrice'!BL$4:BL$99)+Matrice_Clés_multilignes!H49</f>
        <v>0</v>
      </c>
      <c r="I49" s="260">
        <f>SUMIF('4 - Codes matrice'!$C$4:$C$99,Matrice[[#This Row],[Ligne de la matrice]],'4 - Codes matrice'!BM$4:BM$99)+Matrice_Clés_multilignes!I49</f>
        <v>0</v>
      </c>
      <c r="J49" s="260">
        <f>SUMIF('4 - Codes matrice'!$C$4:$C$99,Matrice[[#This Row],[Ligne de la matrice]],'4 - Codes matrice'!BN$4:BN$99)+Matrice_Clés_multilignes!J49</f>
        <v>0</v>
      </c>
      <c r="K49" s="260">
        <f>SUMIF('4 - Codes matrice'!$C$4:$C$99,Matrice[[#This Row],[Ligne de la matrice]],'4 - Codes matrice'!BO$4:BO$99)+Matrice_Clés_multilignes!K49</f>
        <v>0</v>
      </c>
      <c r="L49" s="260">
        <f>SUMIF('4 - Codes matrice'!$C$4:$C$99,Matrice[[#This Row],[Ligne de la matrice]],'4 - Codes matrice'!BP$4:BP$99)+Matrice_Clés_multilignes!L49</f>
        <v>0</v>
      </c>
      <c r="M49" s="260">
        <f>SUMIF('4 - Codes matrice'!$C$4:$C$99,Matrice[[#This Row],[Ligne de la matrice]],'4 - Codes matrice'!BQ$4:BQ$99)+Matrice_Clés_multilignes!M49</f>
        <v>0</v>
      </c>
      <c r="N49" s="260">
        <f>SUMIF('4 - Codes matrice'!$C$4:$C$99,Matrice[[#This Row],[Ligne de la matrice]],'4 - Codes matrice'!BR$4:BR$99)+Matrice_Clés_multilignes!N49</f>
        <v>0</v>
      </c>
      <c r="O49" s="260">
        <f>SUMIF('4 - Codes matrice'!$C$4:$C$99,Matrice[[#This Row],[Ligne de la matrice]],'4 - Codes matrice'!BS$4:BS$99)+Matrice_Clés_multilignes!O49</f>
        <v>0</v>
      </c>
      <c r="P49" s="260">
        <f>SUMIF('4 - Codes matrice'!$C$4:$C$99,Matrice[[#This Row],[Ligne de la matrice]],'4 - Codes matrice'!BT$4:BT$99)+Matrice_Clés_multilignes!P49</f>
        <v>0</v>
      </c>
      <c r="Q49" s="260">
        <f>SUMIF('4 - Codes matrice'!$C$4:$C$99,Matrice[[#This Row],[Ligne de la matrice]],'4 - Codes matrice'!BU$4:BU$99)+Matrice_Clés_multilignes!Q49</f>
        <v>0</v>
      </c>
      <c r="R49" s="260">
        <f>SUMIF('4 - Codes matrice'!$C$4:$C$99,Matrice[[#This Row],[Ligne de la matrice]],'4 - Codes matrice'!BV$4:BV$99)+Matrice_Clés_multilignes!R49</f>
        <v>0</v>
      </c>
      <c r="S49" s="260">
        <f>SUMIF('4 - Codes matrice'!$C$4:$C$99,Matrice[[#This Row],[Ligne de la matrice]],'4 - Codes matrice'!BW$4:BW$99)+Matrice_Clés_multilignes!S49</f>
        <v>0</v>
      </c>
      <c r="T49" s="260">
        <f>SUMIF('4 - Codes matrice'!$C$4:$C$99,Matrice[[#This Row],[Ligne de la matrice]],'4 - Codes matrice'!BX$4:BX$99)+Matrice_Clés_multilignes!T49</f>
        <v>0</v>
      </c>
      <c r="U49" s="260">
        <f>SUMIF('4 - Codes matrice'!$C$4:$C$99,Matrice[[#This Row],[Ligne de la matrice]],'4 - Codes matrice'!BY$4:BY$99)+Matrice_Clés_multilignes!U49</f>
        <v>0</v>
      </c>
      <c r="V49" s="260">
        <f>SUMIF('4 - Codes matrice'!$C$4:$C$99,Matrice[[#This Row],[Ligne de la matrice]],'4 - Codes matrice'!BZ$4:BZ$99)+Matrice_Clés_multilignes!V49</f>
        <v>0</v>
      </c>
      <c r="W49" s="260">
        <f>SUMIF('4 - Codes matrice'!$C$4:$C$99,Matrice[[#This Row],[Ligne de la matrice]],'4 - Codes matrice'!CA$4:CA$99)+Matrice_Clés_multilignes!W49</f>
        <v>0</v>
      </c>
      <c r="X49" s="260">
        <f>SUMIF('4 - Codes matrice'!$C$4:$C$99,Matrice[[#This Row],[Ligne de la matrice]],'4 - Codes matrice'!CB$4:CB$99)+Matrice_Clés_multilignes!X49</f>
        <v>0</v>
      </c>
      <c r="Y49" s="260">
        <f>SUMIF('4 - Codes matrice'!$C$4:$C$99,Matrice[[#This Row],[Ligne de la matrice]],'4 - Codes matrice'!CC$4:CC$99)+Matrice_Clés_multilignes!Y49</f>
        <v>0</v>
      </c>
      <c r="Z49" s="260">
        <f>SUMIF('4 - Codes matrice'!$C$4:$C$99,Matrice[[#This Row],[Ligne de la matrice]],'4 - Codes matrice'!CD$4:CD$99)+Matrice_Clés_multilignes!Z49</f>
        <v>0</v>
      </c>
      <c r="AA49" s="260">
        <f t="shared" si="0"/>
        <v>0</v>
      </c>
    </row>
    <row r="50" spans="1:32" x14ac:dyDescent="0.25">
      <c r="A50" s="45"/>
      <c r="B50" s="260">
        <f>SUMIF('4 - Codes matrice'!$C$4:$C$99,Matrice[[#This Row],[Ligne de la matrice]],'4 - Codes matrice'!BF$4:BF$99)+Matrice_Clés_multilignes!B50</f>
        <v>0</v>
      </c>
      <c r="C50" s="260">
        <f>SUMIF('4 - Codes matrice'!$C$4:$C$99,Matrice[[#This Row],[Ligne de la matrice]],'4 - Codes matrice'!BG$4:BG$99)+Matrice_Clés_multilignes!C50</f>
        <v>0</v>
      </c>
      <c r="D50" s="260">
        <f>SUMIF('4 - Codes matrice'!$C$4:$C$99,Matrice[[#This Row],[Ligne de la matrice]],'4 - Codes matrice'!BH$4:BH$99)+Matrice_Clés_multilignes!D50</f>
        <v>0</v>
      </c>
      <c r="E50" s="260">
        <f>SUMIF('4 - Codes matrice'!$C$4:$C$99,Matrice[[#This Row],[Ligne de la matrice]],'4 - Codes matrice'!BI$4:BI$99)+Matrice_Clés_multilignes!E50</f>
        <v>0</v>
      </c>
      <c r="F50" s="260">
        <f>SUMIF('4 - Codes matrice'!$C$4:$C$99,Matrice[[#This Row],[Ligne de la matrice]],'4 - Codes matrice'!BJ$4:BJ$99)+Matrice_Clés_multilignes!F50</f>
        <v>0</v>
      </c>
      <c r="G50" s="260">
        <f>SUMIF('4 - Codes matrice'!$C$4:$C$99,Matrice[[#This Row],[Ligne de la matrice]],'4 - Codes matrice'!BK$4:BK$99)+Matrice_Clés_multilignes!G50</f>
        <v>0</v>
      </c>
      <c r="H50" s="260">
        <f>SUMIF('4 - Codes matrice'!$C$4:$C$99,Matrice[[#This Row],[Ligne de la matrice]],'4 - Codes matrice'!BL$4:BL$99)+Matrice_Clés_multilignes!H50</f>
        <v>0</v>
      </c>
      <c r="I50" s="260">
        <f>SUMIF('4 - Codes matrice'!$C$4:$C$99,Matrice[[#This Row],[Ligne de la matrice]],'4 - Codes matrice'!BM$4:BM$99)+Matrice_Clés_multilignes!I50</f>
        <v>0</v>
      </c>
      <c r="J50" s="260">
        <f>SUMIF('4 - Codes matrice'!$C$4:$C$99,Matrice[[#This Row],[Ligne de la matrice]],'4 - Codes matrice'!BN$4:BN$99)+Matrice_Clés_multilignes!J50</f>
        <v>0</v>
      </c>
      <c r="K50" s="260">
        <f>SUMIF('4 - Codes matrice'!$C$4:$C$99,Matrice[[#This Row],[Ligne de la matrice]],'4 - Codes matrice'!BO$4:BO$99)+Matrice_Clés_multilignes!K50</f>
        <v>0</v>
      </c>
      <c r="L50" s="260">
        <f>SUMIF('4 - Codes matrice'!$C$4:$C$99,Matrice[[#This Row],[Ligne de la matrice]],'4 - Codes matrice'!BP$4:BP$99)+Matrice_Clés_multilignes!L50</f>
        <v>0</v>
      </c>
      <c r="M50" s="260">
        <f>SUMIF('4 - Codes matrice'!$C$4:$C$99,Matrice[[#This Row],[Ligne de la matrice]],'4 - Codes matrice'!BQ$4:BQ$99)+Matrice_Clés_multilignes!M50</f>
        <v>0</v>
      </c>
      <c r="N50" s="260">
        <f>SUMIF('4 - Codes matrice'!$C$4:$C$99,Matrice[[#This Row],[Ligne de la matrice]],'4 - Codes matrice'!BR$4:BR$99)+Matrice_Clés_multilignes!N50</f>
        <v>0</v>
      </c>
      <c r="O50" s="260">
        <f>SUMIF('4 - Codes matrice'!$C$4:$C$99,Matrice[[#This Row],[Ligne de la matrice]],'4 - Codes matrice'!BS$4:BS$99)+Matrice_Clés_multilignes!O50</f>
        <v>0</v>
      </c>
      <c r="P50" s="260">
        <f>SUMIF('4 - Codes matrice'!$C$4:$C$99,Matrice[[#This Row],[Ligne de la matrice]],'4 - Codes matrice'!BT$4:BT$99)+Matrice_Clés_multilignes!P50</f>
        <v>0</v>
      </c>
      <c r="Q50" s="260">
        <f>SUMIF('4 - Codes matrice'!$C$4:$C$99,Matrice[[#This Row],[Ligne de la matrice]],'4 - Codes matrice'!BU$4:BU$99)+Matrice_Clés_multilignes!Q50</f>
        <v>0</v>
      </c>
      <c r="R50" s="260">
        <f>SUMIF('4 - Codes matrice'!$C$4:$C$99,Matrice[[#This Row],[Ligne de la matrice]],'4 - Codes matrice'!BV$4:BV$99)+Matrice_Clés_multilignes!R50</f>
        <v>0</v>
      </c>
      <c r="S50" s="260">
        <f>SUMIF('4 - Codes matrice'!$C$4:$C$99,Matrice[[#This Row],[Ligne de la matrice]],'4 - Codes matrice'!BW$4:BW$99)+Matrice_Clés_multilignes!S50</f>
        <v>0</v>
      </c>
      <c r="T50" s="260">
        <f>SUMIF('4 - Codes matrice'!$C$4:$C$99,Matrice[[#This Row],[Ligne de la matrice]],'4 - Codes matrice'!BX$4:BX$99)+Matrice_Clés_multilignes!T50</f>
        <v>0</v>
      </c>
      <c r="U50" s="260">
        <f>SUMIF('4 - Codes matrice'!$C$4:$C$99,Matrice[[#This Row],[Ligne de la matrice]],'4 - Codes matrice'!BY$4:BY$99)+Matrice_Clés_multilignes!U50</f>
        <v>0</v>
      </c>
      <c r="V50" s="260">
        <f>SUMIF('4 - Codes matrice'!$C$4:$C$99,Matrice[[#This Row],[Ligne de la matrice]],'4 - Codes matrice'!BZ$4:BZ$99)+Matrice_Clés_multilignes!V50</f>
        <v>0</v>
      </c>
      <c r="W50" s="260">
        <f>SUMIF('4 - Codes matrice'!$C$4:$C$99,Matrice[[#This Row],[Ligne de la matrice]],'4 - Codes matrice'!CA$4:CA$99)+Matrice_Clés_multilignes!W50</f>
        <v>0</v>
      </c>
      <c r="X50" s="260">
        <f>SUMIF('4 - Codes matrice'!$C$4:$C$99,Matrice[[#This Row],[Ligne de la matrice]],'4 - Codes matrice'!CB$4:CB$99)+Matrice_Clés_multilignes!X50</f>
        <v>0</v>
      </c>
      <c r="Y50" s="260">
        <f>SUMIF('4 - Codes matrice'!$C$4:$C$99,Matrice[[#This Row],[Ligne de la matrice]],'4 - Codes matrice'!CC$4:CC$99)+Matrice_Clés_multilignes!Y50</f>
        <v>0</v>
      </c>
      <c r="Z50" s="260">
        <f>SUMIF('4 - Codes matrice'!$C$4:$C$99,Matrice[[#This Row],[Ligne de la matrice]],'4 - Codes matrice'!CD$4:CD$99)+Matrice_Clés_multilignes!Z50</f>
        <v>0</v>
      </c>
      <c r="AA50" s="260">
        <f t="shared" si="0"/>
        <v>0</v>
      </c>
    </row>
    <row r="51" spans="1:32" ht="12.75" customHeight="1" x14ac:dyDescent="0.25">
      <c r="A51" s="45"/>
      <c r="B51" s="260">
        <f>SUMIF('4 - Codes matrice'!$C$4:$C$99,Matrice[[#This Row],[Ligne de la matrice]],'4 - Codes matrice'!BF$4:BF$99)+Matrice_Clés_multilignes!B51</f>
        <v>0</v>
      </c>
      <c r="C51" s="260">
        <f>SUMIF('4 - Codes matrice'!$C$4:$C$99,Matrice[[#This Row],[Ligne de la matrice]],'4 - Codes matrice'!BG$4:BG$99)+Matrice_Clés_multilignes!C51</f>
        <v>0</v>
      </c>
      <c r="D51" s="260">
        <f>SUMIF('4 - Codes matrice'!$C$4:$C$99,Matrice[[#This Row],[Ligne de la matrice]],'4 - Codes matrice'!BH$4:BH$99)+Matrice_Clés_multilignes!D51</f>
        <v>0</v>
      </c>
      <c r="E51" s="260">
        <f>SUMIF('4 - Codes matrice'!$C$4:$C$99,Matrice[[#This Row],[Ligne de la matrice]],'4 - Codes matrice'!BI$4:BI$99)+Matrice_Clés_multilignes!E51</f>
        <v>0</v>
      </c>
      <c r="F51" s="260">
        <f>SUMIF('4 - Codes matrice'!$C$4:$C$99,Matrice[[#This Row],[Ligne de la matrice]],'4 - Codes matrice'!BJ$4:BJ$99)+Matrice_Clés_multilignes!F51</f>
        <v>0</v>
      </c>
      <c r="G51" s="260">
        <f>SUMIF('4 - Codes matrice'!$C$4:$C$99,Matrice[[#This Row],[Ligne de la matrice]],'4 - Codes matrice'!BK$4:BK$99)+Matrice_Clés_multilignes!G51</f>
        <v>0</v>
      </c>
      <c r="H51" s="260">
        <f>SUMIF('4 - Codes matrice'!$C$4:$C$99,Matrice[[#This Row],[Ligne de la matrice]],'4 - Codes matrice'!BL$4:BL$99)+Matrice_Clés_multilignes!H51</f>
        <v>0</v>
      </c>
      <c r="I51" s="260">
        <f>SUMIF('4 - Codes matrice'!$C$4:$C$99,Matrice[[#This Row],[Ligne de la matrice]],'4 - Codes matrice'!BM$4:BM$99)+Matrice_Clés_multilignes!I51</f>
        <v>0</v>
      </c>
      <c r="J51" s="260">
        <f>SUMIF('4 - Codes matrice'!$C$4:$C$99,Matrice[[#This Row],[Ligne de la matrice]],'4 - Codes matrice'!BN$4:BN$99)+Matrice_Clés_multilignes!J51</f>
        <v>0</v>
      </c>
      <c r="K51" s="260">
        <f>SUMIF('4 - Codes matrice'!$C$4:$C$99,Matrice[[#This Row],[Ligne de la matrice]],'4 - Codes matrice'!BO$4:BO$99)+Matrice_Clés_multilignes!K51</f>
        <v>0</v>
      </c>
      <c r="L51" s="260">
        <f>SUMIF('4 - Codes matrice'!$C$4:$C$99,Matrice[[#This Row],[Ligne de la matrice]],'4 - Codes matrice'!BP$4:BP$99)+Matrice_Clés_multilignes!L51</f>
        <v>0</v>
      </c>
      <c r="M51" s="260">
        <f>SUMIF('4 - Codes matrice'!$C$4:$C$99,Matrice[[#This Row],[Ligne de la matrice]],'4 - Codes matrice'!BQ$4:BQ$99)+Matrice_Clés_multilignes!M51</f>
        <v>0</v>
      </c>
      <c r="N51" s="260">
        <f>SUMIF('4 - Codes matrice'!$C$4:$C$99,Matrice[[#This Row],[Ligne de la matrice]],'4 - Codes matrice'!BR$4:BR$99)+Matrice_Clés_multilignes!N51</f>
        <v>0</v>
      </c>
      <c r="O51" s="260">
        <f>SUMIF('4 - Codes matrice'!$C$4:$C$99,Matrice[[#This Row],[Ligne de la matrice]],'4 - Codes matrice'!BS$4:BS$99)+Matrice_Clés_multilignes!O51</f>
        <v>0</v>
      </c>
      <c r="P51" s="260">
        <f>SUMIF('4 - Codes matrice'!$C$4:$C$99,Matrice[[#This Row],[Ligne de la matrice]],'4 - Codes matrice'!BT$4:BT$99)+Matrice_Clés_multilignes!P51</f>
        <v>0</v>
      </c>
      <c r="Q51" s="260">
        <f>SUMIF('4 - Codes matrice'!$C$4:$C$99,Matrice[[#This Row],[Ligne de la matrice]],'4 - Codes matrice'!BU$4:BU$99)+Matrice_Clés_multilignes!Q51</f>
        <v>0</v>
      </c>
      <c r="R51" s="260">
        <f>SUMIF('4 - Codes matrice'!$C$4:$C$99,Matrice[[#This Row],[Ligne de la matrice]],'4 - Codes matrice'!BV$4:BV$99)+Matrice_Clés_multilignes!R51</f>
        <v>0</v>
      </c>
      <c r="S51" s="260">
        <f>SUMIF('4 - Codes matrice'!$C$4:$C$99,Matrice[[#This Row],[Ligne de la matrice]],'4 - Codes matrice'!BW$4:BW$99)+Matrice_Clés_multilignes!S51</f>
        <v>0</v>
      </c>
      <c r="T51" s="260">
        <f>SUMIF('4 - Codes matrice'!$C$4:$C$99,Matrice[[#This Row],[Ligne de la matrice]],'4 - Codes matrice'!BX$4:BX$99)+Matrice_Clés_multilignes!T51</f>
        <v>0</v>
      </c>
      <c r="U51" s="260">
        <f>SUMIF('4 - Codes matrice'!$C$4:$C$99,Matrice[[#This Row],[Ligne de la matrice]],'4 - Codes matrice'!BY$4:BY$99)+Matrice_Clés_multilignes!U51</f>
        <v>0</v>
      </c>
      <c r="V51" s="260">
        <f>SUMIF('4 - Codes matrice'!$C$4:$C$99,Matrice[[#This Row],[Ligne de la matrice]],'4 - Codes matrice'!BZ$4:BZ$99)+Matrice_Clés_multilignes!V51</f>
        <v>0</v>
      </c>
      <c r="W51" s="260">
        <f>SUMIF('4 - Codes matrice'!$C$4:$C$99,Matrice[[#This Row],[Ligne de la matrice]],'4 - Codes matrice'!CA$4:CA$99)+Matrice_Clés_multilignes!W51</f>
        <v>0</v>
      </c>
      <c r="X51" s="260">
        <f>SUMIF('4 - Codes matrice'!$C$4:$C$99,Matrice[[#This Row],[Ligne de la matrice]],'4 - Codes matrice'!CB$4:CB$99)+Matrice_Clés_multilignes!X51</f>
        <v>0</v>
      </c>
      <c r="Y51" s="260">
        <f>SUMIF('4 - Codes matrice'!$C$4:$C$99,Matrice[[#This Row],[Ligne de la matrice]],'4 - Codes matrice'!CC$4:CC$99)+Matrice_Clés_multilignes!Y51</f>
        <v>0</v>
      </c>
      <c r="Z51" s="260">
        <f>SUMIF('4 - Codes matrice'!$C$4:$C$99,Matrice[[#This Row],[Ligne de la matrice]],'4 - Codes matrice'!CD$4:CD$99)+Matrice_Clés_multilignes!Z51</f>
        <v>0</v>
      </c>
      <c r="AA51" s="260">
        <f t="shared" si="0"/>
        <v>0</v>
      </c>
    </row>
    <row r="52" spans="1:32" x14ac:dyDescent="0.25">
      <c r="A52" s="45"/>
      <c r="B52" s="260">
        <f>SUMIF('4 - Codes matrice'!$C$4:$C$99,Matrice[[#This Row],[Ligne de la matrice]],'4 - Codes matrice'!BF$4:BF$99)+Matrice_Clés_multilignes!B52</f>
        <v>0</v>
      </c>
      <c r="C52" s="260">
        <f>SUMIF('4 - Codes matrice'!$C$4:$C$99,Matrice[[#This Row],[Ligne de la matrice]],'4 - Codes matrice'!BG$4:BG$99)+Matrice_Clés_multilignes!C52</f>
        <v>0</v>
      </c>
      <c r="D52" s="260">
        <f>SUMIF('4 - Codes matrice'!$C$4:$C$99,Matrice[[#This Row],[Ligne de la matrice]],'4 - Codes matrice'!BH$4:BH$99)+Matrice_Clés_multilignes!D52</f>
        <v>0</v>
      </c>
      <c r="E52" s="260">
        <f>SUMIF('4 - Codes matrice'!$C$4:$C$99,Matrice[[#This Row],[Ligne de la matrice]],'4 - Codes matrice'!BI$4:BI$99)+Matrice_Clés_multilignes!E52</f>
        <v>0</v>
      </c>
      <c r="F52" s="260">
        <f>SUMIF('4 - Codes matrice'!$C$4:$C$99,Matrice[[#This Row],[Ligne de la matrice]],'4 - Codes matrice'!BJ$4:BJ$99)+Matrice_Clés_multilignes!F52</f>
        <v>0</v>
      </c>
      <c r="G52" s="260">
        <f>SUMIF('4 - Codes matrice'!$C$4:$C$99,Matrice[[#This Row],[Ligne de la matrice]],'4 - Codes matrice'!BK$4:BK$99)+Matrice_Clés_multilignes!G52</f>
        <v>0</v>
      </c>
      <c r="H52" s="260">
        <f>SUMIF('4 - Codes matrice'!$C$4:$C$99,Matrice[[#This Row],[Ligne de la matrice]],'4 - Codes matrice'!BL$4:BL$99)+Matrice_Clés_multilignes!H52</f>
        <v>0</v>
      </c>
      <c r="I52" s="260">
        <f>SUMIF('4 - Codes matrice'!$C$4:$C$99,Matrice[[#This Row],[Ligne de la matrice]],'4 - Codes matrice'!BM$4:BM$99)+Matrice_Clés_multilignes!I52</f>
        <v>0</v>
      </c>
      <c r="J52" s="260">
        <f>SUMIF('4 - Codes matrice'!$C$4:$C$99,Matrice[[#This Row],[Ligne de la matrice]],'4 - Codes matrice'!BN$4:BN$99)+Matrice_Clés_multilignes!J52</f>
        <v>0</v>
      </c>
      <c r="K52" s="260">
        <f>SUMIF('4 - Codes matrice'!$C$4:$C$99,Matrice[[#This Row],[Ligne de la matrice]],'4 - Codes matrice'!BO$4:BO$99)+Matrice_Clés_multilignes!K52</f>
        <v>0</v>
      </c>
      <c r="L52" s="260">
        <f>SUMIF('4 - Codes matrice'!$C$4:$C$99,Matrice[[#This Row],[Ligne de la matrice]],'4 - Codes matrice'!BP$4:BP$99)+Matrice_Clés_multilignes!L52</f>
        <v>0</v>
      </c>
      <c r="M52" s="260">
        <f>SUMIF('4 - Codes matrice'!$C$4:$C$99,Matrice[[#This Row],[Ligne de la matrice]],'4 - Codes matrice'!BQ$4:BQ$99)+Matrice_Clés_multilignes!M52</f>
        <v>0</v>
      </c>
      <c r="N52" s="260">
        <f>SUMIF('4 - Codes matrice'!$C$4:$C$99,Matrice[[#This Row],[Ligne de la matrice]],'4 - Codes matrice'!BR$4:BR$99)+Matrice_Clés_multilignes!N52</f>
        <v>0</v>
      </c>
      <c r="O52" s="260">
        <f>SUMIF('4 - Codes matrice'!$C$4:$C$99,Matrice[[#This Row],[Ligne de la matrice]],'4 - Codes matrice'!BS$4:BS$99)+Matrice_Clés_multilignes!O52</f>
        <v>0</v>
      </c>
      <c r="P52" s="260">
        <f>SUMIF('4 - Codes matrice'!$C$4:$C$99,Matrice[[#This Row],[Ligne de la matrice]],'4 - Codes matrice'!BT$4:BT$99)+Matrice_Clés_multilignes!P52</f>
        <v>0</v>
      </c>
      <c r="Q52" s="260">
        <f>SUMIF('4 - Codes matrice'!$C$4:$C$99,Matrice[[#This Row],[Ligne de la matrice]],'4 - Codes matrice'!BU$4:BU$99)+Matrice_Clés_multilignes!Q52</f>
        <v>0</v>
      </c>
      <c r="R52" s="260">
        <f>SUMIF('4 - Codes matrice'!$C$4:$C$99,Matrice[[#This Row],[Ligne de la matrice]],'4 - Codes matrice'!BV$4:BV$99)+Matrice_Clés_multilignes!R52</f>
        <v>0</v>
      </c>
      <c r="S52" s="260">
        <f>SUMIF('4 - Codes matrice'!$C$4:$C$99,Matrice[[#This Row],[Ligne de la matrice]],'4 - Codes matrice'!BW$4:BW$99)+Matrice_Clés_multilignes!S52</f>
        <v>0</v>
      </c>
      <c r="T52" s="260">
        <f>SUMIF('4 - Codes matrice'!$C$4:$C$99,Matrice[[#This Row],[Ligne de la matrice]],'4 - Codes matrice'!BX$4:BX$99)+Matrice_Clés_multilignes!T52</f>
        <v>0</v>
      </c>
      <c r="U52" s="260">
        <f>SUMIF('4 - Codes matrice'!$C$4:$C$99,Matrice[[#This Row],[Ligne de la matrice]],'4 - Codes matrice'!BY$4:BY$99)+Matrice_Clés_multilignes!U52</f>
        <v>0</v>
      </c>
      <c r="V52" s="260">
        <f>SUMIF('4 - Codes matrice'!$C$4:$C$99,Matrice[[#This Row],[Ligne de la matrice]],'4 - Codes matrice'!BZ$4:BZ$99)+Matrice_Clés_multilignes!V52</f>
        <v>0</v>
      </c>
      <c r="W52" s="260">
        <f>SUMIF('4 - Codes matrice'!$C$4:$C$99,Matrice[[#This Row],[Ligne de la matrice]],'4 - Codes matrice'!CA$4:CA$99)+Matrice_Clés_multilignes!W52</f>
        <v>0</v>
      </c>
      <c r="X52" s="260">
        <f>SUMIF('4 - Codes matrice'!$C$4:$C$99,Matrice[[#This Row],[Ligne de la matrice]],'4 - Codes matrice'!CB$4:CB$99)+Matrice_Clés_multilignes!X52</f>
        <v>0</v>
      </c>
      <c r="Y52" s="260">
        <f>SUMIF('4 - Codes matrice'!$C$4:$C$99,Matrice[[#This Row],[Ligne de la matrice]],'4 - Codes matrice'!CC$4:CC$99)+Matrice_Clés_multilignes!Y52</f>
        <v>0</v>
      </c>
      <c r="Z52" s="260">
        <f>SUMIF('4 - Codes matrice'!$C$4:$C$99,Matrice[[#This Row],[Ligne de la matrice]],'4 - Codes matrice'!CD$4:CD$99)+Matrice_Clés_multilignes!Z52</f>
        <v>0</v>
      </c>
      <c r="AA52" s="260">
        <f t="shared" si="0"/>
        <v>0</v>
      </c>
    </row>
    <row r="53" spans="1:32" hidden="1" x14ac:dyDescent="0.25">
      <c r="A53" s="7"/>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row>
    <row r="54" spans="1:32" s="22" customFormat="1" ht="12.75" hidden="1" customHeight="1" x14ac:dyDescent="0.25">
      <c r="A54" s="24" t="s">
        <v>216</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5"/>
      <c r="AC54" s="7"/>
      <c r="AD54" s="7"/>
      <c r="AE54" s="7"/>
      <c r="AF54" s="7"/>
    </row>
    <row r="55" spans="1:32" ht="47.25" customHeight="1" x14ac:dyDescent="0.4">
      <c r="A55" s="257" t="s">
        <v>217</v>
      </c>
    </row>
    <row r="57" spans="1:32" x14ac:dyDescent="0.25">
      <c r="A57" s="253" t="s">
        <v>218</v>
      </c>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5"/>
    </row>
    <row r="58" spans="1:32" x14ac:dyDescent="0.25">
      <c r="A58" s="253" t="s">
        <v>219</v>
      </c>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5"/>
    </row>
    <row r="59" spans="1:32" x14ac:dyDescent="0.25">
      <c r="A59" s="253" t="s">
        <v>220</v>
      </c>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6"/>
    </row>
    <row r="60" spans="1:32" x14ac:dyDescent="0.25">
      <c r="A60" s="253" t="s">
        <v>221</v>
      </c>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6"/>
    </row>
    <row r="61" spans="1:32" x14ac:dyDescent="0.25">
      <c r="A61" s="253" t="s">
        <v>222</v>
      </c>
      <c r="B61" s="404" t="str">
        <f>IFERROR((B58-B60)/(B57-B59)*1000,"")</f>
        <v/>
      </c>
      <c r="C61" s="404" t="str">
        <f t="shared" ref="C61:Z61" si="12">IFERROR((C58-C60)/(C57-C59)*1000,"")</f>
        <v/>
      </c>
      <c r="D61" s="404" t="str">
        <f t="shared" si="12"/>
        <v/>
      </c>
      <c r="E61" s="404" t="str">
        <f t="shared" si="12"/>
        <v/>
      </c>
      <c r="F61" s="404" t="str">
        <f t="shared" si="12"/>
        <v/>
      </c>
      <c r="G61" s="404" t="str">
        <f t="shared" si="12"/>
        <v/>
      </c>
      <c r="H61" s="404" t="str">
        <f t="shared" si="12"/>
        <v/>
      </c>
      <c r="I61" s="404" t="str">
        <f t="shared" si="12"/>
        <v/>
      </c>
      <c r="J61" s="404" t="str">
        <f t="shared" si="12"/>
        <v/>
      </c>
      <c r="K61" s="404" t="str">
        <f t="shared" si="12"/>
        <v/>
      </c>
      <c r="L61" s="404" t="str">
        <f t="shared" si="12"/>
        <v/>
      </c>
      <c r="M61" s="404" t="str">
        <f t="shared" si="12"/>
        <v/>
      </c>
      <c r="N61" s="404" t="str">
        <f t="shared" si="12"/>
        <v/>
      </c>
      <c r="O61" s="404" t="str">
        <f t="shared" si="12"/>
        <v/>
      </c>
      <c r="P61" s="404" t="str">
        <f t="shared" si="12"/>
        <v/>
      </c>
      <c r="Q61" s="404" t="str">
        <f t="shared" si="12"/>
        <v/>
      </c>
      <c r="R61" s="404" t="str">
        <f t="shared" si="12"/>
        <v/>
      </c>
      <c r="S61" s="404" t="str">
        <f t="shared" si="12"/>
        <v/>
      </c>
      <c r="T61" s="404" t="str">
        <f t="shared" si="12"/>
        <v/>
      </c>
      <c r="U61" s="404" t="str">
        <f t="shared" si="12"/>
        <v/>
      </c>
      <c r="V61" s="404" t="str">
        <f t="shared" si="12"/>
        <v/>
      </c>
      <c r="W61" s="404" t="str">
        <f t="shared" si="12"/>
        <v/>
      </c>
      <c r="X61" s="404" t="str">
        <f t="shared" si="12"/>
        <v/>
      </c>
      <c r="Y61" s="404" t="str">
        <f t="shared" si="12"/>
        <v/>
      </c>
      <c r="Z61" s="404" t="str">
        <f t="shared" si="12"/>
        <v/>
      </c>
      <c r="AA61" s="405"/>
    </row>
    <row r="62" spans="1:32" ht="47.25" customHeight="1" x14ac:dyDescent="0.4">
      <c r="A62" s="257" t="s">
        <v>1247</v>
      </c>
    </row>
    <row r="63" spans="1:32" x14ac:dyDescent="0.25">
      <c r="A63" s="254"/>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f>SUM(A63:E63)</f>
        <v>0</v>
      </c>
    </row>
    <row r="64" spans="1:32" x14ac:dyDescent="0.2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f t="shared" ref="AA64:AA69" si="13">SUM(A64:E64)</f>
        <v>0</v>
      </c>
    </row>
    <row r="65" spans="1:27" x14ac:dyDescent="0.25">
      <c r="A65" s="254"/>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f t="shared" si="13"/>
        <v>0</v>
      </c>
    </row>
    <row r="66" spans="1:27" x14ac:dyDescent="0.25">
      <c r="A66" s="254"/>
      <c r="B66" s="254"/>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f t="shared" si="13"/>
        <v>0</v>
      </c>
    </row>
    <row r="67" spans="1:27" x14ac:dyDescent="0.25">
      <c r="A67" s="254"/>
      <c r="B67" s="254"/>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f t="shared" si="13"/>
        <v>0</v>
      </c>
    </row>
    <row r="68" spans="1:27" x14ac:dyDescent="0.25">
      <c r="A68" s="254"/>
      <c r="B68" s="254"/>
      <c r="C68" s="254"/>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254">
        <f t="shared" si="13"/>
        <v>0</v>
      </c>
    </row>
    <row r="69" spans="1:27" x14ac:dyDescent="0.25">
      <c r="A69" s="254"/>
      <c r="B69" s="254"/>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f t="shared" si="13"/>
        <v>0</v>
      </c>
    </row>
    <row r="70" spans="1:27" ht="56.25" customHeight="1" x14ac:dyDescent="0.4">
      <c r="A70" s="19" t="s">
        <v>223</v>
      </c>
    </row>
    <row r="72" spans="1:27" x14ac:dyDescent="0.25">
      <c r="A72" s="42" t="s">
        <v>224</v>
      </c>
      <c r="B72" s="261">
        <f>SUMIF(Lignes_sinoe,"Charges de structure",Matrice[OMR])
+SUMIF(Lignes_sinoe,"Communication",Matrice[OMR])</f>
        <v>0</v>
      </c>
      <c r="C72" s="261">
        <f>SUMIF(Lignes_sinoe,"Charges de structure",Matrice[Verre])
+SUMIF(Lignes_sinoe,"Communication",Matrice[Verre])</f>
        <v>0</v>
      </c>
      <c r="D72" s="261">
        <f>SUMIF(Lignes_sinoe,"Charges de structure",Matrice[RSOM hors verre])
+SUMIF(Lignes_sinoe,"Communication",Matrice[RSOM hors verre])</f>
        <v>0</v>
      </c>
      <c r="E72" s="261">
        <f>SUMIF(Lignes_sinoe,"Charges de structure",Matrice[Déchets des déchèteries])
+SUMIF(Lignes_sinoe,"Communication",Matrice[Déchets des déchèteries])</f>
        <v>0</v>
      </c>
      <c r="F72" s="261">
        <f>SUMIF(Lignes_sinoe,"Charges de structure",Matrice[Flux 5])
+SUMIF(Lignes_sinoe,"Communication",Matrice[Flux 5])</f>
        <v>0</v>
      </c>
      <c r="G72" s="261">
        <f>SUMIF(Lignes_sinoe,"Charges de structure",Matrice[Flux 6])
+SUMIF(Lignes_sinoe,"Communication",Matrice[Flux 6])</f>
        <v>0</v>
      </c>
      <c r="H72" s="261">
        <f>SUMIF(Lignes_sinoe,"Charges de structure",Matrice[Flux 7])
+SUMIF(Lignes_sinoe,"Communication",Matrice[Flux 7])</f>
        <v>0</v>
      </c>
      <c r="I72" s="261">
        <f>SUMIF(Lignes_sinoe,"Charges de structure",Matrice[Flux 8])
+SUMIF(Lignes_sinoe,"Communication",Matrice[Flux 8])</f>
        <v>0</v>
      </c>
      <c r="J72" s="261">
        <f>SUMIF(Lignes_sinoe,"Charges de structure",Matrice[Flux 9])
+SUMIF(Lignes_sinoe,"Communication",Matrice[Flux 9])</f>
        <v>0</v>
      </c>
      <c r="K72" s="261">
        <f>SUMIF(Lignes_sinoe,"Charges de structure",Matrice[Flux 10])
+SUMIF(Lignes_sinoe,"Communication",Matrice[Flux 10])</f>
        <v>0</v>
      </c>
      <c r="L72" s="261">
        <f>SUMIF(Lignes_sinoe,"Charges de structure",Matrice[Flux 11])
+SUMIF(Lignes_sinoe,"Communication",Matrice[Flux 11])</f>
        <v>0</v>
      </c>
      <c r="M72" s="261">
        <f>SUMIF(Lignes_sinoe,"Charges de structure",Matrice[Flux 12])
+SUMIF(Lignes_sinoe,"Communication",Matrice[Flux 12])</f>
        <v>0</v>
      </c>
      <c r="N72" s="261">
        <f>SUMIF(Lignes_sinoe,"Charges de structure",Matrice[Flux 13])
+SUMIF(Lignes_sinoe,"Communication",Matrice[Flux 13])</f>
        <v>0</v>
      </c>
      <c r="O72" s="261">
        <f>SUMIF(Lignes_sinoe,"Charges de structure",Matrice[Flux 14])
+SUMIF(Lignes_sinoe,"Communication",Matrice[Flux 14])</f>
        <v>0</v>
      </c>
      <c r="P72" s="261">
        <f>SUMIF(Lignes_sinoe,"Charges de structure",Matrice[Flux 15])
+SUMIF(Lignes_sinoe,"Communication",Matrice[Flux 15])</f>
        <v>0</v>
      </c>
      <c r="Q72" s="261">
        <f>SUMIF(Lignes_sinoe,"Charges de structure",Matrice[Flux 16])
+SUMIF(Lignes_sinoe,"Communication",Matrice[Flux 16])</f>
        <v>0</v>
      </c>
      <c r="R72" s="261">
        <f>SUMIF(Lignes_sinoe,"Charges de structure",Matrice[Flux 17])
+SUMIF(Lignes_sinoe,"Communication",Matrice[Flux 17])</f>
        <v>0</v>
      </c>
      <c r="S72" s="261">
        <f>SUMIF(Lignes_sinoe,"Charges de structure",Matrice[Flux 18])
+SUMIF(Lignes_sinoe,"Communication",Matrice[Flux 18])</f>
        <v>0</v>
      </c>
      <c r="T72" s="261">
        <f>SUMIF(Lignes_sinoe,"Charges de structure",Matrice[Flux 19])
+SUMIF(Lignes_sinoe,"Communication",Matrice[Flux 19])</f>
        <v>0</v>
      </c>
      <c r="U72" s="261">
        <f>SUMIF(Lignes_sinoe,"Charges de structure",Matrice[Flux 20])
+SUMIF(Lignes_sinoe,"Communication",Matrice[Flux 20])</f>
        <v>0</v>
      </c>
      <c r="V72" s="261">
        <f>SUMIF(Lignes_sinoe,"Charges de structure",Matrice[Flux 21])
+SUMIF(Lignes_sinoe,"Communication",Matrice[Flux 21])</f>
        <v>0</v>
      </c>
      <c r="W72" s="261">
        <f>SUMIF(Lignes_sinoe,"Charges de structure",Matrice[Flux 22])
+SUMIF(Lignes_sinoe,"Communication",Matrice[Flux 22])</f>
        <v>0</v>
      </c>
      <c r="X72" s="261">
        <f>SUMIF(Lignes_sinoe,"Charges de structure",Matrice[Flux 23])
+SUMIF(Lignes_sinoe,"Communication",Matrice[Flux 23])</f>
        <v>0</v>
      </c>
      <c r="Y72" s="261">
        <f>SUMIF(Lignes_sinoe,"Charges de structure",Matrice[Flux 24])
+SUMIF(Lignes_sinoe,"Communication",Matrice[Flux 24])</f>
        <v>0</v>
      </c>
      <c r="Z72" s="261">
        <f>SUMIF(Lignes_sinoe,"Charges de structure",Matrice[Flux 25])
+SUMIF(Lignes_sinoe,"Communication",Matrice[Flux 25])</f>
        <v>0</v>
      </c>
      <c r="AA72" s="261">
        <f>SUM(B72:Z72)</f>
        <v>0</v>
      </c>
    </row>
    <row r="73" spans="1:27" x14ac:dyDescent="0.25">
      <c r="A73" s="42" t="s">
        <v>225</v>
      </c>
      <c r="B73" s="261">
        <f>SUM(B7:B22,B44:B52)</f>
        <v>0</v>
      </c>
      <c r="C73" s="261">
        <f t="shared" ref="C73:Z73" si="14">SUM(C7:C22,C44:C52)</f>
        <v>0</v>
      </c>
      <c r="D73" s="261">
        <f t="shared" si="14"/>
        <v>0</v>
      </c>
      <c r="E73" s="261">
        <f t="shared" si="14"/>
        <v>0</v>
      </c>
      <c r="F73" s="261">
        <f t="shared" si="14"/>
        <v>0</v>
      </c>
      <c r="G73" s="261">
        <f t="shared" si="14"/>
        <v>0</v>
      </c>
      <c r="H73" s="261">
        <f t="shared" si="14"/>
        <v>0</v>
      </c>
      <c r="I73" s="261">
        <f t="shared" si="14"/>
        <v>0</v>
      </c>
      <c r="J73" s="261">
        <f t="shared" si="14"/>
        <v>0</v>
      </c>
      <c r="K73" s="261">
        <f t="shared" si="14"/>
        <v>0</v>
      </c>
      <c r="L73" s="261">
        <f t="shared" si="14"/>
        <v>0</v>
      </c>
      <c r="M73" s="261">
        <f t="shared" si="14"/>
        <v>0</v>
      </c>
      <c r="N73" s="261">
        <f t="shared" si="14"/>
        <v>0</v>
      </c>
      <c r="O73" s="261">
        <f t="shared" si="14"/>
        <v>0</v>
      </c>
      <c r="P73" s="261">
        <f t="shared" si="14"/>
        <v>0</v>
      </c>
      <c r="Q73" s="261">
        <f t="shared" si="14"/>
        <v>0</v>
      </c>
      <c r="R73" s="261">
        <f t="shared" si="14"/>
        <v>0</v>
      </c>
      <c r="S73" s="261">
        <f t="shared" si="14"/>
        <v>0</v>
      </c>
      <c r="T73" s="261">
        <f t="shared" si="14"/>
        <v>0</v>
      </c>
      <c r="U73" s="261">
        <f t="shared" si="14"/>
        <v>0</v>
      </c>
      <c r="V73" s="261">
        <f t="shared" si="14"/>
        <v>0</v>
      </c>
      <c r="W73" s="261">
        <f t="shared" si="14"/>
        <v>0</v>
      </c>
      <c r="X73" s="261">
        <f t="shared" si="14"/>
        <v>0</v>
      </c>
      <c r="Y73" s="261">
        <f t="shared" si="14"/>
        <v>0</v>
      </c>
      <c r="Z73" s="261">
        <f t="shared" si="14"/>
        <v>0</v>
      </c>
      <c r="AA73" s="261">
        <f t="shared" ref="AA73:AA78" si="15">SUM(B73:Z73)</f>
        <v>0</v>
      </c>
    </row>
    <row r="74" spans="1:27" s="259" customFormat="1" x14ac:dyDescent="0.25">
      <c r="A74" s="258" t="s">
        <v>226</v>
      </c>
      <c r="B74" s="262">
        <f>B72+B73</f>
        <v>0</v>
      </c>
      <c r="C74" s="262">
        <f t="shared" ref="C74:Z74" si="16">C72+C73</f>
        <v>0</v>
      </c>
      <c r="D74" s="262">
        <f t="shared" si="16"/>
        <v>0</v>
      </c>
      <c r="E74" s="262">
        <f t="shared" si="16"/>
        <v>0</v>
      </c>
      <c r="F74" s="262">
        <f t="shared" si="16"/>
        <v>0</v>
      </c>
      <c r="G74" s="262">
        <f t="shared" si="16"/>
        <v>0</v>
      </c>
      <c r="H74" s="262">
        <f t="shared" si="16"/>
        <v>0</v>
      </c>
      <c r="I74" s="262">
        <f t="shared" si="16"/>
        <v>0</v>
      </c>
      <c r="J74" s="262">
        <f t="shared" si="16"/>
        <v>0</v>
      </c>
      <c r="K74" s="262">
        <f t="shared" si="16"/>
        <v>0</v>
      </c>
      <c r="L74" s="262">
        <f t="shared" si="16"/>
        <v>0</v>
      </c>
      <c r="M74" s="262">
        <f t="shared" si="16"/>
        <v>0</v>
      </c>
      <c r="N74" s="262">
        <f t="shared" si="16"/>
        <v>0</v>
      </c>
      <c r="O74" s="262">
        <f t="shared" si="16"/>
        <v>0</v>
      </c>
      <c r="P74" s="262">
        <f t="shared" si="16"/>
        <v>0</v>
      </c>
      <c r="Q74" s="262">
        <f t="shared" si="16"/>
        <v>0</v>
      </c>
      <c r="R74" s="262">
        <f t="shared" si="16"/>
        <v>0</v>
      </c>
      <c r="S74" s="262">
        <f t="shared" si="16"/>
        <v>0</v>
      </c>
      <c r="T74" s="262">
        <f t="shared" si="16"/>
        <v>0</v>
      </c>
      <c r="U74" s="262">
        <f t="shared" si="16"/>
        <v>0</v>
      </c>
      <c r="V74" s="262">
        <f t="shared" si="16"/>
        <v>0</v>
      </c>
      <c r="W74" s="262">
        <f t="shared" si="16"/>
        <v>0</v>
      </c>
      <c r="X74" s="262">
        <f t="shared" si="16"/>
        <v>0</v>
      </c>
      <c r="Y74" s="262">
        <f t="shared" si="16"/>
        <v>0</v>
      </c>
      <c r="Z74" s="262">
        <f t="shared" si="16"/>
        <v>0</v>
      </c>
      <c r="AA74" s="262">
        <f t="shared" si="15"/>
        <v>0</v>
      </c>
    </row>
    <row r="75" spans="1:27" s="259" customFormat="1" x14ac:dyDescent="0.25">
      <c r="A75" s="258" t="s">
        <v>227</v>
      </c>
      <c r="B75" s="262">
        <f>SUMIF(Lignes_sinoe,"total produits",Matrice[OMR])</f>
        <v>0</v>
      </c>
      <c r="C75" s="262">
        <f>SUMIF(Lignes_sinoe,"total produits",Matrice[Verre])</f>
        <v>0</v>
      </c>
      <c r="D75" s="262">
        <f>SUMIF(Lignes_sinoe,"total produits",Matrice[RSOM hors verre])</f>
        <v>0</v>
      </c>
      <c r="E75" s="262">
        <f>SUMIF(Lignes_sinoe,"total produits",Matrice[Déchets des déchèteries])</f>
        <v>0</v>
      </c>
      <c r="F75" s="262">
        <f>SUMIF(Lignes_sinoe,"total produits",Matrice[Flux 5])</f>
        <v>0</v>
      </c>
      <c r="G75" s="262">
        <f>SUMIF(Lignes_sinoe,"total produits",Matrice[Flux 6])</f>
        <v>0</v>
      </c>
      <c r="H75" s="262">
        <f>SUMIF(Lignes_sinoe,"total produits",Matrice[Flux 7])</f>
        <v>0</v>
      </c>
      <c r="I75" s="262">
        <f>SUMIF(Lignes_sinoe,"total produits",Matrice[Flux 8])</f>
        <v>0</v>
      </c>
      <c r="J75" s="262">
        <f>SUMIF(Lignes_sinoe,"total produits",Matrice[Flux 9])</f>
        <v>0</v>
      </c>
      <c r="K75" s="262">
        <f>SUMIF(Lignes_sinoe,"total produits",Matrice[Flux 10])</f>
        <v>0</v>
      </c>
      <c r="L75" s="262">
        <f>SUMIF(Lignes_sinoe,"total produits",Matrice[Flux 11])</f>
        <v>0</v>
      </c>
      <c r="M75" s="262">
        <f>SUMIF(Lignes_sinoe,"total produits",Matrice[Flux 12])</f>
        <v>0</v>
      </c>
      <c r="N75" s="262">
        <f>SUMIF(Lignes_sinoe,"total produits",Matrice[Flux 13])</f>
        <v>0</v>
      </c>
      <c r="O75" s="262">
        <f>SUMIF(Lignes_sinoe,"total produits",Matrice[Flux 14])</f>
        <v>0</v>
      </c>
      <c r="P75" s="262">
        <f>SUMIF(Lignes_sinoe,"total produits",Matrice[Flux 15])</f>
        <v>0</v>
      </c>
      <c r="Q75" s="262">
        <f>SUMIF(Lignes_sinoe,"total produits",Matrice[Flux 16])</f>
        <v>0</v>
      </c>
      <c r="R75" s="262">
        <f>SUMIF(Lignes_sinoe,"total produits",Matrice[Flux 17])</f>
        <v>0</v>
      </c>
      <c r="S75" s="262">
        <f>SUMIF(Lignes_sinoe,"total produits",Matrice[Flux 18])</f>
        <v>0</v>
      </c>
      <c r="T75" s="262">
        <f>SUMIF(Lignes_sinoe,"total produits",Matrice[Flux 19])</f>
        <v>0</v>
      </c>
      <c r="U75" s="262">
        <f>SUMIF(Lignes_sinoe,"total produits",Matrice[Flux 20])</f>
        <v>0</v>
      </c>
      <c r="V75" s="262">
        <f>SUMIF(Lignes_sinoe,"total produits",Matrice[Flux 21])</f>
        <v>0</v>
      </c>
      <c r="W75" s="262">
        <f>SUMIF(Lignes_sinoe,"total produits",Matrice[Flux 22])</f>
        <v>0</v>
      </c>
      <c r="X75" s="262">
        <f>SUMIF(Lignes_sinoe,"total produits",Matrice[Flux 23])</f>
        <v>0</v>
      </c>
      <c r="Y75" s="262">
        <f>SUMIF(Lignes_sinoe,"total produits",Matrice[Flux 24])</f>
        <v>0</v>
      </c>
      <c r="Z75" s="262">
        <f>SUMIF(Lignes_sinoe,"total produits",Matrice[Flux 25])</f>
        <v>0</v>
      </c>
      <c r="AA75" s="262">
        <f t="shared" si="15"/>
        <v>0</v>
      </c>
    </row>
    <row r="76" spans="1:27" s="259" customFormat="1" x14ac:dyDescent="0.25">
      <c r="A76" s="258" t="s">
        <v>228</v>
      </c>
      <c r="B76" s="262">
        <f>B74-B75</f>
        <v>0</v>
      </c>
      <c r="C76" s="262">
        <f t="shared" ref="C76:Z76" si="17">C74-C75</f>
        <v>0</v>
      </c>
      <c r="D76" s="262">
        <f t="shared" si="17"/>
        <v>0</v>
      </c>
      <c r="E76" s="262">
        <f t="shared" si="17"/>
        <v>0</v>
      </c>
      <c r="F76" s="262">
        <f t="shared" si="17"/>
        <v>0</v>
      </c>
      <c r="G76" s="262">
        <f t="shared" si="17"/>
        <v>0</v>
      </c>
      <c r="H76" s="262">
        <f t="shared" si="17"/>
        <v>0</v>
      </c>
      <c r="I76" s="262">
        <f t="shared" si="17"/>
        <v>0</v>
      </c>
      <c r="J76" s="262">
        <f t="shared" si="17"/>
        <v>0</v>
      </c>
      <c r="K76" s="262">
        <f t="shared" si="17"/>
        <v>0</v>
      </c>
      <c r="L76" s="262">
        <f t="shared" si="17"/>
        <v>0</v>
      </c>
      <c r="M76" s="262">
        <f t="shared" si="17"/>
        <v>0</v>
      </c>
      <c r="N76" s="262">
        <f t="shared" si="17"/>
        <v>0</v>
      </c>
      <c r="O76" s="262">
        <f t="shared" si="17"/>
        <v>0</v>
      </c>
      <c r="P76" s="262">
        <f t="shared" si="17"/>
        <v>0</v>
      </c>
      <c r="Q76" s="262">
        <f t="shared" si="17"/>
        <v>0</v>
      </c>
      <c r="R76" s="262">
        <f t="shared" si="17"/>
        <v>0</v>
      </c>
      <c r="S76" s="262">
        <f t="shared" si="17"/>
        <v>0</v>
      </c>
      <c r="T76" s="262">
        <f t="shared" si="17"/>
        <v>0</v>
      </c>
      <c r="U76" s="262">
        <f t="shared" si="17"/>
        <v>0</v>
      </c>
      <c r="V76" s="262">
        <f t="shared" si="17"/>
        <v>0</v>
      </c>
      <c r="W76" s="262">
        <f t="shared" si="17"/>
        <v>0</v>
      </c>
      <c r="X76" s="262">
        <f t="shared" si="17"/>
        <v>0</v>
      </c>
      <c r="Y76" s="262">
        <f t="shared" si="17"/>
        <v>0</v>
      </c>
      <c r="Z76" s="262">
        <f t="shared" si="17"/>
        <v>0</v>
      </c>
      <c r="AA76" s="262">
        <f t="shared" si="15"/>
        <v>0</v>
      </c>
    </row>
    <row r="77" spans="1:27" s="259" customFormat="1" x14ac:dyDescent="0.25">
      <c r="A77" s="258" t="s">
        <v>229</v>
      </c>
      <c r="B77" s="262">
        <f>B76+SUMIF(Lignes_sinoe,"TVA acquittée",Matrice[OMR])</f>
        <v>0</v>
      </c>
      <c r="C77" s="262">
        <f>C76+SUMIF(Lignes_sinoe,"TVA acquittée",Matrice[Verre])</f>
        <v>0</v>
      </c>
      <c r="D77" s="262">
        <f>D76+SUMIF(Lignes_sinoe,"TVA acquittée",Matrice[RSOM hors verre])</f>
        <v>0</v>
      </c>
      <c r="E77" s="262">
        <f>E76+SUMIF(Lignes_sinoe,"TVA acquittée",Matrice[Déchets des déchèteries])</f>
        <v>0</v>
      </c>
      <c r="F77" s="262">
        <f>F76+SUMIF(Lignes_sinoe,"TVA acquittée",Matrice[Flux 5])</f>
        <v>0</v>
      </c>
      <c r="G77" s="262">
        <f>G76+SUMIF(Lignes_sinoe,"TVA acquittée",Matrice[Flux 6])</f>
        <v>0</v>
      </c>
      <c r="H77" s="262">
        <f>H76+SUMIF(Lignes_sinoe,"TVA acquittée",Matrice[Flux 7])</f>
        <v>0</v>
      </c>
      <c r="I77" s="262">
        <f>I76+SUMIF(Lignes_sinoe,"TVA acquittée",Matrice[Flux 8])</f>
        <v>0</v>
      </c>
      <c r="J77" s="262">
        <f>J76+SUMIF(Lignes_sinoe,"TVA acquittée",Matrice[Flux 9])</f>
        <v>0</v>
      </c>
      <c r="K77" s="262">
        <f>K76+SUMIF(Lignes_sinoe,"TVA acquittée",Matrice[Flux 10])</f>
        <v>0</v>
      </c>
      <c r="L77" s="262">
        <f>L76+SUMIF(Lignes_sinoe,"TVA acquittée",Matrice[Flux 11])</f>
        <v>0</v>
      </c>
      <c r="M77" s="262">
        <f>M76+SUMIF(Lignes_sinoe,"TVA acquittée",Matrice[Flux 12])</f>
        <v>0</v>
      </c>
      <c r="N77" s="262">
        <f>N76+SUMIF(Lignes_sinoe,"TVA acquittée",Matrice[Flux 13])</f>
        <v>0</v>
      </c>
      <c r="O77" s="262">
        <f>O76+SUMIF(Lignes_sinoe,"TVA acquittée",Matrice[Flux 14])</f>
        <v>0</v>
      </c>
      <c r="P77" s="262">
        <f>P76+SUMIF(Lignes_sinoe,"TVA acquittée",Matrice[Flux 15])</f>
        <v>0</v>
      </c>
      <c r="Q77" s="262">
        <f>Q76+SUMIF(Lignes_sinoe,"TVA acquittée",Matrice[Flux 16])</f>
        <v>0</v>
      </c>
      <c r="R77" s="262">
        <f>R76+SUMIF(Lignes_sinoe,"TVA acquittée",Matrice[Flux 17])</f>
        <v>0</v>
      </c>
      <c r="S77" s="262">
        <f>S76+SUMIF(Lignes_sinoe,"TVA acquittée",Matrice[Flux 18])</f>
        <v>0</v>
      </c>
      <c r="T77" s="262">
        <f>T76+SUMIF(Lignes_sinoe,"TVA acquittée",Matrice[Flux 19])</f>
        <v>0</v>
      </c>
      <c r="U77" s="262">
        <f>U76+SUMIF(Lignes_sinoe,"TVA acquittée",Matrice[Flux 20])</f>
        <v>0</v>
      </c>
      <c r="V77" s="262">
        <f>V76+SUMIF(Lignes_sinoe,"TVA acquittée",Matrice[Flux 21])</f>
        <v>0</v>
      </c>
      <c r="W77" s="262">
        <f>W76+SUMIF(Lignes_sinoe,"TVA acquittée",Matrice[Flux 22])</f>
        <v>0</v>
      </c>
      <c r="X77" s="262">
        <f>X76+SUMIF(Lignes_sinoe,"TVA acquittée",Matrice[Flux 23])</f>
        <v>0</v>
      </c>
      <c r="Y77" s="262">
        <f>Y76+SUMIF(Lignes_sinoe,"TVA acquittée",Matrice[Flux 24])</f>
        <v>0</v>
      </c>
      <c r="Z77" s="262">
        <f>Z76+SUMIF(Lignes_sinoe,"TVA acquittée",Matrice[Flux 25])</f>
        <v>0</v>
      </c>
      <c r="AA77" s="262">
        <f t="shared" si="15"/>
        <v>0</v>
      </c>
    </row>
    <row r="78" spans="1:27" s="259" customFormat="1" x14ac:dyDescent="0.25">
      <c r="A78" s="258" t="s">
        <v>230</v>
      </c>
      <c r="B78" s="262">
        <f>SUMIF(Lignes_sinoe,"TOTAL contributions",Matrice[OMR])</f>
        <v>0</v>
      </c>
      <c r="C78" s="262">
        <f>SUMIF(Lignes_sinoe,"TOTAL contributions",Matrice[Verre])</f>
        <v>0</v>
      </c>
      <c r="D78" s="262">
        <f>SUMIF(Lignes_sinoe,"TOTAL contributions",Matrice[RSOM hors verre])</f>
        <v>0</v>
      </c>
      <c r="E78" s="262">
        <f>SUMIF(Lignes_sinoe,"TOTAL contributions",Matrice[Déchets des déchèteries])</f>
        <v>0</v>
      </c>
      <c r="F78" s="262">
        <f>SUMIF(Lignes_sinoe,"TOTAL contributions",Matrice[Flux 5])</f>
        <v>0</v>
      </c>
      <c r="G78" s="262">
        <f>SUMIF(Lignes_sinoe,"TOTAL contributions",Matrice[Flux 6])</f>
        <v>0</v>
      </c>
      <c r="H78" s="262">
        <f>SUMIF(Lignes_sinoe,"TOTAL contributions",Matrice[Flux 7])</f>
        <v>0</v>
      </c>
      <c r="I78" s="262">
        <f>SUMIF(Lignes_sinoe,"TOTAL contributions",Matrice[Flux 8])</f>
        <v>0</v>
      </c>
      <c r="J78" s="262">
        <f>SUMIF(Lignes_sinoe,"TOTAL contributions",Matrice[Flux 9])</f>
        <v>0</v>
      </c>
      <c r="K78" s="262">
        <f>SUMIF(Lignes_sinoe,"TOTAL contributions",Matrice[Flux 10])</f>
        <v>0</v>
      </c>
      <c r="L78" s="262">
        <f>SUMIF(Lignes_sinoe,"TOTAL contributions",Matrice[Flux 11])</f>
        <v>0</v>
      </c>
      <c r="M78" s="262">
        <f>SUMIF(Lignes_sinoe,"TOTAL contributions",Matrice[Flux 12])</f>
        <v>0</v>
      </c>
      <c r="N78" s="262">
        <f>SUMIF(Lignes_sinoe,"TOTAL contributions",Matrice[Flux 13])</f>
        <v>0</v>
      </c>
      <c r="O78" s="262">
        <f>SUMIF(Lignes_sinoe,"TOTAL contributions",Matrice[Flux 14])</f>
        <v>0</v>
      </c>
      <c r="P78" s="262">
        <f>SUMIF(Lignes_sinoe,"TOTAL contributions",Matrice[Flux 15])</f>
        <v>0</v>
      </c>
      <c r="Q78" s="262">
        <f>SUMIF(Lignes_sinoe,"TOTAL contributions",Matrice[Flux 16])</f>
        <v>0</v>
      </c>
      <c r="R78" s="262">
        <f>SUMIF(Lignes_sinoe,"TOTAL contributions",Matrice[Flux 17])</f>
        <v>0</v>
      </c>
      <c r="S78" s="262">
        <f>SUMIF(Lignes_sinoe,"TOTAL contributions",Matrice[Flux 18])</f>
        <v>0</v>
      </c>
      <c r="T78" s="262">
        <f>SUMIF(Lignes_sinoe,"TOTAL contributions",Matrice[Flux 19])</f>
        <v>0</v>
      </c>
      <c r="U78" s="262">
        <f>SUMIF(Lignes_sinoe,"TOTAL contributions",Matrice[Flux 20])</f>
        <v>0</v>
      </c>
      <c r="V78" s="262">
        <f>SUMIF(Lignes_sinoe,"TOTAL contributions",Matrice[Flux 21])</f>
        <v>0</v>
      </c>
      <c r="W78" s="262">
        <f>SUMIF(Lignes_sinoe,"TOTAL contributions",Matrice[Flux 22])</f>
        <v>0</v>
      </c>
      <c r="X78" s="262">
        <f>SUMIF(Lignes_sinoe,"TOTAL contributions",Matrice[Flux 23])</f>
        <v>0</v>
      </c>
      <c r="Y78" s="262">
        <f>SUMIF(Lignes_sinoe,"TOTAL contributions",Matrice[Flux 24])</f>
        <v>0</v>
      </c>
      <c r="Z78" s="262">
        <f>SUMIF(Lignes_sinoe,"TOTAL contributions",Matrice[Flux 25])</f>
        <v>0</v>
      </c>
      <c r="AA78" s="262">
        <f t="shared" si="15"/>
        <v>0</v>
      </c>
    </row>
    <row r="80" spans="1:27" x14ac:dyDescent="0.25">
      <c r="A80" s="258" t="s">
        <v>231</v>
      </c>
      <c r="B80" s="263" t="str">
        <f>IFERROR(AA78/IF(AA35=0,AA76,AA77),"")</f>
        <v/>
      </c>
    </row>
    <row r="82" spans="1:27" ht="56.25" customHeight="1" x14ac:dyDescent="0.4">
      <c r="A82" s="257" t="s">
        <v>232</v>
      </c>
    </row>
    <row r="84" spans="1:27" x14ac:dyDescent="0.25">
      <c r="A84" s="253" t="s">
        <v>233</v>
      </c>
      <c r="B84" s="264" t="str">
        <f t="shared" ref="B84:AA84" si="18">IFERROR(B35/B74,"")</f>
        <v/>
      </c>
      <c r="C84" s="264" t="str">
        <f t="shared" si="18"/>
        <v/>
      </c>
      <c r="D84" s="264" t="str">
        <f t="shared" si="18"/>
        <v/>
      </c>
      <c r="E84" s="264" t="str">
        <f t="shared" si="18"/>
        <v/>
      </c>
      <c r="F84" s="264" t="str">
        <f t="shared" si="18"/>
        <v/>
      </c>
      <c r="G84" s="264" t="str">
        <f t="shared" si="18"/>
        <v/>
      </c>
      <c r="H84" s="264" t="str">
        <f t="shared" si="18"/>
        <v/>
      </c>
      <c r="I84" s="264" t="str">
        <f t="shared" si="18"/>
        <v/>
      </c>
      <c r="J84" s="264" t="str">
        <f t="shared" si="18"/>
        <v/>
      </c>
      <c r="K84" s="264" t="str">
        <f t="shared" si="18"/>
        <v/>
      </c>
      <c r="L84" s="264" t="str">
        <f t="shared" si="18"/>
        <v/>
      </c>
      <c r="M84" s="264" t="str">
        <f t="shared" si="18"/>
        <v/>
      </c>
      <c r="N84" s="264" t="str">
        <f t="shared" si="18"/>
        <v/>
      </c>
      <c r="O84" s="264" t="str">
        <f t="shared" si="18"/>
        <v/>
      </c>
      <c r="P84" s="264" t="str">
        <f t="shared" si="18"/>
        <v/>
      </c>
      <c r="Q84" s="264" t="str">
        <f t="shared" si="18"/>
        <v/>
      </c>
      <c r="R84" s="264" t="str">
        <f t="shared" si="18"/>
        <v/>
      </c>
      <c r="S84" s="264" t="str">
        <f t="shared" si="18"/>
        <v/>
      </c>
      <c r="T84" s="264" t="str">
        <f t="shared" si="18"/>
        <v/>
      </c>
      <c r="U84" s="264" t="str">
        <f t="shared" si="18"/>
        <v/>
      </c>
      <c r="V84" s="264" t="str">
        <f t="shared" si="18"/>
        <v/>
      </c>
      <c r="W84" s="264" t="str">
        <f t="shared" si="18"/>
        <v/>
      </c>
      <c r="X84" s="264" t="str">
        <f t="shared" si="18"/>
        <v/>
      </c>
      <c r="Y84" s="264" t="str">
        <f t="shared" si="18"/>
        <v/>
      </c>
      <c r="Z84" s="264" t="str">
        <f t="shared" si="18"/>
        <v/>
      </c>
      <c r="AA84" s="263" t="str">
        <f t="shared" si="18"/>
        <v/>
      </c>
    </row>
    <row r="86" spans="1:27" ht="56.25" customHeight="1" x14ac:dyDescent="0.4">
      <c r="A86" s="19" t="s">
        <v>234</v>
      </c>
      <c r="B86" s="7"/>
    </row>
    <row r="87" spans="1:27" customFormat="1" x14ac:dyDescent="0.25"/>
    <row r="88" spans="1:27" ht="36" customHeight="1" x14ac:dyDescent="0.25">
      <c r="A88" s="673" t="s">
        <v>235</v>
      </c>
      <c r="B88" s="673"/>
      <c r="C88" s="673"/>
      <c r="D88" s="673"/>
      <c r="E88" s="673"/>
      <c r="F88" s="673"/>
      <c r="G88" s="673"/>
      <c r="H88" s="673"/>
      <c r="I88" s="673"/>
      <c r="J88" s="673"/>
      <c r="K88" s="673"/>
      <c r="L88" s="673"/>
      <c r="M88" s="673"/>
      <c r="N88" s="673"/>
      <c r="O88" s="673"/>
      <c r="P88" s="673"/>
      <c r="Q88" s="673"/>
      <c r="R88" s="673"/>
      <c r="S88" s="673"/>
      <c r="T88" s="673"/>
      <c r="U88" s="673"/>
      <c r="V88" s="673"/>
      <c r="W88" s="673"/>
      <c r="X88" s="673"/>
      <c r="Y88" s="673"/>
      <c r="Z88" s="673"/>
      <c r="AA88" s="673"/>
    </row>
    <row r="90" spans="1:27" ht="21" x14ac:dyDescent="0.4">
      <c r="A90" s="19" t="s">
        <v>236</v>
      </c>
    </row>
    <row r="91" spans="1:27" x14ac:dyDescent="0.25">
      <c r="A91" s="42" t="s">
        <v>237</v>
      </c>
      <c r="B91" s="265">
        <f>B74</f>
        <v>0</v>
      </c>
      <c r="C91" s="265">
        <f t="shared" ref="C91:Z91" si="19">C74</f>
        <v>0</v>
      </c>
      <c r="D91" s="265">
        <f t="shared" si="19"/>
        <v>0</v>
      </c>
      <c r="E91" s="265">
        <f t="shared" si="19"/>
        <v>0</v>
      </c>
      <c r="F91" s="265">
        <f t="shared" si="19"/>
        <v>0</v>
      </c>
      <c r="G91" s="265">
        <f t="shared" si="19"/>
        <v>0</v>
      </c>
      <c r="H91" s="265">
        <f t="shared" si="19"/>
        <v>0</v>
      </c>
      <c r="I91" s="265">
        <f t="shared" si="19"/>
        <v>0</v>
      </c>
      <c r="J91" s="265">
        <f t="shared" si="19"/>
        <v>0</v>
      </c>
      <c r="K91" s="265">
        <f t="shared" si="19"/>
        <v>0</v>
      </c>
      <c r="L91" s="265">
        <f t="shared" si="19"/>
        <v>0</v>
      </c>
      <c r="M91" s="265">
        <f t="shared" si="19"/>
        <v>0</v>
      </c>
      <c r="N91" s="265">
        <f t="shared" si="19"/>
        <v>0</v>
      </c>
      <c r="O91" s="265">
        <f t="shared" si="19"/>
        <v>0</v>
      </c>
      <c r="P91" s="265">
        <f t="shared" si="19"/>
        <v>0</v>
      </c>
      <c r="Q91" s="265">
        <f t="shared" si="19"/>
        <v>0</v>
      </c>
      <c r="R91" s="265">
        <f t="shared" si="19"/>
        <v>0</v>
      </c>
      <c r="S91" s="265">
        <f t="shared" si="19"/>
        <v>0</v>
      </c>
      <c r="T91" s="265">
        <f t="shared" si="19"/>
        <v>0</v>
      </c>
      <c r="U91" s="265">
        <f t="shared" si="19"/>
        <v>0</v>
      </c>
      <c r="V91" s="265">
        <f t="shared" si="19"/>
        <v>0</v>
      </c>
      <c r="W91" s="265">
        <f t="shared" si="19"/>
        <v>0</v>
      </c>
      <c r="X91" s="265">
        <f t="shared" si="19"/>
        <v>0</v>
      </c>
      <c r="Y91" s="265">
        <f t="shared" si="19"/>
        <v>0</v>
      </c>
      <c r="Z91" s="265">
        <f t="shared" si="19"/>
        <v>0</v>
      </c>
      <c r="AA91" s="265">
        <f t="shared" ref="AA91" si="20">AA74</f>
        <v>0</v>
      </c>
    </row>
    <row r="92" spans="1:27" x14ac:dyDescent="0.25">
      <c r="A92" s="42" t="s">
        <v>238</v>
      </c>
      <c r="B92" s="265">
        <f>B91-SUM(B24:B29)</f>
        <v>0</v>
      </c>
      <c r="C92" s="265">
        <f t="shared" ref="C92:D92" si="21">C91-SUM(C24:C29)</f>
        <v>0</v>
      </c>
      <c r="D92" s="265">
        <f t="shared" si="21"/>
        <v>0</v>
      </c>
      <c r="E92" s="265">
        <f t="shared" ref="E92" si="22">E91-SUM(E24:E29)</f>
        <v>0</v>
      </c>
      <c r="F92" s="265">
        <f t="shared" ref="F92" si="23">F91-SUM(F24:F29)</f>
        <v>0</v>
      </c>
      <c r="G92" s="265">
        <f t="shared" ref="G92" si="24">G91-SUM(G24:G29)</f>
        <v>0</v>
      </c>
      <c r="H92" s="265">
        <f t="shared" ref="H92" si="25">H91-SUM(H24:H29)</f>
        <v>0</v>
      </c>
      <c r="I92" s="265">
        <f t="shared" ref="I92" si="26">I91-SUM(I24:I29)</f>
        <v>0</v>
      </c>
      <c r="J92" s="265">
        <f t="shared" ref="J92" si="27">J91-SUM(J24:J29)</f>
        <v>0</v>
      </c>
      <c r="K92" s="265">
        <f t="shared" ref="K92" si="28">K91-SUM(K24:K29)</f>
        <v>0</v>
      </c>
      <c r="L92" s="265">
        <f t="shared" ref="L92" si="29">L91-SUM(L24:L29)</f>
        <v>0</v>
      </c>
      <c r="M92" s="265">
        <f t="shared" ref="M92" si="30">M91-SUM(M24:M29)</f>
        <v>0</v>
      </c>
      <c r="N92" s="265">
        <f t="shared" ref="N92" si="31">N91-SUM(N24:N29)</f>
        <v>0</v>
      </c>
      <c r="O92" s="265">
        <f t="shared" ref="O92" si="32">O91-SUM(O24:O29)</f>
        <v>0</v>
      </c>
      <c r="P92" s="265">
        <f t="shared" ref="P92" si="33">P91-SUM(P24:P29)</f>
        <v>0</v>
      </c>
      <c r="Q92" s="265">
        <f t="shared" ref="Q92" si="34">Q91-SUM(Q24:Q29)</f>
        <v>0</v>
      </c>
      <c r="R92" s="265">
        <f t="shared" ref="R92" si="35">R91-SUM(R24:R29)</f>
        <v>0</v>
      </c>
      <c r="S92" s="265">
        <f t="shared" ref="S92" si="36">S91-SUM(S24:S29)</f>
        <v>0</v>
      </c>
      <c r="T92" s="265">
        <f t="shared" ref="T92" si="37">T91-SUM(T24:T29)</f>
        <v>0</v>
      </c>
      <c r="U92" s="265">
        <f t="shared" ref="U92" si="38">U91-SUM(U24:U29)</f>
        <v>0</v>
      </c>
      <c r="V92" s="265">
        <f t="shared" ref="V92" si="39">V91-SUM(V24:V29)</f>
        <v>0</v>
      </c>
      <c r="W92" s="265">
        <f t="shared" ref="W92" si="40">W91-SUM(W24:W29)</f>
        <v>0</v>
      </c>
      <c r="X92" s="265">
        <f t="shared" ref="X92" si="41">X91-SUM(X24:X29)</f>
        <v>0</v>
      </c>
      <c r="Y92" s="265">
        <f t="shared" ref="Y92" si="42">Y91-SUM(Y24:Y29)</f>
        <v>0</v>
      </c>
      <c r="Z92" s="265">
        <f t="shared" ref="Z92:AA92" si="43">Z91-SUM(Z24:Z29)</f>
        <v>0</v>
      </c>
      <c r="AA92" s="265">
        <f t="shared" si="43"/>
        <v>0</v>
      </c>
    </row>
    <row r="93" spans="1:27" s="259" customFormat="1" x14ac:dyDescent="0.25">
      <c r="A93" s="42" t="s">
        <v>239</v>
      </c>
      <c r="B93" s="265">
        <f>B92-B30</f>
        <v>0</v>
      </c>
      <c r="C93" s="265">
        <f t="shared" ref="C93:AA93" si="44">C92-C30</f>
        <v>0</v>
      </c>
      <c r="D93" s="265">
        <f t="shared" si="44"/>
        <v>0</v>
      </c>
      <c r="E93" s="265">
        <f t="shared" si="44"/>
        <v>0</v>
      </c>
      <c r="F93" s="265">
        <f t="shared" si="44"/>
        <v>0</v>
      </c>
      <c r="G93" s="265">
        <f t="shared" si="44"/>
        <v>0</v>
      </c>
      <c r="H93" s="265">
        <f t="shared" si="44"/>
        <v>0</v>
      </c>
      <c r="I93" s="265">
        <f t="shared" si="44"/>
        <v>0</v>
      </c>
      <c r="J93" s="265">
        <f t="shared" si="44"/>
        <v>0</v>
      </c>
      <c r="K93" s="265">
        <f t="shared" si="44"/>
        <v>0</v>
      </c>
      <c r="L93" s="265">
        <f t="shared" si="44"/>
        <v>0</v>
      </c>
      <c r="M93" s="265">
        <f t="shared" si="44"/>
        <v>0</v>
      </c>
      <c r="N93" s="265">
        <f t="shared" si="44"/>
        <v>0</v>
      </c>
      <c r="O93" s="265">
        <f t="shared" si="44"/>
        <v>0</v>
      </c>
      <c r="P93" s="265">
        <f t="shared" si="44"/>
        <v>0</v>
      </c>
      <c r="Q93" s="265">
        <f t="shared" si="44"/>
        <v>0</v>
      </c>
      <c r="R93" s="265">
        <f t="shared" si="44"/>
        <v>0</v>
      </c>
      <c r="S93" s="265">
        <f t="shared" si="44"/>
        <v>0</v>
      </c>
      <c r="T93" s="265">
        <f t="shared" si="44"/>
        <v>0</v>
      </c>
      <c r="U93" s="265">
        <f t="shared" si="44"/>
        <v>0</v>
      </c>
      <c r="V93" s="265">
        <f t="shared" si="44"/>
        <v>0</v>
      </c>
      <c r="W93" s="265">
        <f t="shared" si="44"/>
        <v>0</v>
      </c>
      <c r="X93" s="265">
        <f t="shared" si="44"/>
        <v>0</v>
      </c>
      <c r="Y93" s="265">
        <f t="shared" si="44"/>
        <v>0</v>
      </c>
      <c r="Z93" s="265">
        <f t="shared" si="44"/>
        <v>0</v>
      </c>
      <c r="AA93" s="265">
        <f t="shared" si="44"/>
        <v>0</v>
      </c>
    </row>
    <row r="94" spans="1:27" s="259" customFormat="1" x14ac:dyDescent="0.25">
      <c r="A94" s="42" t="s">
        <v>228</v>
      </c>
      <c r="B94" s="265">
        <f>B93-B31-B32-B33</f>
        <v>0</v>
      </c>
      <c r="C94" s="265">
        <f t="shared" ref="C94:AA94" si="45">C93-C31-C32-C33</f>
        <v>0</v>
      </c>
      <c r="D94" s="265">
        <f t="shared" si="45"/>
        <v>0</v>
      </c>
      <c r="E94" s="265">
        <f t="shared" si="45"/>
        <v>0</v>
      </c>
      <c r="F94" s="265">
        <f t="shared" si="45"/>
        <v>0</v>
      </c>
      <c r="G94" s="265">
        <f t="shared" si="45"/>
        <v>0</v>
      </c>
      <c r="H94" s="265">
        <f t="shared" si="45"/>
        <v>0</v>
      </c>
      <c r="I94" s="265">
        <f t="shared" si="45"/>
        <v>0</v>
      </c>
      <c r="J94" s="265">
        <f t="shared" si="45"/>
        <v>0</v>
      </c>
      <c r="K94" s="265">
        <f t="shared" si="45"/>
        <v>0</v>
      </c>
      <c r="L94" s="265">
        <f t="shared" si="45"/>
        <v>0</v>
      </c>
      <c r="M94" s="265">
        <f t="shared" si="45"/>
        <v>0</v>
      </c>
      <c r="N94" s="265">
        <f t="shared" si="45"/>
        <v>0</v>
      </c>
      <c r="O94" s="265">
        <f t="shared" si="45"/>
        <v>0</v>
      </c>
      <c r="P94" s="265">
        <f t="shared" si="45"/>
        <v>0</v>
      </c>
      <c r="Q94" s="265">
        <f t="shared" si="45"/>
        <v>0</v>
      </c>
      <c r="R94" s="265">
        <f t="shared" si="45"/>
        <v>0</v>
      </c>
      <c r="S94" s="265">
        <f t="shared" si="45"/>
        <v>0</v>
      </c>
      <c r="T94" s="265">
        <f t="shared" si="45"/>
        <v>0</v>
      </c>
      <c r="U94" s="265">
        <f t="shared" si="45"/>
        <v>0</v>
      </c>
      <c r="V94" s="265">
        <f t="shared" si="45"/>
        <v>0</v>
      </c>
      <c r="W94" s="265">
        <f t="shared" si="45"/>
        <v>0</v>
      </c>
      <c r="X94" s="265">
        <f t="shared" si="45"/>
        <v>0</v>
      </c>
      <c r="Y94" s="265">
        <f t="shared" si="45"/>
        <v>0</v>
      </c>
      <c r="Z94" s="265">
        <f t="shared" si="45"/>
        <v>0</v>
      </c>
      <c r="AA94" s="265">
        <f t="shared" si="45"/>
        <v>0</v>
      </c>
    </row>
    <row r="95" spans="1:27" s="259" customFormat="1" x14ac:dyDescent="0.25">
      <c r="A95" s="42" t="s">
        <v>207</v>
      </c>
      <c r="B95" s="265">
        <f>B35</f>
        <v>0</v>
      </c>
      <c r="C95" s="265">
        <f t="shared" ref="C95:Z95" si="46">C35</f>
        <v>0</v>
      </c>
      <c r="D95" s="265">
        <f t="shared" si="46"/>
        <v>0</v>
      </c>
      <c r="E95" s="265">
        <f t="shared" si="46"/>
        <v>0</v>
      </c>
      <c r="F95" s="265">
        <f t="shared" si="46"/>
        <v>0</v>
      </c>
      <c r="G95" s="265">
        <f t="shared" si="46"/>
        <v>0</v>
      </c>
      <c r="H95" s="265">
        <f t="shared" si="46"/>
        <v>0</v>
      </c>
      <c r="I95" s="265">
        <f t="shared" si="46"/>
        <v>0</v>
      </c>
      <c r="J95" s="265">
        <f t="shared" si="46"/>
        <v>0</v>
      </c>
      <c r="K95" s="265">
        <f t="shared" si="46"/>
        <v>0</v>
      </c>
      <c r="L95" s="265">
        <f t="shared" si="46"/>
        <v>0</v>
      </c>
      <c r="M95" s="265">
        <f t="shared" si="46"/>
        <v>0</v>
      </c>
      <c r="N95" s="265">
        <f t="shared" si="46"/>
        <v>0</v>
      </c>
      <c r="O95" s="265">
        <f t="shared" si="46"/>
        <v>0</v>
      </c>
      <c r="P95" s="265">
        <f t="shared" si="46"/>
        <v>0</v>
      </c>
      <c r="Q95" s="265">
        <f t="shared" si="46"/>
        <v>0</v>
      </c>
      <c r="R95" s="265">
        <f t="shared" si="46"/>
        <v>0</v>
      </c>
      <c r="S95" s="265">
        <f t="shared" si="46"/>
        <v>0</v>
      </c>
      <c r="T95" s="265">
        <f t="shared" si="46"/>
        <v>0</v>
      </c>
      <c r="U95" s="265">
        <f t="shared" si="46"/>
        <v>0</v>
      </c>
      <c r="V95" s="265">
        <f t="shared" si="46"/>
        <v>0</v>
      </c>
      <c r="W95" s="265">
        <f t="shared" si="46"/>
        <v>0</v>
      </c>
      <c r="X95" s="265">
        <f t="shared" si="46"/>
        <v>0</v>
      </c>
      <c r="Y95" s="265">
        <f t="shared" si="46"/>
        <v>0</v>
      </c>
      <c r="Z95" s="265">
        <f t="shared" si="46"/>
        <v>0</v>
      </c>
      <c r="AA95" s="265">
        <f t="shared" ref="AA95" si="47">AA35</f>
        <v>0</v>
      </c>
    </row>
    <row r="96" spans="1:27" s="259" customFormat="1" x14ac:dyDescent="0.25">
      <c r="A96" s="42" t="s">
        <v>229</v>
      </c>
      <c r="B96" s="265">
        <f>B95+B94</f>
        <v>0</v>
      </c>
      <c r="C96" s="265">
        <f t="shared" ref="C96:AA96" si="48">C95+C94</f>
        <v>0</v>
      </c>
      <c r="D96" s="265">
        <f t="shared" si="48"/>
        <v>0</v>
      </c>
      <c r="E96" s="265">
        <f t="shared" si="48"/>
        <v>0</v>
      </c>
      <c r="F96" s="265">
        <f t="shared" si="48"/>
        <v>0</v>
      </c>
      <c r="G96" s="265">
        <f t="shared" si="48"/>
        <v>0</v>
      </c>
      <c r="H96" s="265">
        <f t="shared" si="48"/>
        <v>0</v>
      </c>
      <c r="I96" s="265">
        <f t="shared" si="48"/>
        <v>0</v>
      </c>
      <c r="J96" s="265">
        <f t="shared" si="48"/>
        <v>0</v>
      </c>
      <c r="K96" s="265">
        <f t="shared" si="48"/>
        <v>0</v>
      </c>
      <c r="L96" s="265">
        <f t="shared" si="48"/>
        <v>0</v>
      </c>
      <c r="M96" s="265">
        <f t="shared" si="48"/>
        <v>0</v>
      </c>
      <c r="N96" s="265">
        <f t="shared" si="48"/>
        <v>0</v>
      </c>
      <c r="O96" s="265">
        <f t="shared" si="48"/>
        <v>0</v>
      </c>
      <c r="P96" s="265">
        <f t="shared" si="48"/>
        <v>0</v>
      </c>
      <c r="Q96" s="265">
        <f t="shared" si="48"/>
        <v>0</v>
      </c>
      <c r="R96" s="265">
        <f t="shared" si="48"/>
        <v>0</v>
      </c>
      <c r="S96" s="265">
        <f t="shared" si="48"/>
        <v>0</v>
      </c>
      <c r="T96" s="265">
        <f t="shared" si="48"/>
        <v>0</v>
      </c>
      <c r="U96" s="265">
        <f t="shared" si="48"/>
        <v>0</v>
      </c>
      <c r="V96" s="265">
        <f t="shared" si="48"/>
        <v>0</v>
      </c>
      <c r="W96" s="265">
        <f t="shared" si="48"/>
        <v>0</v>
      </c>
      <c r="X96" s="265">
        <f t="shared" si="48"/>
        <v>0</v>
      </c>
      <c r="Y96" s="265">
        <f t="shared" si="48"/>
        <v>0</v>
      </c>
      <c r="Z96" s="265">
        <f t="shared" si="48"/>
        <v>0</v>
      </c>
      <c r="AA96" s="265">
        <f t="shared" si="48"/>
        <v>0</v>
      </c>
    </row>
    <row r="97" spans="1:27" s="259" customFormat="1" x14ac:dyDescent="0.25">
      <c r="A97" s="42" t="s">
        <v>240</v>
      </c>
      <c r="B97" s="265">
        <f>B78</f>
        <v>0</v>
      </c>
      <c r="C97" s="265">
        <f t="shared" ref="C97:Z97" si="49">C78</f>
        <v>0</v>
      </c>
      <c r="D97" s="265">
        <f t="shared" si="49"/>
        <v>0</v>
      </c>
      <c r="E97" s="265">
        <f t="shared" si="49"/>
        <v>0</v>
      </c>
      <c r="F97" s="265">
        <f t="shared" si="49"/>
        <v>0</v>
      </c>
      <c r="G97" s="265">
        <f t="shared" si="49"/>
        <v>0</v>
      </c>
      <c r="H97" s="265">
        <f t="shared" si="49"/>
        <v>0</v>
      </c>
      <c r="I97" s="265">
        <f t="shared" si="49"/>
        <v>0</v>
      </c>
      <c r="J97" s="265">
        <f t="shared" si="49"/>
        <v>0</v>
      </c>
      <c r="K97" s="265">
        <f t="shared" si="49"/>
        <v>0</v>
      </c>
      <c r="L97" s="265">
        <f t="shared" si="49"/>
        <v>0</v>
      </c>
      <c r="M97" s="265">
        <f t="shared" si="49"/>
        <v>0</v>
      </c>
      <c r="N97" s="265">
        <f t="shared" si="49"/>
        <v>0</v>
      </c>
      <c r="O97" s="265">
        <f t="shared" si="49"/>
        <v>0</v>
      </c>
      <c r="P97" s="265">
        <f t="shared" si="49"/>
        <v>0</v>
      </c>
      <c r="Q97" s="265">
        <f t="shared" si="49"/>
        <v>0</v>
      </c>
      <c r="R97" s="265">
        <f t="shared" si="49"/>
        <v>0</v>
      </c>
      <c r="S97" s="265">
        <f t="shared" si="49"/>
        <v>0</v>
      </c>
      <c r="T97" s="265">
        <f t="shared" si="49"/>
        <v>0</v>
      </c>
      <c r="U97" s="265">
        <f t="shared" si="49"/>
        <v>0</v>
      </c>
      <c r="V97" s="265">
        <f t="shared" si="49"/>
        <v>0</v>
      </c>
      <c r="W97" s="265">
        <f t="shared" si="49"/>
        <v>0</v>
      </c>
      <c r="X97" s="265">
        <f t="shared" si="49"/>
        <v>0</v>
      </c>
      <c r="Y97" s="265">
        <f t="shared" si="49"/>
        <v>0</v>
      </c>
      <c r="Z97" s="265">
        <f t="shared" si="49"/>
        <v>0</v>
      </c>
      <c r="AA97" s="265">
        <f t="shared" ref="AA97" si="50">AA78</f>
        <v>0</v>
      </c>
    </row>
    <row r="99" spans="1:27" ht="21" x14ac:dyDescent="0.4">
      <c r="A99" s="19" t="s">
        <v>241</v>
      </c>
    </row>
    <row r="100" spans="1:27" x14ac:dyDescent="0.25">
      <c r="A100" s="42" t="s">
        <v>237</v>
      </c>
      <c r="B100" s="265" t="e">
        <f>B91/B$57</f>
        <v>#DIV/0!</v>
      </c>
      <c r="C100" s="265" t="e">
        <f t="shared" ref="C100:Z100" si="51">C91/C$57</f>
        <v>#DIV/0!</v>
      </c>
      <c r="D100" s="265" t="e">
        <f t="shared" si="51"/>
        <v>#DIV/0!</v>
      </c>
      <c r="E100" s="265" t="e">
        <f t="shared" si="51"/>
        <v>#DIV/0!</v>
      </c>
      <c r="F100" s="265" t="e">
        <f t="shared" si="51"/>
        <v>#DIV/0!</v>
      </c>
      <c r="G100" s="265" t="e">
        <f t="shared" si="51"/>
        <v>#DIV/0!</v>
      </c>
      <c r="H100" s="265" t="e">
        <f t="shared" si="51"/>
        <v>#DIV/0!</v>
      </c>
      <c r="I100" s="265" t="e">
        <f t="shared" si="51"/>
        <v>#DIV/0!</v>
      </c>
      <c r="J100" s="265" t="e">
        <f t="shared" si="51"/>
        <v>#DIV/0!</v>
      </c>
      <c r="K100" s="265" t="e">
        <f t="shared" si="51"/>
        <v>#DIV/0!</v>
      </c>
      <c r="L100" s="265" t="e">
        <f t="shared" si="51"/>
        <v>#DIV/0!</v>
      </c>
      <c r="M100" s="265" t="e">
        <f t="shared" si="51"/>
        <v>#DIV/0!</v>
      </c>
      <c r="N100" s="265" t="e">
        <f t="shared" si="51"/>
        <v>#DIV/0!</v>
      </c>
      <c r="O100" s="265" t="e">
        <f t="shared" si="51"/>
        <v>#DIV/0!</v>
      </c>
      <c r="P100" s="265" t="e">
        <f t="shared" si="51"/>
        <v>#DIV/0!</v>
      </c>
      <c r="Q100" s="265" t="e">
        <f t="shared" si="51"/>
        <v>#DIV/0!</v>
      </c>
      <c r="R100" s="265" t="e">
        <f t="shared" si="51"/>
        <v>#DIV/0!</v>
      </c>
      <c r="S100" s="265" t="e">
        <f t="shared" si="51"/>
        <v>#DIV/0!</v>
      </c>
      <c r="T100" s="265" t="e">
        <f t="shared" si="51"/>
        <v>#DIV/0!</v>
      </c>
      <c r="U100" s="265" t="e">
        <f t="shared" si="51"/>
        <v>#DIV/0!</v>
      </c>
      <c r="V100" s="265" t="e">
        <f t="shared" si="51"/>
        <v>#DIV/0!</v>
      </c>
      <c r="W100" s="265" t="e">
        <f t="shared" si="51"/>
        <v>#DIV/0!</v>
      </c>
      <c r="X100" s="265" t="e">
        <f t="shared" si="51"/>
        <v>#DIV/0!</v>
      </c>
      <c r="Y100" s="265" t="e">
        <f t="shared" si="51"/>
        <v>#DIV/0!</v>
      </c>
      <c r="Z100" s="265" t="e">
        <f t="shared" si="51"/>
        <v>#DIV/0!</v>
      </c>
      <c r="AA100" s="265" t="e">
        <f t="shared" ref="AA100" si="52">AA91/AA$57</f>
        <v>#DIV/0!</v>
      </c>
    </row>
    <row r="101" spans="1:27" x14ac:dyDescent="0.25">
      <c r="A101" s="42" t="s">
        <v>238</v>
      </c>
      <c r="B101" s="645" t="e">
        <f>B92/(B$57-B$59)</f>
        <v>#DIV/0!</v>
      </c>
      <c r="C101" s="645" t="e">
        <f t="shared" ref="C101:Z106" si="53">C92/(C$57-C$59)</f>
        <v>#DIV/0!</v>
      </c>
      <c r="D101" s="645" t="e">
        <f t="shared" si="53"/>
        <v>#DIV/0!</v>
      </c>
      <c r="E101" s="645" t="e">
        <f t="shared" si="53"/>
        <v>#DIV/0!</v>
      </c>
      <c r="F101" s="645" t="e">
        <f t="shared" si="53"/>
        <v>#DIV/0!</v>
      </c>
      <c r="G101" s="645" t="e">
        <f t="shared" si="53"/>
        <v>#DIV/0!</v>
      </c>
      <c r="H101" s="645" t="e">
        <f t="shared" si="53"/>
        <v>#DIV/0!</v>
      </c>
      <c r="I101" s="645" t="e">
        <f t="shared" si="53"/>
        <v>#DIV/0!</v>
      </c>
      <c r="J101" s="645" t="e">
        <f t="shared" si="53"/>
        <v>#DIV/0!</v>
      </c>
      <c r="K101" s="645" t="e">
        <f t="shared" si="53"/>
        <v>#DIV/0!</v>
      </c>
      <c r="L101" s="645" t="e">
        <f t="shared" si="53"/>
        <v>#DIV/0!</v>
      </c>
      <c r="M101" s="645" t="e">
        <f t="shared" si="53"/>
        <v>#DIV/0!</v>
      </c>
      <c r="N101" s="645" t="e">
        <f t="shared" si="53"/>
        <v>#DIV/0!</v>
      </c>
      <c r="O101" s="645" t="e">
        <f t="shared" si="53"/>
        <v>#DIV/0!</v>
      </c>
      <c r="P101" s="645" t="e">
        <f t="shared" si="53"/>
        <v>#DIV/0!</v>
      </c>
      <c r="Q101" s="645" t="e">
        <f t="shared" si="53"/>
        <v>#DIV/0!</v>
      </c>
      <c r="R101" s="645" t="e">
        <f t="shared" si="53"/>
        <v>#DIV/0!</v>
      </c>
      <c r="S101" s="645" t="e">
        <f t="shared" si="53"/>
        <v>#DIV/0!</v>
      </c>
      <c r="T101" s="645" t="e">
        <f t="shared" si="53"/>
        <v>#DIV/0!</v>
      </c>
      <c r="U101" s="645" t="e">
        <f t="shared" si="53"/>
        <v>#DIV/0!</v>
      </c>
      <c r="V101" s="645" t="e">
        <f t="shared" si="53"/>
        <v>#DIV/0!</v>
      </c>
      <c r="W101" s="645" t="e">
        <f t="shared" si="53"/>
        <v>#DIV/0!</v>
      </c>
      <c r="X101" s="645" t="e">
        <f t="shared" si="53"/>
        <v>#DIV/0!</v>
      </c>
      <c r="Y101" s="645" t="e">
        <f t="shared" si="53"/>
        <v>#DIV/0!</v>
      </c>
      <c r="Z101" s="645" t="e">
        <f t="shared" si="53"/>
        <v>#DIV/0!</v>
      </c>
      <c r="AA101" s="645" t="e">
        <f t="shared" ref="AA101" si="54">AA92/(AA$57-AA$59)</f>
        <v>#DIV/0!</v>
      </c>
    </row>
    <row r="102" spans="1:27" s="259" customFormat="1" x14ac:dyDescent="0.25">
      <c r="A102" s="42" t="s">
        <v>239</v>
      </c>
      <c r="B102" s="645" t="e">
        <f t="shared" ref="B102:Q106" si="55">B93/(B$57-B$59)</f>
        <v>#DIV/0!</v>
      </c>
      <c r="C102" s="645" t="e">
        <f t="shared" si="55"/>
        <v>#DIV/0!</v>
      </c>
      <c r="D102" s="645" t="e">
        <f t="shared" si="55"/>
        <v>#DIV/0!</v>
      </c>
      <c r="E102" s="645" t="e">
        <f t="shared" si="55"/>
        <v>#DIV/0!</v>
      </c>
      <c r="F102" s="645" t="e">
        <f t="shared" si="55"/>
        <v>#DIV/0!</v>
      </c>
      <c r="G102" s="645" t="e">
        <f t="shared" si="55"/>
        <v>#DIV/0!</v>
      </c>
      <c r="H102" s="645" t="e">
        <f t="shared" si="55"/>
        <v>#DIV/0!</v>
      </c>
      <c r="I102" s="645" t="e">
        <f t="shared" si="55"/>
        <v>#DIV/0!</v>
      </c>
      <c r="J102" s="645" t="e">
        <f t="shared" si="55"/>
        <v>#DIV/0!</v>
      </c>
      <c r="K102" s="645" t="e">
        <f t="shared" si="55"/>
        <v>#DIV/0!</v>
      </c>
      <c r="L102" s="645" t="e">
        <f t="shared" si="55"/>
        <v>#DIV/0!</v>
      </c>
      <c r="M102" s="645" t="e">
        <f t="shared" si="55"/>
        <v>#DIV/0!</v>
      </c>
      <c r="N102" s="645" t="e">
        <f t="shared" si="55"/>
        <v>#DIV/0!</v>
      </c>
      <c r="O102" s="645" t="e">
        <f t="shared" si="55"/>
        <v>#DIV/0!</v>
      </c>
      <c r="P102" s="645" t="e">
        <f t="shared" si="55"/>
        <v>#DIV/0!</v>
      </c>
      <c r="Q102" s="645" t="e">
        <f t="shared" si="55"/>
        <v>#DIV/0!</v>
      </c>
      <c r="R102" s="645" t="e">
        <f t="shared" si="53"/>
        <v>#DIV/0!</v>
      </c>
      <c r="S102" s="645" t="e">
        <f t="shared" si="53"/>
        <v>#DIV/0!</v>
      </c>
      <c r="T102" s="645" t="e">
        <f t="shared" si="53"/>
        <v>#DIV/0!</v>
      </c>
      <c r="U102" s="645" t="e">
        <f t="shared" si="53"/>
        <v>#DIV/0!</v>
      </c>
      <c r="V102" s="645" t="e">
        <f t="shared" si="53"/>
        <v>#DIV/0!</v>
      </c>
      <c r="W102" s="645" t="e">
        <f t="shared" si="53"/>
        <v>#DIV/0!</v>
      </c>
      <c r="X102" s="645" t="e">
        <f t="shared" si="53"/>
        <v>#DIV/0!</v>
      </c>
      <c r="Y102" s="645" t="e">
        <f t="shared" si="53"/>
        <v>#DIV/0!</v>
      </c>
      <c r="Z102" s="645" t="e">
        <f t="shared" si="53"/>
        <v>#DIV/0!</v>
      </c>
      <c r="AA102" s="645" t="e">
        <f t="shared" ref="AA102" si="56">AA93/(AA$57-AA$59)</f>
        <v>#DIV/0!</v>
      </c>
    </row>
    <row r="103" spans="1:27" s="259" customFormat="1" x14ac:dyDescent="0.25">
      <c r="A103" s="42" t="s">
        <v>228</v>
      </c>
      <c r="B103" s="645" t="e">
        <f t="shared" si="55"/>
        <v>#DIV/0!</v>
      </c>
      <c r="C103" s="645" t="e">
        <f t="shared" si="53"/>
        <v>#DIV/0!</v>
      </c>
      <c r="D103" s="645" t="e">
        <f t="shared" si="53"/>
        <v>#DIV/0!</v>
      </c>
      <c r="E103" s="645" t="e">
        <f t="shared" si="53"/>
        <v>#DIV/0!</v>
      </c>
      <c r="F103" s="645" t="e">
        <f t="shared" si="53"/>
        <v>#DIV/0!</v>
      </c>
      <c r="G103" s="645" t="e">
        <f t="shared" si="53"/>
        <v>#DIV/0!</v>
      </c>
      <c r="H103" s="645" t="e">
        <f t="shared" si="53"/>
        <v>#DIV/0!</v>
      </c>
      <c r="I103" s="645" t="e">
        <f t="shared" si="53"/>
        <v>#DIV/0!</v>
      </c>
      <c r="J103" s="645" t="e">
        <f t="shared" si="53"/>
        <v>#DIV/0!</v>
      </c>
      <c r="K103" s="645" t="e">
        <f t="shared" si="53"/>
        <v>#DIV/0!</v>
      </c>
      <c r="L103" s="645" t="e">
        <f t="shared" si="53"/>
        <v>#DIV/0!</v>
      </c>
      <c r="M103" s="645" t="e">
        <f t="shared" si="53"/>
        <v>#DIV/0!</v>
      </c>
      <c r="N103" s="645" t="e">
        <f t="shared" si="53"/>
        <v>#DIV/0!</v>
      </c>
      <c r="O103" s="645" t="e">
        <f t="shared" si="53"/>
        <v>#DIV/0!</v>
      </c>
      <c r="P103" s="645" t="e">
        <f t="shared" si="53"/>
        <v>#DIV/0!</v>
      </c>
      <c r="Q103" s="645" t="e">
        <f t="shared" si="53"/>
        <v>#DIV/0!</v>
      </c>
      <c r="R103" s="645" t="e">
        <f t="shared" si="53"/>
        <v>#DIV/0!</v>
      </c>
      <c r="S103" s="645" t="e">
        <f t="shared" si="53"/>
        <v>#DIV/0!</v>
      </c>
      <c r="T103" s="645" t="e">
        <f t="shared" si="53"/>
        <v>#DIV/0!</v>
      </c>
      <c r="U103" s="645" t="e">
        <f t="shared" si="53"/>
        <v>#DIV/0!</v>
      </c>
      <c r="V103" s="645" t="e">
        <f t="shared" si="53"/>
        <v>#DIV/0!</v>
      </c>
      <c r="W103" s="645" t="e">
        <f t="shared" si="53"/>
        <v>#DIV/0!</v>
      </c>
      <c r="X103" s="645" t="e">
        <f t="shared" si="53"/>
        <v>#DIV/0!</v>
      </c>
      <c r="Y103" s="645" t="e">
        <f t="shared" si="53"/>
        <v>#DIV/0!</v>
      </c>
      <c r="Z103" s="645" t="e">
        <f t="shared" si="53"/>
        <v>#DIV/0!</v>
      </c>
      <c r="AA103" s="645" t="e">
        <f t="shared" ref="AA103" si="57">AA94/(AA$57-AA$59)</f>
        <v>#DIV/0!</v>
      </c>
    </row>
    <row r="104" spans="1:27" s="259" customFormat="1" x14ac:dyDescent="0.25">
      <c r="A104" s="42" t="s">
        <v>207</v>
      </c>
      <c r="B104" s="645" t="e">
        <f t="shared" si="55"/>
        <v>#DIV/0!</v>
      </c>
      <c r="C104" s="645" t="e">
        <f t="shared" si="53"/>
        <v>#DIV/0!</v>
      </c>
      <c r="D104" s="645" t="e">
        <f t="shared" si="53"/>
        <v>#DIV/0!</v>
      </c>
      <c r="E104" s="645" t="e">
        <f t="shared" si="53"/>
        <v>#DIV/0!</v>
      </c>
      <c r="F104" s="645" t="e">
        <f t="shared" si="53"/>
        <v>#DIV/0!</v>
      </c>
      <c r="G104" s="645" t="e">
        <f t="shared" si="53"/>
        <v>#DIV/0!</v>
      </c>
      <c r="H104" s="645" t="e">
        <f t="shared" si="53"/>
        <v>#DIV/0!</v>
      </c>
      <c r="I104" s="645" t="e">
        <f t="shared" si="53"/>
        <v>#DIV/0!</v>
      </c>
      <c r="J104" s="645" t="e">
        <f t="shared" si="53"/>
        <v>#DIV/0!</v>
      </c>
      <c r="K104" s="645" t="e">
        <f t="shared" si="53"/>
        <v>#DIV/0!</v>
      </c>
      <c r="L104" s="645" t="e">
        <f t="shared" si="53"/>
        <v>#DIV/0!</v>
      </c>
      <c r="M104" s="645" t="e">
        <f t="shared" si="53"/>
        <v>#DIV/0!</v>
      </c>
      <c r="N104" s="645" t="e">
        <f t="shared" si="53"/>
        <v>#DIV/0!</v>
      </c>
      <c r="O104" s="645" t="e">
        <f t="shared" si="53"/>
        <v>#DIV/0!</v>
      </c>
      <c r="P104" s="645" t="e">
        <f t="shared" si="53"/>
        <v>#DIV/0!</v>
      </c>
      <c r="Q104" s="645" t="e">
        <f t="shared" si="53"/>
        <v>#DIV/0!</v>
      </c>
      <c r="R104" s="645" t="e">
        <f t="shared" si="53"/>
        <v>#DIV/0!</v>
      </c>
      <c r="S104" s="645" t="e">
        <f t="shared" si="53"/>
        <v>#DIV/0!</v>
      </c>
      <c r="T104" s="645" t="e">
        <f t="shared" si="53"/>
        <v>#DIV/0!</v>
      </c>
      <c r="U104" s="645" t="e">
        <f t="shared" si="53"/>
        <v>#DIV/0!</v>
      </c>
      <c r="V104" s="645" t="e">
        <f t="shared" si="53"/>
        <v>#DIV/0!</v>
      </c>
      <c r="W104" s="645" t="e">
        <f t="shared" si="53"/>
        <v>#DIV/0!</v>
      </c>
      <c r="X104" s="645" t="e">
        <f t="shared" si="53"/>
        <v>#DIV/0!</v>
      </c>
      <c r="Y104" s="645" t="e">
        <f t="shared" si="53"/>
        <v>#DIV/0!</v>
      </c>
      <c r="Z104" s="645" t="e">
        <f t="shared" si="53"/>
        <v>#DIV/0!</v>
      </c>
      <c r="AA104" s="645" t="e">
        <f t="shared" ref="AA104" si="58">AA95/(AA$57-AA$59)</f>
        <v>#DIV/0!</v>
      </c>
    </row>
    <row r="105" spans="1:27" s="259" customFormat="1" x14ac:dyDescent="0.25">
      <c r="A105" s="42" t="s">
        <v>229</v>
      </c>
      <c r="B105" s="645" t="e">
        <f t="shared" si="55"/>
        <v>#DIV/0!</v>
      </c>
      <c r="C105" s="645" t="e">
        <f t="shared" si="53"/>
        <v>#DIV/0!</v>
      </c>
      <c r="D105" s="645" t="e">
        <f t="shared" si="53"/>
        <v>#DIV/0!</v>
      </c>
      <c r="E105" s="645" t="e">
        <f t="shared" si="53"/>
        <v>#DIV/0!</v>
      </c>
      <c r="F105" s="645" t="e">
        <f t="shared" si="53"/>
        <v>#DIV/0!</v>
      </c>
      <c r="G105" s="645" t="e">
        <f t="shared" si="53"/>
        <v>#DIV/0!</v>
      </c>
      <c r="H105" s="645" t="e">
        <f t="shared" si="53"/>
        <v>#DIV/0!</v>
      </c>
      <c r="I105" s="645" t="e">
        <f t="shared" si="53"/>
        <v>#DIV/0!</v>
      </c>
      <c r="J105" s="645" t="e">
        <f t="shared" si="53"/>
        <v>#DIV/0!</v>
      </c>
      <c r="K105" s="645" t="e">
        <f t="shared" si="53"/>
        <v>#DIV/0!</v>
      </c>
      <c r="L105" s="645" t="e">
        <f t="shared" si="53"/>
        <v>#DIV/0!</v>
      </c>
      <c r="M105" s="645" t="e">
        <f t="shared" si="53"/>
        <v>#DIV/0!</v>
      </c>
      <c r="N105" s="645" t="e">
        <f t="shared" si="53"/>
        <v>#DIV/0!</v>
      </c>
      <c r="O105" s="645" t="e">
        <f t="shared" si="53"/>
        <v>#DIV/0!</v>
      </c>
      <c r="P105" s="645" t="e">
        <f t="shared" si="53"/>
        <v>#DIV/0!</v>
      </c>
      <c r="Q105" s="645" t="e">
        <f t="shared" si="53"/>
        <v>#DIV/0!</v>
      </c>
      <c r="R105" s="645" t="e">
        <f t="shared" si="53"/>
        <v>#DIV/0!</v>
      </c>
      <c r="S105" s="645" t="e">
        <f t="shared" si="53"/>
        <v>#DIV/0!</v>
      </c>
      <c r="T105" s="645" t="e">
        <f t="shared" si="53"/>
        <v>#DIV/0!</v>
      </c>
      <c r="U105" s="645" t="e">
        <f t="shared" si="53"/>
        <v>#DIV/0!</v>
      </c>
      <c r="V105" s="645" t="e">
        <f t="shared" si="53"/>
        <v>#DIV/0!</v>
      </c>
      <c r="W105" s="645" t="e">
        <f t="shared" si="53"/>
        <v>#DIV/0!</v>
      </c>
      <c r="X105" s="645" t="e">
        <f t="shared" si="53"/>
        <v>#DIV/0!</v>
      </c>
      <c r="Y105" s="645" t="e">
        <f t="shared" si="53"/>
        <v>#DIV/0!</v>
      </c>
      <c r="Z105" s="645" t="e">
        <f t="shared" si="53"/>
        <v>#DIV/0!</v>
      </c>
      <c r="AA105" s="645" t="e">
        <f t="shared" ref="AA105" si="59">AA96/(AA$57-AA$59)</f>
        <v>#DIV/0!</v>
      </c>
    </row>
    <row r="106" spans="1:27" s="259" customFormat="1" x14ac:dyDescent="0.25">
      <c r="A106" s="42" t="s">
        <v>240</v>
      </c>
      <c r="B106" s="645" t="e">
        <f t="shared" si="55"/>
        <v>#DIV/0!</v>
      </c>
      <c r="C106" s="645" t="e">
        <f t="shared" si="53"/>
        <v>#DIV/0!</v>
      </c>
      <c r="D106" s="645" t="e">
        <f t="shared" si="53"/>
        <v>#DIV/0!</v>
      </c>
      <c r="E106" s="645" t="e">
        <f t="shared" si="53"/>
        <v>#DIV/0!</v>
      </c>
      <c r="F106" s="645" t="e">
        <f t="shared" si="53"/>
        <v>#DIV/0!</v>
      </c>
      <c r="G106" s="645" t="e">
        <f t="shared" si="53"/>
        <v>#DIV/0!</v>
      </c>
      <c r="H106" s="645" t="e">
        <f t="shared" si="53"/>
        <v>#DIV/0!</v>
      </c>
      <c r="I106" s="645" t="e">
        <f t="shared" si="53"/>
        <v>#DIV/0!</v>
      </c>
      <c r="J106" s="645" t="e">
        <f t="shared" si="53"/>
        <v>#DIV/0!</v>
      </c>
      <c r="K106" s="645" t="e">
        <f t="shared" si="53"/>
        <v>#DIV/0!</v>
      </c>
      <c r="L106" s="645" t="e">
        <f t="shared" si="53"/>
        <v>#DIV/0!</v>
      </c>
      <c r="M106" s="645" t="e">
        <f t="shared" si="53"/>
        <v>#DIV/0!</v>
      </c>
      <c r="N106" s="645" t="e">
        <f t="shared" si="53"/>
        <v>#DIV/0!</v>
      </c>
      <c r="O106" s="645" t="e">
        <f t="shared" si="53"/>
        <v>#DIV/0!</v>
      </c>
      <c r="P106" s="645" t="e">
        <f t="shared" si="53"/>
        <v>#DIV/0!</v>
      </c>
      <c r="Q106" s="645" t="e">
        <f t="shared" si="53"/>
        <v>#DIV/0!</v>
      </c>
      <c r="R106" s="645" t="e">
        <f t="shared" si="53"/>
        <v>#DIV/0!</v>
      </c>
      <c r="S106" s="645" t="e">
        <f t="shared" si="53"/>
        <v>#DIV/0!</v>
      </c>
      <c r="T106" s="645" t="e">
        <f t="shared" si="53"/>
        <v>#DIV/0!</v>
      </c>
      <c r="U106" s="645" t="e">
        <f t="shared" si="53"/>
        <v>#DIV/0!</v>
      </c>
      <c r="V106" s="645" t="e">
        <f t="shared" si="53"/>
        <v>#DIV/0!</v>
      </c>
      <c r="W106" s="645" t="e">
        <f t="shared" si="53"/>
        <v>#DIV/0!</v>
      </c>
      <c r="X106" s="645" t="e">
        <f t="shared" si="53"/>
        <v>#DIV/0!</v>
      </c>
      <c r="Y106" s="645" t="e">
        <f t="shared" si="53"/>
        <v>#DIV/0!</v>
      </c>
      <c r="Z106" s="645" t="e">
        <f t="shared" si="53"/>
        <v>#DIV/0!</v>
      </c>
      <c r="AA106" s="645" t="e">
        <f t="shared" ref="AA106" si="60">AA97/(AA$57-AA$59)</f>
        <v>#DIV/0!</v>
      </c>
    </row>
    <row r="108" spans="1:27" ht="21" x14ac:dyDescent="0.4">
      <c r="A108" s="19" t="s">
        <v>242</v>
      </c>
    </row>
    <row r="109" spans="1:27" x14ac:dyDescent="0.25">
      <c r="A109" s="42" t="s">
        <v>237</v>
      </c>
      <c r="B109" s="265" t="e">
        <f>B91/B$58</f>
        <v>#DIV/0!</v>
      </c>
      <c r="C109" s="265" t="e">
        <f t="shared" ref="C109:Z109" si="61">C91/C$58</f>
        <v>#DIV/0!</v>
      </c>
      <c r="D109" s="265" t="e">
        <f t="shared" si="61"/>
        <v>#DIV/0!</v>
      </c>
      <c r="E109" s="265" t="e">
        <f t="shared" si="61"/>
        <v>#DIV/0!</v>
      </c>
      <c r="F109" s="265" t="e">
        <f t="shared" si="61"/>
        <v>#DIV/0!</v>
      </c>
      <c r="G109" s="265" t="e">
        <f t="shared" si="61"/>
        <v>#DIV/0!</v>
      </c>
      <c r="H109" s="265" t="e">
        <f t="shared" si="61"/>
        <v>#DIV/0!</v>
      </c>
      <c r="I109" s="265" t="e">
        <f t="shared" si="61"/>
        <v>#DIV/0!</v>
      </c>
      <c r="J109" s="265" t="e">
        <f t="shared" si="61"/>
        <v>#DIV/0!</v>
      </c>
      <c r="K109" s="265" t="e">
        <f t="shared" si="61"/>
        <v>#DIV/0!</v>
      </c>
      <c r="L109" s="265" t="e">
        <f t="shared" si="61"/>
        <v>#DIV/0!</v>
      </c>
      <c r="M109" s="265" t="e">
        <f t="shared" si="61"/>
        <v>#DIV/0!</v>
      </c>
      <c r="N109" s="265" t="e">
        <f t="shared" si="61"/>
        <v>#DIV/0!</v>
      </c>
      <c r="O109" s="265" t="e">
        <f t="shared" si="61"/>
        <v>#DIV/0!</v>
      </c>
      <c r="P109" s="265" t="e">
        <f t="shared" si="61"/>
        <v>#DIV/0!</v>
      </c>
      <c r="Q109" s="265" t="e">
        <f t="shared" si="61"/>
        <v>#DIV/0!</v>
      </c>
      <c r="R109" s="265" t="e">
        <f t="shared" si="61"/>
        <v>#DIV/0!</v>
      </c>
      <c r="S109" s="265" t="e">
        <f t="shared" si="61"/>
        <v>#DIV/0!</v>
      </c>
      <c r="T109" s="265" t="e">
        <f t="shared" si="61"/>
        <v>#DIV/0!</v>
      </c>
      <c r="U109" s="265" t="e">
        <f t="shared" si="61"/>
        <v>#DIV/0!</v>
      </c>
      <c r="V109" s="265" t="e">
        <f t="shared" si="61"/>
        <v>#DIV/0!</v>
      </c>
      <c r="W109" s="265" t="e">
        <f t="shared" si="61"/>
        <v>#DIV/0!</v>
      </c>
      <c r="X109" s="265" t="e">
        <f t="shared" si="61"/>
        <v>#DIV/0!</v>
      </c>
      <c r="Y109" s="265" t="e">
        <f t="shared" si="61"/>
        <v>#DIV/0!</v>
      </c>
      <c r="Z109" s="265" t="e">
        <f t="shared" si="61"/>
        <v>#DIV/0!</v>
      </c>
      <c r="AA109" s="265" t="e">
        <f t="shared" ref="AA109" si="62">AA91/AA$58</f>
        <v>#DIV/0!</v>
      </c>
    </row>
    <row r="110" spans="1:27" x14ac:dyDescent="0.25">
      <c r="A110" s="42" t="s">
        <v>238</v>
      </c>
      <c r="B110" s="265" t="e">
        <f>B92/(B$58-B$60)</f>
        <v>#DIV/0!</v>
      </c>
      <c r="C110" s="265" t="e">
        <f t="shared" ref="C110:Z115" si="63">C92/(C$58-C$60)</f>
        <v>#DIV/0!</v>
      </c>
      <c r="D110" s="265" t="e">
        <f t="shared" si="63"/>
        <v>#DIV/0!</v>
      </c>
      <c r="E110" s="265" t="e">
        <f t="shared" si="63"/>
        <v>#DIV/0!</v>
      </c>
      <c r="F110" s="265" t="e">
        <f t="shared" si="63"/>
        <v>#DIV/0!</v>
      </c>
      <c r="G110" s="265" t="e">
        <f t="shared" si="63"/>
        <v>#DIV/0!</v>
      </c>
      <c r="H110" s="265" t="e">
        <f t="shared" si="63"/>
        <v>#DIV/0!</v>
      </c>
      <c r="I110" s="265" t="e">
        <f t="shared" si="63"/>
        <v>#DIV/0!</v>
      </c>
      <c r="J110" s="265" t="e">
        <f t="shared" si="63"/>
        <v>#DIV/0!</v>
      </c>
      <c r="K110" s="265" t="e">
        <f t="shared" si="63"/>
        <v>#DIV/0!</v>
      </c>
      <c r="L110" s="265" t="e">
        <f t="shared" si="63"/>
        <v>#DIV/0!</v>
      </c>
      <c r="M110" s="265" t="e">
        <f t="shared" si="63"/>
        <v>#DIV/0!</v>
      </c>
      <c r="N110" s="265" t="e">
        <f t="shared" si="63"/>
        <v>#DIV/0!</v>
      </c>
      <c r="O110" s="265" t="e">
        <f t="shared" si="63"/>
        <v>#DIV/0!</v>
      </c>
      <c r="P110" s="265" t="e">
        <f t="shared" si="63"/>
        <v>#DIV/0!</v>
      </c>
      <c r="Q110" s="265" t="e">
        <f t="shared" si="63"/>
        <v>#DIV/0!</v>
      </c>
      <c r="R110" s="265" t="e">
        <f t="shared" si="63"/>
        <v>#DIV/0!</v>
      </c>
      <c r="S110" s="265" t="e">
        <f t="shared" si="63"/>
        <v>#DIV/0!</v>
      </c>
      <c r="T110" s="265" t="e">
        <f t="shared" si="63"/>
        <v>#DIV/0!</v>
      </c>
      <c r="U110" s="265" t="e">
        <f t="shared" si="63"/>
        <v>#DIV/0!</v>
      </c>
      <c r="V110" s="265" t="e">
        <f t="shared" si="63"/>
        <v>#DIV/0!</v>
      </c>
      <c r="W110" s="265" t="e">
        <f t="shared" si="63"/>
        <v>#DIV/0!</v>
      </c>
      <c r="X110" s="265" t="e">
        <f t="shared" si="63"/>
        <v>#DIV/0!</v>
      </c>
      <c r="Y110" s="265" t="e">
        <f t="shared" si="63"/>
        <v>#DIV/0!</v>
      </c>
      <c r="Z110" s="265" t="e">
        <f t="shared" si="63"/>
        <v>#DIV/0!</v>
      </c>
      <c r="AA110" s="265" t="e">
        <f t="shared" ref="AA110" si="64">AA92/(AA$58-AA$60)</f>
        <v>#DIV/0!</v>
      </c>
    </row>
    <row r="111" spans="1:27" x14ac:dyDescent="0.25">
      <c r="A111" s="42" t="s">
        <v>239</v>
      </c>
      <c r="B111" s="265" t="e">
        <f t="shared" ref="B111:Q115" si="65">B93/(B$58-B$60)</f>
        <v>#DIV/0!</v>
      </c>
      <c r="C111" s="265" t="e">
        <f t="shared" si="65"/>
        <v>#DIV/0!</v>
      </c>
      <c r="D111" s="265" t="e">
        <f t="shared" si="65"/>
        <v>#DIV/0!</v>
      </c>
      <c r="E111" s="265" t="e">
        <f t="shared" si="65"/>
        <v>#DIV/0!</v>
      </c>
      <c r="F111" s="265" t="e">
        <f t="shared" si="65"/>
        <v>#DIV/0!</v>
      </c>
      <c r="G111" s="265" t="e">
        <f t="shared" si="65"/>
        <v>#DIV/0!</v>
      </c>
      <c r="H111" s="265" t="e">
        <f t="shared" si="65"/>
        <v>#DIV/0!</v>
      </c>
      <c r="I111" s="265" t="e">
        <f t="shared" si="65"/>
        <v>#DIV/0!</v>
      </c>
      <c r="J111" s="265" t="e">
        <f t="shared" si="65"/>
        <v>#DIV/0!</v>
      </c>
      <c r="K111" s="265" t="e">
        <f t="shared" si="65"/>
        <v>#DIV/0!</v>
      </c>
      <c r="L111" s="265" t="e">
        <f t="shared" si="65"/>
        <v>#DIV/0!</v>
      </c>
      <c r="M111" s="265" t="e">
        <f t="shared" si="65"/>
        <v>#DIV/0!</v>
      </c>
      <c r="N111" s="265" t="e">
        <f t="shared" si="65"/>
        <v>#DIV/0!</v>
      </c>
      <c r="O111" s="265" t="e">
        <f t="shared" si="65"/>
        <v>#DIV/0!</v>
      </c>
      <c r="P111" s="265" t="e">
        <f t="shared" si="65"/>
        <v>#DIV/0!</v>
      </c>
      <c r="Q111" s="265" t="e">
        <f t="shared" si="65"/>
        <v>#DIV/0!</v>
      </c>
      <c r="R111" s="265" t="e">
        <f t="shared" si="63"/>
        <v>#DIV/0!</v>
      </c>
      <c r="S111" s="265" t="e">
        <f t="shared" si="63"/>
        <v>#DIV/0!</v>
      </c>
      <c r="T111" s="265" t="e">
        <f t="shared" si="63"/>
        <v>#DIV/0!</v>
      </c>
      <c r="U111" s="265" t="e">
        <f t="shared" si="63"/>
        <v>#DIV/0!</v>
      </c>
      <c r="V111" s="265" t="e">
        <f t="shared" si="63"/>
        <v>#DIV/0!</v>
      </c>
      <c r="W111" s="265" t="e">
        <f t="shared" si="63"/>
        <v>#DIV/0!</v>
      </c>
      <c r="X111" s="265" t="e">
        <f t="shared" si="63"/>
        <v>#DIV/0!</v>
      </c>
      <c r="Y111" s="265" t="e">
        <f t="shared" si="63"/>
        <v>#DIV/0!</v>
      </c>
      <c r="Z111" s="265" t="e">
        <f t="shared" si="63"/>
        <v>#DIV/0!</v>
      </c>
      <c r="AA111" s="265" t="e">
        <f t="shared" ref="AA111" si="66">AA93/(AA$58-AA$60)</f>
        <v>#DIV/0!</v>
      </c>
    </row>
    <row r="112" spans="1:27" x14ac:dyDescent="0.25">
      <c r="A112" s="42" t="s">
        <v>228</v>
      </c>
      <c r="B112" s="265" t="e">
        <f t="shared" si="65"/>
        <v>#DIV/0!</v>
      </c>
      <c r="C112" s="265" t="e">
        <f t="shared" si="63"/>
        <v>#DIV/0!</v>
      </c>
      <c r="D112" s="265" t="e">
        <f t="shared" si="63"/>
        <v>#DIV/0!</v>
      </c>
      <c r="E112" s="265" t="e">
        <f t="shared" si="63"/>
        <v>#DIV/0!</v>
      </c>
      <c r="F112" s="265" t="e">
        <f t="shared" si="63"/>
        <v>#DIV/0!</v>
      </c>
      <c r="G112" s="265" t="e">
        <f t="shared" si="63"/>
        <v>#DIV/0!</v>
      </c>
      <c r="H112" s="265" t="e">
        <f t="shared" si="63"/>
        <v>#DIV/0!</v>
      </c>
      <c r="I112" s="265" t="e">
        <f t="shared" si="63"/>
        <v>#DIV/0!</v>
      </c>
      <c r="J112" s="265" t="e">
        <f t="shared" si="63"/>
        <v>#DIV/0!</v>
      </c>
      <c r="K112" s="265" t="e">
        <f t="shared" si="63"/>
        <v>#DIV/0!</v>
      </c>
      <c r="L112" s="265" t="e">
        <f t="shared" si="63"/>
        <v>#DIV/0!</v>
      </c>
      <c r="M112" s="265" t="e">
        <f t="shared" si="63"/>
        <v>#DIV/0!</v>
      </c>
      <c r="N112" s="265" t="e">
        <f t="shared" si="63"/>
        <v>#DIV/0!</v>
      </c>
      <c r="O112" s="265" t="e">
        <f t="shared" si="63"/>
        <v>#DIV/0!</v>
      </c>
      <c r="P112" s="265" t="e">
        <f t="shared" si="63"/>
        <v>#DIV/0!</v>
      </c>
      <c r="Q112" s="265" t="e">
        <f t="shared" si="63"/>
        <v>#DIV/0!</v>
      </c>
      <c r="R112" s="265" t="e">
        <f t="shared" si="63"/>
        <v>#DIV/0!</v>
      </c>
      <c r="S112" s="265" t="e">
        <f t="shared" si="63"/>
        <v>#DIV/0!</v>
      </c>
      <c r="T112" s="265" t="e">
        <f t="shared" si="63"/>
        <v>#DIV/0!</v>
      </c>
      <c r="U112" s="265" t="e">
        <f t="shared" si="63"/>
        <v>#DIV/0!</v>
      </c>
      <c r="V112" s="265" t="e">
        <f t="shared" si="63"/>
        <v>#DIV/0!</v>
      </c>
      <c r="W112" s="265" t="e">
        <f t="shared" si="63"/>
        <v>#DIV/0!</v>
      </c>
      <c r="X112" s="265" t="e">
        <f t="shared" si="63"/>
        <v>#DIV/0!</v>
      </c>
      <c r="Y112" s="265" t="e">
        <f t="shared" si="63"/>
        <v>#DIV/0!</v>
      </c>
      <c r="Z112" s="265" t="e">
        <f t="shared" si="63"/>
        <v>#DIV/0!</v>
      </c>
      <c r="AA112" s="265" t="e">
        <f t="shared" ref="AA112" si="67">AA94/(AA$58-AA$60)</f>
        <v>#DIV/0!</v>
      </c>
    </row>
    <row r="113" spans="1:27" x14ac:dyDescent="0.25">
      <c r="A113" s="42" t="s">
        <v>207</v>
      </c>
      <c r="B113" s="265" t="e">
        <f t="shared" si="65"/>
        <v>#DIV/0!</v>
      </c>
      <c r="C113" s="265" t="e">
        <f t="shared" si="63"/>
        <v>#DIV/0!</v>
      </c>
      <c r="D113" s="265" t="e">
        <f t="shared" si="63"/>
        <v>#DIV/0!</v>
      </c>
      <c r="E113" s="265" t="e">
        <f t="shared" si="63"/>
        <v>#DIV/0!</v>
      </c>
      <c r="F113" s="265" t="e">
        <f t="shared" si="63"/>
        <v>#DIV/0!</v>
      </c>
      <c r="G113" s="265" t="e">
        <f t="shared" si="63"/>
        <v>#DIV/0!</v>
      </c>
      <c r="H113" s="265" t="e">
        <f t="shared" si="63"/>
        <v>#DIV/0!</v>
      </c>
      <c r="I113" s="265" t="e">
        <f t="shared" si="63"/>
        <v>#DIV/0!</v>
      </c>
      <c r="J113" s="265" t="e">
        <f t="shared" si="63"/>
        <v>#DIV/0!</v>
      </c>
      <c r="K113" s="265" t="e">
        <f t="shared" si="63"/>
        <v>#DIV/0!</v>
      </c>
      <c r="L113" s="265" t="e">
        <f t="shared" si="63"/>
        <v>#DIV/0!</v>
      </c>
      <c r="M113" s="265" t="e">
        <f t="shared" si="63"/>
        <v>#DIV/0!</v>
      </c>
      <c r="N113" s="265" t="e">
        <f t="shared" si="63"/>
        <v>#DIV/0!</v>
      </c>
      <c r="O113" s="265" t="e">
        <f t="shared" si="63"/>
        <v>#DIV/0!</v>
      </c>
      <c r="P113" s="265" t="e">
        <f t="shared" si="63"/>
        <v>#DIV/0!</v>
      </c>
      <c r="Q113" s="265" t="e">
        <f t="shared" si="63"/>
        <v>#DIV/0!</v>
      </c>
      <c r="R113" s="265" t="e">
        <f t="shared" si="63"/>
        <v>#DIV/0!</v>
      </c>
      <c r="S113" s="265" t="e">
        <f t="shared" si="63"/>
        <v>#DIV/0!</v>
      </c>
      <c r="T113" s="265" t="e">
        <f t="shared" si="63"/>
        <v>#DIV/0!</v>
      </c>
      <c r="U113" s="265" t="e">
        <f t="shared" si="63"/>
        <v>#DIV/0!</v>
      </c>
      <c r="V113" s="265" t="e">
        <f t="shared" si="63"/>
        <v>#DIV/0!</v>
      </c>
      <c r="W113" s="265" t="e">
        <f t="shared" si="63"/>
        <v>#DIV/0!</v>
      </c>
      <c r="X113" s="265" t="e">
        <f t="shared" si="63"/>
        <v>#DIV/0!</v>
      </c>
      <c r="Y113" s="265" t="e">
        <f t="shared" si="63"/>
        <v>#DIV/0!</v>
      </c>
      <c r="Z113" s="265" t="e">
        <f t="shared" si="63"/>
        <v>#DIV/0!</v>
      </c>
      <c r="AA113" s="265" t="e">
        <f t="shared" ref="AA113" si="68">AA95/(AA$58-AA$60)</f>
        <v>#DIV/0!</v>
      </c>
    </row>
    <row r="114" spans="1:27" x14ac:dyDescent="0.25">
      <c r="A114" s="42" t="s">
        <v>229</v>
      </c>
      <c r="B114" s="265" t="e">
        <f t="shared" si="65"/>
        <v>#DIV/0!</v>
      </c>
      <c r="C114" s="265" t="e">
        <f t="shared" si="63"/>
        <v>#DIV/0!</v>
      </c>
      <c r="D114" s="265" t="e">
        <f t="shared" si="63"/>
        <v>#DIV/0!</v>
      </c>
      <c r="E114" s="265" t="e">
        <f t="shared" si="63"/>
        <v>#DIV/0!</v>
      </c>
      <c r="F114" s="265" t="e">
        <f t="shared" si="63"/>
        <v>#DIV/0!</v>
      </c>
      <c r="G114" s="265" t="e">
        <f t="shared" si="63"/>
        <v>#DIV/0!</v>
      </c>
      <c r="H114" s="265" t="e">
        <f t="shared" si="63"/>
        <v>#DIV/0!</v>
      </c>
      <c r="I114" s="265" t="e">
        <f t="shared" si="63"/>
        <v>#DIV/0!</v>
      </c>
      <c r="J114" s="265" t="e">
        <f t="shared" si="63"/>
        <v>#DIV/0!</v>
      </c>
      <c r="K114" s="265" t="e">
        <f t="shared" si="63"/>
        <v>#DIV/0!</v>
      </c>
      <c r="L114" s="265" t="e">
        <f t="shared" si="63"/>
        <v>#DIV/0!</v>
      </c>
      <c r="M114" s="265" t="e">
        <f t="shared" si="63"/>
        <v>#DIV/0!</v>
      </c>
      <c r="N114" s="265" t="e">
        <f t="shared" si="63"/>
        <v>#DIV/0!</v>
      </c>
      <c r="O114" s="265" t="e">
        <f t="shared" si="63"/>
        <v>#DIV/0!</v>
      </c>
      <c r="P114" s="265" t="e">
        <f t="shared" si="63"/>
        <v>#DIV/0!</v>
      </c>
      <c r="Q114" s="265" t="e">
        <f t="shared" si="63"/>
        <v>#DIV/0!</v>
      </c>
      <c r="R114" s="265" t="e">
        <f t="shared" si="63"/>
        <v>#DIV/0!</v>
      </c>
      <c r="S114" s="265" t="e">
        <f t="shared" si="63"/>
        <v>#DIV/0!</v>
      </c>
      <c r="T114" s="265" t="e">
        <f t="shared" si="63"/>
        <v>#DIV/0!</v>
      </c>
      <c r="U114" s="265" t="e">
        <f t="shared" si="63"/>
        <v>#DIV/0!</v>
      </c>
      <c r="V114" s="265" t="e">
        <f t="shared" si="63"/>
        <v>#DIV/0!</v>
      </c>
      <c r="W114" s="265" t="e">
        <f t="shared" si="63"/>
        <v>#DIV/0!</v>
      </c>
      <c r="X114" s="265" t="e">
        <f t="shared" si="63"/>
        <v>#DIV/0!</v>
      </c>
      <c r="Y114" s="265" t="e">
        <f t="shared" si="63"/>
        <v>#DIV/0!</v>
      </c>
      <c r="Z114" s="265" t="e">
        <f t="shared" si="63"/>
        <v>#DIV/0!</v>
      </c>
      <c r="AA114" s="265" t="e">
        <f t="shared" ref="AA114" si="69">AA96/(AA$58-AA$60)</f>
        <v>#DIV/0!</v>
      </c>
    </row>
    <row r="115" spans="1:27" x14ac:dyDescent="0.25">
      <c r="A115" s="42" t="s">
        <v>240</v>
      </c>
      <c r="B115" s="265" t="e">
        <f t="shared" si="65"/>
        <v>#DIV/0!</v>
      </c>
      <c r="C115" s="265" t="e">
        <f t="shared" si="63"/>
        <v>#DIV/0!</v>
      </c>
      <c r="D115" s="265" t="e">
        <f t="shared" si="63"/>
        <v>#DIV/0!</v>
      </c>
      <c r="E115" s="265" t="e">
        <f t="shared" si="63"/>
        <v>#DIV/0!</v>
      </c>
      <c r="F115" s="265" t="e">
        <f t="shared" si="63"/>
        <v>#DIV/0!</v>
      </c>
      <c r="G115" s="265" t="e">
        <f t="shared" si="63"/>
        <v>#DIV/0!</v>
      </c>
      <c r="H115" s="265" t="e">
        <f t="shared" si="63"/>
        <v>#DIV/0!</v>
      </c>
      <c r="I115" s="265" t="e">
        <f t="shared" si="63"/>
        <v>#DIV/0!</v>
      </c>
      <c r="J115" s="265" t="e">
        <f t="shared" si="63"/>
        <v>#DIV/0!</v>
      </c>
      <c r="K115" s="265" t="e">
        <f t="shared" si="63"/>
        <v>#DIV/0!</v>
      </c>
      <c r="L115" s="265" t="e">
        <f t="shared" si="63"/>
        <v>#DIV/0!</v>
      </c>
      <c r="M115" s="265" t="e">
        <f t="shared" si="63"/>
        <v>#DIV/0!</v>
      </c>
      <c r="N115" s="265" t="e">
        <f t="shared" si="63"/>
        <v>#DIV/0!</v>
      </c>
      <c r="O115" s="265" t="e">
        <f t="shared" si="63"/>
        <v>#DIV/0!</v>
      </c>
      <c r="P115" s="265" t="e">
        <f t="shared" si="63"/>
        <v>#DIV/0!</v>
      </c>
      <c r="Q115" s="265" t="e">
        <f t="shared" si="63"/>
        <v>#DIV/0!</v>
      </c>
      <c r="R115" s="265" t="e">
        <f t="shared" si="63"/>
        <v>#DIV/0!</v>
      </c>
      <c r="S115" s="265" t="e">
        <f t="shared" si="63"/>
        <v>#DIV/0!</v>
      </c>
      <c r="T115" s="265" t="e">
        <f t="shared" si="63"/>
        <v>#DIV/0!</v>
      </c>
      <c r="U115" s="265" t="e">
        <f t="shared" si="63"/>
        <v>#DIV/0!</v>
      </c>
      <c r="V115" s="265" t="e">
        <f t="shared" si="63"/>
        <v>#DIV/0!</v>
      </c>
      <c r="W115" s="265" t="e">
        <f t="shared" si="63"/>
        <v>#DIV/0!</v>
      </c>
      <c r="X115" s="265" t="e">
        <f t="shared" si="63"/>
        <v>#DIV/0!</v>
      </c>
      <c r="Y115" s="265" t="e">
        <f t="shared" si="63"/>
        <v>#DIV/0!</v>
      </c>
      <c r="Z115" s="265" t="e">
        <f t="shared" si="63"/>
        <v>#DIV/0!</v>
      </c>
      <c r="AA115" s="265" t="e">
        <f t="shared" ref="AA115" si="70">AA97/(AA$58-AA$60)</f>
        <v>#DIV/0!</v>
      </c>
    </row>
  </sheetData>
  <sheetProtection sheet="1" objects="1" scenarios="1" formatCells="0" formatColumns="0" formatRows="0"/>
  <mergeCells count="3">
    <mergeCell ref="A88:AA88"/>
    <mergeCell ref="B3:Z3"/>
    <mergeCell ref="AA3:AA4"/>
  </mergeCells>
  <conditionalFormatting sqref="A5:A22">
    <cfRule type="duplicateValues" dxfId="370" priority="8"/>
  </conditionalFormatting>
  <conditionalFormatting sqref="A57:A60">
    <cfRule type="duplicateValues" dxfId="369" priority="7"/>
  </conditionalFormatting>
  <conditionalFormatting sqref="B59:Z60">
    <cfRule type="expression" dxfId="368" priority="5">
      <formula>B$28=0</formula>
    </cfRule>
  </conditionalFormatting>
  <conditionalFormatting sqref="A84">
    <cfRule type="duplicateValues" dxfId="367" priority="4"/>
  </conditionalFormatting>
  <conditionalFormatting sqref="A61">
    <cfRule type="duplicateValues" dxfId="366" priority="3"/>
  </conditionalFormatting>
  <conditionalFormatting sqref="AA1">
    <cfRule type="cellIs" dxfId="365" priority="2" operator="notEqual">
      <formula>" "</formula>
    </cfRule>
  </conditionalFormatting>
  <conditionalFormatting sqref="AA2">
    <cfRule type="cellIs" dxfId="364" priority="1" operator="notEqual">
      <formula>" "</formula>
    </cfRule>
  </conditionalFormatting>
  <dataValidations count="3">
    <dataValidation type="whole" allowBlank="1" showErrorMessage="1" error="Veuillez saisir l'année avec le format suivant : AAAA" prompt="Sans &quot;Année&quot;" sqref="D1" xr:uid="{00000000-0002-0000-0400-000000000000}">
      <formula1>2000</formula1>
      <formula2>3000</formula2>
    </dataValidation>
    <dataValidation type="list" errorStyle="warning" allowBlank="1" showErrorMessage="1" errorTitle="FLUX DE DECHETS" error="Les flux proposés dans le menu déroulant correspondent aux flux les plus utilisés dans la matrice. Pour en saisir un différent,  cliquer sur &quot;oui&quot;, ci-dessous." promptTitle="Saisir les noms des flux" prompt="Choisir dans le menu déroulant, qui propose les principaux flux suivant la nomenclature SINOE. Pour ajouter un nom de flux dans le menu déroulant, cliquer sur le bouton &quot;Ajouter un flux personnalisé&quot;." sqref="B4:Z4" xr:uid="{00000000-0002-0000-0400-000001000000}">
      <formula1>Colonnes</formula1>
    </dataValidation>
    <dataValidation type="list" errorStyle="warning" allowBlank="1" showInputMessage="1" showErrorMessage="1" errorTitle="LIGNES DE LA MATRICE" error="Les lignes proposées dans le menu déroulant correspondent aux lignes les plus utilisées dans la matrice. Pour en saisir une différente,  cliquer sur &quot;oui&quot;, ci-dessous." sqref="A5:A22" xr:uid="{00000000-0002-0000-0400-000002000000}">
      <formula1>Lignes</formula1>
    </dataValidation>
  </dataValidations>
  <printOptions horizontalCentered="1" verticalCentered="1"/>
  <pageMargins left="0.19685039370078741" right="0.19685039370078741" top="0.43307086614173229" bottom="0.59055118110236227" header="0.51181102362204722" footer="0.31496062992125984"/>
  <pageSetup paperSize="9" scale="31" orientation="portrait" r:id="rId1"/>
  <headerFooter alignWithMargins="0"/>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5">
    <tabColor theme="1"/>
  </sheetPr>
  <dimension ref="A1:K641"/>
  <sheetViews>
    <sheetView showGridLines="0" topLeftCell="A32" zoomScaleNormal="100" workbookViewId="0">
      <selection activeCell="C57" sqref="C57"/>
    </sheetView>
  </sheetViews>
  <sheetFormatPr baseColWidth="10" defaultColWidth="11.44140625" defaultRowHeight="13.2" x14ac:dyDescent="0.25"/>
  <cols>
    <col min="1" max="1" width="11.44140625" style="1"/>
    <col min="2" max="2" width="81.33203125" style="1" customWidth="1"/>
    <col min="3" max="3" width="18.44140625" style="29" customWidth="1"/>
    <col min="4" max="16384" width="11.44140625" style="1"/>
  </cols>
  <sheetData>
    <row r="1" spans="1:11" ht="21" x14ac:dyDescent="0.25">
      <c r="A1" s="128" t="s">
        <v>243</v>
      </c>
    </row>
    <row r="2" spans="1:11" ht="21.6" thickBot="1" x14ac:dyDescent="0.35">
      <c r="A2" s="129" t="s">
        <v>244</v>
      </c>
      <c r="B2" s="124"/>
      <c r="C2" s="129" t="s">
        <v>119</v>
      </c>
      <c r="F2" s="130" t="s">
        <v>245</v>
      </c>
      <c r="J2" s="125"/>
      <c r="K2" s="125"/>
    </row>
    <row r="3" spans="1:11" ht="54" customHeight="1" thickBot="1" x14ac:dyDescent="0.3">
      <c r="A3" s="678" t="s">
        <v>246</v>
      </c>
      <c r="B3" s="678"/>
      <c r="C3" s="679" t="s">
        <v>247</v>
      </c>
      <c r="D3" s="679"/>
      <c r="E3" s="641"/>
      <c r="F3" s="676"/>
      <c r="G3" s="677"/>
      <c r="H3" s="641"/>
      <c r="I3" s="641"/>
      <c r="J3" s="641"/>
      <c r="K3" s="641"/>
    </row>
    <row r="4" spans="1:11" ht="31.5" customHeight="1" x14ac:dyDescent="0.25">
      <c r="A4" s="193" t="s">
        <v>122</v>
      </c>
      <c r="B4" s="125"/>
      <c r="C4" s="125"/>
      <c r="E4" s="149"/>
      <c r="F4" s="149"/>
      <c r="G4" s="125"/>
      <c r="H4" s="125"/>
      <c r="I4" s="125"/>
      <c r="J4" s="125"/>
      <c r="K4" s="125"/>
    </row>
    <row r="5" spans="1:11" ht="36.75" customHeight="1" x14ac:dyDescent="0.25">
      <c r="A5" s="680" t="s">
        <v>248</v>
      </c>
      <c r="B5" s="680"/>
      <c r="C5" s="192"/>
      <c r="D5" s="192"/>
      <c r="E5" s="192"/>
      <c r="F5" s="192"/>
      <c r="G5" s="192"/>
      <c r="H5"/>
      <c r="I5"/>
      <c r="J5"/>
      <c r="K5"/>
    </row>
    <row r="7" spans="1:11" s="148" customFormat="1" x14ac:dyDescent="0.25">
      <c r="A7" s="157" t="s">
        <v>249</v>
      </c>
      <c r="B7" s="158" t="s">
        <v>250</v>
      </c>
      <c r="C7" s="159" t="s">
        <v>251</v>
      </c>
      <c r="E7" s="1"/>
      <c r="F7" s="1"/>
      <c r="G7" s="1"/>
    </row>
    <row r="8" spans="1:11" s="148" customFormat="1" x14ac:dyDescent="0.25">
      <c r="A8" s="150"/>
      <c r="B8" s="151"/>
      <c r="C8" s="152">
        <v>0</v>
      </c>
      <c r="E8" s="1"/>
      <c r="F8" s="1"/>
      <c r="G8" s="1"/>
    </row>
    <row r="9" spans="1:11" x14ac:dyDescent="0.25">
      <c r="A9" s="150">
        <v>60</v>
      </c>
      <c r="B9" s="151" t="s">
        <v>252</v>
      </c>
      <c r="C9" s="152"/>
    </row>
    <row r="10" spans="1:11" x14ac:dyDescent="0.25">
      <c r="A10" s="150">
        <v>601</v>
      </c>
      <c r="B10" s="151" t="s">
        <v>253</v>
      </c>
      <c r="C10" s="152"/>
    </row>
    <row r="11" spans="1:11" x14ac:dyDescent="0.25">
      <c r="A11" s="150">
        <v>6011</v>
      </c>
      <c r="B11" s="151" t="s">
        <v>254</v>
      </c>
      <c r="C11" s="153"/>
    </row>
    <row r="12" spans="1:11" x14ac:dyDescent="0.25">
      <c r="A12" s="150">
        <v>6015</v>
      </c>
      <c r="B12" s="151" t="s">
        <v>255</v>
      </c>
      <c r="C12" s="152"/>
    </row>
    <row r="13" spans="1:11" x14ac:dyDescent="0.25">
      <c r="A13" s="150">
        <v>602</v>
      </c>
      <c r="B13" s="151" t="s">
        <v>256</v>
      </c>
      <c r="C13" s="152"/>
    </row>
    <row r="14" spans="1:11" x14ac:dyDescent="0.25">
      <c r="A14" s="150">
        <v>6021</v>
      </c>
      <c r="B14" s="151" t="s">
        <v>257</v>
      </c>
      <c r="C14" s="152"/>
    </row>
    <row r="15" spans="1:11" x14ac:dyDescent="0.25">
      <c r="A15" s="150">
        <v>6022</v>
      </c>
      <c r="B15" s="151" t="s">
        <v>258</v>
      </c>
      <c r="C15" s="152"/>
    </row>
    <row r="16" spans="1:11" x14ac:dyDescent="0.25">
      <c r="A16" s="150">
        <v>60221</v>
      </c>
      <c r="B16" s="151" t="s">
        <v>259</v>
      </c>
      <c r="C16" s="153"/>
    </row>
    <row r="17" spans="1:3" x14ac:dyDescent="0.25">
      <c r="A17" s="150">
        <v>60222</v>
      </c>
      <c r="B17" s="151" t="s">
        <v>260</v>
      </c>
      <c r="C17" s="152"/>
    </row>
    <row r="18" spans="1:3" x14ac:dyDescent="0.25">
      <c r="A18" s="150">
        <v>60223</v>
      </c>
      <c r="B18" s="151" t="s">
        <v>261</v>
      </c>
      <c r="C18" s="152"/>
    </row>
    <row r="19" spans="1:3" x14ac:dyDescent="0.25">
      <c r="A19" s="150">
        <v>60224</v>
      </c>
      <c r="B19" s="151" t="s">
        <v>262</v>
      </c>
      <c r="C19" s="153"/>
    </row>
    <row r="20" spans="1:3" x14ac:dyDescent="0.25">
      <c r="A20" s="150">
        <v>60225</v>
      </c>
      <c r="B20" s="151" t="s">
        <v>263</v>
      </c>
      <c r="C20" s="152"/>
    </row>
    <row r="21" spans="1:3" x14ac:dyDescent="0.25">
      <c r="A21" s="150">
        <v>60226</v>
      </c>
      <c r="B21" s="151" t="s">
        <v>264</v>
      </c>
      <c r="C21" s="152"/>
    </row>
    <row r="22" spans="1:3" x14ac:dyDescent="0.25">
      <c r="A22" s="150">
        <v>60227</v>
      </c>
      <c r="B22" s="151" t="s">
        <v>265</v>
      </c>
      <c r="C22" s="153"/>
    </row>
    <row r="23" spans="1:3" x14ac:dyDescent="0.25">
      <c r="A23" s="150">
        <v>60228</v>
      </c>
      <c r="B23" s="151" t="s">
        <v>266</v>
      </c>
      <c r="C23" s="153"/>
    </row>
    <row r="24" spans="1:3" x14ac:dyDescent="0.25">
      <c r="A24" s="150">
        <v>6023</v>
      </c>
      <c r="B24" s="151" t="s">
        <v>267</v>
      </c>
      <c r="C24" s="153"/>
    </row>
    <row r="25" spans="1:3" x14ac:dyDescent="0.25">
      <c r="A25" s="150">
        <v>6026</v>
      </c>
      <c r="B25" s="151" t="s">
        <v>268</v>
      </c>
      <c r="C25" s="152"/>
    </row>
    <row r="26" spans="1:3" x14ac:dyDescent="0.25">
      <c r="A26" s="150">
        <v>603</v>
      </c>
      <c r="B26" s="151" t="s">
        <v>269</v>
      </c>
      <c r="C26" s="152"/>
    </row>
    <row r="27" spans="1:3" x14ac:dyDescent="0.25">
      <c r="A27" s="150">
        <v>6031</v>
      </c>
      <c r="B27" s="151" t="s">
        <v>270</v>
      </c>
      <c r="C27" s="152"/>
    </row>
    <row r="28" spans="1:3" x14ac:dyDescent="0.25">
      <c r="A28" s="150">
        <v>60311</v>
      </c>
      <c r="B28" s="151" t="s">
        <v>271</v>
      </c>
      <c r="C28" s="152"/>
    </row>
    <row r="29" spans="1:3" x14ac:dyDescent="0.25">
      <c r="A29" s="150">
        <v>60315</v>
      </c>
      <c r="B29" s="151" t="s">
        <v>272</v>
      </c>
      <c r="C29" s="152"/>
    </row>
    <row r="30" spans="1:3" x14ac:dyDescent="0.25">
      <c r="A30" s="150">
        <v>6032</v>
      </c>
      <c r="B30" s="151" t="s">
        <v>273</v>
      </c>
      <c r="C30" s="152"/>
    </row>
    <row r="31" spans="1:3" x14ac:dyDescent="0.25">
      <c r="A31" s="150">
        <v>6037</v>
      </c>
      <c r="B31" s="151" t="s">
        <v>274</v>
      </c>
      <c r="C31" s="152"/>
    </row>
    <row r="32" spans="1:3" x14ac:dyDescent="0.25">
      <c r="A32" s="150">
        <v>604</v>
      </c>
      <c r="B32" s="151" t="s">
        <v>275</v>
      </c>
      <c r="C32" s="644">
        <v>0.2</v>
      </c>
    </row>
    <row r="33" spans="1:3" x14ac:dyDescent="0.25">
      <c r="A33" s="150">
        <v>6041</v>
      </c>
      <c r="B33" s="151" t="s">
        <v>276</v>
      </c>
      <c r="C33" s="644">
        <v>0.2</v>
      </c>
    </row>
    <row r="34" spans="1:3" x14ac:dyDescent="0.25">
      <c r="A34" s="150">
        <v>6042</v>
      </c>
      <c r="B34" s="151" t="s">
        <v>277</v>
      </c>
      <c r="C34" s="644">
        <v>0.2</v>
      </c>
    </row>
    <row r="35" spans="1:3" x14ac:dyDescent="0.25">
      <c r="A35" s="150">
        <v>6045</v>
      </c>
      <c r="B35" s="151" t="s">
        <v>278</v>
      </c>
      <c r="C35" s="644">
        <v>0.2</v>
      </c>
    </row>
    <row r="36" spans="1:3" x14ac:dyDescent="0.25">
      <c r="A36" s="150">
        <v>605</v>
      </c>
      <c r="B36" s="151" t="s">
        <v>279</v>
      </c>
      <c r="C36" s="644">
        <v>0.2</v>
      </c>
    </row>
    <row r="37" spans="1:3" x14ac:dyDescent="0.25">
      <c r="A37" s="150">
        <v>606</v>
      </c>
      <c r="B37" s="151" t="s">
        <v>280</v>
      </c>
      <c r="C37" s="644">
        <v>0.2</v>
      </c>
    </row>
    <row r="38" spans="1:3" x14ac:dyDescent="0.25">
      <c r="A38" s="150">
        <v>6061</v>
      </c>
      <c r="B38" s="151" t="s">
        <v>281</v>
      </c>
      <c r="C38" s="644">
        <v>0.2</v>
      </c>
    </row>
    <row r="39" spans="1:3" x14ac:dyDescent="0.25">
      <c r="A39" s="150">
        <v>60611</v>
      </c>
      <c r="B39" s="151" t="s">
        <v>282</v>
      </c>
      <c r="C39" s="152">
        <v>0.2</v>
      </c>
    </row>
    <row r="40" spans="1:3" x14ac:dyDescent="0.25">
      <c r="A40" s="150">
        <v>60612</v>
      </c>
      <c r="B40" s="151" t="s">
        <v>283</v>
      </c>
      <c r="C40" s="152">
        <v>0.2</v>
      </c>
    </row>
    <row r="41" spans="1:3" x14ac:dyDescent="0.25">
      <c r="A41" s="150">
        <v>60613</v>
      </c>
      <c r="B41" s="151" t="s">
        <v>284</v>
      </c>
      <c r="C41" s="152"/>
    </row>
    <row r="42" spans="1:3" x14ac:dyDescent="0.25">
      <c r="A42" s="150">
        <v>60618</v>
      </c>
      <c r="B42" s="151" t="s">
        <v>285</v>
      </c>
      <c r="C42" s="152"/>
    </row>
    <row r="43" spans="1:3" x14ac:dyDescent="0.25">
      <c r="A43" s="150">
        <v>6062</v>
      </c>
      <c r="B43" s="151" t="s">
        <v>286</v>
      </c>
      <c r="C43" s="152"/>
    </row>
    <row r="44" spans="1:3" x14ac:dyDescent="0.25">
      <c r="A44" s="150">
        <v>60621</v>
      </c>
      <c r="B44" s="151" t="s">
        <v>287</v>
      </c>
      <c r="C44" s="152">
        <v>0.2</v>
      </c>
    </row>
    <row r="45" spans="1:3" x14ac:dyDescent="0.25">
      <c r="A45" s="150">
        <v>60622</v>
      </c>
      <c r="B45" s="151" t="s">
        <v>288</v>
      </c>
      <c r="C45" s="152">
        <v>0.2</v>
      </c>
    </row>
    <row r="46" spans="1:3" x14ac:dyDescent="0.25">
      <c r="A46" s="150">
        <v>60623</v>
      </c>
      <c r="B46" s="151" t="s">
        <v>267</v>
      </c>
      <c r="C46" s="152">
        <v>0.1</v>
      </c>
    </row>
    <row r="47" spans="1:3" x14ac:dyDescent="0.25">
      <c r="A47" s="150">
        <v>60624</v>
      </c>
      <c r="B47" s="151" t="s">
        <v>289</v>
      </c>
      <c r="C47" s="152">
        <v>0.2</v>
      </c>
    </row>
    <row r="48" spans="1:3" x14ac:dyDescent="0.25">
      <c r="A48" s="150">
        <v>60628</v>
      </c>
      <c r="B48" s="151" t="s">
        <v>290</v>
      </c>
      <c r="C48" s="152"/>
    </row>
    <row r="49" spans="1:3" x14ac:dyDescent="0.25">
      <c r="A49" s="150">
        <v>6063</v>
      </c>
      <c r="B49" s="151" t="s">
        <v>291</v>
      </c>
      <c r="C49" s="152"/>
    </row>
    <row r="50" spans="1:3" x14ac:dyDescent="0.25">
      <c r="A50" s="150">
        <v>60631</v>
      </c>
      <c r="B50" s="151" t="s">
        <v>292</v>
      </c>
      <c r="C50" s="152">
        <v>0.2</v>
      </c>
    </row>
    <row r="51" spans="1:3" x14ac:dyDescent="0.25">
      <c r="A51" s="150">
        <v>60632</v>
      </c>
      <c r="B51" s="151" t="s">
        <v>293</v>
      </c>
      <c r="C51" s="152">
        <v>0.2</v>
      </c>
    </row>
    <row r="52" spans="1:3" x14ac:dyDescent="0.25">
      <c r="A52" s="150">
        <v>60633</v>
      </c>
      <c r="B52" s="151" t="s">
        <v>294</v>
      </c>
      <c r="C52" s="152"/>
    </row>
    <row r="53" spans="1:3" x14ac:dyDescent="0.25">
      <c r="A53" s="150">
        <v>60636</v>
      </c>
      <c r="B53" s="151" t="s">
        <v>264</v>
      </c>
      <c r="C53" s="152">
        <v>0.2</v>
      </c>
    </row>
    <row r="54" spans="1:3" x14ac:dyDescent="0.25">
      <c r="A54" s="150">
        <v>6064</v>
      </c>
      <c r="B54" s="151" t="s">
        <v>262</v>
      </c>
      <c r="C54" s="152">
        <v>0.2</v>
      </c>
    </row>
    <row r="55" spans="1:3" x14ac:dyDescent="0.25">
      <c r="A55" s="150">
        <v>6065</v>
      </c>
      <c r="B55" s="151" t="s">
        <v>295</v>
      </c>
      <c r="C55" s="152"/>
    </row>
    <row r="56" spans="1:3" x14ac:dyDescent="0.25">
      <c r="A56" s="150">
        <v>6066</v>
      </c>
      <c r="B56" s="151" t="s">
        <v>288</v>
      </c>
      <c r="C56" s="152">
        <v>0.2</v>
      </c>
    </row>
    <row r="57" spans="1:3" x14ac:dyDescent="0.25">
      <c r="A57" s="150">
        <v>6067</v>
      </c>
      <c r="B57" s="151" t="s">
        <v>265</v>
      </c>
      <c r="C57" s="152"/>
    </row>
    <row r="58" spans="1:3" x14ac:dyDescent="0.25">
      <c r="A58" s="150">
        <v>6068</v>
      </c>
      <c r="B58" s="151" t="s">
        <v>296</v>
      </c>
      <c r="C58" s="152">
        <v>0.2</v>
      </c>
    </row>
    <row r="59" spans="1:3" x14ac:dyDescent="0.25">
      <c r="A59" s="150">
        <v>607</v>
      </c>
      <c r="B59" s="151" t="s">
        <v>297</v>
      </c>
      <c r="C59" s="152"/>
    </row>
    <row r="60" spans="1:3" x14ac:dyDescent="0.25">
      <c r="A60" s="150">
        <v>6071</v>
      </c>
      <c r="B60" s="151" t="s">
        <v>298</v>
      </c>
      <c r="C60" s="152"/>
    </row>
    <row r="61" spans="1:3" x14ac:dyDescent="0.25">
      <c r="A61" s="150">
        <v>6078</v>
      </c>
      <c r="B61" s="151" t="s">
        <v>299</v>
      </c>
      <c r="C61" s="152"/>
    </row>
    <row r="62" spans="1:3" x14ac:dyDescent="0.25">
      <c r="A62" s="150">
        <v>608</v>
      </c>
      <c r="B62" s="151" t="s">
        <v>300</v>
      </c>
      <c r="C62" s="152"/>
    </row>
    <row r="63" spans="1:3" x14ac:dyDescent="0.25">
      <c r="A63" s="150">
        <v>609</v>
      </c>
      <c r="B63" s="151" t="s">
        <v>301</v>
      </c>
      <c r="C63" s="152"/>
    </row>
    <row r="64" spans="1:3" x14ac:dyDescent="0.25">
      <c r="A64" s="150">
        <v>6091</v>
      </c>
      <c r="B64" s="151" t="s">
        <v>302</v>
      </c>
      <c r="C64" s="152"/>
    </row>
    <row r="65" spans="1:3" x14ac:dyDescent="0.25">
      <c r="A65" s="150">
        <v>6092</v>
      </c>
      <c r="B65" s="151" t="s">
        <v>303</v>
      </c>
      <c r="C65" s="152"/>
    </row>
    <row r="66" spans="1:3" x14ac:dyDescent="0.25">
      <c r="A66" s="150">
        <v>6094</v>
      </c>
      <c r="B66" s="151" t="s">
        <v>304</v>
      </c>
      <c r="C66" s="152"/>
    </row>
    <row r="67" spans="1:3" x14ac:dyDescent="0.25">
      <c r="A67" s="150">
        <v>6095</v>
      </c>
      <c r="B67" s="151" t="s">
        <v>305</v>
      </c>
      <c r="C67" s="152"/>
    </row>
    <row r="68" spans="1:3" x14ac:dyDescent="0.25">
      <c r="A68" s="150">
        <v>6096</v>
      </c>
      <c r="B68" s="151" t="s">
        <v>306</v>
      </c>
      <c r="C68" s="152"/>
    </row>
    <row r="69" spans="1:3" x14ac:dyDescent="0.25">
      <c r="A69" s="150">
        <v>6097</v>
      </c>
      <c r="B69" s="151" t="s">
        <v>307</v>
      </c>
      <c r="C69" s="152"/>
    </row>
    <row r="70" spans="1:3" x14ac:dyDescent="0.25">
      <c r="A70" s="150">
        <v>61</v>
      </c>
      <c r="B70" s="151" t="s">
        <v>308</v>
      </c>
      <c r="C70" s="152"/>
    </row>
    <row r="71" spans="1:3" x14ac:dyDescent="0.25">
      <c r="A71" s="150">
        <v>611</v>
      </c>
      <c r="B71" s="151" t="s">
        <v>309</v>
      </c>
      <c r="C71" s="152">
        <v>0.1</v>
      </c>
    </row>
    <row r="72" spans="1:3" x14ac:dyDescent="0.25">
      <c r="A72" s="150">
        <v>612</v>
      </c>
      <c r="B72" s="151" t="s">
        <v>310</v>
      </c>
      <c r="C72" s="152">
        <v>0.2</v>
      </c>
    </row>
    <row r="73" spans="1:3" x14ac:dyDescent="0.25">
      <c r="A73" s="150">
        <v>6122</v>
      </c>
      <c r="B73" s="151" t="s">
        <v>311</v>
      </c>
      <c r="C73" s="152"/>
    </row>
    <row r="74" spans="1:3" x14ac:dyDescent="0.25">
      <c r="A74" s="150">
        <v>6125</v>
      </c>
      <c r="B74" s="151" t="s">
        <v>312</v>
      </c>
      <c r="C74" s="152"/>
    </row>
    <row r="75" spans="1:3" x14ac:dyDescent="0.25">
      <c r="A75" s="150">
        <v>613</v>
      </c>
      <c r="B75" s="151" t="s">
        <v>313</v>
      </c>
      <c r="C75" s="152"/>
    </row>
    <row r="76" spans="1:3" x14ac:dyDescent="0.25">
      <c r="A76" s="150">
        <v>6132</v>
      </c>
      <c r="B76" s="151" t="s">
        <v>314</v>
      </c>
      <c r="C76" s="152"/>
    </row>
    <row r="77" spans="1:3" x14ac:dyDescent="0.25">
      <c r="A77" s="150">
        <v>6135</v>
      </c>
      <c r="B77" s="151" t="s">
        <v>315</v>
      </c>
      <c r="C77" s="152">
        <v>0.2</v>
      </c>
    </row>
    <row r="78" spans="1:3" x14ac:dyDescent="0.25">
      <c r="A78" s="150">
        <v>6136</v>
      </c>
      <c r="B78" s="151" t="s">
        <v>316</v>
      </c>
      <c r="C78" s="152"/>
    </row>
    <row r="79" spans="1:3" x14ac:dyDescent="0.25">
      <c r="A79" s="150">
        <v>6137</v>
      </c>
      <c r="B79" s="151" t="s">
        <v>317</v>
      </c>
      <c r="C79" s="152"/>
    </row>
    <row r="80" spans="1:3" x14ac:dyDescent="0.25">
      <c r="A80" s="150">
        <v>614</v>
      </c>
      <c r="B80" s="151" t="s">
        <v>318</v>
      </c>
      <c r="C80" s="152">
        <v>0.2</v>
      </c>
    </row>
    <row r="81" spans="1:3" x14ac:dyDescent="0.25">
      <c r="A81" s="150">
        <v>615</v>
      </c>
      <c r="B81" s="151" t="s">
        <v>319</v>
      </c>
      <c r="C81" s="152"/>
    </row>
    <row r="82" spans="1:3" x14ac:dyDescent="0.25">
      <c r="A82" s="150">
        <v>6152</v>
      </c>
      <c r="B82" s="151" t="s">
        <v>320</v>
      </c>
      <c r="C82" s="152">
        <v>0.2</v>
      </c>
    </row>
    <row r="83" spans="1:3" x14ac:dyDescent="0.25">
      <c r="A83" s="150">
        <v>61521</v>
      </c>
      <c r="B83" s="151" t="s">
        <v>321</v>
      </c>
      <c r="C83" s="152"/>
    </row>
    <row r="84" spans="1:3" x14ac:dyDescent="0.25">
      <c r="A84" s="150">
        <v>61522</v>
      </c>
      <c r="B84" s="151" t="s">
        <v>322</v>
      </c>
      <c r="C84" s="152">
        <v>0.2</v>
      </c>
    </row>
    <row r="85" spans="1:3" x14ac:dyDescent="0.25">
      <c r="A85" s="150">
        <v>615221</v>
      </c>
      <c r="B85" s="1" t="s">
        <v>323</v>
      </c>
      <c r="C85" s="152">
        <v>0.2</v>
      </c>
    </row>
    <row r="86" spans="1:3" x14ac:dyDescent="0.25">
      <c r="A86" s="150">
        <v>61523</v>
      </c>
      <c r="B86" s="151" t="s">
        <v>324</v>
      </c>
      <c r="C86" s="152">
        <v>0.2</v>
      </c>
    </row>
    <row r="87" spans="1:3" x14ac:dyDescent="0.25">
      <c r="A87" s="150">
        <v>615231</v>
      </c>
      <c r="B87" s="151" t="s">
        <v>325</v>
      </c>
      <c r="C87" s="152">
        <v>0.2</v>
      </c>
    </row>
    <row r="88" spans="1:3" x14ac:dyDescent="0.25">
      <c r="A88" s="150">
        <v>61524</v>
      </c>
      <c r="B88" s="151" t="s">
        <v>326</v>
      </c>
      <c r="C88" s="152"/>
    </row>
    <row r="89" spans="1:3" x14ac:dyDescent="0.25">
      <c r="A89" s="150">
        <v>6155</v>
      </c>
      <c r="B89" s="151" t="s">
        <v>327</v>
      </c>
      <c r="C89" s="152">
        <v>0.2</v>
      </c>
    </row>
    <row r="90" spans="1:3" x14ac:dyDescent="0.25">
      <c r="A90" s="150">
        <v>61551</v>
      </c>
      <c r="B90" s="151" t="s">
        <v>328</v>
      </c>
      <c r="C90" s="152">
        <v>0.2</v>
      </c>
    </row>
    <row r="91" spans="1:3" x14ac:dyDescent="0.25">
      <c r="A91" s="150">
        <v>61558</v>
      </c>
      <c r="B91" s="151" t="s">
        <v>329</v>
      </c>
      <c r="C91" s="152">
        <v>0.2</v>
      </c>
    </row>
    <row r="92" spans="1:3" x14ac:dyDescent="0.25">
      <c r="A92" s="150">
        <v>6156</v>
      </c>
      <c r="B92" s="151" t="s">
        <v>330</v>
      </c>
      <c r="C92" s="152">
        <v>0.2</v>
      </c>
    </row>
    <row r="93" spans="1:3" x14ac:dyDescent="0.25">
      <c r="A93" s="150">
        <v>616</v>
      </c>
      <c r="B93" s="151" t="s">
        <v>331</v>
      </c>
      <c r="C93" s="152">
        <v>0</v>
      </c>
    </row>
    <row r="94" spans="1:3" x14ac:dyDescent="0.25">
      <c r="A94" s="150">
        <v>6161</v>
      </c>
      <c r="B94" s="151" t="s">
        <v>332</v>
      </c>
      <c r="C94" s="152">
        <v>0</v>
      </c>
    </row>
    <row r="95" spans="1:3" x14ac:dyDescent="0.25">
      <c r="A95" s="150">
        <v>6162</v>
      </c>
      <c r="B95" s="151" t="s">
        <v>333</v>
      </c>
      <c r="C95" s="152">
        <v>0</v>
      </c>
    </row>
    <row r="96" spans="1:3" x14ac:dyDescent="0.25">
      <c r="A96" s="150">
        <v>6168</v>
      </c>
      <c r="B96" s="151" t="s">
        <v>334</v>
      </c>
      <c r="C96" s="152">
        <v>0</v>
      </c>
    </row>
    <row r="97" spans="1:3" x14ac:dyDescent="0.25">
      <c r="A97" s="150">
        <v>617</v>
      </c>
      <c r="B97" s="151" t="s">
        <v>335</v>
      </c>
      <c r="C97" s="152">
        <v>0.2</v>
      </c>
    </row>
    <row r="98" spans="1:3" x14ac:dyDescent="0.25">
      <c r="A98" s="150">
        <v>618</v>
      </c>
      <c r="B98" s="151" t="s">
        <v>336</v>
      </c>
      <c r="C98" s="152">
        <v>0.2</v>
      </c>
    </row>
    <row r="99" spans="1:3" x14ac:dyDescent="0.25">
      <c r="A99" s="150">
        <v>6182</v>
      </c>
      <c r="B99" s="151" t="s">
        <v>337</v>
      </c>
      <c r="C99" s="152">
        <v>0.2</v>
      </c>
    </row>
    <row r="100" spans="1:3" x14ac:dyDescent="0.25">
      <c r="A100" s="150">
        <v>6184</v>
      </c>
      <c r="B100" s="151" t="s">
        <v>338</v>
      </c>
      <c r="C100" s="152">
        <v>0.2</v>
      </c>
    </row>
    <row r="101" spans="1:3" x14ac:dyDescent="0.25">
      <c r="A101" s="150">
        <v>6185</v>
      </c>
      <c r="B101" s="151" t="s">
        <v>339</v>
      </c>
      <c r="C101" s="152"/>
    </row>
    <row r="102" spans="1:3" x14ac:dyDescent="0.25">
      <c r="A102" s="150">
        <v>6188</v>
      </c>
      <c r="B102" s="151" t="s">
        <v>340</v>
      </c>
      <c r="C102" s="152"/>
    </row>
    <row r="103" spans="1:3" x14ac:dyDescent="0.25">
      <c r="A103" s="150">
        <v>619</v>
      </c>
      <c r="B103" s="151" t="s">
        <v>341</v>
      </c>
      <c r="C103" s="152"/>
    </row>
    <row r="104" spans="1:3" x14ac:dyDescent="0.25">
      <c r="A104" s="150">
        <v>62</v>
      </c>
      <c r="B104" s="151" t="s">
        <v>342</v>
      </c>
      <c r="C104" s="152"/>
    </row>
    <row r="105" spans="1:3" x14ac:dyDescent="0.25">
      <c r="A105" s="150">
        <v>621</v>
      </c>
      <c r="B105" s="151" t="s">
        <v>343</v>
      </c>
      <c r="C105" s="152"/>
    </row>
    <row r="106" spans="1:3" x14ac:dyDescent="0.25">
      <c r="A106" s="150">
        <v>6211</v>
      </c>
      <c r="B106" s="151" t="s">
        <v>344</v>
      </c>
      <c r="C106" s="152"/>
    </row>
    <row r="107" spans="1:3" x14ac:dyDescent="0.25">
      <c r="A107" s="150">
        <v>6215</v>
      </c>
      <c r="B107" s="151" t="s">
        <v>345</v>
      </c>
      <c r="C107" s="152"/>
    </row>
    <row r="108" spans="1:3" x14ac:dyDescent="0.25">
      <c r="A108" s="150">
        <v>6216</v>
      </c>
      <c r="B108" s="151" t="s">
        <v>346</v>
      </c>
      <c r="C108" s="152"/>
    </row>
    <row r="109" spans="1:3" x14ac:dyDescent="0.25">
      <c r="A109" s="150">
        <v>6217</v>
      </c>
      <c r="B109" s="151" t="s">
        <v>347</v>
      </c>
      <c r="C109" s="152"/>
    </row>
    <row r="110" spans="1:3" x14ac:dyDescent="0.25">
      <c r="A110" s="150">
        <v>6218</v>
      </c>
      <c r="B110" s="151" t="s">
        <v>348</v>
      </c>
      <c r="C110" s="152"/>
    </row>
    <row r="111" spans="1:3" x14ac:dyDescent="0.25">
      <c r="A111" s="150">
        <v>622</v>
      </c>
      <c r="B111" s="151" t="s">
        <v>349</v>
      </c>
      <c r="C111" s="152"/>
    </row>
    <row r="112" spans="1:3" x14ac:dyDescent="0.25">
      <c r="A112" s="150">
        <v>6221</v>
      </c>
      <c r="B112" s="151" t="s">
        <v>350</v>
      </c>
      <c r="C112" s="152"/>
    </row>
    <row r="113" spans="1:3" x14ac:dyDescent="0.25">
      <c r="A113" s="150">
        <v>6222</v>
      </c>
      <c r="B113" s="151" t="s">
        <v>351</v>
      </c>
      <c r="C113" s="152"/>
    </row>
    <row r="114" spans="1:3" x14ac:dyDescent="0.25">
      <c r="A114" s="150">
        <v>6225</v>
      </c>
      <c r="B114" s="151" t="s">
        <v>352</v>
      </c>
      <c r="C114" s="152"/>
    </row>
    <row r="115" spans="1:3" x14ac:dyDescent="0.25">
      <c r="A115" s="150">
        <v>6226</v>
      </c>
      <c r="B115" s="151" t="s">
        <v>353</v>
      </c>
      <c r="C115" s="152"/>
    </row>
    <row r="116" spans="1:3" x14ac:dyDescent="0.25">
      <c r="A116" s="150">
        <v>6227</v>
      </c>
      <c r="B116" s="151" t="s">
        <v>354</v>
      </c>
      <c r="C116" s="152"/>
    </row>
    <row r="117" spans="1:3" x14ac:dyDescent="0.25">
      <c r="A117" s="150">
        <v>6228</v>
      </c>
      <c r="B117" s="151" t="s">
        <v>336</v>
      </c>
      <c r="C117" s="152"/>
    </row>
    <row r="118" spans="1:3" x14ac:dyDescent="0.25">
      <c r="A118" s="150">
        <v>623</v>
      </c>
      <c r="B118" s="151" t="s">
        <v>355</v>
      </c>
      <c r="C118" s="152"/>
    </row>
    <row r="119" spans="1:3" x14ac:dyDescent="0.25">
      <c r="A119" s="150">
        <v>6231</v>
      </c>
      <c r="B119" s="151" t="s">
        <v>356</v>
      </c>
      <c r="C119" s="152"/>
    </row>
    <row r="120" spans="1:3" x14ac:dyDescent="0.25">
      <c r="A120" s="150">
        <v>6232</v>
      </c>
      <c r="B120" s="151" t="s">
        <v>357</v>
      </c>
      <c r="C120" s="152"/>
    </row>
    <row r="121" spans="1:3" x14ac:dyDescent="0.25">
      <c r="A121" s="150">
        <v>6233</v>
      </c>
      <c r="B121" s="151" t="s">
        <v>358</v>
      </c>
      <c r="C121" s="152"/>
    </row>
    <row r="122" spans="1:3" x14ac:dyDescent="0.25">
      <c r="A122" s="150">
        <v>6236</v>
      </c>
      <c r="B122" s="151" t="s">
        <v>359</v>
      </c>
      <c r="C122" s="152"/>
    </row>
    <row r="123" spans="1:3" x14ac:dyDescent="0.25">
      <c r="A123" s="150">
        <v>6237</v>
      </c>
      <c r="B123" s="151" t="s">
        <v>360</v>
      </c>
      <c r="C123" s="152"/>
    </row>
    <row r="124" spans="1:3" x14ac:dyDescent="0.25">
      <c r="A124" s="150">
        <v>6238</v>
      </c>
      <c r="B124" s="151" t="s">
        <v>336</v>
      </c>
      <c r="C124" s="152"/>
    </row>
    <row r="125" spans="1:3" x14ac:dyDescent="0.25">
      <c r="A125" s="150">
        <v>624</v>
      </c>
      <c r="B125" s="151" t="s">
        <v>361</v>
      </c>
      <c r="C125" s="152"/>
    </row>
    <row r="126" spans="1:3" x14ac:dyDescent="0.25">
      <c r="A126" s="150">
        <v>6241</v>
      </c>
      <c r="B126" s="151" t="s">
        <v>362</v>
      </c>
      <c r="C126" s="152"/>
    </row>
    <row r="127" spans="1:3" x14ac:dyDescent="0.25">
      <c r="A127" s="150">
        <v>6242</v>
      </c>
      <c r="B127" s="151" t="s">
        <v>363</v>
      </c>
      <c r="C127" s="152"/>
    </row>
    <row r="128" spans="1:3" x14ac:dyDescent="0.25">
      <c r="A128" s="150">
        <v>6244</v>
      </c>
      <c r="B128" s="151" t="s">
        <v>364</v>
      </c>
      <c r="C128" s="152"/>
    </row>
    <row r="129" spans="1:3" x14ac:dyDescent="0.25">
      <c r="A129" s="150">
        <v>6247</v>
      </c>
      <c r="B129" s="151" t="s">
        <v>365</v>
      </c>
      <c r="C129" s="152"/>
    </row>
    <row r="130" spans="1:3" x14ac:dyDescent="0.25">
      <c r="A130" s="150">
        <v>6248</v>
      </c>
      <c r="B130" s="151" t="s">
        <v>336</v>
      </c>
      <c r="C130" s="152"/>
    </row>
    <row r="131" spans="1:3" x14ac:dyDescent="0.25">
      <c r="A131" s="150">
        <v>625</v>
      </c>
      <c r="B131" s="151" t="s">
        <v>366</v>
      </c>
      <c r="C131" s="152"/>
    </row>
    <row r="132" spans="1:3" x14ac:dyDescent="0.25">
      <c r="A132" s="150">
        <v>6251</v>
      </c>
      <c r="B132" s="151" t="s">
        <v>367</v>
      </c>
      <c r="C132" s="152"/>
    </row>
    <row r="133" spans="1:3" x14ac:dyDescent="0.25">
      <c r="A133" s="150">
        <v>6255</v>
      </c>
      <c r="B133" s="151" t="s">
        <v>368</v>
      </c>
      <c r="C133" s="152"/>
    </row>
    <row r="134" spans="1:3" x14ac:dyDescent="0.25">
      <c r="A134" s="150">
        <v>6256</v>
      </c>
      <c r="B134" s="151" t="s">
        <v>369</v>
      </c>
      <c r="C134" s="152"/>
    </row>
    <row r="135" spans="1:3" x14ac:dyDescent="0.25">
      <c r="A135" s="150">
        <v>6257</v>
      </c>
      <c r="B135" s="151" t="s">
        <v>370</v>
      </c>
      <c r="C135" s="152"/>
    </row>
    <row r="136" spans="1:3" x14ac:dyDescent="0.25">
      <c r="A136" s="150">
        <v>626</v>
      </c>
      <c r="B136" s="151" t="s">
        <v>371</v>
      </c>
      <c r="C136" s="152"/>
    </row>
    <row r="137" spans="1:3" x14ac:dyDescent="0.25">
      <c r="A137" s="150">
        <v>6261</v>
      </c>
      <c r="B137" s="151" t="s">
        <v>372</v>
      </c>
      <c r="C137" s="152">
        <v>0</v>
      </c>
    </row>
    <row r="138" spans="1:3" x14ac:dyDescent="0.25">
      <c r="A138" s="150">
        <v>6262</v>
      </c>
      <c r="B138" s="151" t="s">
        <v>373</v>
      </c>
      <c r="C138" s="152">
        <v>0.2</v>
      </c>
    </row>
    <row r="139" spans="1:3" x14ac:dyDescent="0.25">
      <c r="A139" s="150">
        <v>627</v>
      </c>
      <c r="B139" s="151" t="s">
        <v>374</v>
      </c>
      <c r="C139" s="152"/>
    </row>
    <row r="140" spans="1:3" x14ac:dyDescent="0.25">
      <c r="A140" s="150">
        <v>628</v>
      </c>
      <c r="B140" s="151" t="s">
        <v>336</v>
      </c>
      <c r="C140" s="152"/>
    </row>
    <row r="141" spans="1:3" x14ac:dyDescent="0.25">
      <c r="A141" s="150">
        <v>6281</v>
      </c>
      <c r="B141" s="151" t="s">
        <v>375</v>
      </c>
      <c r="C141" s="152"/>
    </row>
    <row r="142" spans="1:3" x14ac:dyDescent="0.25">
      <c r="A142" s="150">
        <v>6282</v>
      </c>
      <c r="B142" s="151" t="s">
        <v>376</v>
      </c>
      <c r="C142" s="152"/>
    </row>
    <row r="143" spans="1:3" x14ac:dyDescent="0.25">
      <c r="A143" s="150">
        <v>6283</v>
      </c>
      <c r="B143" s="151" t="s">
        <v>377</v>
      </c>
      <c r="C143" s="152"/>
    </row>
    <row r="144" spans="1:3" x14ac:dyDescent="0.25">
      <c r="A144" s="150">
        <v>6284</v>
      </c>
      <c r="B144" s="151" t="s">
        <v>378</v>
      </c>
      <c r="C144" s="152"/>
    </row>
    <row r="145" spans="1:3" x14ac:dyDescent="0.25">
      <c r="A145" s="150">
        <v>6287</v>
      </c>
      <c r="B145" s="151" t="s">
        <v>379</v>
      </c>
      <c r="C145" s="152"/>
    </row>
    <row r="146" spans="1:3" x14ac:dyDescent="0.25">
      <c r="A146" s="150">
        <v>62871</v>
      </c>
      <c r="B146" s="151" t="s">
        <v>380</v>
      </c>
      <c r="C146" s="152"/>
    </row>
    <row r="147" spans="1:3" x14ac:dyDescent="0.25">
      <c r="A147" s="150">
        <v>62872</v>
      </c>
      <c r="B147" s="151" t="s">
        <v>381</v>
      </c>
      <c r="C147" s="152"/>
    </row>
    <row r="148" spans="1:3" x14ac:dyDescent="0.25">
      <c r="A148" s="150">
        <v>62873</v>
      </c>
      <c r="B148" s="151" t="s">
        <v>382</v>
      </c>
      <c r="C148" s="152"/>
    </row>
    <row r="149" spans="1:3" x14ac:dyDescent="0.25">
      <c r="A149" s="150">
        <v>62874</v>
      </c>
      <c r="B149" s="151" t="s">
        <v>383</v>
      </c>
      <c r="C149" s="152"/>
    </row>
    <row r="150" spans="1:3" x14ac:dyDescent="0.25">
      <c r="A150" s="150">
        <v>62875</v>
      </c>
      <c r="B150" s="151" t="s">
        <v>384</v>
      </c>
      <c r="C150" s="152"/>
    </row>
    <row r="151" spans="1:3" x14ac:dyDescent="0.25">
      <c r="A151" s="150">
        <v>62876</v>
      </c>
      <c r="B151" s="151" t="s">
        <v>385</v>
      </c>
      <c r="C151" s="152"/>
    </row>
    <row r="152" spans="1:3" x14ac:dyDescent="0.25">
      <c r="A152" s="150">
        <v>62878</v>
      </c>
      <c r="B152" s="151" t="s">
        <v>386</v>
      </c>
      <c r="C152" s="152"/>
    </row>
    <row r="153" spans="1:3" x14ac:dyDescent="0.25">
      <c r="A153" s="150">
        <v>6288</v>
      </c>
      <c r="B153" s="151" t="s">
        <v>387</v>
      </c>
      <c r="C153" s="152"/>
    </row>
    <row r="154" spans="1:3" x14ac:dyDescent="0.25">
      <c r="A154" s="150">
        <v>629</v>
      </c>
      <c r="B154" s="151" t="s">
        <v>388</v>
      </c>
      <c r="C154" s="152"/>
    </row>
    <row r="155" spans="1:3" x14ac:dyDescent="0.25">
      <c r="A155" s="150">
        <v>63</v>
      </c>
      <c r="B155" s="151" t="s">
        <v>389</v>
      </c>
      <c r="C155" s="152"/>
    </row>
    <row r="156" spans="1:3" x14ac:dyDescent="0.25">
      <c r="A156" s="150">
        <v>631</v>
      </c>
      <c r="B156" s="151" t="s">
        <v>390</v>
      </c>
      <c r="C156" s="152">
        <v>0</v>
      </c>
    </row>
    <row r="157" spans="1:3" x14ac:dyDescent="0.25">
      <c r="A157" s="150">
        <v>6311</v>
      </c>
      <c r="B157" s="151" t="s">
        <v>391</v>
      </c>
      <c r="C157" s="152"/>
    </row>
    <row r="158" spans="1:3" x14ac:dyDescent="0.25">
      <c r="A158" s="150">
        <v>6312</v>
      </c>
      <c r="B158" s="151" t="s">
        <v>392</v>
      </c>
      <c r="C158" s="152"/>
    </row>
    <row r="159" spans="1:3" x14ac:dyDescent="0.25">
      <c r="A159" s="150">
        <v>6313</v>
      </c>
      <c r="B159" s="151" t="s">
        <v>393</v>
      </c>
      <c r="C159" s="152"/>
    </row>
    <row r="160" spans="1:3" x14ac:dyDescent="0.25">
      <c r="A160" s="150">
        <v>6314</v>
      </c>
      <c r="B160" s="151" t="s">
        <v>394</v>
      </c>
      <c r="C160" s="152"/>
    </row>
    <row r="161" spans="1:3" x14ac:dyDescent="0.25">
      <c r="A161" s="150">
        <v>6318</v>
      </c>
      <c r="B161" s="151" t="s">
        <v>395</v>
      </c>
      <c r="C161" s="152"/>
    </row>
    <row r="162" spans="1:3" x14ac:dyDescent="0.25">
      <c r="A162" s="150">
        <v>633</v>
      </c>
      <c r="B162" s="151" t="s">
        <v>396</v>
      </c>
      <c r="C162" s="152">
        <v>0</v>
      </c>
    </row>
    <row r="163" spans="1:3" x14ac:dyDescent="0.25">
      <c r="A163" s="150">
        <v>6331</v>
      </c>
      <c r="B163" s="151" t="s">
        <v>397</v>
      </c>
      <c r="C163" s="152">
        <v>0</v>
      </c>
    </row>
    <row r="164" spans="1:3" x14ac:dyDescent="0.25">
      <c r="A164" s="150">
        <v>6332</v>
      </c>
      <c r="B164" s="151" t="s">
        <v>398</v>
      </c>
      <c r="C164" s="152">
        <v>0</v>
      </c>
    </row>
    <row r="165" spans="1:3" x14ac:dyDescent="0.25">
      <c r="A165" s="150">
        <v>6333</v>
      </c>
      <c r="B165" s="151" t="s">
        <v>393</v>
      </c>
      <c r="C165" s="152">
        <v>0</v>
      </c>
    </row>
    <row r="166" spans="1:3" x14ac:dyDescent="0.25">
      <c r="A166" s="150">
        <v>6334</v>
      </c>
      <c r="B166" s="151" t="s">
        <v>399</v>
      </c>
      <c r="C166" s="152"/>
    </row>
    <row r="167" spans="1:3" x14ac:dyDescent="0.25">
      <c r="A167" s="150">
        <v>6335</v>
      </c>
      <c r="B167" s="151" t="s">
        <v>400</v>
      </c>
      <c r="C167" s="152"/>
    </row>
    <row r="168" spans="1:3" x14ac:dyDescent="0.25">
      <c r="A168" s="150">
        <v>6336</v>
      </c>
      <c r="B168" s="151" t="s">
        <v>401</v>
      </c>
      <c r="C168" s="152">
        <v>0</v>
      </c>
    </row>
    <row r="169" spans="1:3" x14ac:dyDescent="0.25">
      <c r="A169" s="150">
        <v>6338</v>
      </c>
      <c r="B169" s="151" t="s">
        <v>395</v>
      </c>
      <c r="C169" s="152">
        <v>0</v>
      </c>
    </row>
    <row r="170" spans="1:3" x14ac:dyDescent="0.25">
      <c r="A170" s="150">
        <v>635</v>
      </c>
      <c r="B170" s="151" t="s">
        <v>402</v>
      </c>
      <c r="C170" s="152">
        <v>0</v>
      </c>
    </row>
    <row r="171" spans="1:3" x14ac:dyDescent="0.25">
      <c r="A171" s="150">
        <v>6351</v>
      </c>
      <c r="B171" s="151" t="s">
        <v>403</v>
      </c>
      <c r="C171" s="152">
        <v>0</v>
      </c>
    </row>
    <row r="172" spans="1:3" x14ac:dyDescent="0.25">
      <c r="A172" s="150">
        <v>63511</v>
      </c>
      <c r="B172" s="151" t="s">
        <v>404</v>
      </c>
      <c r="C172" s="152">
        <v>0</v>
      </c>
    </row>
    <row r="173" spans="1:3" x14ac:dyDescent="0.25">
      <c r="A173" s="150">
        <v>635111</v>
      </c>
      <c r="B173" s="151" t="s">
        <v>405</v>
      </c>
      <c r="C173" s="152">
        <v>0</v>
      </c>
    </row>
    <row r="174" spans="1:3" x14ac:dyDescent="0.25">
      <c r="A174" s="150">
        <v>635112</v>
      </c>
      <c r="B174" s="151" t="s">
        <v>406</v>
      </c>
      <c r="C174" s="152">
        <v>0</v>
      </c>
    </row>
    <row r="175" spans="1:3" x14ac:dyDescent="0.25">
      <c r="A175" s="150">
        <v>63512</v>
      </c>
      <c r="B175" s="151" t="s">
        <v>407</v>
      </c>
      <c r="C175" s="152">
        <v>0</v>
      </c>
    </row>
    <row r="176" spans="1:3" x14ac:dyDescent="0.25">
      <c r="A176" s="150">
        <v>63513</v>
      </c>
      <c r="B176" s="151" t="s">
        <v>408</v>
      </c>
      <c r="C176" s="152">
        <v>0</v>
      </c>
    </row>
    <row r="177" spans="1:3" x14ac:dyDescent="0.25">
      <c r="A177" s="150">
        <v>6352</v>
      </c>
      <c r="B177" s="151" t="s">
        <v>409</v>
      </c>
      <c r="C177" s="152">
        <v>0</v>
      </c>
    </row>
    <row r="178" spans="1:3" x14ac:dyDescent="0.25">
      <c r="A178" s="150">
        <v>6353</v>
      </c>
      <c r="B178" s="151" t="s">
        <v>410</v>
      </c>
      <c r="C178" s="152">
        <v>0</v>
      </c>
    </row>
    <row r="179" spans="1:3" x14ac:dyDescent="0.25">
      <c r="A179" s="150">
        <v>6354</v>
      </c>
      <c r="B179" s="151" t="s">
        <v>411</v>
      </c>
      <c r="C179" s="152">
        <v>0</v>
      </c>
    </row>
    <row r="180" spans="1:3" x14ac:dyDescent="0.25">
      <c r="A180" s="150">
        <v>6355</v>
      </c>
      <c r="B180" s="151" t="s">
        <v>412</v>
      </c>
      <c r="C180" s="152">
        <v>0</v>
      </c>
    </row>
    <row r="181" spans="1:3" x14ac:dyDescent="0.25">
      <c r="A181" s="150">
        <v>6358</v>
      </c>
      <c r="B181" s="151" t="s">
        <v>413</v>
      </c>
      <c r="C181" s="152">
        <v>0</v>
      </c>
    </row>
    <row r="182" spans="1:3" x14ac:dyDescent="0.25">
      <c r="A182" s="150">
        <v>637</v>
      </c>
      <c r="B182" s="151" t="s">
        <v>414</v>
      </c>
      <c r="C182" s="152">
        <v>0</v>
      </c>
    </row>
    <row r="183" spans="1:3" x14ac:dyDescent="0.25">
      <c r="A183" s="150">
        <v>64</v>
      </c>
      <c r="B183" s="151" t="s">
        <v>415</v>
      </c>
      <c r="C183" s="152">
        <v>0</v>
      </c>
    </row>
    <row r="184" spans="1:3" x14ac:dyDescent="0.25">
      <c r="A184" s="150">
        <v>641</v>
      </c>
      <c r="B184" s="151" t="s">
        <v>416</v>
      </c>
      <c r="C184" s="152">
        <v>0</v>
      </c>
    </row>
    <row r="185" spans="1:3" x14ac:dyDescent="0.25">
      <c r="A185" s="150">
        <v>6411</v>
      </c>
      <c r="B185" s="151" t="s">
        <v>417</v>
      </c>
      <c r="C185" s="152">
        <v>0</v>
      </c>
    </row>
    <row r="186" spans="1:3" x14ac:dyDescent="0.25">
      <c r="A186" s="150">
        <v>64111</v>
      </c>
      <c r="B186" s="151" t="s">
        <v>418</v>
      </c>
      <c r="C186" s="152">
        <v>0</v>
      </c>
    </row>
    <row r="187" spans="1:3" x14ac:dyDescent="0.25">
      <c r="A187" s="150">
        <v>64112</v>
      </c>
      <c r="B187" s="151" t="s">
        <v>419</v>
      </c>
      <c r="C187" s="152">
        <v>0</v>
      </c>
    </row>
    <row r="188" spans="1:3" x14ac:dyDescent="0.25">
      <c r="A188" s="150">
        <v>64116</v>
      </c>
      <c r="B188" s="151" t="s">
        <v>420</v>
      </c>
      <c r="C188" s="152">
        <v>0</v>
      </c>
    </row>
    <row r="189" spans="1:3" x14ac:dyDescent="0.25">
      <c r="A189" s="150">
        <v>64118</v>
      </c>
      <c r="B189" s="151" t="s">
        <v>421</v>
      </c>
      <c r="C189" s="152">
        <v>0</v>
      </c>
    </row>
    <row r="190" spans="1:3" x14ac:dyDescent="0.25">
      <c r="A190" s="150">
        <v>6412</v>
      </c>
      <c r="B190" s="151" t="s">
        <v>422</v>
      </c>
      <c r="C190" s="152">
        <v>0</v>
      </c>
    </row>
    <row r="191" spans="1:3" x14ac:dyDescent="0.25">
      <c r="A191" s="150">
        <v>6413</v>
      </c>
      <c r="B191" s="151" t="s">
        <v>423</v>
      </c>
      <c r="C191" s="152">
        <v>0</v>
      </c>
    </row>
    <row r="192" spans="1:3" x14ac:dyDescent="0.25">
      <c r="A192" s="150">
        <v>64131</v>
      </c>
      <c r="B192" s="151" t="s">
        <v>424</v>
      </c>
      <c r="C192" s="152">
        <v>0</v>
      </c>
    </row>
    <row r="193" spans="1:3" x14ac:dyDescent="0.25">
      <c r="A193" s="150">
        <v>64136</v>
      </c>
      <c r="B193" s="151" t="s">
        <v>420</v>
      </c>
      <c r="C193" s="152">
        <v>0</v>
      </c>
    </row>
    <row r="194" spans="1:3" x14ac:dyDescent="0.25">
      <c r="A194" s="150">
        <v>64138</v>
      </c>
      <c r="B194" s="151" t="s">
        <v>425</v>
      </c>
      <c r="C194" s="152">
        <v>0</v>
      </c>
    </row>
    <row r="195" spans="1:3" x14ac:dyDescent="0.25">
      <c r="A195" s="150">
        <v>6414</v>
      </c>
      <c r="B195" s="151" t="s">
        <v>426</v>
      </c>
      <c r="C195" s="152">
        <v>0</v>
      </c>
    </row>
    <row r="196" spans="1:3" x14ac:dyDescent="0.25">
      <c r="A196" s="150">
        <v>6415</v>
      </c>
      <c r="B196" s="151" t="s">
        <v>427</v>
      </c>
      <c r="C196" s="152">
        <v>0</v>
      </c>
    </row>
    <row r="197" spans="1:3" x14ac:dyDescent="0.25">
      <c r="A197" s="150">
        <v>6416</v>
      </c>
      <c r="B197" s="151" t="s">
        <v>428</v>
      </c>
      <c r="C197" s="152">
        <v>0</v>
      </c>
    </row>
    <row r="198" spans="1:3" x14ac:dyDescent="0.25">
      <c r="A198" s="150">
        <v>64161</v>
      </c>
      <c r="B198" s="151" t="s">
        <v>429</v>
      </c>
      <c r="C198" s="152">
        <v>0</v>
      </c>
    </row>
    <row r="199" spans="1:3" x14ac:dyDescent="0.25">
      <c r="A199" s="150">
        <v>64162</v>
      </c>
      <c r="B199" s="151" t="s">
        <v>430</v>
      </c>
      <c r="C199" s="152">
        <v>0</v>
      </c>
    </row>
    <row r="200" spans="1:3" x14ac:dyDescent="0.25">
      <c r="A200" s="150">
        <v>64168</v>
      </c>
      <c r="B200" s="151" t="s">
        <v>431</v>
      </c>
      <c r="C200" s="152">
        <v>0</v>
      </c>
    </row>
    <row r="201" spans="1:3" x14ac:dyDescent="0.25">
      <c r="A201" s="150">
        <v>6417</v>
      </c>
      <c r="B201" s="151" t="s">
        <v>432</v>
      </c>
      <c r="C201" s="152">
        <v>0</v>
      </c>
    </row>
    <row r="202" spans="1:3" x14ac:dyDescent="0.25">
      <c r="A202" s="150">
        <v>6419</v>
      </c>
      <c r="B202" s="151" t="s">
        <v>433</v>
      </c>
      <c r="C202" s="152">
        <v>0</v>
      </c>
    </row>
    <row r="203" spans="1:3" x14ac:dyDescent="0.25">
      <c r="A203" s="150">
        <v>645</v>
      </c>
      <c r="B203" s="151" t="s">
        <v>434</v>
      </c>
      <c r="C203" s="152">
        <v>0</v>
      </c>
    </row>
    <row r="204" spans="1:3" x14ac:dyDescent="0.25">
      <c r="A204" s="150">
        <v>6451</v>
      </c>
      <c r="B204" s="151" t="s">
        <v>435</v>
      </c>
      <c r="C204" s="152">
        <v>0</v>
      </c>
    </row>
    <row r="205" spans="1:3" x14ac:dyDescent="0.25">
      <c r="A205" s="150">
        <v>6452</v>
      </c>
      <c r="B205" s="151" t="s">
        <v>436</v>
      </c>
      <c r="C205" s="152">
        <v>0</v>
      </c>
    </row>
    <row r="206" spans="1:3" x14ac:dyDescent="0.25">
      <c r="A206" s="150">
        <v>6453</v>
      </c>
      <c r="B206" s="151" t="s">
        <v>437</v>
      </c>
      <c r="C206" s="152">
        <v>0</v>
      </c>
    </row>
    <row r="207" spans="1:3" x14ac:dyDescent="0.25">
      <c r="A207" s="150">
        <v>6454</v>
      </c>
      <c r="B207" s="151" t="s">
        <v>438</v>
      </c>
      <c r="C207" s="152">
        <v>0</v>
      </c>
    </row>
    <row r="208" spans="1:3" x14ac:dyDescent="0.25">
      <c r="A208" s="150">
        <v>6455</v>
      </c>
      <c r="B208" s="151" t="s">
        <v>439</v>
      </c>
      <c r="C208" s="152">
        <v>0</v>
      </c>
    </row>
    <row r="209" spans="1:3" x14ac:dyDescent="0.25">
      <c r="A209" s="150">
        <v>6456</v>
      </c>
      <c r="B209" s="151" t="s">
        <v>440</v>
      </c>
      <c r="C209" s="152">
        <v>0</v>
      </c>
    </row>
    <row r="210" spans="1:3" x14ac:dyDescent="0.25">
      <c r="A210" s="150">
        <v>6457</v>
      </c>
      <c r="B210" s="151" t="s">
        <v>441</v>
      </c>
      <c r="C210" s="152">
        <v>0</v>
      </c>
    </row>
    <row r="211" spans="1:3" x14ac:dyDescent="0.25">
      <c r="A211" s="150">
        <v>6458</v>
      </c>
      <c r="B211" s="151" t="s">
        <v>442</v>
      </c>
      <c r="C211" s="152">
        <v>0</v>
      </c>
    </row>
    <row r="212" spans="1:3" x14ac:dyDescent="0.25">
      <c r="A212" s="150">
        <v>6459</v>
      </c>
      <c r="B212" s="151" t="s">
        <v>443</v>
      </c>
      <c r="C212" s="152">
        <v>0</v>
      </c>
    </row>
    <row r="213" spans="1:3" x14ac:dyDescent="0.25">
      <c r="A213" s="150">
        <v>647</v>
      </c>
      <c r="B213" s="151" t="s">
        <v>444</v>
      </c>
      <c r="C213" s="152">
        <v>0</v>
      </c>
    </row>
    <row r="214" spans="1:3" x14ac:dyDescent="0.25">
      <c r="A214" s="150">
        <v>6471</v>
      </c>
      <c r="B214" s="151" t="s">
        <v>445</v>
      </c>
      <c r="C214" s="152">
        <v>0</v>
      </c>
    </row>
    <row r="215" spans="1:3" x14ac:dyDescent="0.25">
      <c r="A215" s="150">
        <v>6472</v>
      </c>
      <c r="B215" s="151" t="s">
        <v>446</v>
      </c>
      <c r="C215" s="152">
        <v>0</v>
      </c>
    </row>
    <row r="216" spans="1:3" x14ac:dyDescent="0.25">
      <c r="A216" s="150">
        <v>6473</v>
      </c>
      <c r="B216" s="151" t="s">
        <v>447</v>
      </c>
      <c r="C216" s="152">
        <v>0</v>
      </c>
    </row>
    <row r="217" spans="1:3" x14ac:dyDescent="0.25">
      <c r="A217" s="150">
        <v>64731</v>
      </c>
      <c r="B217" s="151" t="s">
        <v>448</v>
      </c>
      <c r="C217" s="152">
        <v>0</v>
      </c>
    </row>
    <row r="218" spans="1:3" x14ac:dyDescent="0.25">
      <c r="A218" s="150">
        <v>64732</v>
      </c>
      <c r="B218" s="151" t="s">
        <v>449</v>
      </c>
      <c r="C218" s="152">
        <v>0</v>
      </c>
    </row>
    <row r="219" spans="1:3" x14ac:dyDescent="0.25">
      <c r="A219" s="150">
        <v>6474</v>
      </c>
      <c r="B219" s="151" t="s">
        <v>450</v>
      </c>
      <c r="C219" s="152">
        <v>0</v>
      </c>
    </row>
    <row r="220" spans="1:3" x14ac:dyDescent="0.25">
      <c r="A220" s="150">
        <v>6475</v>
      </c>
      <c r="B220" s="151" t="s">
        <v>451</v>
      </c>
      <c r="C220" s="152">
        <v>0.2</v>
      </c>
    </row>
    <row r="221" spans="1:3" x14ac:dyDescent="0.25">
      <c r="A221" s="150">
        <v>6478</v>
      </c>
      <c r="B221" s="151" t="s">
        <v>452</v>
      </c>
      <c r="C221" s="152">
        <v>0</v>
      </c>
    </row>
    <row r="222" spans="1:3" x14ac:dyDescent="0.25">
      <c r="A222" s="150">
        <v>6479</v>
      </c>
      <c r="B222" s="151" t="s">
        <v>453</v>
      </c>
      <c r="C222" s="152">
        <v>0</v>
      </c>
    </row>
    <row r="223" spans="1:3" x14ac:dyDescent="0.25">
      <c r="A223" s="150">
        <v>648</v>
      </c>
      <c r="B223" s="151" t="s">
        <v>454</v>
      </c>
      <c r="C223" s="152">
        <v>0</v>
      </c>
    </row>
    <row r="224" spans="1:3" x14ac:dyDescent="0.25">
      <c r="A224" s="150">
        <v>6483</v>
      </c>
      <c r="B224" s="151" t="s">
        <v>455</v>
      </c>
      <c r="C224" s="152">
        <v>0</v>
      </c>
    </row>
    <row r="225" spans="1:3" x14ac:dyDescent="0.25">
      <c r="A225" s="150">
        <v>64831</v>
      </c>
      <c r="B225" s="151" t="s">
        <v>456</v>
      </c>
      <c r="C225" s="152">
        <v>0</v>
      </c>
    </row>
    <row r="226" spans="1:3" x14ac:dyDescent="0.25">
      <c r="A226" s="150">
        <v>64832</v>
      </c>
      <c r="B226" s="151" t="s">
        <v>457</v>
      </c>
      <c r="C226" s="152">
        <v>0</v>
      </c>
    </row>
    <row r="227" spans="1:3" x14ac:dyDescent="0.25">
      <c r="A227" s="150">
        <v>6488</v>
      </c>
      <c r="B227" s="151" t="s">
        <v>458</v>
      </c>
      <c r="C227" s="152">
        <v>0</v>
      </c>
    </row>
    <row r="228" spans="1:3" x14ac:dyDescent="0.25">
      <c r="A228" s="150">
        <v>65</v>
      </c>
      <c r="B228" s="151" t="s">
        <v>459</v>
      </c>
      <c r="C228" s="152"/>
    </row>
    <row r="229" spans="1:3" x14ac:dyDescent="0.25">
      <c r="A229" s="150">
        <v>651</v>
      </c>
      <c r="B229" s="151" t="s">
        <v>460</v>
      </c>
      <c r="C229" s="152"/>
    </row>
    <row r="230" spans="1:3" x14ac:dyDescent="0.25">
      <c r="A230" s="150">
        <v>652</v>
      </c>
      <c r="B230" s="151" t="s">
        <v>461</v>
      </c>
      <c r="C230" s="152"/>
    </row>
    <row r="231" spans="1:3" x14ac:dyDescent="0.25">
      <c r="A231" s="150">
        <v>6521</v>
      </c>
      <c r="B231" s="151" t="s">
        <v>462</v>
      </c>
      <c r="C231" s="152"/>
    </row>
    <row r="232" spans="1:3" x14ac:dyDescent="0.25">
      <c r="A232" s="150">
        <v>6522</v>
      </c>
      <c r="B232" s="151" t="s">
        <v>463</v>
      </c>
      <c r="C232" s="152"/>
    </row>
    <row r="233" spans="1:3" x14ac:dyDescent="0.25">
      <c r="A233" s="150">
        <v>653</v>
      </c>
      <c r="B233" s="151" t="s">
        <v>464</v>
      </c>
      <c r="C233" s="152">
        <v>0</v>
      </c>
    </row>
    <row r="234" spans="1:3" x14ac:dyDescent="0.25">
      <c r="A234" s="150">
        <v>6531</v>
      </c>
      <c r="B234" s="151" t="s">
        <v>465</v>
      </c>
      <c r="C234" s="152">
        <v>0</v>
      </c>
    </row>
    <row r="235" spans="1:3" x14ac:dyDescent="0.25">
      <c r="A235" s="150">
        <v>6532</v>
      </c>
      <c r="B235" s="151" t="s">
        <v>466</v>
      </c>
      <c r="C235" s="152">
        <v>0</v>
      </c>
    </row>
    <row r="236" spans="1:3" x14ac:dyDescent="0.25">
      <c r="A236" s="150">
        <v>6533</v>
      </c>
      <c r="B236" s="151" t="s">
        <v>467</v>
      </c>
      <c r="C236" s="152">
        <v>0</v>
      </c>
    </row>
    <row r="237" spans="1:3" x14ac:dyDescent="0.25">
      <c r="A237" s="150">
        <v>6534</v>
      </c>
      <c r="B237" s="151" t="s">
        <v>468</v>
      </c>
      <c r="C237" s="152">
        <v>0</v>
      </c>
    </row>
    <row r="238" spans="1:3" x14ac:dyDescent="0.25">
      <c r="A238" s="150">
        <v>6535</v>
      </c>
      <c r="B238" s="151" t="s">
        <v>469</v>
      </c>
      <c r="C238" s="152">
        <v>0</v>
      </c>
    </row>
    <row r="239" spans="1:3" x14ac:dyDescent="0.25">
      <c r="A239" s="150">
        <v>6536</v>
      </c>
      <c r="B239" s="151" t="s">
        <v>470</v>
      </c>
      <c r="C239" s="152">
        <v>0</v>
      </c>
    </row>
    <row r="240" spans="1:3" x14ac:dyDescent="0.25">
      <c r="A240" s="150">
        <v>6537</v>
      </c>
      <c r="B240" s="151" t="s">
        <v>471</v>
      </c>
      <c r="C240" s="152">
        <v>0</v>
      </c>
    </row>
    <row r="241" spans="1:3" x14ac:dyDescent="0.25">
      <c r="A241" s="150">
        <v>65371</v>
      </c>
      <c r="B241" s="151" t="s">
        <v>472</v>
      </c>
      <c r="C241" s="152">
        <v>0</v>
      </c>
    </row>
    <row r="242" spans="1:3" x14ac:dyDescent="0.25">
      <c r="A242" s="150">
        <v>65372</v>
      </c>
      <c r="B242" s="151" t="s">
        <v>473</v>
      </c>
      <c r="C242" s="152">
        <v>0</v>
      </c>
    </row>
    <row r="243" spans="1:3" x14ac:dyDescent="0.25">
      <c r="A243" s="150">
        <v>654</v>
      </c>
      <c r="B243" s="151" t="s">
        <v>474</v>
      </c>
      <c r="C243" s="152"/>
    </row>
    <row r="244" spans="1:3" x14ac:dyDescent="0.25">
      <c r="A244" s="150">
        <v>6541</v>
      </c>
      <c r="B244" s="151" t="s">
        <v>475</v>
      </c>
      <c r="C244" s="152"/>
    </row>
    <row r="245" spans="1:3" x14ac:dyDescent="0.25">
      <c r="A245" s="150">
        <v>6542</v>
      </c>
      <c r="B245" s="151" t="s">
        <v>476</v>
      </c>
      <c r="C245" s="152"/>
    </row>
    <row r="246" spans="1:3" x14ac:dyDescent="0.25">
      <c r="A246" s="150">
        <v>655</v>
      </c>
      <c r="B246" s="151" t="s">
        <v>477</v>
      </c>
      <c r="C246" s="152"/>
    </row>
    <row r="247" spans="1:3" x14ac:dyDescent="0.25">
      <c r="A247" s="150">
        <v>6551</v>
      </c>
      <c r="B247" s="151" t="s">
        <v>478</v>
      </c>
      <c r="C247" s="152"/>
    </row>
    <row r="248" spans="1:3" x14ac:dyDescent="0.25">
      <c r="A248" s="150">
        <v>6552</v>
      </c>
      <c r="B248" s="151" t="s">
        <v>479</v>
      </c>
      <c r="C248" s="152"/>
    </row>
    <row r="249" spans="1:3" x14ac:dyDescent="0.25">
      <c r="A249" s="150">
        <v>6553</v>
      </c>
      <c r="B249" s="151" t="s">
        <v>480</v>
      </c>
      <c r="C249" s="152"/>
    </row>
    <row r="250" spans="1:3" x14ac:dyDescent="0.25">
      <c r="A250" s="150">
        <v>6554</v>
      </c>
      <c r="B250" s="151" t="s">
        <v>481</v>
      </c>
      <c r="C250" s="152"/>
    </row>
    <row r="251" spans="1:3" x14ac:dyDescent="0.25">
      <c r="A251" s="150">
        <v>6555</v>
      </c>
      <c r="B251" s="151" t="s">
        <v>482</v>
      </c>
      <c r="C251" s="152"/>
    </row>
    <row r="252" spans="1:3" x14ac:dyDescent="0.25">
      <c r="A252" s="150">
        <v>6556</v>
      </c>
      <c r="B252" s="151" t="s">
        <v>483</v>
      </c>
      <c r="C252" s="152"/>
    </row>
    <row r="253" spans="1:3" x14ac:dyDescent="0.25">
      <c r="A253" s="150">
        <v>6557</v>
      </c>
      <c r="B253" s="151" t="s">
        <v>484</v>
      </c>
      <c r="C253" s="152"/>
    </row>
    <row r="254" spans="1:3" x14ac:dyDescent="0.25">
      <c r="A254" s="150">
        <v>6558</v>
      </c>
      <c r="B254" s="151" t="s">
        <v>485</v>
      </c>
      <c r="C254" s="152"/>
    </row>
    <row r="255" spans="1:3" x14ac:dyDescent="0.25">
      <c r="A255" s="150">
        <v>656</v>
      </c>
      <c r="B255" s="151" t="s">
        <v>486</v>
      </c>
      <c r="C255" s="152"/>
    </row>
    <row r="256" spans="1:3" x14ac:dyDescent="0.25">
      <c r="A256" s="150">
        <v>6561</v>
      </c>
      <c r="B256" s="151" t="s">
        <v>487</v>
      </c>
      <c r="C256" s="152"/>
    </row>
    <row r="257" spans="1:3" x14ac:dyDescent="0.25">
      <c r="A257" s="150">
        <v>6562</v>
      </c>
      <c r="B257" s="151" t="s">
        <v>488</v>
      </c>
      <c r="C257" s="152"/>
    </row>
    <row r="258" spans="1:3" x14ac:dyDescent="0.25">
      <c r="A258" s="150">
        <v>657</v>
      </c>
      <c r="B258" s="151" t="s">
        <v>489</v>
      </c>
      <c r="C258" s="152"/>
    </row>
    <row r="259" spans="1:3" x14ac:dyDescent="0.25">
      <c r="A259" s="150">
        <v>6573</v>
      </c>
      <c r="B259" s="151" t="s">
        <v>490</v>
      </c>
      <c r="C259" s="152"/>
    </row>
    <row r="260" spans="1:3" x14ac:dyDescent="0.25">
      <c r="A260" s="150">
        <v>65731</v>
      </c>
      <c r="B260" s="151" t="s">
        <v>491</v>
      </c>
      <c r="C260" s="152"/>
    </row>
    <row r="261" spans="1:3" x14ac:dyDescent="0.25">
      <c r="A261" s="150">
        <v>65732</v>
      </c>
      <c r="B261" s="151" t="s">
        <v>492</v>
      </c>
      <c r="C261" s="152"/>
    </row>
    <row r="262" spans="1:3" x14ac:dyDescent="0.25">
      <c r="A262" s="150">
        <v>65733</v>
      </c>
      <c r="B262" s="151" t="s">
        <v>493</v>
      </c>
      <c r="C262" s="152"/>
    </row>
    <row r="263" spans="1:3" x14ac:dyDescent="0.25">
      <c r="A263" s="150">
        <v>65734</v>
      </c>
      <c r="B263" s="151" t="s">
        <v>494</v>
      </c>
      <c r="C263" s="152"/>
    </row>
    <row r="264" spans="1:3" x14ac:dyDescent="0.25">
      <c r="A264" s="150">
        <v>657341</v>
      </c>
      <c r="B264" s="151" t="s">
        <v>495</v>
      </c>
      <c r="C264" s="152"/>
    </row>
    <row r="265" spans="1:3" x14ac:dyDescent="0.25">
      <c r="A265" s="150">
        <v>657348</v>
      </c>
      <c r="B265" s="151" t="s">
        <v>496</v>
      </c>
      <c r="C265" s="152"/>
    </row>
    <row r="266" spans="1:3" x14ac:dyDescent="0.25">
      <c r="A266" s="150">
        <v>65735</v>
      </c>
      <c r="B266" s="151" t="s">
        <v>497</v>
      </c>
      <c r="C266" s="152"/>
    </row>
    <row r="267" spans="1:3" x14ac:dyDescent="0.25">
      <c r="A267" s="150">
        <v>657351</v>
      </c>
      <c r="B267" s="151" t="s">
        <v>498</v>
      </c>
      <c r="C267" s="152"/>
    </row>
    <row r="268" spans="1:3" x14ac:dyDescent="0.25">
      <c r="A268" s="150">
        <v>657358</v>
      </c>
      <c r="B268" s="151" t="s">
        <v>499</v>
      </c>
      <c r="C268" s="152"/>
    </row>
    <row r="269" spans="1:3" x14ac:dyDescent="0.25">
      <c r="A269" s="150">
        <v>65736</v>
      </c>
      <c r="B269" s="151" t="s">
        <v>500</v>
      </c>
      <c r="C269" s="152"/>
    </row>
    <row r="270" spans="1:3" x14ac:dyDescent="0.25">
      <c r="A270" s="150">
        <v>657361</v>
      </c>
      <c r="B270" s="151" t="s">
        <v>501</v>
      </c>
      <c r="C270" s="152"/>
    </row>
    <row r="271" spans="1:3" x14ac:dyDescent="0.25">
      <c r="A271" s="150">
        <v>657362</v>
      </c>
      <c r="B271" s="151" t="s">
        <v>502</v>
      </c>
      <c r="C271" s="152"/>
    </row>
    <row r="272" spans="1:3" x14ac:dyDescent="0.25">
      <c r="A272" s="150">
        <v>657363</v>
      </c>
      <c r="B272" s="151" t="s">
        <v>503</v>
      </c>
      <c r="C272" s="152"/>
    </row>
    <row r="273" spans="1:3" x14ac:dyDescent="0.25">
      <c r="A273" s="150">
        <v>657364</v>
      </c>
      <c r="B273" s="151" t="s">
        <v>504</v>
      </c>
      <c r="C273" s="152"/>
    </row>
    <row r="274" spans="1:3" x14ac:dyDescent="0.25">
      <c r="A274" s="150">
        <v>65737</v>
      </c>
      <c r="B274" s="151" t="s">
        <v>505</v>
      </c>
      <c r="C274" s="152"/>
    </row>
    <row r="275" spans="1:3" x14ac:dyDescent="0.25">
      <c r="A275" s="150">
        <v>65738</v>
      </c>
      <c r="B275" s="151" t="s">
        <v>506</v>
      </c>
      <c r="C275" s="152"/>
    </row>
    <row r="276" spans="1:3" x14ac:dyDescent="0.25">
      <c r="A276" s="150">
        <v>6574</v>
      </c>
      <c r="B276" s="151" t="s">
        <v>507</v>
      </c>
      <c r="C276" s="152"/>
    </row>
    <row r="277" spans="1:3" x14ac:dyDescent="0.25">
      <c r="A277" s="150">
        <v>658</v>
      </c>
      <c r="B277" s="151" t="s">
        <v>508</v>
      </c>
      <c r="C277" s="152"/>
    </row>
    <row r="278" spans="1:3" x14ac:dyDescent="0.25">
      <c r="A278" s="150">
        <v>66</v>
      </c>
      <c r="B278" s="151" t="s">
        <v>509</v>
      </c>
      <c r="C278" s="152"/>
    </row>
    <row r="279" spans="1:3" x14ac:dyDescent="0.25">
      <c r="A279" s="150">
        <v>661</v>
      </c>
      <c r="B279" s="151" t="s">
        <v>510</v>
      </c>
      <c r="C279" s="152"/>
    </row>
    <row r="280" spans="1:3" x14ac:dyDescent="0.25">
      <c r="A280" s="150">
        <v>6611</v>
      </c>
      <c r="B280" s="151" t="s">
        <v>511</v>
      </c>
      <c r="C280" s="152"/>
    </row>
    <row r="281" spans="1:3" x14ac:dyDescent="0.25">
      <c r="A281" s="150">
        <v>66111</v>
      </c>
      <c r="B281" s="151" t="s">
        <v>512</v>
      </c>
      <c r="C281" s="152"/>
    </row>
    <row r="282" spans="1:3" x14ac:dyDescent="0.25">
      <c r="A282" s="150">
        <v>66112</v>
      </c>
      <c r="B282" s="151" t="s">
        <v>513</v>
      </c>
      <c r="C282" s="152"/>
    </row>
    <row r="283" spans="1:3" x14ac:dyDescent="0.25">
      <c r="A283" s="150">
        <v>661121</v>
      </c>
      <c r="B283" s="151"/>
      <c r="C283" s="152"/>
    </row>
    <row r="284" spans="1:3" x14ac:dyDescent="0.25">
      <c r="A284" s="150">
        <v>66113</v>
      </c>
      <c r="B284" s="151" t="s">
        <v>514</v>
      </c>
      <c r="C284" s="152"/>
    </row>
    <row r="285" spans="1:3" x14ac:dyDescent="0.25">
      <c r="A285" s="150">
        <v>661131</v>
      </c>
      <c r="B285" s="151" t="s">
        <v>515</v>
      </c>
      <c r="C285" s="152"/>
    </row>
    <row r="286" spans="1:3" x14ac:dyDescent="0.25">
      <c r="A286" s="150">
        <v>661132</v>
      </c>
      <c r="B286" s="151" t="s">
        <v>516</v>
      </c>
      <c r="C286" s="152"/>
    </row>
    <row r="287" spans="1:3" x14ac:dyDescent="0.25">
      <c r="A287" s="150">
        <v>661133</v>
      </c>
      <c r="B287" s="151" t="s">
        <v>517</v>
      </c>
      <c r="C287" s="152"/>
    </row>
    <row r="288" spans="1:3" x14ac:dyDescent="0.25">
      <c r="A288" s="150">
        <v>661138</v>
      </c>
      <c r="B288" s="151" t="s">
        <v>518</v>
      </c>
      <c r="C288" s="152"/>
    </row>
    <row r="289" spans="1:3" x14ac:dyDescent="0.25">
      <c r="A289" s="150">
        <v>6615</v>
      </c>
      <c r="B289" s="151" t="s">
        <v>519</v>
      </c>
      <c r="C289" s="152"/>
    </row>
    <row r="290" spans="1:3" x14ac:dyDescent="0.25">
      <c r="A290" s="150">
        <v>6616</v>
      </c>
      <c r="B290" s="151" t="s">
        <v>520</v>
      </c>
      <c r="C290" s="152"/>
    </row>
    <row r="291" spans="1:3" x14ac:dyDescent="0.25">
      <c r="A291" s="150">
        <v>6618</v>
      </c>
      <c r="B291" s="151" t="s">
        <v>521</v>
      </c>
      <c r="C291" s="152"/>
    </row>
    <row r="292" spans="1:3" x14ac:dyDescent="0.25">
      <c r="A292" s="150">
        <v>665</v>
      </c>
      <c r="B292" s="151" t="s">
        <v>522</v>
      </c>
      <c r="C292" s="152"/>
    </row>
    <row r="293" spans="1:3" x14ac:dyDescent="0.25">
      <c r="A293" s="150">
        <v>666</v>
      </c>
      <c r="B293" s="151" t="s">
        <v>523</v>
      </c>
      <c r="C293" s="152"/>
    </row>
    <row r="294" spans="1:3" x14ac:dyDescent="0.25">
      <c r="A294" s="150">
        <v>667</v>
      </c>
      <c r="B294" s="151" t="s">
        <v>524</v>
      </c>
      <c r="C294" s="152"/>
    </row>
    <row r="295" spans="1:3" x14ac:dyDescent="0.25">
      <c r="A295" s="150">
        <v>668</v>
      </c>
      <c r="B295" s="151" t="s">
        <v>525</v>
      </c>
      <c r="C295" s="152"/>
    </row>
    <row r="296" spans="1:3" x14ac:dyDescent="0.25">
      <c r="A296" s="150">
        <v>67</v>
      </c>
      <c r="B296" s="151" t="s">
        <v>526</v>
      </c>
      <c r="C296" s="152"/>
    </row>
    <row r="297" spans="1:3" x14ac:dyDescent="0.25">
      <c r="A297" s="150">
        <v>671</v>
      </c>
      <c r="B297" s="151" t="s">
        <v>527</v>
      </c>
      <c r="C297" s="152"/>
    </row>
    <row r="298" spans="1:3" x14ac:dyDescent="0.25">
      <c r="A298" s="150">
        <v>6711</v>
      </c>
      <c r="B298" s="151" t="s">
        <v>528</v>
      </c>
      <c r="C298" s="152"/>
    </row>
    <row r="299" spans="1:3" x14ac:dyDescent="0.25">
      <c r="A299" s="150">
        <v>6712</v>
      </c>
      <c r="B299" s="151" t="s">
        <v>529</v>
      </c>
      <c r="C299" s="152"/>
    </row>
    <row r="300" spans="1:3" x14ac:dyDescent="0.25">
      <c r="A300" s="150">
        <v>6713</v>
      </c>
      <c r="B300" s="151" t="s">
        <v>530</v>
      </c>
      <c r="C300" s="152"/>
    </row>
    <row r="301" spans="1:3" x14ac:dyDescent="0.25">
      <c r="A301" s="150">
        <v>6714</v>
      </c>
      <c r="B301" s="151" t="s">
        <v>531</v>
      </c>
      <c r="C301" s="152"/>
    </row>
    <row r="302" spans="1:3" x14ac:dyDescent="0.25">
      <c r="A302" s="150">
        <v>6717</v>
      </c>
      <c r="B302" s="151" t="s">
        <v>532</v>
      </c>
      <c r="C302" s="152"/>
    </row>
    <row r="303" spans="1:3" x14ac:dyDescent="0.25">
      <c r="A303" s="150">
        <v>6718</v>
      </c>
      <c r="B303" s="151" t="s">
        <v>533</v>
      </c>
      <c r="C303" s="152"/>
    </row>
    <row r="304" spans="1:3" x14ac:dyDescent="0.25">
      <c r="A304" s="150">
        <v>672</v>
      </c>
      <c r="B304" s="151" t="s">
        <v>534</v>
      </c>
      <c r="C304" s="152"/>
    </row>
    <row r="305" spans="1:3" x14ac:dyDescent="0.25">
      <c r="A305" s="150">
        <v>673</v>
      </c>
      <c r="B305" s="151" t="s">
        <v>535</v>
      </c>
      <c r="C305" s="152"/>
    </row>
    <row r="306" spans="1:3" x14ac:dyDescent="0.25">
      <c r="A306" s="150">
        <v>674</v>
      </c>
      <c r="B306" s="151" t="s">
        <v>536</v>
      </c>
      <c r="C306" s="152"/>
    </row>
    <row r="307" spans="1:3" x14ac:dyDescent="0.25">
      <c r="A307" s="150">
        <v>6742</v>
      </c>
      <c r="B307" s="151" t="s">
        <v>537</v>
      </c>
      <c r="C307" s="152"/>
    </row>
    <row r="308" spans="1:3" x14ac:dyDescent="0.25">
      <c r="A308" s="150">
        <v>6743</v>
      </c>
      <c r="B308" s="151" t="s">
        <v>538</v>
      </c>
      <c r="C308" s="152"/>
    </row>
    <row r="309" spans="1:3" x14ac:dyDescent="0.25">
      <c r="A309" s="150">
        <v>6744</v>
      </c>
      <c r="B309" s="151" t="s">
        <v>539</v>
      </c>
      <c r="C309" s="152"/>
    </row>
    <row r="310" spans="1:3" x14ac:dyDescent="0.25">
      <c r="A310" s="150">
        <v>67441</v>
      </c>
      <c r="B310" s="151" t="s">
        <v>540</v>
      </c>
      <c r="C310" s="152"/>
    </row>
    <row r="311" spans="1:3" x14ac:dyDescent="0.25">
      <c r="A311" s="150">
        <v>67442</v>
      </c>
      <c r="B311" s="151" t="s">
        <v>541</v>
      </c>
      <c r="C311" s="152"/>
    </row>
    <row r="312" spans="1:3" x14ac:dyDescent="0.25">
      <c r="A312" s="150">
        <v>67443</v>
      </c>
      <c r="B312" s="151" t="s">
        <v>542</v>
      </c>
      <c r="C312" s="152"/>
    </row>
    <row r="313" spans="1:3" x14ac:dyDescent="0.25">
      <c r="A313" s="150">
        <v>67444</v>
      </c>
      <c r="B313" s="151" t="s">
        <v>543</v>
      </c>
      <c r="C313" s="152"/>
    </row>
    <row r="314" spans="1:3" x14ac:dyDescent="0.25">
      <c r="A314" s="150">
        <v>6745</v>
      </c>
      <c r="B314" s="151" t="s">
        <v>544</v>
      </c>
      <c r="C314" s="152"/>
    </row>
    <row r="315" spans="1:3" x14ac:dyDescent="0.25">
      <c r="A315" s="150">
        <v>6746</v>
      </c>
      <c r="B315" s="151" t="s">
        <v>545</v>
      </c>
      <c r="C315" s="152"/>
    </row>
    <row r="316" spans="1:3" x14ac:dyDescent="0.25">
      <c r="A316" s="150">
        <v>6748</v>
      </c>
      <c r="B316" s="151" t="s">
        <v>546</v>
      </c>
      <c r="C316" s="152"/>
    </row>
    <row r="317" spans="1:3" x14ac:dyDescent="0.25">
      <c r="A317" s="150">
        <v>675</v>
      </c>
      <c r="B317" s="151" t="s">
        <v>547</v>
      </c>
      <c r="C317" s="152"/>
    </row>
    <row r="318" spans="1:3" x14ac:dyDescent="0.25">
      <c r="A318" s="150">
        <v>676</v>
      </c>
      <c r="B318" s="151" t="s">
        <v>548</v>
      </c>
      <c r="C318" s="152"/>
    </row>
    <row r="319" spans="1:3" x14ac:dyDescent="0.25">
      <c r="A319" s="150">
        <v>678</v>
      </c>
      <c r="B319" s="151" t="s">
        <v>549</v>
      </c>
      <c r="C319" s="152"/>
    </row>
    <row r="320" spans="1:3" x14ac:dyDescent="0.25">
      <c r="A320" s="150">
        <v>68</v>
      </c>
      <c r="B320" s="151" t="s">
        <v>550</v>
      </c>
      <c r="C320" s="152"/>
    </row>
    <row r="321" spans="1:3" x14ac:dyDescent="0.25">
      <c r="A321" s="150">
        <v>681</v>
      </c>
      <c r="B321" s="151" t="s">
        <v>551</v>
      </c>
      <c r="C321" s="152"/>
    </row>
    <row r="322" spans="1:3" x14ac:dyDescent="0.25">
      <c r="A322" s="150">
        <v>6811</v>
      </c>
      <c r="B322" s="151" t="s">
        <v>552</v>
      </c>
      <c r="C322" s="152">
        <v>0.2</v>
      </c>
    </row>
    <row r="323" spans="1:3" x14ac:dyDescent="0.25">
      <c r="A323" s="150">
        <v>6812</v>
      </c>
      <c r="B323" s="151" t="s">
        <v>553</v>
      </c>
      <c r="C323" s="152"/>
    </row>
    <row r="324" spans="1:3" x14ac:dyDescent="0.25">
      <c r="A324" s="150">
        <v>6815</v>
      </c>
      <c r="B324" s="151" t="s">
        <v>554</v>
      </c>
      <c r="C324" s="152"/>
    </row>
    <row r="325" spans="1:3" x14ac:dyDescent="0.25">
      <c r="A325" s="150">
        <v>6816</v>
      </c>
      <c r="B325" s="151" t="s">
        <v>555</v>
      </c>
      <c r="C325" s="152"/>
    </row>
    <row r="326" spans="1:3" x14ac:dyDescent="0.25">
      <c r="A326" s="150">
        <v>6817</v>
      </c>
      <c r="B326" s="151" t="s">
        <v>556</v>
      </c>
      <c r="C326" s="152"/>
    </row>
    <row r="327" spans="1:3" x14ac:dyDescent="0.25">
      <c r="A327" s="150">
        <v>686</v>
      </c>
      <c r="B327" s="151" t="s">
        <v>557</v>
      </c>
      <c r="C327" s="152"/>
    </row>
    <row r="328" spans="1:3" x14ac:dyDescent="0.25">
      <c r="A328" s="150">
        <v>6861</v>
      </c>
      <c r="B328" s="151" t="s">
        <v>558</v>
      </c>
      <c r="C328" s="152"/>
    </row>
    <row r="329" spans="1:3" x14ac:dyDescent="0.25">
      <c r="A329" s="150">
        <v>6862</v>
      </c>
      <c r="B329" s="151" t="s">
        <v>559</v>
      </c>
      <c r="C329" s="152"/>
    </row>
    <row r="330" spans="1:3" x14ac:dyDescent="0.25">
      <c r="A330" s="150">
        <v>6865</v>
      </c>
      <c r="B330" s="151" t="s">
        <v>560</v>
      </c>
      <c r="C330" s="152"/>
    </row>
    <row r="331" spans="1:3" x14ac:dyDescent="0.25">
      <c r="A331" s="150">
        <v>6866</v>
      </c>
      <c r="B331" s="151" t="s">
        <v>561</v>
      </c>
      <c r="C331" s="152"/>
    </row>
    <row r="332" spans="1:3" x14ac:dyDescent="0.25">
      <c r="A332" s="150">
        <v>687</v>
      </c>
      <c r="B332" s="151" t="s">
        <v>562</v>
      </c>
      <c r="C332" s="152"/>
    </row>
    <row r="333" spans="1:3" x14ac:dyDescent="0.25">
      <c r="A333" s="150">
        <v>6871</v>
      </c>
      <c r="B333" s="151" t="s">
        <v>563</v>
      </c>
      <c r="C333" s="152"/>
    </row>
    <row r="334" spans="1:3" x14ac:dyDescent="0.25">
      <c r="A334" s="150">
        <v>6872</v>
      </c>
      <c r="B334" s="151" t="s">
        <v>564</v>
      </c>
      <c r="C334" s="152"/>
    </row>
    <row r="335" spans="1:3" x14ac:dyDescent="0.25">
      <c r="A335" s="150">
        <v>6874</v>
      </c>
      <c r="B335" s="151" t="s">
        <v>565</v>
      </c>
      <c r="C335" s="152"/>
    </row>
    <row r="336" spans="1:3" x14ac:dyDescent="0.25">
      <c r="A336" s="150">
        <v>6875</v>
      </c>
      <c r="B336" s="151" t="s">
        <v>566</v>
      </c>
      <c r="C336" s="152"/>
    </row>
    <row r="337" spans="1:3" x14ac:dyDescent="0.25">
      <c r="A337" s="150">
        <v>6876</v>
      </c>
      <c r="B337" s="151" t="s">
        <v>567</v>
      </c>
      <c r="C337" s="152"/>
    </row>
    <row r="338" spans="1:3" x14ac:dyDescent="0.25">
      <c r="A338" s="150">
        <v>69</v>
      </c>
      <c r="B338" s="151" t="s">
        <v>568</v>
      </c>
      <c r="C338" s="152"/>
    </row>
    <row r="339" spans="1:3" x14ac:dyDescent="0.25">
      <c r="A339" s="150">
        <v>695</v>
      </c>
      <c r="B339" s="151" t="s">
        <v>569</v>
      </c>
      <c r="C339" s="152"/>
    </row>
    <row r="340" spans="1:3" x14ac:dyDescent="0.25">
      <c r="A340" s="150">
        <v>698</v>
      </c>
      <c r="B340" s="151" t="s">
        <v>570</v>
      </c>
      <c r="C340" s="152"/>
    </row>
    <row r="341" spans="1:3" x14ac:dyDescent="0.25">
      <c r="A341" s="150">
        <v>6981</v>
      </c>
      <c r="B341" s="151" t="s">
        <v>571</v>
      </c>
      <c r="C341" s="152"/>
    </row>
    <row r="342" spans="1:3" x14ac:dyDescent="0.25">
      <c r="A342" s="150">
        <v>6989</v>
      </c>
      <c r="B342" s="151" t="s">
        <v>572</v>
      </c>
      <c r="C342" s="152"/>
    </row>
    <row r="343" spans="1:3" x14ac:dyDescent="0.25">
      <c r="A343" s="150">
        <v>699</v>
      </c>
      <c r="B343" s="151" t="s">
        <v>573</v>
      </c>
      <c r="C343" s="152"/>
    </row>
    <row r="344" spans="1:3" x14ac:dyDescent="0.25">
      <c r="A344" s="150">
        <v>70</v>
      </c>
      <c r="B344" s="151" t="s">
        <v>574</v>
      </c>
      <c r="C344" s="152"/>
    </row>
    <row r="345" spans="1:3" x14ac:dyDescent="0.25">
      <c r="A345" s="150">
        <v>701</v>
      </c>
      <c r="B345" s="151" t="s">
        <v>575</v>
      </c>
      <c r="C345" s="152"/>
    </row>
    <row r="346" spans="1:3" x14ac:dyDescent="0.25">
      <c r="A346" s="150">
        <v>7011</v>
      </c>
      <c r="B346" s="151" t="s">
        <v>576</v>
      </c>
      <c r="C346" s="152"/>
    </row>
    <row r="347" spans="1:3" x14ac:dyDescent="0.25">
      <c r="A347" s="150">
        <v>7012</v>
      </c>
      <c r="B347" s="151" t="s">
        <v>577</v>
      </c>
      <c r="C347" s="152"/>
    </row>
    <row r="348" spans="1:3" x14ac:dyDescent="0.25">
      <c r="A348" s="150">
        <v>70124</v>
      </c>
      <c r="B348" s="151" t="s">
        <v>578</v>
      </c>
      <c r="C348" s="152"/>
    </row>
    <row r="349" spans="1:3" x14ac:dyDescent="0.25">
      <c r="A349" s="150">
        <v>701241</v>
      </c>
      <c r="B349" s="151" t="s">
        <v>578</v>
      </c>
      <c r="C349" s="152"/>
    </row>
    <row r="350" spans="1:3" x14ac:dyDescent="0.25">
      <c r="A350" s="150">
        <v>701249</v>
      </c>
      <c r="B350" s="151" t="s">
        <v>579</v>
      </c>
      <c r="C350" s="152"/>
    </row>
    <row r="351" spans="1:3" x14ac:dyDescent="0.25">
      <c r="A351" s="150">
        <v>70128</v>
      </c>
      <c r="B351" s="151" t="s">
        <v>580</v>
      </c>
      <c r="C351" s="152"/>
    </row>
    <row r="352" spans="1:3" x14ac:dyDescent="0.25">
      <c r="A352" s="150">
        <v>7013</v>
      </c>
      <c r="B352" s="151" t="s">
        <v>581</v>
      </c>
      <c r="C352" s="152"/>
    </row>
    <row r="353" spans="1:3" x14ac:dyDescent="0.25">
      <c r="A353" s="150">
        <v>7015</v>
      </c>
      <c r="B353" s="151" t="s">
        <v>582</v>
      </c>
      <c r="C353" s="152"/>
    </row>
    <row r="354" spans="1:3" x14ac:dyDescent="0.25">
      <c r="A354" s="150">
        <v>7018</v>
      </c>
      <c r="B354" s="151" t="s">
        <v>583</v>
      </c>
      <c r="C354" s="152"/>
    </row>
    <row r="355" spans="1:3" x14ac:dyDescent="0.25">
      <c r="A355" s="150">
        <v>702</v>
      </c>
      <c r="B355" s="151" t="s">
        <v>584</v>
      </c>
      <c r="C355" s="152"/>
    </row>
    <row r="356" spans="1:3" x14ac:dyDescent="0.25">
      <c r="A356" s="150">
        <v>7021</v>
      </c>
      <c r="B356" s="151" t="s">
        <v>585</v>
      </c>
      <c r="C356" s="152"/>
    </row>
    <row r="357" spans="1:3" x14ac:dyDescent="0.25">
      <c r="A357" s="150">
        <v>7022</v>
      </c>
      <c r="B357" s="151" t="s">
        <v>586</v>
      </c>
      <c r="C357" s="152"/>
    </row>
    <row r="358" spans="1:3" x14ac:dyDescent="0.25">
      <c r="A358" s="150">
        <v>7023</v>
      </c>
      <c r="B358" s="151" t="s">
        <v>587</v>
      </c>
      <c r="C358" s="152"/>
    </row>
    <row r="359" spans="1:3" x14ac:dyDescent="0.25">
      <c r="A359" s="150">
        <v>7024</v>
      </c>
      <c r="B359" s="151" t="s">
        <v>588</v>
      </c>
      <c r="C359" s="152"/>
    </row>
    <row r="360" spans="1:3" x14ac:dyDescent="0.25">
      <c r="A360" s="150">
        <v>7025</v>
      </c>
      <c r="B360" s="151" t="s">
        <v>589</v>
      </c>
      <c r="C360" s="152"/>
    </row>
    <row r="361" spans="1:3" x14ac:dyDescent="0.25">
      <c r="A361" s="150">
        <v>7028</v>
      </c>
      <c r="B361" s="151" t="s">
        <v>590</v>
      </c>
      <c r="C361" s="152"/>
    </row>
    <row r="362" spans="1:3" x14ac:dyDescent="0.25">
      <c r="A362" s="150">
        <v>703</v>
      </c>
      <c r="B362" s="151" t="s">
        <v>591</v>
      </c>
      <c r="C362" s="152"/>
    </row>
    <row r="363" spans="1:3" x14ac:dyDescent="0.25">
      <c r="A363" s="150">
        <v>7031</v>
      </c>
      <c r="B363" s="151" t="s">
        <v>592</v>
      </c>
      <c r="C363" s="152"/>
    </row>
    <row r="364" spans="1:3" x14ac:dyDescent="0.25">
      <c r="A364" s="150">
        <v>70311</v>
      </c>
      <c r="B364" s="151" t="s">
        <v>593</v>
      </c>
      <c r="C364" s="152"/>
    </row>
    <row r="365" spans="1:3" x14ac:dyDescent="0.25">
      <c r="A365" s="150">
        <v>70312</v>
      </c>
      <c r="B365" s="151" t="s">
        <v>594</v>
      </c>
      <c r="C365" s="152"/>
    </row>
    <row r="366" spans="1:3" ht="26.4" x14ac:dyDescent="0.25">
      <c r="A366" s="150">
        <v>7032</v>
      </c>
      <c r="B366" s="151" t="s">
        <v>595</v>
      </c>
      <c r="C366" s="152"/>
    </row>
    <row r="367" spans="1:3" x14ac:dyDescent="0.25">
      <c r="A367" s="150">
        <v>70321</v>
      </c>
      <c r="B367" s="151" t="s">
        <v>596</v>
      </c>
      <c r="C367" s="152"/>
    </row>
    <row r="368" spans="1:3" x14ac:dyDescent="0.25">
      <c r="A368" s="150">
        <v>70322</v>
      </c>
      <c r="B368" s="151" t="s">
        <v>597</v>
      </c>
      <c r="C368" s="152"/>
    </row>
    <row r="369" spans="1:3" x14ac:dyDescent="0.25">
      <c r="A369" s="150">
        <v>70323</v>
      </c>
      <c r="B369" s="151" t="s">
        <v>598</v>
      </c>
      <c r="C369" s="152"/>
    </row>
    <row r="370" spans="1:3" x14ac:dyDescent="0.25">
      <c r="A370" s="150">
        <v>70328</v>
      </c>
      <c r="B370" s="151" t="s">
        <v>599</v>
      </c>
      <c r="C370" s="152"/>
    </row>
    <row r="371" spans="1:3" x14ac:dyDescent="0.25">
      <c r="A371" s="150">
        <v>7033</v>
      </c>
      <c r="B371" s="151" t="s">
        <v>600</v>
      </c>
      <c r="C371" s="152"/>
    </row>
    <row r="372" spans="1:3" x14ac:dyDescent="0.25">
      <c r="A372" s="150">
        <v>7034</v>
      </c>
      <c r="B372" s="151" t="s">
        <v>601</v>
      </c>
      <c r="C372" s="152"/>
    </row>
    <row r="373" spans="1:3" x14ac:dyDescent="0.25">
      <c r="A373" s="150">
        <v>7035</v>
      </c>
      <c r="B373" s="151" t="s">
        <v>602</v>
      </c>
      <c r="C373" s="152"/>
    </row>
    <row r="374" spans="1:3" x14ac:dyDescent="0.25">
      <c r="A374" s="150">
        <v>7036</v>
      </c>
      <c r="B374" s="151" t="s">
        <v>603</v>
      </c>
      <c r="C374" s="152"/>
    </row>
    <row r="375" spans="1:3" x14ac:dyDescent="0.25">
      <c r="A375" s="150">
        <v>7037</v>
      </c>
      <c r="B375" s="151" t="s">
        <v>604</v>
      </c>
      <c r="C375" s="152"/>
    </row>
    <row r="376" spans="1:3" x14ac:dyDescent="0.25">
      <c r="A376" s="150">
        <v>7038</v>
      </c>
      <c r="B376" s="151" t="s">
        <v>605</v>
      </c>
      <c r="C376" s="152"/>
    </row>
    <row r="377" spans="1:3" x14ac:dyDescent="0.25">
      <c r="A377" s="150">
        <v>70381</v>
      </c>
      <c r="B377" s="151" t="s">
        <v>606</v>
      </c>
      <c r="C377" s="152"/>
    </row>
    <row r="378" spans="1:3" x14ac:dyDescent="0.25">
      <c r="A378" s="150">
        <v>70382</v>
      </c>
      <c r="B378" s="151" t="s">
        <v>607</v>
      </c>
      <c r="C378" s="152"/>
    </row>
    <row r="379" spans="1:3" x14ac:dyDescent="0.25">
      <c r="A379" s="150">
        <v>70388</v>
      </c>
      <c r="B379" s="151" t="s">
        <v>608</v>
      </c>
      <c r="C379" s="152"/>
    </row>
    <row r="380" spans="1:3" x14ac:dyDescent="0.25">
      <c r="A380" s="150">
        <v>70389</v>
      </c>
      <c r="B380" s="151" t="s">
        <v>609</v>
      </c>
      <c r="C380" s="152"/>
    </row>
    <row r="381" spans="1:3" x14ac:dyDescent="0.25">
      <c r="A381" s="150">
        <v>704</v>
      </c>
      <c r="B381" s="151" t="s">
        <v>610</v>
      </c>
      <c r="C381" s="152"/>
    </row>
    <row r="382" spans="1:3" x14ac:dyDescent="0.25">
      <c r="A382" s="150">
        <v>705</v>
      </c>
      <c r="B382" s="151" t="s">
        <v>611</v>
      </c>
      <c r="C382" s="152"/>
    </row>
    <row r="383" spans="1:3" x14ac:dyDescent="0.25">
      <c r="A383" s="150">
        <v>706</v>
      </c>
      <c r="B383" s="151" t="s">
        <v>612</v>
      </c>
      <c r="C383" s="152"/>
    </row>
    <row r="384" spans="1:3" x14ac:dyDescent="0.25">
      <c r="A384" s="150">
        <v>7061</v>
      </c>
      <c r="B384" s="151" t="s">
        <v>613</v>
      </c>
      <c r="C384" s="152"/>
    </row>
    <row r="385" spans="1:3" x14ac:dyDescent="0.25">
      <c r="A385" s="150">
        <v>70611</v>
      </c>
      <c r="B385" s="151" t="s">
        <v>614</v>
      </c>
      <c r="C385" s="152"/>
    </row>
    <row r="386" spans="1:3" x14ac:dyDescent="0.25">
      <c r="A386" s="150">
        <v>70612</v>
      </c>
      <c r="B386" s="151" t="s">
        <v>615</v>
      </c>
      <c r="C386" s="152"/>
    </row>
    <row r="387" spans="1:3" x14ac:dyDescent="0.25">
      <c r="A387" s="150">
        <v>70613</v>
      </c>
      <c r="B387" s="151" t="s">
        <v>616</v>
      </c>
      <c r="C387" s="152"/>
    </row>
    <row r="388" spans="1:3" x14ac:dyDescent="0.25">
      <c r="A388" s="150">
        <v>70619</v>
      </c>
      <c r="B388" s="151" t="s">
        <v>617</v>
      </c>
      <c r="C388" s="152"/>
    </row>
    <row r="389" spans="1:3" x14ac:dyDescent="0.25">
      <c r="A389" s="150">
        <v>7062</v>
      </c>
      <c r="B389" s="151" t="s">
        <v>618</v>
      </c>
      <c r="C389" s="152"/>
    </row>
    <row r="390" spans="1:3" x14ac:dyDescent="0.25">
      <c r="A390" s="150">
        <v>7063</v>
      </c>
      <c r="B390" s="151" t="s">
        <v>619</v>
      </c>
      <c r="C390" s="152"/>
    </row>
    <row r="391" spans="1:3" x14ac:dyDescent="0.25">
      <c r="A391" s="150">
        <v>70631</v>
      </c>
      <c r="B391" s="151" t="s">
        <v>620</v>
      </c>
      <c r="C391" s="152"/>
    </row>
    <row r="392" spans="1:3" x14ac:dyDescent="0.25">
      <c r="A392" s="150">
        <v>70632</v>
      </c>
      <c r="B392" s="151" t="s">
        <v>621</v>
      </c>
      <c r="C392" s="152"/>
    </row>
    <row r="393" spans="1:3" x14ac:dyDescent="0.25">
      <c r="A393" s="150">
        <v>7064</v>
      </c>
      <c r="B393" s="151" t="s">
        <v>622</v>
      </c>
      <c r="C393" s="152"/>
    </row>
    <row r="394" spans="1:3" x14ac:dyDescent="0.25">
      <c r="A394" s="150">
        <v>7065</v>
      </c>
      <c r="B394" s="151" t="s">
        <v>623</v>
      </c>
      <c r="C394" s="152"/>
    </row>
    <row r="395" spans="1:3" x14ac:dyDescent="0.25">
      <c r="A395" s="150">
        <v>7066</v>
      </c>
      <c r="B395" s="151" t="s">
        <v>624</v>
      </c>
      <c r="C395" s="152"/>
    </row>
    <row r="396" spans="1:3" x14ac:dyDescent="0.25">
      <c r="A396" s="150">
        <v>7067</v>
      </c>
      <c r="B396" s="151" t="s">
        <v>625</v>
      </c>
      <c r="C396" s="152"/>
    </row>
    <row r="397" spans="1:3" x14ac:dyDescent="0.25">
      <c r="A397" s="150">
        <v>7068</v>
      </c>
      <c r="B397" s="151" t="s">
        <v>626</v>
      </c>
      <c r="C397" s="152"/>
    </row>
    <row r="398" spans="1:3" x14ac:dyDescent="0.25">
      <c r="A398" s="150">
        <v>70681</v>
      </c>
      <c r="B398" s="151" t="s">
        <v>627</v>
      </c>
      <c r="C398" s="152"/>
    </row>
    <row r="399" spans="1:3" x14ac:dyDescent="0.25">
      <c r="A399" s="150">
        <v>706811</v>
      </c>
      <c r="B399" s="151" t="s">
        <v>628</v>
      </c>
      <c r="C399" s="152"/>
    </row>
    <row r="400" spans="1:3" x14ac:dyDescent="0.25">
      <c r="A400" s="150">
        <v>706812</v>
      </c>
      <c r="B400" s="151" t="s">
        <v>629</v>
      </c>
      <c r="C400" s="152"/>
    </row>
    <row r="401" spans="1:3" x14ac:dyDescent="0.25">
      <c r="A401" s="150">
        <v>7068121</v>
      </c>
      <c r="B401" s="151" t="s">
        <v>629</v>
      </c>
      <c r="C401" s="152"/>
    </row>
    <row r="402" spans="1:3" x14ac:dyDescent="0.25">
      <c r="A402" s="150">
        <v>7068129</v>
      </c>
      <c r="B402" s="151" t="s">
        <v>630</v>
      </c>
      <c r="C402" s="152"/>
    </row>
    <row r="403" spans="1:3" x14ac:dyDescent="0.25">
      <c r="A403" s="150">
        <v>706813</v>
      </c>
      <c r="B403" s="151" t="s">
        <v>631</v>
      </c>
      <c r="C403" s="152"/>
    </row>
    <row r="404" spans="1:3" x14ac:dyDescent="0.25">
      <c r="A404" s="150">
        <v>70682</v>
      </c>
      <c r="B404" s="151" t="s">
        <v>632</v>
      </c>
      <c r="C404" s="152"/>
    </row>
    <row r="405" spans="1:3" x14ac:dyDescent="0.25">
      <c r="A405" s="150">
        <v>70683</v>
      </c>
      <c r="B405" s="151" t="s">
        <v>633</v>
      </c>
      <c r="C405" s="152"/>
    </row>
    <row r="406" spans="1:3" x14ac:dyDescent="0.25">
      <c r="A406" s="150">
        <v>70684</v>
      </c>
      <c r="B406" s="151" t="s">
        <v>634</v>
      </c>
      <c r="C406" s="152"/>
    </row>
    <row r="407" spans="1:3" x14ac:dyDescent="0.25">
      <c r="A407" s="150">
        <v>70688</v>
      </c>
      <c r="B407" s="151" t="s">
        <v>635</v>
      </c>
      <c r="C407" s="152"/>
    </row>
    <row r="408" spans="1:3" x14ac:dyDescent="0.25">
      <c r="A408" s="150">
        <v>707</v>
      </c>
      <c r="B408" s="151" t="s">
        <v>636</v>
      </c>
      <c r="C408" s="152"/>
    </row>
    <row r="409" spans="1:3" x14ac:dyDescent="0.25">
      <c r="A409" s="150">
        <v>7071</v>
      </c>
      <c r="B409" s="151" t="s">
        <v>298</v>
      </c>
      <c r="C409" s="152"/>
    </row>
    <row r="410" spans="1:3" x14ac:dyDescent="0.25">
      <c r="A410" s="150">
        <v>7078</v>
      </c>
      <c r="B410" s="151" t="s">
        <v>299</v>
      </c>
      <c r="C410" s="152"/>
    </row>
    <row r="411" spans="1:3" x14ac:dyDescent="0.25">
      <c r="A411" s="150">
        <v>708</v>
      </c>
      <c r="B411" s="151" t="s">
        <v>637</v>
      </c>
      <c r="C411" s="152"/>
    </row>
    <row r="412" spans="1:3" x14ac:dyDescent="0.25">
      <c r="A412" s="150">
        <v>7081</v>
      </c>
      <c r="B412" s="151" t="s">
        <v>638</v>
      </c>
      <c r="C412" s="152"/>
    </row>
    <row r="413" spans="1:3" x14ac:dyDescent="0.25">
      <c r="A413" s="150">
        <v>7082</v>
      </c>
      <c r="B413" s="151" t="s">
        <v>639</v>
      </c>
      <c r="C413" s="152"/>
    </row>
    <row r="414" spans="1:3" x14ac:dyDescent="0.25">
      <c r="A414" s="150">
        <v>7083</v>
      </c>
      <c r="B414" s="151" t="s">
        <v>640</v>
      </c>
      <c r="C414" s="152"/>
    </row>
    <row r="415" spans="1:3" x14ac:dyDescent="0.25">
      <c r="A415" s="150">
        <v>7084</v>
      </c>
      <c r="B415" s="151" t="s">
        <v>641</v>
      </c>
      <c r="C415" s="152"/>
    </row>
    <row r="416" spans="1:3" x14ac:dyDescent="0.25">
      <c r="A416" s="150">
        <v>70841</v>
      </c>
      <c r="B416" s="151" t="s">
        <v>642</v>
      </c>
      <c r="C416" s="152"/>
    </row>
    <row r="417" spans="1:3" x14ac:dyDescent="0.25">
      <c r="A417" s="150">
        <v>70845</v>
      </c>
      <c r="B417" s="151" t="s">
        <v>515</v>
      </c>
      <c r="C417" s="152"/>
    </row>
    <row r="418" spans="1:3" x14ac:dyDescent="0.25">
      <c r="A418" s="150">
        <v>70846</v>
      </c>
      <c r="B418" s="151" t="s">
        <v>516</v>
      </c>
      <c r="C418" s="152"/>
    </row>
    <row r="419" spans="1:3" x14ac:dyDescent="0.25">
      <c r="A419" s="150">
        <v>70848</v>
      </c>
      <c r="B419" s="151" t="s">
        <v>643</v>
      </c>
      <c r="C419" s="152"/>
    </row>
    <row r="420" spans="1:3" x14ac:dyDescent="0.25">
      <c r="A420" s="150">
        <v>7085</v>
      </c>
      <c r="B420" s="151" t="s">
        <v>644</v>
      </c>
      <c r="C420" s="152"/>
    </row>
    <row r="421" spans="1:3" x14ac:dyDescent="0.25">
      <c r="A421" s="150">
        <v>7086</v>
      </c>
      <c r="B421" s="151" t="s">
        <v>645</v>
      </c>
      <c r="C421" s="152"/>
    </row>
    <row r="422" spans="1:3" x14ac:dyDescent="0.25">
      <c r="A422" s="150">
        <v>7087</v>
      </c>
      <c r="B422" s="151" t="s">
        <v>379</v>
      </c>
      <c r="C422" s="152"/>
    </row>
    <row r="423" spans="1:3" x14ac:dyDescent="0.25">
      <c r="A423" s="150">
        <v>70871</v>
      </c>
      <c r="B423" s="151" t="s">
        <v>646</v>
      </c>
      <c r="C423" s="152"/>
    </row>
    <row r="424" spans="1:3" x14ac:dyDescent="0.25">
      <c r="A424" s="150">
        <v>70872</v>
      </c>
      <c r="B424" s="151" t="s">
        <v>647</v>
      </c>
      <c r="C424" s="152"/>
    </row>
    <row r="425" spans="1:3" x14ac:dyDescent="0.25">
      <c r="A425" s="150">
        <v>70873</v>
      </c>
      <c r="B425" s="151" t="s">
        <v>648</v>
      </c>
      <c r="C425" s="152"/>
    </row>
    <row r="426" spans="1:3" x14ac:dyDescent="0.25">
      <c r="A426" s="150">
        <v>70874</v>
      </c>
      <c r="B426" s="151" t="s">
        <v>649</v>
      </c>
      <c r="C426" s="152"/>
    </row>
    <row r="427" spans="1:3" x14ac:dyDescent="0.25">
      <c r="A427" s="150">
        <v>70875</v>
      </c>
      <c r="B427" s="151" t="s">
        <v>650</v>
      </c>
      <c r="C427" s="152"/>
    </row>
    <row r="428" spans="1:3" x14ac:dyDescent="0.25">
      <c r="A428" s="150">
        <v>70876</v>
      </c>
      <c r="B428" s="151" t="s">
        <v>651</v>
      </c>
      <c r="C428" s="152"/>
    </row>
    <row r="429" spans="1:3" x14ac:dyDescent="0.25">
      <c r="A429" s="150">
        <v>70878</v>
      </c>
      <c r="B429" s="151" t="s">
        <v>652</v>
      </c>
      <c r="C429" s="152"/>
    </row>
    <row r="430" spans="1:3" x14ac:dyDescent="0.25">
      <c r="A430" s="150">
        <v>7088</v>
      </c>
      <c r="B430" s="151" t="s">
        <v>653</v>
      </c>
      <c r="C430" s="152"/>
    </row>
    <row r="431" spans="1:3" x14ac:dyDescent="0.25">
      <c r="A431" s="150">
        <v>709</v>
      </c>
      <c r="B431" s="151" t="s">
        <v>654</v>
      </c>
      <c r="C431" s="152"/>
    </row>
    <row r="432" spans="1:3" x14ac:dyDescent="0.25">
      <c r="A432" s="150">
        <v>7091</v>
      </c>
      <c r="B432" s="151" t="s">
        <v>655</v>
      </c>
      <c r="C432" s="152"/>
    </row>
    <row r="433" spans="1:3" x14ac:dyDescent="0.25">
      <c r="A433" s="150">
        <v>7093</v>
      </c>
      <c r="B433" s="151" t="s">
        <v>656</v>
      </c>
      <c r="C433" s="152"/>
    </row>
    <row r="434" spans="1:3" x14ac:dyDescent="0.25">
      <c r="A434" s="150">
        <v>7094</v>
      </c>
      <c r="B434" s="151" t="s">
        <v>657</v>
      </c>
      <c r="C434" s="152"/>
    </row>
    <row r="435" spans="1:3" x14ac:dyDescent="0.25">
      <c r="A435" s="150">
        <v>7096</v>
      </c>
      <c r="B435" s="151" t="s">
        <v>658</v>
      </c>
      <c r="C435" s="152"/>
    </row>
    <row r="436" spans="1:3" x14ac:dyDescent="0.25">
      <c r="A436" s="150">
        <v>7097</v>
      </c>
      <c r="B436" s="151" t="s">
        <v>659</v>
      </c>
      <c r="C436" s="152"/>
    </row>
    <row r="437" spans="1:3" x14ac:dyDescent="0.25">
      <c r="A437" s="150">
        <v>7098</v>
      </c>
      <c r="B437" s="151" t="s">
        <v>660</v>
      </c>
      <c r="C437" s="152"/>
    </row>
    <row r="438" spans="1:3" x14ac:dyDescent="0.25">
      <c r="A438" s="150">
        <v>71</v>
      </c>
      <c r="B438" s="151" t="s">
        <v>661</v>
      </c>
      <c r="C438" s="152"/>
    </row>
    <row r="439" spans="1:3" x14ac:dyDescent="0.25">
      <c r="A439" s="150">
        <v>713</v>
      </c>
      <c r="B439" s="151" t="s">
        <v>662</v>
      </c>
      <c r="C439" s="152"/>
    </row>
    <row r="440" spans="1:3" x14ac:dyDescent="0.25">
      <c r="A440" s="150">
        <v>7133</v>
      </c>
      <c r="B440" s="151" t="s">
        <v>663</v>
      </c>
      <c r="C440" s="152"/>
    </row>
    <row r="441" spans="1:3" x14ac:dyDescent="0.25">
      <c r="A441" s="150">
        <v>7134</v>
      </c>
      <c r="B441" s="151" t="s">
        <v>664</v>
      </c>
      <c r="C441" s="152"/>
    </row>
    <row r="442" spans="1:3" x14ac:dyDescent="0.25">
      <c r="A442" s="150">
        <v>7135</v>
      </c>
      <c r="B442" s="151" t="s">
        <v>665</v>
      </c>
      <c r="C442" s="152"/>
    </row>
    <row r="443" spans="1:3" x14ac:dyDescent="0.25">
      <c r="A443" s="150">
        <v>71351</v>
      </c>
      <c r="B443" s="151" t="s">
        <v>666</v>
      </c>
      <c r="C443" s="152"/>
    </row>
    <row r="444" spans="1:3" x14ac:dyDescent="0.25">
      <c r="A444" s="150">
        <v>71355</v>
      </c>
      <c r="B444" s="151" t="s">
        <v>667</v>
      </c>
      <c r="C444" s="152"/>
    </row>
    <row r="445" spans="1:3" x14ac:dyDescent="0.25">
      <c r="A445" s="150">
        <v>72</v>
      </c>
      <c r="B445" s="151" t="s">
        <v>668</v>
      </c>
      <c r="C445" s="152"/>
    </row>
    <row r="446" spans="1:3" x14ac:dyDescent="0.25">
      <c r="A446" s="150">
        <v>721</v>
      </c>
      <c r="B446" s="151" t="s">
        <v>669</v>
      </c>
      <c r="C446" s="152"/>
    </row>
    <row r="447" spans="1:3" x14ac:dyDescent="0.25">
      <c r="A447" s="150">
        <v>722</v>
      </c>
      <c r="B447" s="151" t="s">
        <v>670</v>
      </c>
      <c r="C447" s="152"/>
    </row>
    <row r="448" spans="1:3" x14ac:dyDescent="0.25">
      <c r="A448" s="150">
        <v>73</v>
      </c>
      <c r="B448" s="151" t="s">
        <v>671</v>
      </c>
      <c r="C448" s="152"/>
    </row>
    <row r="449" spans="1:3" x14ac:dyDescent="0.25">
      <c r="A449" s="150">
        <v>731</v>
      </c>
      <c r="B449" s="151" t="s">
        <v>672</v>
      </c>
      <c r="C449" s="152"/>
    </row>
    <row r="450" spans="1:3" x14ac:dyDescent="0.25">
      <c r="A450" s="150">
        <v>7311</v>
      </c>
      <c r="B450" s="151" t="s">
        <v>673</v>
      </c>
      <c r="C450" s="152"/>
    </row>
    <row r="451" spans="1:3" x14ac:dyDescent="0.25">
      <c r="A451" s="150">
        <v>73111</v>
      </c>
      <c r="B451" s="151" t="s">
        <v>674</v>
      </c>
      <c r="C451" s="152"/>
    </row>
    <row r="452" spans="1:3" x14ac:dyDescent="0.25">
      <c r="A452" s="150">
        <v>73112</v>
      </c>
      <c r="B452" s="151" t="s">
        <v>675</v>
      </c>
      <c r="C452" s="152"/>
    </row>
    <row r="453" spans="1:3" x14ac:dyDescent="0.25">
      <c r="A453" s="150">
        <v>73113</v>
      </c>
      <c r="B453" s="151" t="s">
        <v>676</v>
      </c>
      <c r="C453" s="152"/>
    </row>
    <row r="454" spans="1:3" x14ac:dyDescent="0.25">
      <c r="A454" s="150">
        <v>73114</v>
      </c>
      <c r="B454" s="151" t="s">
        <v>677</v>
      </c>
      <c r="C454" s="152"/>
    </row>
    <row r="455" spans="1:3" x14ac:dyDescent="0.25">
      <c r="A455" s="150">
        <v>7318</v>
      </c>
      <c r="B455" s="151" t="s">
        <v>678</v>
      </c>
      <c r="C455" s="152"/>
    </row>
    <row r="456" spans="1:3" x14ac:dyDescent="0.25">
      <c r="A456" s="150">
        <v>732</v>
      </c>
      <c r="B456" s="151" t="s">
        <v>679</v>
      </c>
      <c r="C456" s="152"/>
    </row>
    <row r="457" spans="1:3" x14ac:dyDescent="0.25">
      <c r="A457" s="150">
        <v>7321</v>
      </c>
      <c r="B457" s="151" t="s">
        <v>680</v>
      </c>
      <c r="C457" s="152"/>
    </row>
    <row r="458" spans="1:3" x14ac:dyDescent="0.25">
      <c r="A458" s="150">
        <v>7322</v>
      </c>
      <c r="B458" s="151" t="s">
        <v>681</v>
      </c>
      <c r="C458" s="152"/>
    </row>
    <row r="459" spans="1:3" x14ac:dyDescent="0.25">
      <c r="A459" s="150">
        <v>7323</v>
      </c>
      <c r="B459" s="151" t="s">
        <v>682</v>
      </c>
      <c r="C459" s="152"/>
    </row>
    <row r="460" spans="1:3" x14ac:dyDescent="0.25">
      <c r="A460" s="150">
        <v>7324</v>
      </c>
      <c r="B460" s="151" t="s">
        <v>683</v>
      </c>
      <c r="C460" s="152"/>
    </row>
    <row r="461" spans="1:3" x14ac:dyDescent="0.25">
      <c r="A461" s="150">
        <v>7325</v>
      </c>
      <c r="B461" s="151" t="s">
        <v>684</v>
      </c>
      <c r="C461" s="152"/>
    </row>
    <row r="462" spans="1:3" x14ac:dyDescent="0.25">
      <c r="A462" s="150">
        <v>7326</v>
      </c>
      <c r="B462" s="151" t="s">
        <v>685</v>
      </c>
      <c r="C462" s="152"/>
    </row>
    <row r="463" spans="1:3" x14ac:dyDescent="0.25">
      <c r="A463" s="150">
        <v>7328</v>
      </c>
      <c r="B463" s="151" t="s">
        <v>686</v>
      </c>
      <c r="C463" s="152"/>
    </row>
    <row r="464" spans="1:3" x14ac:dyDescent="0.25">
      <c r="A464" s="150">
        <v>733</v>
      </c>
      <c r="B464" s="151" t="s">
        <v>687</v>
      </c>
      <c r="C464" s="152"/>
    </row>
    <row r="465" spans="1:3" x14ac:dyDescent="0.25">
      <c r="A465" s="150">
        <v>7331</v>
      </c>
      <c r="B465" s="151" t="s">
        <v>688</v>
      </c>
      <c r="C465" s="152"/>
    </row>
    <row r="466" spans="1:3" x14ac:dyDescent="0.25">
      <c r="A466" s="150">
        <v>7332</v>
      </c>
      <c r="B466" s="151" t="s">
        <v>689</v>
      </c>
      <c r="C466" s="152"/>
    </row>
    <row r="467" spans="1:3" x14ac:dyDescent="0.25">
      <c r="A467" s="150">
        <v>7333</v>
      </c>
      <c r="B467" s="151" t="s">
        <v>690</v>
      </c>
      <c r="C467" s="152"/>
    </row>
    <row r="468" spans="1:3" x14ac:dyDescent="0.25">
      <c r="A468" s="150">
        <v>7334</v>
      </c>
      <c r="B468" s="151" t="s">
        <v>691</v>
      </c>
      <c r="C468" s="152"/>
    </row>
    <row r="469" spans="1:3" x14ac:dyDescent="0.25">
      <c r="A469" s="150">
        <v>7336</v>
      </c>
      <c r="B469" s="151" t="s">
        <v>692</v>
      </c>
      <c r="C469" s="152"/>
    </row>
    <row r="470" spans="1:3" x14ac:dyDescent="0.25">
      <c r="A470" s="150">
        <v>7337</v>
      </c>
      <c r="B470" s="151" t="s">
        <v>693</v>
      </c>
      <c r="C470" s="152"/>
    </row>
    <row r="471" spans="1:3" x14ac:dyDescent="0.25">
      <c r="A471" s="150">
        <v>7338</v>
      </c>
      <c r="B471" s="151" t="s">
        <v>694</v>
      </c>
      <c r="C471" s="152"/>
    </row>
    <row r="472" spans="1:3" x14ac:dyDescent="0.25">
      <c r="A472" s="150">
        <v>734</v>
      </c>
      <c r="B472" s="151" t="s">
        <v>695</v>
      </c>
      <c r="C472" s="152"/>
    </row>
    <row r="473" spans="1:3" x14ac:dyDescent="0.25">
      <c r="A473" s="150">
        <v>7342</v>
      </c>
      <c r="B473" s="151" t="s">
        <v>397</v>
      </c>
      <c r="C473" s="152"/>
    </row>
    <row r="474" spans="1:3" x14ac:dyDescent="0.25">
      <c r="A474" s="150">
        <v>7343</v>
      </c>
      <c r="B474" s="151" t="s">
        <v>696</v>
      </c>
      <c r="C474" s="152"/>
    </row>
    <row r="475" spans="1:3" x14ac:dyDescent="0.25">
      <c r="A475" s="150">
        <v>7344</v>
      </c>
      <c r="B475" s="151" t="s">
        <v>697</v>
      </c>
      <c r="C475" s="152"/>
    </row>
    <row r="476" spans="1:3" x14ac:dyDescent="0.25">
      <c r="A476" s="150">
        <v>7345</v>
      </c>
      <c r="B476" s="151" t="s">
        <v>698</v>
      </c>
      <c r="C476" s="152"/>
    </row>
    <row r="477" spans="1:3" x14ac:dyDescent="0.25">
      <c r="A477" s="150">
        <v>735</v>
      </c>
      <c r="B477" s="151" t="s">
        <v>699</v>
      </c>
      <c r="C477" s="152"/>
    </row>
    <row r="478" spans="1:3" x14ac:dyDescent="0.25">
      <c r="A478" s="150">
        <v>7351</v>
      </c>
      <c r="B478" s="151" t="s">
        <v>700</v>
      </c>
      <c r="C478" s="152"/>
    </row>
    <row r="479" spans="1:3" x14ac:dyDescent="0.25">
      <c r="A479" s="150">
        <v>7353</v>
      </c>
      <c r="B479" s="151" t="s">
        <v>701</v>
      </c>
      <c r="C479" s="152"/>
    </row>
    <row r="480" spans="1:3" x14ac:dyDescent="0.25">
      <c r="A480" s="150">
        <v>7354</v>
      </c>
      <c r="B480" s="151" t="s">
        <v>702</v>
      </c>
      <c r="C480" s="152"/>
    </row>
    <row r="481" spans="1:3" x14ac:dyDescent="0.25">
      <c r="A481" s="150">
        <v>7355</v>
      </c>
      <c r="B481" s="151" t="s">
        <v>703</v>
      </c>
      <c r="C481" s="152"/>
    </row>
    <row r="482" spans="1:3" x14ac:dyDescent="0.25">
      <c r="A482" s="150">
        <v>736</v>
      </c>
      <c r="B482" s="151" t="s">
        <v>704</v>
      </c>
      <c r="C482" s="152"/>
    </row>
    <row r="483" spans="1:3" x14ac:dyDescent="0.25">
      <c r="A483" s="150">
        <v>7362</v>
      </c>
      <c r="B483" s="151" t="s">
        <v>705</v>
      </c>
      <c r="C483" s="152"/>
    </row>
    <row r="484" spans="1:3" x14ac:dyDescent="0.25">
      <c r="A484" s="150">
        <v>7363</v>
      </c>
      <c r="B484" s="151" t="s">
        <v>706</v>
      </c>
      <c r="C484" s="152"/>
    </row>
    <row r="485" spans="1:3" x14ac:dyDescent="0.25">
      <c r="A485" s="150">
        <v>7364</v>
      </c>
      <c r="B485" s="151" t="s">
        <v>707</v>
      </c>
      <c r="C485" s="152"/>
    </row>
    <row r="486" spans="1:3" x14ac:dyDescent="0.25">
      <c r="A486" s="150">
        <v>7366</v>
      </c>
      <c r="B486" s="151" t="s">
        <v>708</v>
      </c>
      <c r="C486" s="152"/>
    </row>
    <row r="487" spans="1:3" x14ac:dyDescent="0.25">
      <c r="A487" s="150">
        <v>7368</v>
      </c>
      <c r="B487" s="151" t="s">
        <v>709</v>
      </c>
      <c r="C487" s="152"/>
    </row>
    <row r="488" spans="1:3" x14ac:dyDescent="0.25">
      <c r="A488" s="150">
        <v>737</v>
      </c>
      <c r="B488" s="151" t="s">
        <v>710</v>
      </c>
      <c r="C488" s="152"/>
    </row>
    <row r="489" spans="1:3" x14ac:dyDescent="0.25">
      <c r="A489" s="150">
        <v>7371</v>
      </c>
      <c r="B489" s="151" t="s">
        <v>711</v>
      </c>
      <c r="C489" s="152"/>
    </row>
    <row r="490" spans="1:3" x14ac:dyDescent="0.25">
      <c r="A490" s="150">
        <v>7372</v>
      </c>
      <c r="B490" s="151" t="s">
        <v>712</v>
      </c>
      <c r="C490" s="152"/>
    </row>
    <row r="491" spans="1:3" x14ac:dyDescent="0.25">
      <c r="A491" s="150">
        <v>7373</v>
      </c>
      <c r="B491" s="151" t="s">
        <v>713</v>
      </c>
      <c r="C491" s="152"/>
    </row>
    <row r="492" spans="1:3" x14ac:dyDescent="0.25">
      <c r="A492" s="150">
        <v>7378</v>
      </c>
      <c r="B492" s="151" t="s">
        <v>714</v>
      </c>
      <c r="C492" s="152"/>
    </row>
    <row r="493" spans="1:3" x14ac:dyDescent="0.25">
      <c r="A493" s="150">
        <v>738</v>
      </c>
      <c r="B493" s="151" t="s">
        <v>694</v>
      </c>
      <c r="C493" s="152"/>
    </row>
    <row r="494" spans="1:3" x14ac:dyDescent="0.25">
      <c r="A494" s="150">
        <v>7381</v>
      </c>
      <c r="B494" s="151" t="s">
        <v>715</v>
      </c>
      <c r="C494" s="152"/>
    </row>
    <row r="495" spans="1:3" x14ac:dyDescent="0.25">
      <c r="A495" s="150">
        <v>7382</v>
      </c>
      <c r="B495" s="151" t="s">
        <v>716</v>
      </c>
      <c r="C495" s="152"/>
    </row>
    <row r="496" spans="1:3" x14ac:dyDescent="0.25">
      <c r="A496" s="150">
        <v>7388</v>
      </c>
      <c r="B496" s="151" t="s">
        <v>717</v>
      </c>
      <c r="C496" s="152"/>
    </row>
    <row r="497" spans="1:3" x14ac:dyDescent="0.25">
      <c r="A497" s="150">
        <v>739</v>
      </c>
      <c r="B497" s="151" t="s">
        <v>718</v>
      </c>
      <c r="C497" s="152"/>
    </row>
    <row r="498" spans="1:3" x14ac:dyDescent="0.25">
      <c r="A498" s="150">
        <v>7391</v>
      </c>
      <c r="B498" s="151" t="s">
        <v>719</v>
      </c>
      <c r="C498" s="152"/>
    </row>
    <row r="499" spans="1:3" x14ac:dyDescent="0.25">
      <c r="A499" s="150">
        <v>73911</v>
      </c>
      <c r="B499" s="151" t="s">
        <v>720</v>
      </c>
      <c r="C499" s="152"/>
    </row>
    <row r="500" spans="1:3" x14ac:dyDescent="0.25">
      <c r="A500" s="150">
        <v>739113</v>
      </c>
      <c r="B500" s="151" t="s">
        <v>721</v>
      </c>
      <c r="C500" s="152"/>
    </row>
    <row r="501" spans="1:3" x14ac:dyDescent="0.25">
      <c r="A501" s="150">
        <v>739115</v>
      </c>
      <c r="B501" s="151" t="s">
        <v>722</v>
      </c>
      <c r="C501" s="152"/>
    </row>
    <row r="502" spans="1:3" x14ac:dyDescent="0.25">
      <c r="A502" s="150">
        <v>739117</v>
      </c>
      <c r="B502" s="151" t="s">
        <v>723</v>
      </c>
      <c r="C502" s="152"/>
    </row>
    <row r="503" spans="1:3" x14ac:dyDescent="0.25">
      <c r="A503" s="150">
        <v>7391171</v>
      </c>
      <c r="B503" s="151" t="s">
        <v>724</v>
      </c>
      <c r="C503" s="152"/>
    </row>
    <row r="504" spans="1:3" x14ac:dyDescent="0.25">
      <c r="A504" s="150">
        <v>7391172</v>
      </c>
      <c r="B504" s="151" t="s">
        <v>725</v>
      </c>
      <c r="C504" s="152"/>
    </row>
    <row r="505" spans="1:3" x14ac:dyDescent="0.25">
      <c r="A505" s="150">
        <v>7391173</v>
      </c>
      <c r="B505" s="151" t="s">
        <v>726</v>
      </c>
      <c r="C505" s="152"/>
    </row>
    <row r="506" spans="1:3" x14ac:dyDescent="0.25">
      <c r="A506" s="150">
        <v>7391178</v>
      </c>
      <c r="B506" s="151" t="s">
        <v>727</v>
      </c>
      <c r="C506" s="152"/>
    </row>
    <row r="507" spans="1:3" x14ac:dyDescent="0.25">
      <c r="A507" s="150">
        <v>739118</v>
      </c>
      <c r="B507" s="151" t="s">
        <v>686</v>
      </c>
      <c r="C507" s="152"/>
    </row>
    <row r="508" spans="1:3" x14ac:dyDescent="0.25">
      <c r="A508" s="150">
        <v>73918</v>
      </c>
      <c r="B508" s="151" t="s">
        <v>728</v>
      </c>
      <c r="C508" s="152"/>
    </row>
    <row r="509" spans="1:3" x14ac:dyDescent="0.25">
      <c r="A509" s="150">
        <v>7392</v>
      </c>
      <c r="B509" s="151" t="s">
        <v>729</v>
      </c>
      <c r="C509" s="152"/>
    </row>
    <row r="510" spans="1:3" x14ac:dyDescent="0.25">
      <c r="A510" s="150">
        <v>73921</v>
      </c>
      <c r="B510" s="151" t="s">
        <v>730</v>
      </c>
      <c r="C510" s="152"/>
    </row>
    <row r="511" spans="1:3" x14ac:dyDescent="0.25">
      <c r="A511" s="150">
        <v>73922</v>
      </c>
      <c r="B511" s="151" t="s">
        <v>681</v>
      </c>
      <c r="C511" s="152"/>
    </row>
    <row r="512" spans="1:3" x14ac:dyDescent="0.25">
      <c r="A512" s="150">
        <v>73923</v>
      </c>
      <c r="B512" s="151" t="s">
        <v>731</v>
      </c>
      <c r="C512" s="152"/>
    </row>
    <row r="513" spans="1:3" x14ac:dyDescent="0.25">
      <c r="A513" s="150">
        <v>73924</v>
      </c>
      <c r="B513" s="151" t="s">
        <v>683</v>
      </c>
      <c r="C513" s="152"/>
    </row>
    <row r="514" spans="1:3" x14ac:dyDescent="0.25">
      <c r="A514" s="150">
        <v>73925</v>
      </c>
      <c r="B514" s="151" t="s">
        <v>684</v>
      </c>
      <c r="C514" s="152"/>
    </row>
    <row r="515" spans="1:3" x14ac:dyDescent="0.25">
      <c r="A515" s="150">
        <v>73926</v>
      </c>
      <c r="B515" s="151" t="s">
        <v>732</v>
      </c>
      <c r="C515" s="152"/>
    </row>
    <row r="516" spans="1:3" x14ac:dyDescent="0.25">
      <c r="A516" s="150">
        <v>73928</v>
      </c>
      <c r="B516" s="151" t="s">
        <v>334</v>
      </c>
      <c r="C516" s="152"/>
    </row>
    <row r="517" spans="1:3" x14ac:dyDescent="0.25">
      <c r="A517" s="150">
        <v>7394</v>
      </c>
      <c r="B517" s="151" t="s">
        <v>733</v>
      </c>
      <c r="C517" s="152"/>
    </row>
    <row r="518" spans="1:3" x14ac:dyDescent="0.25">
      <c r="A518" s="150">
        <v>73942</v>
      </c>
      <c r="B518" s="151" t="s">
        <v>734</v>
      </c>
      <c r="C518" s="152"/>
    </row>
    <row r="519" spans="1:3" x14ac:dyDescent="0.25">
      <c r="A519" s="150">
        <v>73945</v>
      </c>
      <c r="B519" s="151" t="s">
        <v>735</v>
      </c>
      <c r="C519" s="152"/>
    </row>
    <row r="520" spans="1:3" x14ac:dyDescent="0.25">
      <c r="A520" s="150">
        <v>7396</v>
      </c>
      <c r="B520" s="151" t="s">
        <v>736</v>
      </c>
      <c r="C520" s="152"/>
    </row>
    <row r="521" spans="1:3" x14ac:dyDescent="0.25">
      <c r="A521" s="150">
        <v>7398</v>
      </c>
      <c r="B521" s="151" t="s">
        <v>737</v>
      </c>
      <c r="C521" s="152"/>
    </row>
    <row r="522" spans="1:3" x14ac:dyDescent="0.25">
      <c r="A522" s="150">
        <v>74</v>
      </c>
      <c r="B522" s="151" t="s">
        <v>738</v>
      </c>
      <c r="C522" s="152"/>
    </row>
    <row r="523" spans="1:3" x14ac:dyDescent="0.25">
      <c r="A523" s="150">
        <v>741</v>
      </c>
      <c r="B523" s="151" t="s">
        <v>739</v>
      </c>
      <c r="C523" s="152"/>
    </row>
    <row r="524" spans="1:3" x14ac:dyDescent="0.25">
      <c r="A524" s="150">
        <v>7411</v>
      </c>
      <c r="B524" s="151" t="s">
        <v>740</v>
      </c>
      <c r="C524" s="152"/>
    </row>
    <row r="525" spans="1:3" x14ac:dyDescent="0.25">
      <c r="A525" s="150">
        <v>7412</v>
      </c>
      <c r="B525" s="151" t="s">
        <v>741</v>
      </c>
      <c r="C525" s="152"/>
    </row>
    <row r="526" spans="1:3" x14ac:dyDescent="0.25">
      <c r="A526" s="150">
        <v>74121</v>
      </c>
      <c r="B526" s="151" t="s">
        <v>742</v>
      </c>
      <c r="C526" s="152"/>
    </row>
    <row r="527" spans="1:3" x14ac:dyDescent="0.25">
      <c r="A527" s="150">
        <v>74123</v>
      </c>
      <c r="B527" s="151" t="s">
        <v>743</v>
      </c>
      <c r="C527" s="152"/>
    </row>
    <row r="528" spans="1:3" x14ac:dyDescent="0.25">
      <c r="A528" s="150">
        <v>74124</v>
      </c>
      <c r="B528" s="151" t="s">
        <v>744</v>
      </c>
      <c r="C528" s="152"/>
    </row>
    <row r="529" spans="1:3" x14ac:dyDescent="0.25">
      <c r="A529" s="150">
        <v>74126</v>
      </c>
      <c r="B529" s="151" t="s">
        <v>745</v>
      </c>
      <c r="C529" s="152"/>
    </row>
    <row r="530" spans="1:3" x14ac:dyDescent="0.25">
      <c r="A530" s="150">
        <v>74127</v>
      </c>
      <c r="B530" s="151" t="s">
        <v>746</v>
      </c>
      <c r="C530" s="152"/>
    </row>
    <row r="531" spans="1:3" x14ac:dyDescent="0.25">
      <c r="A531" s="150">
        <v>7413</v>
      </c>
      <c r="B531" s="151" t="s">
        <v>747</v>
      </c>
      <c r="C531" s="152"/>
    </row>
    <row r="532" spans="1:3" x14ac:dyDescent="0.25">
      <c r="A532" s="150">
        <v>7419</v>
      </c>
      <c r="B532" s="151" t="s">
        <v>748</v>
      </c>
      <c r="C532" s="152"/>
    </row>
    <row r="533" spans="1:3" x14ac:dyDescent="0.25">
      <c r="A533" s="150">
        <v>742</v>
      </c>
      <c r="B533" s="151" t="s">
        <v>749</v>
      </c>
      <c r="C533" s="152"/>
    </row>
    <row r="534" spans="1:3" x14ac:dyDescent="0.25">
      <c r="A534" s="150">
        <v>744</v>
      </c>
      <c r="B534" s="151" t="s">
        <v>750</v>
      </c>
      <c r="C534" s="152"/>
    </row>
    <row r="535" spans="1:3" x14ac:dyDescent="0.25">
      <c r="A535" s="150">
        <v>745</v>
      </c>
      <c r="B535" s="151" t="s">
        <v>751</v>
      </c>
      <c r="C535" s="152"/>
    </row>
    <row r="536" spans="1:3" x14ac:dyDescent="0.25">
      <c r="A536" s="150">
        <v>746</v>
      </c>
      <c r="B536" s="151" t="s">
        <v>752</v>
      </c>
      <c r="C536" s="152"/>
    </row>
    <row r="537" spans="1:3" x14ac:dyDescent="0.25">
      <c r="A537" s="150">
        <v>747</v>
      </c>
      <c r="B537" s="151" t="s">
        <v>753</v>
      </c>
      <c r="C537" s="152"/>
    </row>
    <row r="538" spans="1:3" x14ac:dyDescent="0.25">
      <c r="A538" s="150">
        <v>7471</v>
      </c>
      <c r="B538" s="151" t="s">
        <v>491</v>
      </c>
      <c r="C538" s="152"/>
    </row>
    <row r="539" spans="1:3" x14ac:dyDescent="0.25">
      <c r="A539" s="150">
        <v>74711</v>
      </c>
      <c r="B539" s="151" t="s">
        <v>754</v>
      </c>
      <c r="C539" s="152"/>
    </row>
    <row r="540" spans="1:3" x14ac:dyDescent="0.25">
      <c r="A540" s="150">
        <v>74712</v>
      </c>
      <c r="B540" s="151" t="s">
        <v>430</v>
      </c>
      <c r="C540" s="152"/>
    </row>
    <row r="541" spans="1:3" x14ac:dyDescent="0.25">
      <c r="A541" s="150">
        <v>74718</v>
      </c>
      <c r="B541" s="151" t="s">
        <v>334</v>
      </c>
      <c r="C541" s="152"/>
    </row>
    <row r="542" spans="1:3" x14ac:dyDescent="0.25">
      <c r="A542" s="150">
        <v>7472</v>
      </c>
      <c r="B542" s="151" t="s">
        <v>492</v>
      </c>
      <c r="C542" s="152"/>
    </row>
    <row r="543" spans="1:3" x14ac:dyDescent="0.25">
      <c r="A543" s="150">
        <v>7473</v>
      </c>
      <c r="B543" s="151" t="s">
        <v>493</v>
      </c>
      <c r="C543" s="152"/>
    </row>
    <row r="544" spans="1:3" x14ac:dyDescent="0.25">
      <c r="A544" s="150">
        <v>7474</v>
      </c>
      <c r="B544" s="151" t="s">
        <v>494</v>
      </c>
      <c r="C544" s="152"/>
    </row>
    <row r="545" spans="1:3" x14ac:dyDescent="0.25">
      <c r="A545" s="150">
        <v>74741</v>
      </c>
      <c r="B545" s="151" t="s">
        <v>495</v>
      </c>
      <c r="C545" s="152"/>
    </row>
    <row r="546" spans="1:3" x14ac:dyDescent="0.25">
      <c r="A546" s="150">
        <v>74748</v>
      </c>
      <c r="B546" s="151" t="s">
        <v>496</v>
      </c>
      <c r="C546" s="152"/>
    </row>
    <row r="547" spans="1:3" x14ac:dyDescent="0.25">
      <c r="A547" s="150">
        <v>7475</v>
      </c>
      <c r="B547" s="151" t="s">
        <v>497</v>
      </c>
      <c r="C547" s="152"/>
    </row>
    <row r="548" spans="1:3" x14ac:dyDescent="0.25">
      <c r="A548" s="150">
        <v>74751</v>
      </c>
      <c r="B548" s="151" t="s">
        <v>498</v>
      </c>
      <c r="C548" s="152"/>
    </row>
    <row r="549" spans="1:3" x14ac:dyDescent="0.25">
      <c r="A549" s="150">
        <v>74758</v>
      </c>
      <c r="B549" s="151" t="s">
        <v>499</v>
      </c>
      <c r="C549" s="152"/>
    </row>
    <row r="550" spans="1:3" x14ac:dyDescent="0.25">
      <c r="A550" s="150">
        <v>7476</v>
      </c>
      <c r="B550" s="151" t="s">
        <v>755</v>
      </c>
      <c r="C550" s="152"/>
    </row>
    <row r="551" spans="1:3" x14ac:dyDescent="0.25">
      <c r="A551" s="150">
        <v>7477</v>
      </c>
      <c r="B551" s="151" t="s">
        <v>756</v>
      </c>
      <c r="C551" s="152"/>
    </row>
    <row r="552" spans="1:3" x14ac:dyDescent="0.25">
      <c r="A552" s="150">
        <v>7478</v>
      </c>
      <c r="B552" s="151" t="s">
        <v>757</v>
      </c>
      <c r="C552" s="152"/>
    </row>
    <row r="553" spans="1:3" x14ac:dyDescent="0.25">
      <c r="A553" s="150">
        <v>748</v>
      </c>
      <c r="B553" s="151" t="s">
        <v>758</v>
      </c>
      <c r="C553" s="152"/>
    </row>
    <row r="554" spans="1:3" x14ac:dyDescent="0.25">
      <c r="A554" s="150">
        <v>7481</v>
      </c>
      <c r="B554" s="151" t="s">
        <v>759</v>
      </c>
      <c r="C554" s="152"/>
    </row>
    <row r="555" spans="1:3" ht="26.4" x14ac:dyDescent="0.25">
      <c r="A555" s="150">
        <v>7482</v>
      </c>
      <c r="B555" s="151" t="s">
        <v>760</v>
      </c>
      <c r="C555" s="152"/>
    </row>
    <row r="556" spans="1:3" x14ac:dyDescent="0.25">
      <c r="A556" s="150">
        <v>7483</v>
      </c>
      <c r="B556" s="151" t="s">
        <v>761</v>
      </c>
      <c r="C556" s="152"/>
    </row>
    <row r="557" spans="1:3" x14ac:dyDescent="0.25">
      <c r="A557" s="150">
        <v>74831</v>
      </c>
      <c r="B557" s="151" t="s">
        <v>762</v>
      </c>
      <c r="C557" s="152"/>
    </row>
    <row r="558" spans="1:3" x14ac:dyDescent="0.25">
      <c r="A558" s="150">
        <v>748311</v>
      </c>
      <c r="B558" s="151" t="s">
        <v>763</v>
      </c>
      <c r="C558" s="152"/>
    </row>
    <row r="559" spans="1:3" x14ac:dyDescent="0.25">
      <c r="A559" s="150">
        <v>748313</v>
      </c>
      <c r="B559" s="151" t="s">
        <v>764</v>
      </c>
      <c r="C559" s="152"/>
    </row>
    <row r="560" spans="1:3" x14ac:dyDescent="0.25">
      <c r="A560" s="150">
        <v>748314</v>
      </c>
      <c r="B560" s="151" t="s">
        <v>765</v>
      </c>
      <c r="C560" s="152"/>
    </row>
    <row r="561" spans="1:3" x14ac:dyDescent="0.25">
      <c r="A561" s="150">
        <v>74832</v>
      </c>
      <c r="B561" s="151" t="s">
        <v>766</v>
      </c>
      <c r="C561" s="152"/>
    </row>
    <row r="562" spans="1:3" x14ac:dyDescent="0.25">
      <c r="A562" s="150">
        <v>74833</v>
      </c>
      <c r="B562" s="151" t="s">
        <v>767</v>
      </c>
      <c r="C562" s="152"/>
    </row>
    <row r="563" spans="1:3" x14ac:dyDescent="0.25">
      <c r="A563" s="150">
        <v>74834</v>
      </c>
      <c r="B563" s="151" t="s">
        <v>768</v>
      </c>
      <c r="C563" s="152"/>
    </row>
    <row r="564" spans="1:3" x14ac:dyDescent="0.25">
      <c r="A564" s="150">
        <v>74835</v>
      </c>
      <c r="B564" s="151" t="s">
        <v>769</v>
      </c>
      <c r="C564" s="152"/>
    </row>
    <row r="565" spans="1:3" x14ac:dyDescent="0.25">
      <c r="A565" s="150">
        <v>74836</v>
      </c>
      <c r="B565" s="151" t="s">
        <v>770</v>
      </c>
      <c r="C565" s="152"/>
    </row>
    <row r="566" spans="1:3" x14ac:dyDescent="0.25">
      <c r="A566" s="150">
        <v>74837</v>
      </c>
      <c r="B566" s="151" t="s">
        <v>771</v>
      </c>
      <c r="C566" s="152"/>
    </row>
    <row r="567" spans="1:3" x14ac:dyDescent="0.25">
      <c r="A567" s="150">
        <v>748371</v>
      </c>
      <c r="B567" s="151" t="s">
        <v>772</v>
      </c>
      <c r="C567" s="152"/>
    </row>
    <row r="568" spans="1:3" x14ac:dyDescent="0.25">
      <c r="A568" s="150">
        <v>748372</v>
      </c>
      <c r="B568" s="151" t="s">
        <v>773</v>
      </c>
      <c r="C568" s="152"/>
    </row>
    <row r="569" spans="1:3" x14ac:dyDescent="0.25">
      <c r="A569" s="150">
        <v>74838</v>
      </c>
      <c r="B569" s="151" t="s">
        <v>774</v>
      </c>
      <c r="C569" s="152"/>
    </row>
    <row r="570" spans="1:3" x14ac:dyDescent="0.25">
      <c r="A570" s="150">
        <v>7484</v>
      </c>
      <c r="B570" s="151" t="s">
        <v>775</v>
      </c>
      <c r="C570" s="152"/>
    </row>
    <row r="571" spans="1:3" x14ac:dyDescent="0.25">
      <c r="A571" s="150">
        <v>7485</v>
      </c>
      <c r="B571" s="151" t="s">
        <v>776</v>
      </c>
      <c r="C571" s="152"/>
    </row>
    <row r="572" spans="1:3" x14ac:dyDescent="0.25">
      <c r="A572" s="150">
        <v>7487</v>
      </c>
      <c r="B572" s="151" t="s">
        <v>777</v>
      </c>
      <c r="C572" s="152"/>
    </row>
    <row r="573" spans="1:3" x14ac:dyDescent="0.25">
      <c r="A573" s="150">
        <v>74871</v>
      </c>
      <c r="B573" s="151" t="s">
        <v>778</v>
      </c>
      <c r="C573" s="152"/>
    </row>
    <row r="574" spans="1:3" x14ac:dyDescent="0.25">
      <c r="A574" s="150">
        <v>748711</v>
      </c>
      <c r="B574" s="151" t="s">
        <v>779</v>
      </c>
      <c r="C574" s="152"/>
    </row>
    <row r="575" spans="1:3" x14ac:dyDescent="0.25">
      <c r="A575" s="150">
        <v>748719</v>
      </c>
      <c r="B575" s="151" t="s">
        <v>780</v>
      </c>
      <c r="C575" s="152"/>
    </row>
    <row r="576" spans="1:3" x14ac:dyDescent="0.25">
      <c r="A576" s="150">
        <v>74872</v>
      </c>
      <c r="B576" s="151" t="s">
        <v>781</v>
      </c>
      <c r="C576" s="152"/>
    </row>
    <row r="577" spans="1:3" x14ac:dyDescent="0.25">
      <c r="A577" s="150">
        <v>748721</v>
      </c>
      <c r="B577" s="151" t="s">
        <v>782</v>
      </c>
      <c r="C577" s="152"/>
    </row>
    <row r="578" spans="1:3" x14ac:dyDescent="0.25">
      <c r="A578" s="150">
        <v>748729</v>
      </c>
      <c r="B578" s="151" t="s">
        <v>783</v>
      </c>
      <c r="C578" s="152"/>
    </row>
    <row r="579" spans="1:3" x14ac:dyDescent="0.25">
      <c r="A579" s="150">
        <v>7488</v>
      </c>
      <c r="B579" s="151" t="s">
        <v>758</v>
      </c>
      <c r="C579" s="152"/>
    </row>
    <row r="580" spans="1:3" x14ac:dyDescent="0.25">
      <c r="A580" s="150">
        <v>7489</v>
      </c>
      <c r="B580" s="151" t="s">
        <v>784</v>
      </c>
      <c r="C580" s="152"/>
    </row>
    <row r="581" spans="1:3" x14ac:dyDescent="0.25">
      <c r="A581" s="150">
        <v>75</v>
      </c>
      <c r="B581" s="151" t="s">
        <v>785</v>
      </c>
      <c r="C581" s="152"/>
    </row>
    <row r="582" spans="1:3" ht="26.4" x14ac:dyDescent="0.25">
      <c r="A582" s="150">
        <v>751</v>
      </c>
      <c r="B582" s="151" t="s">
        <v>786</v>
      </c>
      <c r="C582" s="152"/>
    </row>
    <row r="583" spans="1:3" x14ac:dyDescent="0.25">
      <c r="A583" s="150">
        <v>752</v>
      </c>
      <c r="B583" s="151" t="s">
        <v>787</v>
      </c>
      <c r="C583" s="152"/>
    </row>
    <row r="584" spans="1:3" x14ac:dyDescent="0.25">
      <c r="A584" s="150">
        <v>753</v>
      </c>
      <c r="B584" s="151" t="s">
        <v>788</v>
      </c>
      <c r="C584" s="152"/>
    </row>
    <row r="585" spans="1:3" x14ac:dyDescent="0.25">
      <c r="A585" s="150">
        <v>754</v>
      </c>
      <c r="B585" s="151" t="s">
        <v>789</v>
      </c>
      <c r="C585" s="152"/>
    </row>
    <row r="586" spans="1:3" x14ac:dyDescent="0.25">
      <c r="A586" s="150">
        <v>755</v>
      </c>
      <c r="B586" s="151" t="s">
        <v>790</v>
      </c>
      <c r="C586" s="152"/>
    </row>
    <row r="587" spans="1:3" x14ac:dyDescent="0.25">
      <c r="A587" s="150">
        <v>7551</v>
      </c>
      <c r="B587" s="151" t="s">
        <v>791</v>
      </c>
      <c r="C587" s="152"/>
    </row>
    <row r="588" spans="1:3" x14ac:dyDescent="0.25">
      <c r="A588" s="150">
        <v>7552</v>
      </c>
      <c r="B588" s="151" t="s">
        <v>792</v>
      </c>
      <c r="C588" s="152"/>
    </row>
    <row r="589" spans="1:3" x14ac:dyDescent="0.25">
      <c r="A589" s="150">
        <v>756</v>
      </c>
      <c r="B589" s="151" t="s">
        <v>793</v>
      </c>
      <c r="C589" s="152"/>
    </row>
    <row r="590" spans="1:3" x14ac:dyDescent="0.25">
      <c r="A590" s="150">
        <v>7561</v>
      </c>
      <c r="B590" s="151" t="s">
        <v>794</v>
      </c>
      <c r="C590" s="152"/>
    </row>
    <row r="591" spans="1:3" x14ac:dyDescent="0.25">
      <c r="A591" s="150">
        <v>7562</v>
      </c>
      <c r="B591" s="151" t="s">
        <v>795</v>
      </c>
      <c r="C591" s="152"/>
    </row>
    <row r="592" spans="1:3" x14ac:dyDescent="0.25">
      <c r="A592" s="150">
        <v>757</v>
      </c>
      <c r="B592" s="151" t="s">
        <v>796</v>
      </c>
      <c r="C592" s="152"/>
    </row>
    <row r="593" spans="1:3" x14ac:dyDescent="0.25">
      <c r="A593" s="150">
        <v>758</v>
      </c>
      <c r="B593" s="151" t="s">
        <v>797</v>
      </c>
      <c r="C593" s="152"/>
    </row>
    <row r="594" spans="1:3" x14ac:dyDescent="0.25">
      <c r="A594" s="150">
        <v>76</v>
      </c>
      <c r="B594" s="151" t="s">
        <v>798</v>
      </c>
      <c r="C594" s="152"/>
    </row>
    <row r="595" spans="1:3" x14ac:dyDescent="0.25">
      <c r="A595" s="150">
        <v>761</v>
      </c>
      <c r="B595" s="151" t="s">
        <v>799</v>
      </c>
      <c r="C595" s="152"/>
    </row>
    <row r="596" spans="1:3" x14ac:dyDescent="0.25">
      <c r="A596" s="150">
        <v>762</v>
      </c>
      <c r="B596" s="151" t="s">
        <v>800</v>
      </c>
      <c r="C596" s="152"/>
    </row>
    <row r="597" spans="1:3" x14ac:dyDescent="0.25">
      <c r="A597" s="150">
        <v>7621</v>
      </c>
      <c r="B597" s="151" t="s">
        <v>801</v>
      </c>
      <c r="C597" s="152"/>
    </row>
    <row r="598" spans="1:3" x14ac:dyDescent="0.25">
      <c r="A598" s="150">
        <v>7622</v>
      </c>
      <c r="B598" s="151" t="s">
        <v>802</v>
      </c>
      <c r="C598" s="152"/>
    </row>
    <row r="599" spans="1:3" x14ac:dyDescent="0.25">
      <c r="A599" s="150">
        <v>7623</v>
      </c>
      <c r="B599" s="151" t="s">
        <v>514</v>
      </c>
      <c r="C599" s="152"/>
    </row>
    <row r="600" spans="1:3" x14ac:dyDescent="0.25">
      <c r="A600" s="150">
        <v>76231</v>
      </c>
      <c r="B600" s="151" t="s">
        <v>650</v>
      </c>
      <c r="C600" s="152"/>
    </row>
    <row r="601" spans="1:3" x14ac:dyDescent="0.25">
      <c r="A601" s="150">
        <v>76232</v>
      </c>
      <c r="B601" s="151" t="s">
        <v>651</v>
      </c>
      <c r="C601" s="152"/>
    </row>
    <row r="602" spans="1:3" x14ac:dyDescent="0.25">
      <c r="A602" s="150">
        <v>76233</v>
      </c>
      <c r="B602" s="151" t="s">
        <v>803</v>
      </c>
      <c r="C602" s="152"/>
    </row>
    <row r="603" spans="1:3" x14ac:dyDescent="0.25">
      <c r="A603" s="150">
        <v>76238</v>
      </c>
      <c r="B603" s="151" t="s">
        <v>804</v>
      </c>
      <c r="C603" s="152"/>
    </row>
    <row r="604" spans="1:3" x14ac:dyDescent="0.25">
      <c r="A604" s="150">
        <v>764</v>
      </c>
      <c r="B604" s="151" t="s">
        <v>805</v>
      </c>
      <c r="C604" s="152"/>
    </row>
    <row r="605" spans="1:3" x14ac:dyDescent="0.25">
      <c r="A605" s="150">
        <v>765</v>
      </c>
      <c r="B605" s="151" t="s">
        <v>806</v>
      </c>
      <c r="C605" s="152"/>
    </row>
    <row r="606" spans="1:3" x14ac:dyDescent="0.25">
      <c r="A606" s="150">
        <v>766</v>
      </c>
      <c r="B606" s="151" t="s">
        <v>807</v>
      </c>
      <c r="C606" s="152"/>
    </row>
    <row r="607" spans="1:3" x14ac:dyDescent="0.25">
      <c r="A607" s="150">
        <v>767</v>
      </c>
      <c r="B607" s="151" t="s">
        <v>808</v>
      </c>
      <c r="C607" s="152"/>
    </row>
    <row r="608" spans="1:3" x14ac:dyDescent="0.25">
      <c r="A608" s="150">
        <v>768</v>
      </c>
      <c r="B608" s="151" t="s">
        <v>809</v>
      </c>
      <c r="C608" s="152"/>
    </row>
    <row r="609" spans="1:3" x14ac:dyDescent="0.25">
      <c r="A609" s="150">
        <v>77</v>
      </c>
      <c r="B609" s="151" t="s">
        <v>810</v>
      </c>
      <c r="C609" s="152"/>
    </row>
    <row r="610" spans="1:3" x14ac:dyDescent="0.25">
      <c r="A610" s="150">
        <v>771</v>
      </c>
      <c r="B610" s="151" t="s">
        <v>811</v>
      </c>
      <c r="C610" s="152"/>
    </row>
    <row r="611" spans="1:3" x14ac:dyDescent="0.25">
      <c r="A611" s="150">
        <v>7711</v>
      </c>
      <c r="B611" s="151" t="s">
        <v>812</v>
      </c>
      <c r="C611" s="152"/>
    </row>
    <row r="612" spans="1:3" x14ac:dyDescent="0.25">
      <c r="A612" s="150">
        <v>7713</v>
      </c>
      <c r="B612" s="151" t="s">
        <v>813</v>
      </c>
      <c r="C612" s="152"/>
    </row>
    <row r="613" spans="1:3" x14ac:dyDescent="0.25">
      <c r="A613" s="150">
        <v>7714</v>
      </c>
      <c r="B613" s="151" t="s">
        <v>814</v>
      </c>
      <c r="C613" s="152"/>
    </row>
    <row r="614" spans="1:3" x14ac:dyDescent="0.25">
      <c r="A614" s="150">
        <v>7717</v>
      </c>
      <c r="B614" s="151" t="s">
        <v>815</v>
      </c>
      <c r="C614" s="152"/>
    </row>
    <row r="615" spans="1:3" x14ac:dyDescent="0.25">
      <c r="A615" s="150">
        <v>7718</v>
      </c>
      <c r="B615" s="151" t="s">
        <v>816</v>
      </c>
      <c r="C615" s="152"/>
    </row>
    <row r="616" spans="1:3" x14ac:dyDescent="0.25">
      <c r="A616" s="150">
        <v>773</v>
      </c>
      <c r="B616" s="151" t="s">
        <v>817</v>
      </c>
      <c r="C616" s="152"/>
    </row>
    <row r="617" spans="1:3" x14ac:dyDescent="0.25">
      <c r="A617" s="150">
        <v>774</v>
      </c>
      <c r="B617" s="151" t="s">
        <v>818</v>
      </c>
      <c r="C617" s="152"/>
    </row>
    <row r="618" spans="1:3" x14ac:dyDescent="0.25">
      <c r="A618" s="150">
        <v>775</v>
      </c>
      <c r="B618" s="151" t="s">
        <v>819</v>
      </c>
      <c r="C618" s="152"/>
    </row>
    <row r="619" spans="1:3" x14ac:dyDescent="0.25">
      <c r="A619" s="150">
        <v>776</v>
      </c>
      <c r="B619" s="151" t="s">
        <v>820</v>
      </c>
      <c r="C619" s="152"/>
    </row>
    <row r="620" spans="1:3" x14ac:dyDescent="0.25">
      <c r="A620" s="150">
        <v>777</v>
      </c>
      <c r="B620" s="151" t="s">
        <v>821</v>
      </c>
      <c r="C620" s="152"/>
    </row>
    <row r="621" spans="1:3" x14ac:dyDescent="0.25">
      <c r="A621" s="150">
        <v>778</v>
      </c>
      <c r="B621" s="151" t="s">
        <v>822</v>
      </c>
      <c r="C621" s="152"/>
    </row>
    <row r="622" spans="1:3" x14ac:dyDescent="0.25">
      <c r="A622" s="150">
        <v>7785</v>
      </c>
      <c r="B622" s="151" t="s">
        <v>823</v>
      </c>
      <c r="C622" s="152"/>
    </row>
    <row r="623" spans="1:3" x14ac:dyDescent="0.25">
      <c r="A623" s="150">
        <v>7788</v>
      </c>
      <c r="B623" s="151" t="s">
        <v>824</v>
      </c>
      <c r="C623" s="152"/>
    </row>
    <row r="624" spans="1:3" x14ac:dyDescent="0.25">
      <c r="A624" s="150">
        <v>78</v>
      </c>
      <c r="B624" s="151" t="s">
        <v>825</v>
      </c>
      <c r="C624" s="152"/>
    </row>
    <row r="625" spans="1:3" x14ac:dyDescent="0.25">
      <c r="A625" s="150">
        <v>781</v>
      </c>
      <c r="B625" s="151" t="s">
        <v>826</v>
      </c>
      <c r="C625" s="152"/>
    </row>
    <row r="626" spans="1:3" x14ac:dyDescent="0.25">
      <c r="A626" s="150">
        <v>7811</v>
      </c>
      <c r="B626" s="151" t="s">
        <v>827</v>
      </c>
      <c r="C626" s="152"/>
    </row>
    <row r="627" spans="1:3" x14ac:dyDescent="0.25">
      <c r="A627" s="150">
        <v>7815</v>
      </c>
      <c r="B627" s="151" t="s">
        <v>828</v>
      </c>
      <c r="C627" s="152"/>
    </row>
    <row r="628" spans="1:3" x14ac:dyDescent="0.25">
      <c r="A628" s="150">
        <v>7816</v>
      </c>
      <c r="B628" s="151" t="s">
        <v>829</v>
      </c>
      <c r="C628" s="152"/>
    </row>
    <row r="629" spans="1:3" x14ac:dyDescent="0.25">
      <c r="A629" s="150">
        <v>7817</v>
      </c>
      <c r="B629" s="151" t="s">
        <v>830</v>
      </c>
      <c r="C629" s="152"/>
    </row>
    <row r="630" spans="1:3" x14ac:dyDescent="0.25">
      <c r="A630" s="150">
        <v>786</v>
      </c>
      <c r="B630" s="151" t="s">
        <v>831</v>
      </c>
      <c r="C630" s="152"/>
    </row>
    <row r="631" spans="1:3" x14ac:dyDescent="0.25">
      <c r="A631" s="150">
        <v>7865</v>
      </c>
      <c r="B631" s="151" t="s">
        <v>832</v>
      </c>
      <c r="C631" s="152"/>
    </row>
    <row r="632" spans="1:3" x14ac:dyDescent="0.25">
      <c r="A632" s="150">
        <v>7866</v>
      </c>
      <c r="B632" s="151" t="s">
        <v>833</v>
      </c>
      <c r="C632" s="152"/>
    </row>
    <row r="633" spans="1:3" x14ac:dyDescent="0.25">
      <c r="A633" s="150">
        <v>787</v>
      </c>
      <c r="B633" s="151" t="s">
        <v>834</v>
      </c>
      <c r="C633" s="152"/>
    </row>
    <row r="634" spans="1:3" x14ac:dyDescent="0.25">
      <c r="A634" s="150">
        <v>7872</v>
      </c>
      <c r="B634" s="151" t="s">
        <v>835</v>
      </c>
      <c r="C634" s="152"/>
    </row>
    <row r="635" spans="1:3" x14ac:dyDescent="0.25">
      <c r="A635" s="150">
        <v>7874</v>
      </c>
      <c r="B635" s="151" t="s">
        <v>836</v>
      </c>
      <c r="C635" s="152"/>
    </row>
    <row r="636" spans="1:3" x14ac:dyDescent="0.25">
      <c r="A636" s="150">
        <v>7875</v>
      </c>
      <c r="B636" s="151" t="s">
        <v>837</v>
      </c>
      <c r="C636" s="152"/>
    </row>
    <row r="637" spans="1:3" x14ac:dyDescent="0.25">
      <c r="A637" s="150">
        <v>7876</v>
      </c>
      <c r="B637" s="151" t="s">
        <v>838</v>
      </c>
      <c r="C637" s="152"/>
    </row>
    <row r="638" spans="1:3" x14ac:dyDescent="0.25">
      <c r="A638" s="150">
        <v>79</v>
      </c>
      <c r="B638" s="151" t="s">
        <v>839</v>
      </c>
      <c r="C638" s="152"/>
    </row>
    <row r="639" spans="1:3" x14ac:dyDescent="0.25">
      <c r="A639" s="150">
        <v>791</v>
      </c>
      <c r="B639" s="151" t="s">
        <v>840</v>
      </c>
      <c r="C639" s="152"/>
    </row>
    <row r="640" spans="1:3" x14ac:dyDescent="0.25">
      <c r="A640" s="150">
        <v>796</v>
      </c>
      <c r="B640" s="151" t="s">
        <v>841</v>
      </c>
      <c r="C640" s="152"/>
    </row>
    <row r="641" spans="1:3" x14ac:dyDescent="0.25">
      <c r="A641" s="154">
        <v>797</v>
      </c>
      <c r="B641" s="155" t="s">
        <v>842</v>
      </c>
      <c r="C641" s="156"/>
    </row>
  </sheetData>
  <mergeCells count="4">
    <mergeCell ref="F3:G3"/>
    <mergeCell ref="A3:B3"/>
    <mergeCell ref="C3:D3"/>
    <mergeCell ref="A5:B5"/>
  </mergeCells>
  <phoneticPr fontId="0" type="noConversion"/>
  <pageMargins left="0.70866141732283472" right="0.70866141732283472" top="0.74803149606299213" bottom="0.74803149606299213" header="0.31496062992125984" footer="0.31496062992125984"/>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theme="5" tint="0.39997558519241921"/>
  </sheetPr>
  <dimension ref="A1:AD376"/>
  <sheetViews>
    <sheetView showGridLines="0" zoomScale="70" zoomScaleNormal="70" zoomScaleSheetLayoutView="70" zoomScalePageLayoutView="40" workbookViewId="0">
      <selection activeCell="C5" sqref="C5"/>
    </sheetView>
  </sheetViews>
  <sheetFormatPr baseColWidth="10" defaultColWidth="11.44140625" defaultRowHeight="15.6" x14ac:dyDescent="0.25"/>
  <cols>
    <col min="1" max="1" width="66" style="497" customWidth="1"/>
    <col min="2" max="2" width="33.88671875" style="497" customWidth="1"/>
    <col min="3" max="3" width="22.88671875" style="497" customWidth="1"/>
    <col min="4" max="4" width="19.44140625" style="497" customWidth="1"/>
    <col min="5" max="5" width="22.88671875" style="497" customWidth="1"/>
    <col min="6" max="8" width="20.33203125" style="497" customWidth="1"/>
    <col min="9" max="9" width="21.5546875" style="497" bestFit="1" customWidth="1"/>
    <col min="10" max="10" width="8.109375" style="497" bestFit="1" customWidth="1"/>
    <col min="11" max="11" width="16.88671875" style="503" customWidth="1"/>
    <col min="12" max="12" width="22.33203125" style="497" customWidth="1"/>
    <col min="13" max="13" width="29.6640625" style="497" customWidth="1"/>
    <col min="14" max="16" width="14.33203125" style="497" customWidth="1"/>
    <col min="17" max="17" width="15.109375" style="497" customWidth="1"/>
    <col min="18" max="18" width="14.6640625" style="497" customWidth="1"/>
    <col min="19" max="19" width="22.33203125" style="497" customWidth="1"/>
    <col min="20" max="20" width="21.88671875" style="497" customWidth="1"/>
    <col min="21" max="21" width="26.109375" style="497" customWidth="1"/>
    <col min="22" max="22" width="14.33203125" style="497" bestFit="1" customWidth="1"/>
    <col min="23" max="24" width="13" style="497" bestFit="1" customWidth="1"/>
    <col min="25" max="25" width="16.109375" style="497" customWidth="1"/>
    <col min="26" max="26" width="14.6640625" style="497" customWidth="1"/>
    <col min="27" max="27" width="14.33203125" style="497" bestFit="1" customWidth="1"/>
    <col min="28" max="28" width="11.44140625" style="497"/>
    <col min="29" max="29" width="24.33203125" style="497" customWidth="1"/>
    <col min="30" max="16384" width="11.44140625" style="497"/>
  </cols>
  <sheetData>
    <row r="1" spans="1:13" ht="27.75" customHeight="1" x14ac:dyDescent="0.25">
      <c r="A1" s="723" t="s">
        <v>843</v>
      </c>
      <c r="B1" s="723"/>
      <c r="C1" s="723"/>
      <c r="D1" s="723"/>
      <c r="E1" s="723"/>
      <c r="F1" s="723"/>
      <c r="G1" s="723"/>
      <c r="H1" s="723"/>
      <c r="I1" s="723"/>
      <c r="J1" s="495"/>
      <c r="K1" s="496" t="s">
        <v>844</v>
      </c>
    </row>
    <row r="2" spans="1:13" ht="6.75" customHeight="1" x14ac:dyDescent="0.25">
      <c r="A2" s="723"/>
      <c r="B2" s="723"/>
      <c r="C2" s="723"/>
      <c r="D2" s="723"/>
      <c r="E2" s="723"/>
      <c r="F2" s="723"/>
      <c r="G2" s="723"/>
      <c r="H2" s="723"/>
      <c r="I2" s="723"/>
      <c r="J2" s="495"/>
      <c r="K2" s="498" t="s">
        <v>845</v>
      </c>
    </row>
    <row r="3" spans="1:13" ht="22.5" customHeight="1" x14ac:dyDescent="0.25">
      <c r="A3" s="499" t="s">
        <v>112</v>
      </c>
      <c r="B3" s="500"/>
      <c r="C3" s="500"/>
      <c r="D3" s="500"/>
      <c r="E3" s="500"/>
      <c r="F3" s="500"/>
      <c r="G3" s="500"/>
      <c r="H3" s="501"/>
      <c r="I3" s="500"/>
      <c r="J3" s="502"/>
    </row>
    <row r="4" spans="1:13" ht="22.5" customHeight="1" x14ac:dyDescent="0.25">
      <c r="A4" s="504" t="s">
        <v>846</v>
      </c>
      <c r="B4" s="500"/>
      <c r="C4" s="500"/>
      <c r="D4" s="500"/>
      <c r="E4" s="500"/>
      <c r="F4" s="500"/>
      <c r="G4" s="500"/>
      <c r="H4" s="500"/>
      <c r="I4" s="500"/>
      <c r="J4" s="502"/>
    </row>
    <row r="5" spans="1:13" ht="22.5" customHeight="1" x14ac:dyDescent="0.25">
      <c r="A5" s="505" t="s">
        <v>847</v>
      </c>
      <c r="B5" s="500"/>
      <c r="C5" s="500"/>
      <c r="D5" s="500"/>
      <c r="E5" s="500"/>
      <c r="F5" s="500"/>
      <c r="G5" s="500"/>
      <c r="H5" s="500"/>
      <c r="I5" s="500"/>
      <c r="J5" s="502"/>
    </row>
    <row r="6" spans="1:13" ht="22.5" customHeight="1" x14ac:dyDescent="0.25">
      <c r="A6" s="506" t="s">
        <v>848</v>
      </c>
      <c r="B6" s="500"/>
      <c r="C6" s="500"/>
      <c r="D6" s="500"/>
      <c r="E6" s="500"/>
      <c r="F6" s="500"/>
      <c r="G6" s="500"/>
      <c r="H6" s="500"/>
      <c r="I6" s="500"/>
      <c r="J6" s="502"/>
    </row>
    <row r="7" spans="1:13" ht="22.5" customHeight="1" x14ac:dyDescent="0.25">
      <c r="A7" s="507" t="s">
        <v>849</v>
      </c>
      <c r="B7" s="500"/>
      <c r="C7" s="500"/>
      <c r="D7" s="500"/>
      <c r="E7" s="500"/>
      <c r="F7" s="500"/>
      <c r="G7" s="500"/>
      <c r="H7" s="500"/>
      <c r="I7" s="500"/>
      <c r="J7" s="502"/>
    </row>
    <row r="8" spans="1:13" ht="22.5" customHeight="1" x14ac:dyDescent="0.25">
      <c r="A8" s="508" t="s">
        <v>850</v>
      </c>
      <c r="B8" s="500"/>
      <c r="C8" s="500"/>
      <c r="D8" s="500"/>
      <c r="E8" s="500"/>
      <c r="F8" s="500"/>
      <c r="G8" s="500"/>
      <c r="H8" s="500"/>
      <c r="I8" s="500"/>
      <c r="J8" s="502"/>
    </row>
    <row r="9" spans="1:13" ht="22.5" customHeight="1" x14ac:dyDescent="0.25">
      <c r="A9" s="724"/>
      <c r="B9" s="725"/>
      <c r="C9" s="725"/>
      <c r="D9" s="725"/>
      <c r="E9" s="725"/>
      <c r="F9" s="725"/>
      <c r="G9" s="725"/>
      <c r="H9" s="725"/>
      <c r="I9" s="725"/>
      <c r="J9" s="502"/>
      <c r="K9" s="497"/>
      <c r="M9" s="509"/>
    </row>
    <row r="10" spans="1:13" ht="16.2" customHeight="1" x14ac:dyDescent="0.25">
      <c r="A10" s="510" t="s">
        <v>851</v>
      </c>
      <c r="F10" s="511"/>
      <c r="G10" s="511"/>
      <c r="H10" s="511"/>
      <c r="K10" s="497"/>
    </row>
    <row r="11" spans="1:13" ht="6.75" customHeight="1" thickBot="1" x14ac:dyDescent="0.3">
      <c r="A11" s="510"/>
      <c r="F11" s="511"/>
      <c r="G11" s="511"/>
      <c r="H11" s="511"/>
    </row>
    <row r="12" spans="1:13" ht="39" customHeight="1" x14ac:dyDescent="0.25">
      <c r="A12" s="512" t="s">
        <v>852</v>
      </c>
      <c r="B12" s="692" t="s">
        <v>853</v>
      </c>
      <c r="C12" s="692"/>
      <c r="D12" s="692"/>
      <c r="E12" s="692"/>
      <c r="F12" s="692"/>
      <c r="G12" s="692"/>
      <c r="H12" s="692"/>
      <c r="I12" s="693"/>
    </row>
    <row r="13" spans="1:13" ht="39" customHeight="1" thickBot="1" x14ac:dyDescent="0.3">
      <c r="A13" s="513" t="s">
        <v>854</v>
      </c>
      <c r="B13" s="514" t="s">
        <v>855</v>
      </c>
      <c r="C13" s="514"/>
      <c r="D13" s="514"/>
      <c r="E13" s="514"/>
      <c r="F13" s="515"/>
      <c r="G13" s="515"/>
      <c r="H13" s="515"/>
      <c r="I13" s="516"/>
    </row>
    <row r="14" spans="1:13" ht="21" customHeight="1" thickBot="1" x14ac:dyDescent="0.3">
      <c r="A14" s="517" t="s">
        <v>856</v>
      </c>
      <c r="B14" s="518"/>
      <c r="C14" s="518"/>
      <c r="D14" s="518"/>
      <c r="E14" s="518"/>
      <c r="F14" s="518"/>
      <c r="G14" s="518"/>
      <c r="H14" s="518"/>
      <c r="I14" s="518"/>
    </row>
    <row r="15" spans="1:13" ht="4.95" customHeight="1" x14ac:dyDescent="0.25"/>
    <row r="16" spans="1:13" ht="21" customHeight="1" x14ac:dyDescent="0.25">
      <c r="A16" s="519" t="s">
        <v>857</v>
      </c>
      <c r="B16" s="726"/>
      <c r="C16" s="722"/>
      <c r="K16" s="696" t="s">
        <v>858</v>
      </c>
    </row>
    <row r="17" spans="1:30" ht="20.399999999999999" customHeight="1" x14ac:dyDescent="0.25">
      <c r="A17" s="520" t="s">
        <v>859</v>
      </c>
      <c r="B17" s="722"/>
      <c r="C17" s="722"/>
      <c r="K17" s="697"/>
    </row>
    <row r="18" spans="1:30" ht="21" customHeight="1" x14ac:dyDescent="0.25">
      <c r="A18" s="520" t="s">
        <v>860</v>
      </c>
      <c r="B18" s="727"/>
      <c r="C18" s="728"/>
      <c r="K18" s="697"/>
    </row>
    <row r="19" spans="1:30" ht="21" customHeight="1" x14ac:dyDescent="0.25">
      <c r="A19" s="519" t="s">
        <v>861</v>
      </c>
      <c r="B19" s="720"/>
      <c r="C19" s="721"/>
      <c r="J19" s="521"/>
      <c r="K19" s="697" t="s">
        <v>1246</v>
      </c>
      <c r="L19" s="521"/>
    </row>
    <row r="20" spans="1:30" ht="21" customHeight="1" x14ac:dyDescent="0.25">
      <c r="A20" s="519" t="s">
        <v>862</v>
      </c>
      <c r="B20" s="720"/>
      <c r="C20" s="721"/>
      <c r="D20" s="522"/>
      <c r="K20" s="697"/>
    </row>
    <row r="21" spans="1:30" ht="21" customHeight="1" x14ac:dyDescent="0.25">
      <c r="A21" s="519" t="s">
        <v>863</v>
      </c>
      <c r="B21" s="722"/>
      <c r="C21" s="722"/>
      <c r="K21" s="697"/>
    </row>
    <row r="22" spans="1:30" ht="21" customHeight="1" x14ac:dyDescent="0.25">
      <c r="A22" s="519" t="s">
        <v>864</v>
      </c>
      <c r="B22" s="722"/>
      <c r="C22" s="722"/>
      <c r="K22" s="697" t="s">
        <v>865</v>
      </c>
      <c r="L22" s="523"/>
    </row>
    <row r="23" spans="1:30" ht="21" customHeight="1" x14ac:dyDescent="0.25">
      <c r="A23" s="519" t="s">
        <v>866</v>
      </c>
      <c r="B23" s="722"/>
      <c r="C23" s="722"/>
      <c r="D23" s="524"/>
      <c r="E23" s="525"/>
      <c r="F23" s="525"/>
      <c r="G23" s="523"/>
      <c r="H23" s="523"/>
      <c r="K23" s="697"/>
    </row>
    <row r="24" spans="1:30" ht="51.75" customHeight="1" x14ac:dyDescent="0.25">
      <c r="A24" s="689" t="s">
        <v>867</v>
      </c>
      <c r="B24" s="689"/>
      <c r="C24" s="689"/>
      <c r="D24" s="689"/>
      <c r="E24" s="689"/>
      <c r="F24" s="689"/>
      <c r="G24" s="689"/>
      <c r="H24" s="689"/>
      <c r="I24" s="689"/>
      <c r="K24" s="697" t="s">
        <v>868</v>
      </c>
    </row>
    <row r="25" spans="1:30" s="521" customFormat="1" x14ac:dyDescent="0.25">
      <c r="A25" s="526"/>
      <c r="B25" s="527"/>
      <c r="C25" s="527"/>
      <c r="D25" s="527"/>
      <c r="E25" s="527"/>
      <c r="F25" s="527"/>
      <c r="G25" s="527"/>
      <c r="H25" s="527"/>
      <c r="I25" s="527"/>
      <c r="J25" s="497"/>
      <c r="K25" s="697"/>
      <c r="M25" s="497"/>
      <c r="N25" s="497"/>
      <c r="O25" s="497"/>
      <c r="P25" s="497"/>
      <c r="Q25" s="497"/>
      <c r="R25" s="497"/>
      <c r="S25" s="497"/>
      <c r="T25" s="497"/>
      <c r="U25" s="497"/>
      <c r="V25" s="497"/>
      <c r="W25" s="497"/>
      <c r="X25" s="497"/>
      <c r="Y25" s="497"/>
      <c r="Z25" s="497"/>
      <c r="AA25" s="497"/>
      <c r="AB25" s="497"/>
      <c r="AC25" s="497"/>
      <c r="AD25" s="497"/>
    </row>
    <row r="26" spans="1:30" s="530" customFormat="1" ht="21" customHeight="1" thickBot="1" x14ac:dyDescent="0.3">
      <c r="A26" s="528" t="s">
        <v>869</v>
      </c>
      <c r="B26" s="529"/>
      <c r="C26" s="529"/>
      <c r="D26" s="529"/>
      <c r="E26" s="529"/>
      <c r="F26" s="529"/>
      <c r="G26" s="529"/>
      <c r="H26" s="529"/>
      <c r="I26" s="529"/>
      <c r="K26" s="698"/>
    </row>
    <row r="27" spans="1:30" ht="5.4" customHeight="1" x14ac:dyDescent="0.25"/>
    <row r="28" spans="1:30" ht="38.25" customHeight="1" x14ac:dyDescent="0.25">
      <c r="A28" s="531"/>
      <c r="B28" s="532"/>
      <c r="C28" s="533" t="s">
        <v>6</v>
      </c>
      <c r="D28" s="533" t="s">
        <v>21</v>
      </c>
      <c r="E28" s="534" t="s">
        <v>870</v>
      </c>
      <c r="F28" s="533" t="s">
        <v>871</v>
      </c>
      <c r="G28" s="533" t="s">
        <v>51</v>
      </c>
      <c r="H28" s="533" t="s">
        <v>55</v>
      </c>
      <c r="I28" s="533" t="s">
        <v>872</v>
      </c>
      <c r="K28" s="711" t="s">
        <v>873</v>
      </c>
    </row>
    <row r="29" spans="1:30" s="538" customFormat="1" ht="25.2" customHeight="1" x14ac:dyDescent="0.25">
      <c r="A29" s="535" t="s">
        <v>874</v>
      </c>
      <c r="B29" s="536"/>
      <c r="C29" s="351"/>
      <c r="D29" s="351"/>
      <c r="E29" s="351"/>
      <c r="F29" s="537"/>
      <c r="G29" s="351"/>
      <c r="H29" s="351"/>
      <c r="I29" s="537"/>
      <c r="K29" s="712"/>
    </row>
    <row r="30" spans="1:30" ht="30" customHeight="1" x14ac:dyDescent="0.25">
      <c r="A30" s="713" t="s">
        <v>875</v>
      </c>
      <c r="B30" s="714"/>
      <c r="C30" s="351"/>
      <c r="D30" s="351"/>
      <c r="E30" s="351"/>
      <c r="F30" s="539"/>
      <c r="G30" s="351"/>
      <c r="H30" s="351"/>
      <c r="I30" s="537"/>
      <c r="J30" s="538"/>
      <c r="K30" s="698"/>
    </row>
    <row r="31" spans="1:30" ht="24.6" customHeight="1" x14ac:dyDescent="0.25">
      <c r="A31" s="535" t="s">
        <v>876</v>
      </c>
      <c r="B31" s="540"/>
      <c r="C31" s="351"/>
      <c r="D31" s="351"/>
      <c r="E31" s="351"/>
      <c r="F31" s="539"/>
      <c r="G31" s="351"/>
      <c r="H31" s="351"/>
      <c r="I31" s="539"/>
      <c r="K31" s="691"/>
    </row>
    <row r="32" spans="1:30" ht="24.6" customHeight="1" x14ac:dyDescent="0.25">
      <c r="A32" s="535" t="s">
        <v>877</v>
      </c>
      <c r="B32" s="540"/>
      <c r="C32" s="351"/>
      <c r="D32" s="351"/>
      <c r="E32" s="351"/>
      <c r="F32" s="539"/>
      <c r="G32" s="351"/>
      <c r="H32" s="351"/>
      <c r="I32" s="539"/>
      <c r="K32" s="691"/>
    </row>
    <row r="33" spans="1:13" ht="24.6" customHeight="1" x14ac:dyDescent="0.25">
      <c r="A33" s="535" t="s">
        <v>878</v>
      </c>
      <c r="B33" s="540"/>
      <c r="C33" s="541"/>
      <c r="D33" s="539"/>
      <c r="E33" s="542"/>
      <c r="F33" s="539"/>
      <c r="G33" s="539"/>
      <c r="H33" s="539"/>
      <c r="I33" s="539"/>
      <c r="K33" s="691"/>
    </row>
    <row r="34" spans="1:13" ht="24.6" customHeight="1" x14ac:dyDescent="0.25">
      <c r="A34" s="535" t="s">
        <v>879</v>
      </c>
      <c r="B34" s="540"/>
      <c r="C34" s="539"/>
      <c r="D34" s="539"/>
      <c r="E34" s="542"/>
      <c r="F34" s="543"/>
      <c r="G34" s="543"/>
      <c r="H34" s="543"/>
      <c r="I34" s="539"/>
      <c r="K34" s="544"/>
    </row>
    <row r="35" spans="1:13" ht="24.6" customHeight="1" x14ac:dyDescent="0.25">
      <c r="A35" s="535" t="s">
        <v>880</v>
      </c>
      <c r="B35" s="540"/>
      <c r="C35" s="545"/>
      <c r="D35" s="546"/>
      <c r="E35" s="546"/>
      <c r="F35" s="546"/>
      <c r="G35" s="546"/>
      <c r="H35" s="546"/>
      <c r="I35" s="547"/>
      <c r="K35" s="711" t="s">
        <v>881</v>
      </c>
    </row>
    <row r="36" spans="1:13" ht="62.25" customHeight="1" x14ac:dyDescent="0.25">
      <c r="A36" s="682" t="s">
        <v>867</v>
      </c>
      <c r="B36" s="682"/>
      <c r="C36" s="682"/>
      <c r="D36" s="682"/>
      <c r="E36" s="682"/>
      <c r="F36" s="682"/>
      <c r="G36" s="682"/>
      <c r="H36" s="682"/>
      <c r="I36" s="682"/>
      <c r="K36" s="715"/>
    </row>
    <row r="37" spans="1:13" ht="11.25" customHeight="1" x14ac:dyDescent="0.25"/>
    <row r="38" spans="1:13" ht="21.6" customHeight="1" thickBot="1" x14ac:dyDescent="0.3">
      <c r="A38" s="528" t="s">
        <v>882</v>
      </c>
      <c r="B38" s="518"/>
      <c r="C38" s="518"/>
      <c r="D38" s="518"/>
      <c r="E38" s="518"/>
      <c r="F38" s="518"/>
      <c r="G38" s="518"/>
      <c r="H38" s="518"/>
      <c r="I38" s="518"/>
    </row>
    <row r="39" spans="1:13" ht="6" customHeight="1" x14ac:dyDescent="0.25"/>
    <row r="40" spans="1:13" ht="35.25" customHeight="1" x14ac:dyDescent="0.25">
      <c r="A40" s="548" t="s">
        <v>883</v>
      </c>
      <c r="B40" s="533" t="s">
        <v>884</v>
      </c>
      <c r="C40" s="533" t="s">
        <v>6</v>
      </c>
      <c r="D40" s="533" t="s">
        <v>21</v>
      </c>
      <c r="E40" s="533" t="s">
        <v>885</v>
      </c>
      <c r="F40" s="533" t="s">
        <v>886</v>
      </c>
      <c r="G40" s="533" t="s">
        <v>51</v>
      </c>
      <c r="H40" s="533" t="s">
        <v>55</v>
      </c>
      <c r="I40" s="533" t="s">
        <v>872</v>
      </c>
      <c r="K40" s="642" t="s">
        <v>887</v>
      </c>
    </row>
    <row r="41" spans="1:13" ht="25.5" customHeight="1" x14ac:dyDescent="0.25">
      <c r="A41" s="549">
        <f>B17</f>
        <v>0</v>
      </c>
      <c r="B41" s="351"/>
      <c r="C41" s="351"/>
      <c r="D41" s="351"/>
      <c r="E41" s="351"/>
      <c r="F41" s="351"/>
      <c r="G41" s="351"/>
      <c r="H41" s="351"/>
      <c r="I41" s="351"/>
      <c r="K41" s="550">
        <f>B41-SUM(C41:I41)</f>
        <v>0</v>
      </c>
    </row>
    <row r="42" spans="1:13" ht="21.6" customHeight="1" x14ac:dyDescent="0.25">
      <c r="A42" s="509" t="s">
        <v>888</v>
      </c>
      <c r="B42" s="716" t="s">
        <v>889</v>
      </c>
      <c r="C42" s="717"/>
      <c r="D42" s="717"/>
      <c r="E42" s="717"/>
      <c r="F42" s="717"/>
      <c r="G42" s="717"/>
      <c r="H42" s="717"/>
      <c r="I42" s="717"/>
      <c r="K42" s="544"/>
    </row>
    <row r="43" spans="1:13" ht="39" customHeight="1" x14ac:dyDescent="0.25">
      <c r="A43" s="549" t="str">
        <f>$A$333</f>
        <v>Référentiel national ADEME 2021 (Données 2018) - Ratio kg/hab.</v>
      </c>
      <c r="B43" s="551">
        <f t="shared" ref="B43:H43" si="0">SUMIF($A$334:$A$339,$B42,C$334:C$339)</f>
        <v>543</v>
      </c>
      <c r="C43" s="551">
        <f t="shared" si="0"/>
        <v>231</v>
      </c>
      <c r="D43" s="551">
        <f t="shared" si="0"/>
        <v>35</v>
      </c>
      <c r="E43" s="551">
        <f t="shared" si="0"/>
        <v>51</v>
      </c>
      <c r="F43" s="551">
        <f t="shared" si="0"/>
        <v>188</v>
      </c>
      <c r="G43" s="551">
        <f t="shared" si="0"/>
        <v>53</v>
      </c>
      <c r="H43" s="551">
        <f t="shared" si="0"/>
        <v>5</v>
      </c>
      <c r="I43" s="551">
        <f>SUMIF($A$334:$A$339,$B42,K$334:K$339)</f>
        <v>40</v>
      </c>
      <c r="K43" s="691" t="s">
        <v>890</v>
      </c>
      <c r="M43" s="538"/>
    </row>
    <row r="44" spans="1:13" ht="21.6" customHeight="1" x14ac:dyDescent="0.25">
      <c r="A44" s="519" t="s">
        <v>891</v>
      </c>
      <c r="B44" s="552">
        <f>B$41-B43</f>
        <v>-543</v>
      </c>
      <c r="C44" s="552">
        <f t="shared" ref="C44:I44" si="1">C$41-C43</f>
        <v>-231</v>
      </c>
      <c r="D44" s="552">
        <f t="shared" si="1"/>
        <v>-35</v>
      </c>
      <c r="E44" s="552">
        <f t="shared" si="1"/>
        <v>-51</v>
      </c>
      <c r="F44" s="552">
        <f t="shared" si="1"/>
        <v>-188</v>
      </c>
      <c r="G44" s="552">
        <f t="shared" si="1"/>
        <v>-53</v>
      </c>
      <c r="H44" s="552">
        <f t="shared" si="1"/>
        <v>-5</v>
      </c>
      <c r="I44" s="553">
        <f t="shared" si="1"/>
        <v>-40</v>
      </c>
      <c r="K44" s="691"/>
    </row>
    <row r="45" spans="1:13" ht="21.6" customHeight="1" x14ac:dyDescent="0.25">
      <c r="A45" s="519" t="s">
        <v>892</v>
      </c>
      <c r="B45" s="378">
        <f t="shared" ref="B45:I45" si="2">(B$41-B43)/B43</f>
        <v>-1</v>
      </c>
      <c r="C45" s="378">
        <f t="shared" si="2"/>
        <v>-1</v>
      </c>
      <c r="D45" s="378">
        <f t="shared" si="2"/>
        <v>-1</v>
      </c>
      <c r="E45" s="378">
        <f t="shared" si="2"/>
        <v>-1</v>
      </c>
      <c r="F45" s="378">
        <f t="shared" si="2"/>
        <v>-1</v>
      </c>
      <c r="G45" s="378">
        <f t="shared" si="2"/>
        <v>-1</v>
      </c>
      <c r="H45" s="378">
        <f t="shared" si="2"/>
        <v>-1</v>
      </c>
      <c r="I45" s="378">
        <f t="shared" si="2"/>
        <v>-1</v>
      </c>
      <c r="K45" s="696"/>
    </row>
    <row r="46" spans="1:13" ht="21.6" customHeight="1" x14ac:dyDescent="0.25">
      <c r="A46" s="510" t="s">
        <v>888</v>
      </c>
      <c r="B46" s="718" t="s">
        <v>893</v>
      </c>
      <c r="C46" s="719"/>
      <c r="D46" s="719"/>
      <c r="E46" s="719"/>
      <c r="F46" s="719"/>
      <c r="G46" s="719"/>
      <c r="H46" s="719"/>
      <c r="I46" s="719"/>
      <c r="K46" s="697" t="s">
        <v>894</v>
      </c>
    </row>
    <row r="47" spans="1:13" ht="47.25" customHeight="1" x14ac:dyDescent="0.25">
      <c r="A47" s="549" t="str">
        <f>+A43</f>
        <v>Référentiel national ADEME 2021 (Données 2018) - Ratio kg/hab.</v>
      </c>
      <c r="B47" s="551">
        <f t="shared" ref="B47:H47" si="3">SUMIF($A$334:$A$339,$B46,C$334:C$339)</f>
        <v>500</v>
      </c>
      <c r="C47" s="551">
        <f t="shared" si="3"/>
        <v>186.5</v>
      </c>
      <c r="D47" s="551">
        <f t="shared" si="3"/>
        <v>40</v>
      </c>
      <c r="E47" s="551">
        <f t="shared" si="3"/>
        <v>48</v>
      </c>
      <c r="F47" s="551">
        <f t="shared" si="3"/>
        <v>220.5</v>
      </c>
      <c r="G47" s="551">
        <f t="shared" si="3"/>
        <v>49</v>
      </c>
      <c r="H47" s="551">
        <f t="shared" si="3"/>
        <v>5</v>
      </c>
      <c r="I47" s="551">
        <f>SUMIF($A$334:$A$339,$B46,K$334:K$339)</f>
        <v>40</v>
      </c>
      <c r="K47" s="697"/>
    </row>
    <row r="48" spans="1:13" ht="21.6" customHeight="1" x14ac:dyDescent="0.25">
      <c r="A48" s="519" t="s">
        <v>891</v>
      </c>
      <c r="B48" s="552">
        <f t="shared" ref="B48:I48" si="4">B$41-B47</f>
        <v>-500</v>
      </c>
      <c r="C48" s="552">
        <f t="shared" si="4"/>
        <v>-186.5</v>
      </c>
      <c r="D48" s="552">
        <f t="shared" si="4"/>
        <v>-40</v>
      </c>
      <c r="E48" s="552">
        <f t="shared" si="4"/>
        <v>-48</v>
      </c>
      <c r="F48" s="552">
        <f t="shared" si="4"/>
        <v>-220.5</v>
      </c>
      <c r="G48" s="552">
        <f t="shared" si="4"/>
        <v>-49</v>
      </c>
      <c r="H48" s="552">
        <f t="shared" si="4"/>
        <v>-5</v>
      </c>
      <c r="I48" s="553">
        <f t="shared" si="4"/>
        <v>-40</v>
      </c>
      <c r="K48" s="698"/>
    </row>
    <row r="49" spans="1:30" ht="21.6" customHeight="1" x14ac:dyDescent="0.25">
      <c r="A49" s="519" t="s">
        <v>892</v>
      </c>
      <c r="B49" s="378">
        <f t="shared" ref="B49:H49" si="5">(B$41-B47)/B47</f>
        <v>-1</v>
      </c>
      <c r="C49" s="378">
        <f t="shared" si="5"/>
        <v>-1</v>
      </c>
      <c r="D49" s="378">
        <f t="shared" si="5"/>
        <v>-1</v>
      </c>
      <c r="E49" s="378">
        <f t="shared" si="5"/>
        <v>-1</v>
      </c>
      <c r="F49" s="378">
        <f t="shared" si="5"/>
        <v>-1</v>
      </c>
      <c r="G49" s="378">
        <f t="shared" si="5"/>
        <v>-1</v>
      </c>
      <c r="H49" s="378">
        <f t="shared" si="5"/>
        <v>-1</v>
      </c>
      <c r="I49" s="378">
        <f>(I$41-I47)/I47</f>
        <v>-1</v>
      </c>
    </row>
    <row r="50" spans="1:30" ht="21.6" customHeight="1" x14ac:dyDescent="0.25">
      <c r="A50" s="510" t="s">
        <v>888</v>
      </c>
      <c r="B50" s="718" t="s">
        <v>895</v>
      </c>
      <c r="C50" s="719"/>
      <c r="D50" s="719"/>
      <c r="E50" s="719"/>
      <c r="F50" s="719"/>
      <c r="G50" s="719"/>
      <c r="H50" s="719"/>
      <c r="I50" s="719"/>
    </row>
    <row r="51" spans="1:30" ht="39" customHeight="1" x14ac:dyDescent="0.25">
      <c r="A51" s="549" t="str">
        <f>+A43</f>
        <v>Référentiel national ADEME 2021 (Données 2018) - Ratio kg/hab.</v>
      </c>
      <c r="B51" s="551">
        <f t="shared" ref="B51:H51" si="6">SUMIF($A$334:$A$339,$B50,C$334:C$339)</f>
        <v>835</v>
      </c>
      <c r="C51" s="551">
        <f t="shared" si="6"/>
        <v>307.5</v>
      </c>
      <c r="D51" s="551">
        <f t="shared" si="6"/>
        <v>62.5</v>
      </c>
      <c r="E51" s="551">
        <f t="shared" si="6"/>
        <v>57</v>
      </c>
      <c r="F51" s="551">
        <f t="shared" si="6"/>
        <v>329.5</v>
      </c>
      <c r="G51" s="551">
        <f t="shared" si="6"/>
        <v>86</v>
      </c>
      <c r="H51" s="551">
        <f t="shared" si="6"/>
        <v>5</v>
      </c>
      <c r="I51" s="551">
        <f>SUMIF($A$334:$A$339,$B50,K$334:K$339)</f>
        <v>40</v>
      </c>
    </row>
    <row r="52" spans="1:30" ht="21.6" customHeight="1" x14ac:dyDescent="0.25">
      <c r="A52" s="519" t="s">
        <v>891</v>
      </c>
      <c r="B52" s="552">
        <f t="shared" ref="B52:I52" si="7">B$41-B51</f>
        <v>-835</v>
      </c>
      <c r="C52" s="552">
        <f t="shared" si="7"/>
        <v>-307.5</v>
      </c>
      <c r="D52" s="552">
        <f t="shared" si="7"/>
        <v>-62.5</v>
      </c>
      <c r="E52" s="552">
        <f t="shared" si="7"/>
        <v>-57</v>
      </c>
      <c r="F52" s="552">
        <f t="shared" si="7"/>
        <v>-329.5</v>
      </c>
      <c r="G52" s="552">
        <f t="shared" si="7"/>
        <v>-86</v>
      </c>
      <c r="H52" s="552">
        <f t="shared" si="7"/>
        <v>-5</v>
      </c>
      <c r="I52" s="553">
        <f t="shared" si="7"/>
        <v>-40</v>
      </c>
      <c r="L52" s="353"/>
      <c r="M52" s="353"/>
      <c r="N52" s="353"/>
      <c r="O52" s="353"/>
      <c r="P52" s="353"/>
      <c r="Q52" s="353"/>
      <c r="R52" s="353"/>
    </row>
    <row r="53" spans="1:30" ht="21.6" customHeight="1" x14ac:dyDescent="0.25">
      <c r="A53" s="519" t="s">
        <v>892</v>
      </c>
      <c r="B53" s="378">
        <f t="shared" ref="B53:I53" si="8">(B$41-B51)/B51</f>
        <v>-1</v>
      </c>
      <c r="C53" s="378">
        <f t="shared" si="8"/>
        <v>-1</v>
      </c>
      <c r="D53" s="378">
        <f t="shared" si="8"/>
        <v>-1</v>
      </c>
      <c r="E53" s="378">
        <f t="shared" si="8"/>
        <v>-1</v>
      </c>
      <c r="F53" s="378">
        <f t="shared" si="8"/>
        <v>-1</v>
      </c>
      <c r="G53" s="378">
        <f t="shared" si="8"/>
        <v>-1</v>
      </c>
      <c r="H53" s="378">
        <f t="shared" si="8"/>
        <v>-1</v>
      </c>
      <c r="I53" s="378">
        <f t="shared" si="8"/>
        <v>-1</v>
      </c>
    </row>
    <row r="54" spans="1:30" ht="21.6" customHeight="1" x14ac:dyDescent="0.25">
      <c r="A54" s="554"/>
    </row>
    <row r="55" spans="1:30" ht="59.25" customHeight="1" x14ac:dyDescent="0.25">
      <c r="A55" s="689" t="s">
        <v>896</v>
      </c>
      <c r="B55" s="689"/>
      <c r="C55" s="689"/>
      <c r="D55" s="689"/>
      <c r="E55" s="689"/>
      <c r="F55" s="689"/>
      <c r="G55" s="689"/>
      <c r="H55" s="689"/>
      <c r="I55" s="689"/>
    </row>
    <row r="56" spans="1:30" s="556" customFormat="1" ht="12" customHeight="1" x14ac:dyDescent="0.25">
      <c r="A56" s="497"/>
      <c r="B56" s="497"/>
      <c r="C56" s="497"/>
      <c r="D56" s="497"/>
      <c r="E56" s="497"/>
      <c r="F56" s="497"/>
      <c r="G56" s="497"/>
      <c r="H56" s="497"/>
      <c r="I56" s="497"/>
      <c r="J56" s="523"/>
      <c r="K56" s="555"/>
      <c r="L56" s="523"/>
      <c r="N56" s="497"/>
      <c r="O56" s="497"/>
      <c r="P56" s="497"/>
      <c r="Q56" s="497"/>
      <c r="R56" s="497"/>
      <c r="S56" s="497"/>
      <c r="T56" s="497"/>
      <c r="U56" s="497"/>
      <c r="V56" s="497"/>
      <c r="W56" s="497"/>
      <c r="X56" s="497"/>
      <c r="Y56" s="497"/>
      <c r="Z56" s="497"/>
      <c r="AA56" s="497"/>
      <c r="AB56" s="497"/>
      <c r="AC56" s="497"/>
      <c r="AD56" s="497"/>
    </row>
    <row r="57" spans="1:30" x14ac:dyDescent="0.25">
      <c r="A57" s="556"/>
      <c r="B57" s="556"/>
      <c r="C57" s="556"/>
      <c r="D57" s="556"/>
      <c r="E57" s="556"/>
      <c r="F57" s="556"/>
      <c r="G57" s="556"/>
      <c r="H57" s="556"/>
      <c r="I57" s="556"/>
      <c r="L57" s="538"/>
    </row>
    <row r="58" spans="1:30" x14ac:dyDescent="0.25">
      <c r="A58" s="556"/>
      <c r="B58" s="556"/>
      <c r="C58" s="556"/>
      <c r="D58" s="556"/>
      <c r="E58" s="556"/>
      <c r="F58" s="556"/>
      <c r="G58" s="556"/>
      <c r="H58" s="556"/>
      <c r="I58" s="556"/>
    </row>
    <row r="59" spans="1:30" x14ac:dyDescent="0.25">
      <c r="A59" s="556"/>
      <c r="B59" s="556"/>
      <c r="C59" s="556"/>
      <c r="D59" s="556"/>
      <c r="E59" s="556"/>
      <c r="F59" s="556"/>
      <c r="G59" s="556"/>
      <c r="H59" s="556"/>
      <c r="I59" s="556"/>
      <c r="K59" s="696" t="s">
        <v>897</v>
      </c>
    </row>
    <row r="60" spans="1:30" x14ac:dyDescent="0.25">
      <c r="A60" s="556"/>
      <c r="B60" s="556"/>
      <c r="C60" s="556"/>
      <c r="D60" s="556"/>
      <c r="E60" s="556"/>
      <c r="F60" s="556"/>
      <c r="G60" s="556"/>
      <c r="H60" s="556"/>
      <c r="I60" s="556"/>
      <c r="K60" s="697"/>
    </row>
    <row r="61" spans="1:30" x14ac:dyDescent="0.25">
      <c r="A61" s="556"/>
      <c r="B61" s="556"/>
      <c r="C61" s="556"/>
      <c r="D61" s="556"/>
      <c r="E61" s="556"/>
      <c r="F61" s="556"/>
      <c r="G61" s="556"/>
      <c r="H61" s="556"/>
      <c r="I61" s="556"/>
      <c r="K61" s="697"/>
    </row>
    <row r="62" spans="1:30" x14ac:dyDescent="0.25">
      <c r="A62" s="556"/>
      <c r="B62" s="556"/>
      <c r="C62" s="556"/>
      <c r="D62" s="556"/>
      <c r="E62" s="556"/>
      <c r="F62" s="556"/>
      <c r="G62" s="556"/>
      <c r="H62" s="556"/>
      <c r="I62" s="556"/>
      <c r="K62" s="697"/>
    </row>
    <row r="63" spans="1:30" x14ac:dyDescent="0.25">
      <c r="A63" s="556"/>
      <c r="B63" s="556"/>
      <c r="C63" s="556"/>
      <c r="D63" s="556"/>
      <c r="E63" s="556"/>
      <c r="F63" s="556"/>
      <c r="G63" s="556"/>
      <c r="H63" s="556"/>
      <c r="I63" s="556"/>
      <c r="K63" s="697"/>
    </row>
    <row r="64" spans="1:30" x14ac:dyDescent="0.25">
      <c r="A64" s="556"/>
      <c r="B64" s="556"/>
      <c r="C64" s="556"/>
      <c r="D64" s="556"/>
      <c r="E64" s="556"/>
      <c r="F64" s="556"/>
      <c r="G64" s="556"/>
      <c r="H64" s="556"/>
      <c r="I64" s="556"/>
      <c r="K64" s="697"/>
    </row>
    <row r="65" spans="1:11" x14ac:dyDescent="0.25">
      <c r="A65" s="556"/>
      <c r="B65" s="556"/>
      <c r="C65" s="556"/>
      <c r="D65" s="556"/>
      <c r="E65" s="556"/>
      <c r="F65" s="556"/>
      <c r="G65" s="556"/>
      <c r="H65" s="556"/>
      <c r="I65" s="556"/>
      <c r="K65" s="697"/>
    </row>
    <row r="66" spans="1:11" x14ac:dyDescent="0.25">
      <c r="A66" s="556"/>
      <c r="B66" s="556"/>
      <c r="C66" s="556"/>
      <c r="D66" s="556"/>
      <c r="E66" s="556"/>
      <c r="F66" s="556"/>
      <c r="G66" s="556"/>
      <c r="H66" s="556"/>
      <c r="I66" s="556"/>
      <c r="K66" s="698"/>
    </row>
    <row r="67" spans="1:11" x14ac:dyDescent="0.25">
      <c r="A67" s="556"/>
      <c r="B67" s="556"/>
      <c r="C67" s="556"/>
      <c r="D67" s="556"/>
      <c r="E67" s="556"/>
      <c r="F67" s="556"/>
      <c r="G67" s="556"/>
      <c r="H67" s="556"/>
      <c r="I67" s="556"/>
    </row>
    <row r="68" spans="1:11" x14ac:dyDescent="0.25">
      <c r="A68" s="556"/>
      <c r="B68" s="556"/>
      <c r="C68" s="556"/>
      <c r="D68" s="556"/>
      <c r="E68" s="556"/>
      <c r="F68" s="556"/>
      <c r="G68" s="556"/>
      <c r="H68" s="556"/>
      <c r="I68" s="556"/>
    </row>
    <row r="69" spans="1:11" x14ac:dyDescent="0.25">
      <c r="A69" s="557"/>
      <c r="B69" s="556"/>
      <c r="C69" s="556"/>
      <c r="D69" s="556"/>
      <c r="E69" s="556"/>
      <c r="F69" s="556"/>
      <c r="G69" s="556"/>
      <c r="H69" s="556"/>
      <c r="I69" s="556"/>
    </row>
    <row r="72" spans="1:11" ht="21" customHeight="1" thickBot="1" x14ac:dyDescent="0.3">
      <c r="A72" s="528" t="s">
        <v>898</v>
      </c>
      <c r="B72" s="518"/>
      <c r="C72" s="518"/>
      <c r="D72" s="518"/>
      <c r="E72" s="518"/>
      <c r="F72" s="518"/>
      <c r="G72" s="518"/>
      <c r="H72" s="518"/>
      <c r="I72" s="518"/>
    </row>
    <row r="73" spans="1:11" ht="3" customHeight="1" thickBot="1" x14ac:dyDescent="0.3">
      <c r="A73" s="510"/>
    </row>
    <row r="74" spans="1:11" ht="36.75" customHeight="1" x14ac:dyDescent="0.25">
      <c r="A74" s="512" t="s">
        <v>852</v>
      </c>
      <c r="B74" s="692" t="s">
        <v>899</v>
      </c>
      <c r="C74" s="692"/>
      <c r="D74" s="692"/>
      <c r="E74" s="692"/>
      <c r="F74" s="692"/>
      <c r="G74" s="692"/>
      <c r="H74" s="692"/>
      <c r="I74" s="693"/>
    </row>
    <row r="75" spans="1:11" ht="36.75" customHeight="1" thickBot="1" x14ac:dyDescent="0.3">
      <c r="A75" s="513" t="s">
        <v>854</v>
      </c>
      <c r="B75" s="514" t="s">
        <v>900</v>
      </c>
      <c r="C75" s="514"/>
      <c r="D75" s="514"/>
      <c r="E75" s="514"/>
      <c r="F75" s="515"/>
      <c r="G75" s="515"/>
      <c r="H75" s="515"/>
      <c r="I75" s="516"/>
    </row>
    <row r="76" spans="1:11" ht="9" customHeight="1" x14ac:dyDescent="0.25"/>
    <row r="77" spans="1:11" ht="25.5" customHeight="1" x14ac:dyDescent="0.25">
      <c r="A77" s="519" t="str">
        <f>IF(B23="Assujetti (budget HT)","Coût aidé HT","Coût aidé TTC")</f>
        <v>Coût aidé TTC</v>
      </c>
      <c r="B77" s="558"/>
      <c r="C77" s="354" t="e">
        <f>B77/$B$19</f>
        <v>#DIV/0!</v>
      </c>
      <c r="D77" s="559"/>
      <c r="E77" s="525"/>
      <c r="F77" s="525"/>
      <c r="G77" s="525"/>
      <c r="H77" s="525"/>
      <c r="I77" s="525"/>
      <c r="K77" s="696" t="s">
        <v>901</v>
      </c>
    </row>
    <row r="78" spans="1:11" ht="25.5" customHeight="1" x14ac:dyDescent="0.25">
      <c r="A78" s="519" t="s">
        <v>240</v>
      </c>
      <c r="B78" s="558"/>
      <c r="C78" s="354" t="e">
        <f>B78/$B$19</f>
        <v>#DIV/0!</v>
      </c>
      <c r="D78" s="524"/>
      <c r="E78" s="525"/>
      <c r="F78" s="525"/>
      <c r="G78" s="525"/>
      <c r="H78" s="525"/>
      <c r="I78" s="525"/>
      <c r="K78" s="697"/>
    </row>
    <row r="79" spans="1:11" ht="25.5" customHeight="1" x14ac:dyDescent="0.25">
      <c r="A79" s="519" t="s">
        <v>902</v>
      </c>
      <c r="B79" s="704" t="e">
        <f>B78/B77</f>
        <v>#DIV/0!</v>
      </c>
      <c r="C79" s="704"/>
      <c r="D79" s="524"/>
      <c r="E79" s="525"/>
      <c r="F79" s="525"/>
      <c r="G79" s="525"/>
      <c r="H79" s="525"/>
      <c r="I79" s="525"/>
      <c r="K79" s="705" t="s">
        <v>903</v>
      </c>
    </row>
    <row r="80" spans="1:11" ht="25.5" customHeight="1" x14ac:dyDescent="0.25">
      <c r="A80" s="519" t="str">
        <f>IF(B78&gt;B77,"Surfinancement","Sous-financement")</f>
        <v>Sous-financement</v>
      </c>
      <c r="B80" s="707">
        <f>IF(B78&gt;B77,B78-B77,B77-B78)</f>
        <v>0</v>
      </c>
      <c r="C80" s="708"/>
      <c r="D80" s="560"/>
      <c r="E80" s="525"/>
      <c r="F80" s="525"/>
      <c r="G80" s="525"/>
      <c r="H80" s="525"/>
      <c r="I80" s="525"/>
      <c r="K80" s="705"/>
    </row>
    <row r="81" spans="1:11" ht="25.5" customHeight="1" x14ac:dyDescent="0.25">
      <c r="A81" s="519" t="s">
        <v>904</v>
      </c>
      <c r="B81" s="709">
        <f>B23</f>
        <v>0</v>
      </c>
      <c r="C81" s="709"/>
      <c r="D81" s="560"/>
      <c r="E81" s="525"/>
      <c r="F81" s="525"/>
      <c r="G81" s="525"/>
      <c r="H81" s="525"/>
      <c r="I81" s="525"/>
      <c r="K81" s="705"/>
    </row>
    <row r="82" spans="1:11" ht="57" customHeight="1" x14ac:dyDescent="0.25">
      <c r="A82" s="689" t="s">
        <v>867</v>
      </c>
      <c r="B82" s="689"/>
      <c r="C82" s="689"/>
      <c r="D82" s="689"/>
      <c r="E82" s="689"/>
      <c r="F82" s="689"/>
      <c r="G82" s="689"/>
      <c r="H82" s="689"/>
      <c r="I82" s="710"/>
      <c r="K82" s="706"/>
    </row>
    <row r="83" spans="1:11" ht="7.2" customHeight="1" x14ac:dyDescent="0.25"/>
    <row r="84" spans="1:11" ht="17.399999999999999" customHeight="1" thickBot="1" x14ac:dyDescent="0.3">
      <c r="A84" s="528" t="s">
        <v>905</v>
      </c>
      <c r="B84" s="529"/>
      <c r="C84" s="529"/>
      <c r="D84" s="529"/>
      <c r="E84" s="529"/>
      <c r="F84" s="529"/>
      <c r="G84" s="529"/>
      <c r="H84" s="529"/>
      <c r="I84" s="529"/>
    </row>
    <row r="85" spans="1:11" ht="5.25" customHeight="1" thickBot="1" x14ac:dyDescent="0.3">
      <c r="A85" s="510"/>
      <c r="B85" s="530"/>
      <c r="C85" s="530"/>
      <c r="D85" s="530"/>
      <c r="E85" s="530"/>
      <c r="F85" s="530"/>
      <c r="G85" s="530"/>
      <c r="H85" s="530"/>
      <c r="I85" s="530"/>
    </row>
    <row r="86" spans="1:11" ht="38.25" customHeight="1" x14ac:dyDescent="0.25">
      <c r="A86" s="512" t="s">
        <v>852</v>
      </c>
      <c r="B86" s="692" t="s">
        <v>906</v>
      </c>
      <c r="C86" s="692"/>
      <c r="D86" s="692"/>
      <c r="E86" s="692"/>
      <c r="F86" s="692"/>
      <c r="G86" s="692"/>
      <c r="H86" s="692"/>
      <c r="I86" s="693"/>
    </row>
    <row r="87" spans="1:11" ht="38.25" customHeight="1" thickBot="1" x14ac:dyDescent="0.3">
      <c r="A87" s="513" t="s">
        <v>854</v>
      </c>
      <c r="B87" s="514" t="s">
        <v>907</v>
      </c>
      <c r="C87" s="514"/>
      <c r="D87" s="514"/>
      <c r="E87" s="514"/>
      <c r="F87" s="515"/>
      <c r="G87" s="515"/>
      <c r="H87" s="515"/>
      <c r="I87" s="516"/>
    </row>
    <row r="88" spans="1:11" ht="6.75" customHeight="1" x14ac:dyDescent="0.25">
      <c r="A88" s="510"/>
      <c r="B88" s="530"/>
      <c r="C88" s="530"/>
      <c r="D88" s="530"/>
      <c r="E88" s="530"/>
      <c r="F88" s="530"/>
      <c r="G88" s="530"/>
      <c r="H88" s="530"/>
      <c r="I88" s="530"/>
    </row>
    <row r="89" spans="1:11" ht="21" customHeight="1" x14ac:dyDescent="0.25">
      <c r="A89" s="510" t="s">
        <v>908</v>
      </c>
    </row>
    <row r="90" spans="1:11" ht="4.95" customHeight="1" x14ac:dyDescent="0.25"/>
    <row r="91" spans="1:11" ht="54" customHeight="1" x14ac:dyDescent="0.25">
      <c r="A91" s="561"/>
      <c r="B91" s="562" t="s">
        <v>909</v>
      </c>
      <c r="C91" s="562" t="s">
        <v>910</v>
      </c>
      <c r="D91" s="355" t="s">
        <v>911</v>
      </c>
    </row>
    <row r="92" spans="1:11" ht="22.2" customHeight="1" x14ac:dyDescent="0.25">
      <c r="A92" s="519" t="s">
        <v>912</v>
      </c>
      <c r="B92" s="563"/>
      <c r="C92" s="356" t="e">
        <f>B92/$B$99</f>
        <v>#DIV/0!</v>
      </c>
      <c r="D92" s="357">
        <v>7.0000000000000007E-2</v>
      </c>
    </row>
    <row r="93" spans="1:11" ht="22.2" customHeight="1" x14ac:dyDescent="0.25">
      <c r="A93" s="519" t="s">
        <v>11</v>
      </c>
      <c r="B93" s="563"/>
      <c r="C93" s="356" t="e">
        <f t="shared" ref="C93:C99" si="9">B93/$B$99</f>
        <v>#DIV/0!</v>
      </c>
      <c r="D93" s="494">
        <v>0.01</v>
      </c>
      <c r="K93" s="696" t="s">
        <v>913</v>
      </c>
    </row>
    <row r="94" spans="1:11" ht="22.2" customHeight="1" x14ac:dyDescent="0.25">
      <c r="A94" s="519" t="s">
        <v>17</v>
      </c>
      <c r="B94" s="563"/>
      <c r="C94" s="356" t="e">
        <f t="shared" si="9"/>
        <v>#DIV/0!</v>
      </c>
      <c r="D94" s="357">
        <v>0.01</v>
      </c>
      <c r="K94" s="697"/>
    </row>
    <row r="95" spans="1:11" ht="22.2" customHeight="1" x14ac:dyDescent="0.25">
      <c r="A95" s="519" t="s">
        <v>914</v>
      </c>
      <c r="B95" s="563"/>
      <c r="C95" s="356" t="e">
        <f t="shared" si="9"/>
        <v>#DIV/0!</v>
      </c>
      <c r="D95" s="493">
        <v>0.05</v>
      </c>
      <c r="K95" s="697"/>
    </row>
    <row r="96" spans="1:11" ht="22.2" customHeight="1" x14ac:dyDescent="0.25">
      <c r="A96" s="519" t="s">
        <v>23</v>
      </c>
      <c r="B96" s="563"/>
      <c r="C96" s="356" t="e">
        <f t="shared" si="9"/>
        <v>#DIV/0!</v>
      </c>
      <c r="D96" s="494">
        <v>0.37</v>
      </c>
      <c r="K96" s="697"/>
    </row>
    <row r="97" spans="1:11" ht="22.2" customHeight="1" x14ac:dyDescent="0.25">
      <c r="A97" s="519" t="s">
        <v>915</v>
      </c>
      <c r="B97" s="563"/>
      <c r="C97" s="356" t="e">
        <f t="shared" si="9"/>
        <v>#DIV/0!</v>
      </c>
      <c r="D97" s="357">
        <v>0.08</v>
      </c>
      <c r="K97" s="697" t="s">
        <v>916</v>
      </c>
    </row>
    <row r="98" spans="1:11" ht="22.2" customHeight="1" x14ac:dyDescent="0.25">
      <c r="A98" s="519" t="s">
        <v>917</v>
      </c>
      <c r="B98" s="563"/>
      <c r="C98" s="356" t="e">
        <f t="shared" si="9"/>
        <v>#DIV/0!</v>
      </c>
      <c r="D98" s="357">
        <v>0.4</v>
      </c>
      <c r="K98" s="697"/>
    </row>
    <row r="99" spans="1:11" ht="22.2" customHeight="1" x14ac:dyDescent="0.25">
      <c r="A99" s="519" t="s">
        <v>918</v>
      </c>
      <c r="B99" s="563"/>
      <c r="C99" s="356" t="e">
        <f t="shared" si="9"/>
        <v>#DIV/0!</v>
      </c>
      <c r="D99" s="358">
        <v>1</v>
      </c>
      <c r="K99" s="697"/>
    </row>
    <row r="100" spans="1:11" ht="33" customHeight="1" x14ac:dyDescent="0.25">
      <c r="A100" s="564" t="s">
        <v>919</v>
      </c>
      <c r="B100" s="359">
        <f>B99-SUM(B92:B98)</f>
        <v>0</v>
      </c>
      <c r="C100" s="360" t="e">
        <f>C99-SUM(C92:C98)</f>
        <v>#DIV/0!</v>
      </c>
      <c r="K100" s="685" t="s">
        <v>920</v>
      </c>
    </row>
    <row r="101" spans="1:11" ht="30" customHeight="1" thickBot="1" x14ac:dyDescent="0.3">
      <c r="A101" s="565" t="s">
        <v>921</v>
      </c>
      <c r="B101" s="518"/>
      <c r="C101" s="518"/>
      <c r="D101" s="518"/>
      <c r="E101" s="566"/>
      <c r="F101" s="518"/>
      <c r="G101" s="518"/>
      <c r="H101" s="518"/>
      <c r="I101" s="518"/>
      <c r="K101" s="686"/>
    </row>
    <row r="102" spans="1:11" ht="6" customHeight="1" x14ac:dyDescent="0.25">
      <c r="A102" s="509"/>
    </row>
    <row r="103" spans="1:11" ht="55.5" customHeight="1" x14ac:dyDescent="0.25">
      <c r="A103" s="549"/>
      <c r="B103" s="533" t="s">
        <v>922</v>
      </c>
      <c r="C103" s="533" t="s">
        <v>910</v>
      </c>
      <c r="D103" s="567" t="s">
        <v>911</v>
      </c>
    </row>
    <row r="104" spans="1:11" ht="26.1" customHeight="1" x14ac:dyDescent="0.25">
      <c r="A104" s="519" t="s">
        <v>1237</v>
      </c>
      <c r="B104" s="563"/>
      <c r="C104" s="356" t="e">
        <f>B104/$B$109</f>
        <v>#DIV/0!</v>
      </c>
      <c r="D104" s="357">
        <v>0.28999999999999998</v>
      </c>
    </row>
    <row r="105" spans="1:11" ht="26.1" customHeight="1" x14ac:dyDescent="0.25">
      <c r="A105" s="519" t="s">
        <v>923</v>
      </c>
      <c r="B105" s="563"/>
      <c r="C105" s="356" t="e">
        <f t="shared" ref="C105:C108" si="10">B105/$B$109</f>
        <v>#DIV/0!</v>
      </c>
      <c r="D105" s="357">
        <v>0.03</v>
      </c>
    </row>
    <row r="106" spans="1:11" ht="26.1" customHeight="1" x14ac:dyDescent="0.25">
      <c r="A106" s="519" t="s">
        <v>201</v>
      </c>
      <c r="B106" s="563"/>
      <c r="C106" s="356" t="e">
        <f t="shared" si="10"/>
        <v>#DIV/0!</v>
      </c>
      <c r="D106" s="357">
        <v>0.02</v>
      </c>
    </row>
    <row r="107" spans="1:11" ht="26.1" customHeight="1" x14ac:dyDescent="0.25">
      <c r="A107" s="519" t="s">
        <v>924</v>
      </c>
      <c r="B107" s="563"/>
      <c r="C107" s="356" t="e">
        <f t="shared" si="10"/>
        <v>#DIV/0!</v>
      </c>
      <c r="D107" s="357">
        <v>0.55000000000000004</v>
      </c>
    </row>
    <row r="108" spans="1:11" ht="26.1" customHeight="1" x14ac:dyDescent="0.25">
      <c r="A108" s="519" t="s">
        <v>925</v>
      </c>
      <c r="B108" s="563"/>
      <c r="C108" s="356" t="e">
        <f t="shared" si="10"/>
        <v>#DIV/0!</v>
      </c>
      <c r="D108" s="357">
        <v>0.1</v>
      </c>
    </row>
    <row r="109" spans="1:11" ht="26.1" customHeight="1" x14ac:dyDescent="0.25">
      <c r="A109" s="519" t="s">
        <v>926</v>
      </c>
      <c r="B109" s="563"/>
      <c r="C109" s="356" t="e">
        <f>B109/$B$109</f>
        <v>#DIV/0!</v>
      </c>
      <c r="D109" s="358">
        <v>1</v>
      </c>
    </row>
    <row r="110" spans="1:11" x14ac:dyDescent="0.25">
      <c r="A110" s="564" t="s">
        <v>919</v>
      </c>
      <c r="B110" s="361">
        <f>B109-SUM(B104:B108)</f>
        <v>0</v>
      </c>
      <c r="C110" s="360" t="e">
        <f>C109-SUM(C104:C107)</f>
        <v>#DIV/0!</v>
      </c>
    </row>
    <row r="112" spans="1:11" ht="42" customHeight="1" x14ac:dyDescent="0.25">
      <c r="A112" s="519" t="s">
        <v>927</v>
      </c>
      <c r="B112" s="356" t="e">
        <f>B109/B99</f>
        <v>#DIV/0!</v>
      </c>
      <c r="D112" s="358">
        <v>0.21</v>
      </c>
    </row>
    <row r="113" spans="1:9" ht="54.75" customHeight="1" x14ac:dyDescent="0.25">
      <c r="A113" s="689" t="s">
        <v>896</v>
      </c>
      <c r="B113" s="689"/>
      <c r="C113" s="689"/>
      <c r="D113" s="689"/>
      <c r="E113" s="689"/>
      <c r="F113" s="689"/>
      <c r="G113" s="689"/>
      <c r="H113" s="689"/>
      <c r="I113" s="689"/>
    </row>
    <row r="114" spans="1:9" ht="7.2" customHeight="1" x14ac:dyDescent="0.25"/>
    <row r="115" spans="1:9" ht="21" customHeight="1" thickBot="1" x14ac:dyDescent="0.3">
      <c r="A115" s="528" t="s">
        <v>928</v>
      </c>
      <c r="B115" s="518"/>
      <c r="C115" s="518"/>
      <c r="D115" s="518"/>
      <c r="E115" s="518"/>
      <c r="F115" s="518"/>
      <c r="G115" s="518"/>
      <c r="H115" s="518"/>
      <c r="I115" s="518"/>
    </row>
    <row r="116" spans="1:9" ht="4.5" customHeight="1" thickBot="1" x14ac:dyDescent="0.3">
      <c r="A116" s="510"/>
    </row>
    <row r="117" spans="1:9" ht="45" customHeight="1" x14ac:dyDescent="0.25">
      <c r="A117" s="512" t="s">
        <v>852</v>
      </c>
      <c r="B117" s="692" t="s">
        <v>929</v>
      </c>
      <c r="C117" s="692"/>
      <c r="D117" s="692"/>
      <c r="E117" s="692"/>
      <c r="F117" s="692"/>
      <c r="G117" s="692"/>
      <c r="H117" s="692"/>
      <c r="I117" s="693"/>
    </row>
    <row r="118" spans="1:9" ht="45" customHeight="1" thickBot="1" x14ac:dyDescent="0.3">
      <c r="A118" s="513" t="s">
        <v>854</v>
      </c>
      <c r="B118" s="694" t="s">
        <v>930</v>
      </c>
      <c r="C118" s="694"/>
      <c r="D118" s="694"/>
      <c r="E118" s="694"/>
      <c r="F118" s="694"/>
      <c r="G118" s="694"/>
      <c r="H118" s="694"/>
      <c r="I118" s="695"/>
    </row>
    <row r="119" spans="1:9" ht="4.95" customHeight="1" x14ac:dyDescent="0.25"/>
    <row r="120" spans="1:9" ht="21" customHeight="1" x14ac:dyDescent="0.25">
      <c r="A120" s="568" t="s">
        <v>931</v>
      </c>
      <c r="B120" s="362">
        <f>B99</f>
        <v>0</v>
      </c>
    </row>
    <row r="121" spans="1:9" ht="21" customHeight="1" x14ac:dyDescent="0.25">
      <c r="A121" s="568" t="s">
        <v>932</v>
      </c>
      <c r="B121" s="363"/>
      <c r="C121" s="538"/>
    </row>
    <row r="122" spans="1:9" ht="21" customHeight="1" x14ac:dyDescent="0.25">
      <c r="A122" s="568" t="s">
        <v>933</v>
      </c>
      <c r="B122" s="356" t="e">
        <f>(B120-B121)/B120</f>
        <v>#DIV/0!</v>
      </c>
    </row>
    <row r="123" spans="1:9" ht="21" customHeight="1" x14ac:dyDescent="0.25">
      <c r="A123" s="568" t="s">
        <v>934</v>
      </c>
      <c r="B123" s="356" t="e">
        <f>1-B122</f>
        <v>#DIV/0!</v>
      </c>
    </row>
    <row r="124" spans="1:9" ht="21" customHeight="1" x14ac:dyDescent="0.25">
      <c r="A124" s="569"/>
      <c r="B124" s="364"/>
    </row>
    <row r="125" spans="1:9" ht="21" customHeight="1" x14ac:dyDescent="0.25">
      <c r="A125" s="569"/>
      <c r="B125" s="364"/>
    </row>
    <row r="126" spans="1:9" ht="21" customHeight="1" x14ac:dyDescent="0.25">
      <c r="A126" s="569"/>
      <c r="B126" s="364"/>
    </row>
    <row r="127" spans="1:9" ht="21" customHeight="1" x14ac:dyDescent="0.25">
      <c r="A127" s="569"/>
      <c r="B127" s="364"/>
    </row>
    <row r="128" spans="1:9" ht="21" customHeight="1" x14ac:dyDescent="0.25">
      <c r="A128" s="569"/>
      <c r="B128" s="364"/>
    </row>
    <row r="129" spans="1:11" ht="21" customHeight="1" x14ac:dyDescent="0.25">
      <c r="A129" s="569"/>
      <c r="B129" s="364"/>
    </row>
    <row r="130" spans="1:11" ht="21" customHeight="1" x14ac:dyDescent="0.25">
      <c r="A130" s="569"/>
      <c r="B130" s="364"/>
    </row>
    <row r="131" spans="1:11" ht="48.75" customHeight="1" x14ac:dyDescent="0.25">
      <c r="A131" s="689" t="s">
        <v>935</v>
      </c>
      <c r="B131" s="689"/>
      <c r="C131" s="689"/>
      <c r="D131" s="689"/>
      <c r="E131" s="689"/>
      <c r="F131" s="689"/>
      <c r="G131" s="689"/>
      <c r="H131" s="689"/>
      <c r="I131" s="689"/>
    </row>
    <row r="132" spans="1:11" ht="7.2" customHeight="1" x14ac:dyDescent="0.25"/>
    <row r="133" spans="1:11" ht="21" customHeight="1" thickBot="1" x14ac:dyDescent="0.3">
      <c r="A133" s="528" t="s">
        <v>936</v>
      </c>
      <c r="B133" s="518"/>
      <c r="C133" s="518"/>
      <c r="D133" s="518"/>
      <c r="E133" s="518"/>
      <c r="F133" s="518"/>
      <c r="G133" s="518"/>
      <c r="H133" s="518"/>
      <c r="I133" s="518"/>
    </row>
    <row r="134" spans="1:11" ht="6" customHeight="1" thickBot="1" x14ac:dyDescent="0.3">
      <c r="A134" s="510"/>
    </row>
    <row r="135" spans="1:11" ht="39.75" customHeight="1" x14ac:dyDescent="0.25">
      <c r="A135" s="512" t="s">
        <v>852</v>
      </c>
      <c r="B135" s="692" t="s">
        <v>937</v>
      </c>
      <c r="C135" s="692"/>
      <c r="D135" s="692"/>
      <c r="E135" s="692"/>
      <c r="F135" s="692"/>
      <c r="G135" s="692"/>
      <c r="H135" s="692"/>
      <c r="I135" s="693"/>
    </row>
    <row r="136" spans="1:11" ht="39.75" customHeight="1" thickBot="1" x14ac:dyDescent="0.3">
      <c r="A136" s="513" t="s">
        <v>854</v>
      </c>
      <c r="B136" s="694" t="s">
        <v>938</v>
      </c>
      <c r="C136" s="694"/>
      <c r="D136" s="694"/>
      <c r="E136" s="694"/>
      <c r="F136" s="694"/>
      <c r="G136" s="694"/>
      <c r="H136" s="694"/>
      <c r="I136" s="695"/>
    </row>
    <row r="137" spans="1:11" ht="7.2" customHeight="1" x14ac:dyDescent="0.25"/>
    <row r="138" spans="1:11" ht="24.75" customHeight="1" x14ac:dyDescent="0.25">
      <c r="A138" s="549"/>
      <c r="B138" s="570" t="s">
        <v>939</v>
      </c>
      <c r="C138" s="570" t="s">
        <v>910</v>
      </c>
      <c r="D138" s="571" t="s">
        <v>940</v>
      </c>
    </row>
    <row r="139" spans="1:11" ht="21" customHeight="1" x14ac:dyDescent="0.25">
      <c r="A139" s="519" t="s">
        <v>941</v>
      </c>
      <c r="B139" s="363"/>
      <c r="C139" s="356" t="e">
        <f t="shared" ref="C139:C144" si="11">B139/$B$155</f>
        <v>#DIV/0!</v>
      </c>
      <c r="D139" s="572" t="e">
        <f t="shared" ref="D139:D148" si="12">RANK(B139,$B$139:$B$152,0)</f>
        <v>#N/A</v>
      </c>
      <c r="K139" s="696" t="s">
        <v>942</v>
      </c>
    </row>
    <row r="140" spans="1:11" ht="21" customHeight="1" x14ac:dyDescent="0.25">
      <c r="A140" s="519" t="s">
        <v>943</v>
      </c>
      <c r="B140" s="365"/>
      <c r="C140" s="356" t="e">
        <f t="shared" si="11"/>
        <v>#DIV/0!</v>
      </c>
      <c r="D140" s="572" t="e">
        <f t="shared" si="12"/>
        <v>#N/A</v>
      </c>
      <c r="K140" s="697"/>
    </row>
    <row r="141" spans="1:11" ht="21" customHeight="1" x14ac:dyDescent="0.25">
      <c r="A141" s="519" t="s">
        <v>944</v>
      </c>
      <c r="B141" s="363"/>
      <c r="C141" s="356" t="e">
        <f t="shared" si="11"/>
        <v>#DIV/0!</v>
      </c>
      <c r="D141" s="572" t="e">
        <f t="shared" si="12"/>
        <v>#N/A</v>
      </c>
      <c r="K141" s="697"/>
    </row>
    <row r="142" spans="1:11" ht="21" customHeight="1" x14ac:dyDescent="0.25">
      <c r="A142" s="519" t="s">
        <v>945</v>
      </c>
      <c r="B142" s="363"/>
      <c r="C142" s="356" t="e">
        <f t="shared" si="11"/>
        <v>#DIV/0!</v>
      </c>
      <c r="D142" s="572" t="e">
        <f t="shared" si="12"/>
        <v>#N/A</v>
      </c>
      <c r="K142" s="697"/>
    </row>
    <row r="143" spans="1:11" ht="21" customHeight="1" x14ac:dyDescent="0.25">
      <c r="A143" s="519" t="s">
        <v>946</v>
      </c>
      <c r="B143" s="363"/>
      <c r="C143" s="356" t="e">
        <f t="shared" si="11"/>
        <v>#DIV/0!</v>
      </c>
      <c r="D143" s="572" t="e">
        <f t="shared" si="12"/>
        <v>#N/A</v>
      </c>
      <c r="K143" s="697"/>
    </row>
    <row r="144" spans="1:11" ht="21" customHeight="1" x14ac:dyDescent="0.25">
      <c r="A144" s="519" t="s">
        <v>947</v>
      </c>
      <c r="B144" s="363"/>
      <c r="C144" s="356" t="e">
        <f t="shared" si="11"/>
        <v>#DIV/0!</v>
      </c>
      <c r="D144" s="572" t="e">
        <f t="shared" si="12"/>
        <v>#N/A</v>
      </c>
      <c r="K144" s="697"/>
    </row>
    <row r="145" spans="1:30" ht="21" customHeight="1" x14ac:dyDescent="0.25">
      <c r="A145" s="519" t="s">
        <v>948</v>
      </c>
      <c r="B145" s="363"/>
      <c r="C145" s="356" t="e">
        <f>B145/$B$155</f>
        <v>#DIV/0!</v>
      </c>
      <c r="D145" s="572" t="e">
        <f t="shared" si="12"/>
        <v>#N/A</v>
      </c>
      <c r="K145" s="697"/>
    </row>
    <row r="146" spans="1:30" ht="21" customHeight="1" x14ac:dyDescent="0.25">
      <c r="A146" s="519" t="s">
        <v>949</v>
      </c>
      <c r="B146" s="363"/>
      <c r="C146" s="356" t="e">
        <f t="shared" ref="C146:C148" si="13">B146/$B$155</f>
        <v>#DIV/0!</v>
      </c>
      <c r="D146" s="572" t="e">
        <f t="shared" si="12"/>
        <v>#N/A</v>
      </c>
      <c r="K146" s="697"/>
    </row>
    <row r="147" spans="1:30" ht="21" customHeight="1" x14ac:dyDescent="0.25">
      <c r="A147" s="519" t="s">
        <v>950</v>
      </c>
      <c r="B147" s="363"/>
      <c r="C147" s="356" t="e">
        <f t="shared" si="13"/>
        <v>#DIV/0!</v>
      </c>
      <c r="D147" s="572" t="e">
        <f t="shared" si="12"/>
        <v>#N/A</v>
      </c>
      <c r="K147" s="697"/>
    </row>
    <row r="148" spans="1:30" ht="21" customHeight="1" x14ac:dyDescent="0.25">
      <c r="A148" s="519" t="s">
        <v>951</v>
      </c>
      <c r="B148" s="363"/>
      <c r="C148" s="356" t="e">
        <f t="shared" si="13"/>
        <v>#DIV/0!</v>
      </c>
      <c r="D148" s="572" t="e">
        <f t="shared" si="12"/>
        <v>#N/A</v>
      </c>
      <c r="K148" s="697"/>
    </row>
    <row r="149" spans="1:30" ht="21" customHeight="1" x14ac:dyDescent="0.25">
      <c r="A149" s="519" t="s">
        <v>952</v>
      </c>
      <c r="B149" s="363"/>
      <c r="C149" s="356" t="e">
        <f>B149/$B$155</f>
        <v>#DIV/0!</v>
      </c>
      <c r="D149" s="572" t="e">
        <f>RANK(B149,$B$139:$B$152,0)</f>
        <v>#N/A</v>
      </c>
      <c r="K149" s="698"/>
    </row>
    <row r="150" spans="1:30" ht="22.2" customHeight="1" x14ac:dyDescent="0.25">
      <c r="A150" s="519" t="s">
        <v>953</v>
      </c>
      <c r="B150" s="363"/>
      <c r="C150" s="356" t="e">
        <f>B150/$B$155</f>
        <v>#DIV/0!</v>
      </c>
      <c r="D150" s="572" t="e">
        <f>RANK(B150,$B$139:$B$152,0)</f>
        <v>#N/A</v>
      </c>
      <c r="E150" s="538"/>
      <c r="K150" s="573"/>
    </row>
    <row r="151" spans="1:30" ht="22.2" customHeight="1" x14ac:dyDescent="0.25">
      <c r="A151" s="519" t="s">
        <v>954</v>
      </c>
      <c r="B151" s="363"/>
      <c r="C151" s="356" t="e">
        <f>B151/$B$155</f>
        <v>#DIV/0!</v>
      </c>
      <c r="D151" s="572" t="e">
        <f>RANK(B151,$B$139:$B$152,0)</f>
        <v>#N/A</v>
      </c>
      <c r="E151" s="538"/>
      <c r="K151" s="573"/>
    </row>
    <row r="152" spans="1:30" ht="17.399999999999999" customHeight="1" x14ac:dyDescent="0.25">
      <c r="A152" s="519" t="s">
        <v>955</v>
      </c>
      <c r="B152" s="363"/>
      <c r="C152" s="356" t="e">
        <f>B152/$B$155</f>
        <v>#DIV/0!</v>
      </c>
      <c r="D152" s="572" t="e">
        <f>RANK(B152,$B$139:$B$152,0)</f>
        <v>#N/A</v>
      </c>
      <c r="K152" s="573"/>
    </row>
    <row r="153" spans="1:30" ht="15.6" hidden="1" customHeight="1" x14ac:dyDescent="0.25">
      <c r="A153" s="549" t="s">
        <v>956</v>
      </c>
      <c r="B153" s="366">
        <f>SUM(B139:B152)</f>
        <v>0</v>
      </c>
      <c r="C153" s="367" t="e">
        <f>SUM(C138:C152)</f>
        <v>#DIV/0!</v>
      </c>
      <c r="D153" s="574"/>
      <c r="K153" s="575"/>
    </row>
    <row r="154" spans="1:30" x14ac:dyDescent="0.25">
      <c r="A154" s="556"/>
      <c r="B154" s="556"/>
      <c r="C154" s="556"/>
      <c r="D154" s="556"/>
      <c r="E154" s="556"/>
      <c r="F154" s="556"/>
      <c r="G154" s="556"/>
      <c r="H154" s="556"/>
      <c r="I154" s="556"/>
    </row>
    <row r="155" spans="1:30" s="556" customFormat="1" ht="19.95" customHeight="1" x14ac:dyDescent="0.25">
      <c r="A155" s="549" t="s">
        <v>957</v>
      </c>
      <c r="B155" s="366">
        <f>B99</f>
        <v>0</v>
      </c>
      <c r="C155" s="367">
        <v>1</v>
      </c>
      <c r="D155" s="574"/>
      <c r="E155" s="497"/>
      <c r="F155" s="497"/>
      <c r="G155" s="497"/>
      <c r="H155" s="497"/>
      <c r="I155" s="497"/>
      <c r="J155" s="523"/>
      <c r="K155" s="555"/>
      <c r="L155" s="523"/>
      <c r="N155" s="497"/>
      <c r="O155" s="497"/>
      <c r="P155" s="497"/>
      <c r="Q155" s="497"/>
      <c r="R155" s="497"/>
      <c r="S155" s="497"/>
      <c r="T155" s="497"/>
      <c r="U155" s="497"/>
      <c r="V155" s="497"/>
      <c r="W155" s="497"/>
      <c r="X155" s="497"/>
      <c r="Y155" s="497"/>
      <c r="Z155" s="497"/>
      <c r="AA155" s="497"/>
      <c r="AB155" s="497"/>
      <c r="AC155" s="497"/>
      <c r="AD155" s="497"/>
    </row>
    <row r="156" spans="1:30" s="576" customFormat="1" ht="43.5" customHeight="1" x14ac:dyDescent="0.25">
      <c r="A156" s="689" t="s">
        <v>896</v>
      </c>
      <c r="B156" s="689"/>
      <c r="C156" s="689"/>
      <c r="D156" s="689"/>
      <c r="E156" s="689"/>
      <c r="F156" s="689"/>
      <c r="G156" s="689"/>
      <c r="H156" s="689"/>
      <c r="I156" s="689"/>
      <c r="K156" s="577"/>
    </row>
    <row r="157" spans="1:30" ht="14.25" customHeight="1" x14ac:dyDescent="0.25"/>
    <row r="158" spans="1:30" ht="21.6" customHeight="1" thickBot="1" x14ac:dyDescent="0.3">
      <c r="A158" s="528" t="s">
        <v>958</v>
      </c>
      <c r="B158" s="518"/>
      <c r="C158" s="518"/>
      <c r="D158" s="518"/>
      <c r="E158" s="518"/>
      <c r="F158" s="518"/>
      <c r="G158" s="518"/>
      <c r="H158" s="518"/>
      <c r="I158" s="518"/>
    </row>
    <row r="159" spans="1:30" ht="5.25" customHeight="1" thickBot="1" x14ac:dyDescent="0.3">
      <c r="A159" s="510"/>
    </row>
    <row r="160" spans="1:30" ht="41.25" customHeight="1" x14ac:dyDescent="0.25">
      <c r="A160" s="512" t="s">
        <v>852</v>
      </c>
      <c r="B160" s="692" t="s">
        <v>959</v>
      </c>
      <c r="C160" s="692"/>
      <c r="D160" s="692"/>
      <c r="E160" s="692"/>
      <c r="F160" s="692"/>
      <c r="G160" s="692"/>
      <c r="H160" s="692"/>
      <c r="I160" s="693"/>
    </row>
    <row r="161" spans="1:11" ht="41.25" customHeight="1" thickBot="1" x14ac:dyDescent="0.3">
      <c r="A161" s="513" t="s">
        <v>854</v>
      </c>
      <c r="B161" s="694" t="s">
        <v>960</v>
      </c>
      <c r="C161" s="694"/>
      <c r="D161" s="694"/>
      <c r="E161" s="694"/>
      <c r="F161" s="694"/>
      <c r="G161" s="694"/>
      <c r="H161" s="694"/>
      <c r="I161" s="695"/>
    </row>
    <row r="162" spans="1:11" ht="7.2" customHeight="1" x14ac:dyDescent="0.25"/>
    <row r="163" spans="1:11" ht="21" customHeight="1" x14ac:dyDescent="0.25">
      <c r="A163" s="578" t="s">
        <v>961</v>
      </c>
      <c r="B163" s="523"/>
      <c r="C163" s="523"/>
      <c r="D163" s="523"/>
      <c r="E163" s="523"/>
      <c r="F163" s="523"/>
      <c r="G163" s="523"/>
      <c r="H163" s="523"/>
      <c r="I163" s="579"/>
    </row>
    <row r="164" spans="1:11" ht="3.6" customHeight="1" x14ac:dyDescent="0.25">
      <c r="A164" s="578"/>
      <c r="B164" s="523"/>
      <c r="C164" s="523"/>
      <c r="D164" s="523"/>
      <c r="E164" s="523"/>
      <c r="F164" s="523"/>
      <c r="G164" s="523"/>
      <c r="H164" s="523"/>
      <c r="I164" s="523"/>
    </row>
    <row r="165" spans="1:11" ht="33" customHeight="1" x14ac:dyDescent="0.25">
      <c r="A165" s="580" t="s">
        <v>962</v>
      </c>
      <c r="B165" s="533" t="s">
        <v>963</v>
      </c>
      <c r="C165" s="533" t="s">
        <v>6</v>
      </c>
      <c r="D165" s="533" t="s">
        <v>21</v>
      </c>
      <c r="E165" s="533" t="s">
        <v>885</v>
      </c>
      <c r="F165" s="533" t="s">
        <v>964</v>
      </c>
      <c r="G165" s="533" t="s">
        <v>51</v>
      </c>
      <c r="H165" s="533" t="s">
        <v>55</v>
      </c>
      <c r="I165" s="533" t="s">
        <v>965</v>
      </c>
      <c r="K165" s="642" t="s">
        <v>966</v>
      </c>
    </row>
    <row r="166" spans="1:11" ht="20.399999999999999" customHeight="1" x14ac:dyDescent="0.25">
      <c r="A166" s="581">
        <f>+B17</f>
        <v>0</v>
      </c>
      <c r="B166" s="582"/>
      <c r="C166" s="582"/>
      <c r="D166" s="582"/>
      <c r="E166" s="582"/>
      <c r="F166" s="582"/>
      <c r="G166" s="582"/>
      <c r="H166" s="582"/>
      <c r="I166" s="583"/>
      <c r="K166" s="584">
        <f>B166-SUM(C166:I166)</f>
        <v>0</v>
      </c>
    </row>
    <row r="167" spans="1:11" ht="26.25" customHeight="1" x14ac:dyDescent="0.25"/>
    <row r="183" spans="1:11" ht="20.399999999999999" customHeight="1" x14ac:dyDescent="0.25">
      <c r="A183" s="585" t="s">
        <v>967</v>
      </c>
      <c r="B183" s="368"/>
      <c r="C183" s="368"/>
      <c r="D183" s="368"/>
      <c r="E183" s="368"/>
      <c r="F183" s="368"/>
      <c r="G183" s="368"/>
      <c r="H183" s="368"/>
      <c r="I183" s="368"/>
    </row>
    <row r="184" spans="1:11" ht="4.95" customHeight="1" x14ac:dyDescent="0.25">
      <c r="K184" s="696" t="s">
        <v>968</v>
      </c>
    </row>
    <row r="185" spans="1:11" ht="28.95" customHeight="1" x14ac:dyDescent="0.25">
      <c r="A185" s="548" t="s">
        <v>969</v>
      </c>
      <c r="B185" s="533" t="str">
        <f>B165</f>
        <v>Tous flux</v>
      </c>
      <c r="C185" s="533" t="str">
        <f t="shared" ref="C185:F185" si="14">C165</f>
        <v>OMR</v>
      </c>
      <c r="D185" s="533" t="str">
        <f t="shared" si="14"/>
        <v>Verre</v>
      </c>
      <c r="E185" s="533" t="str">
        <f t="shared" si="14"/>
        <v>Recyclables 
hors verre</v>
      </c>
      <c r="F185" s="533" t="str">
        <f t="shared" si="14"/>
        <v xml:space="preserve"> Déchèteries</v>
      </c>
      <c r="G185" s="533" t="s">
        <v>51</v>
      </c>
      <c r="H185" s="533" t="s">
        <v>55</v>
      </c>
      <c r="I185" s="533" t="str">
        <f>I165</f>
        <v>Autres flux</v>
      </c>
      <c r="K185" s="697"/>
    </row>
    <row r="186" spans="1:11" ht="26.25" customHeight="1" x14ac:dyDescent="0.25">
      <c r="A186" s="581">
        <f>B17</f>
        <v>0</v>
      </c>
      <c r="B186" s="586"/>
      <c r="C186" s="586"/>
      <c r="D186" s="586"/>
      <c r="E186" s="586"/>
      <c r="F186" s="586"/>
      <c r="G186" s="586"/>
      <c r="H186" s="586"/>
      <c r="I186" s="587"/>
      <c r="K186" s="698"/>
    </row>
    <row r="187" spans="1:11" ht="25.5" hidden="1" customHeight="1" x14ac:dyDescent="0.25">
      <c r="A187" s="509" t="s">
        <v>970</v>
      </c>
      <c r="B187" s="700" t="s">
        <v>971</v>
      </c>
      <c r="C187" s="701"/>
      <c r="D187" s="702"/>
      <c r="E187" s="588"/>
      <c r="F187" s="589"/>
      <c r="G187" s="589"/>
      <c r="H187" s="589"/>
      <c r="I187" s="589"/>
      <c r="K187" s="699"/>
    </row>
    <row r="188" spans="1:11" ht="39" hidden="1" customHeight="1" x14ac:dyDescent="0.25">
      <c r="A188" s="590" t="str">
        <f>$A$333</f>
        <v>Référentiel national ADEME 2021 (Données 2018) - Ratio kg/hab.</v>
      </c>
      <c r="B188" s="369" t="e">
        <f>SUMIF(#REF!,$B187,#REF!)</f>
        <v>#REF!</v>
      </c>
      <c r="C188" s="369" t="e">
        <f>SUMIF(#REF!,$B187,#REF!)</f>
        <v>#REF!</v>
      </c>
      <c r="D188" s="369" t="e">
        <f>SUMIF(#REF!,$B187,#REF!)</f>
        <v>#REF!</v>
      </c>
      <c r="E188" s="370"/>
      <c r="F188" s="371"/>
      <c r="G188" s="371"/>
      <c r="H188" s="371"/>
      <c r="I188" s="371"/>
      <c r="K188" s="699"/>
    </row>
    <row r="189" spans="1:11" ht="25.5" hidden="1" customHeight="1" x14ac:dyDescent="0.25">
      <c r="A189" s="591" t="s">
        <v>972</v>
      </c>
      <c r="B189" s="372" t="e">
        <f>B$166-B188</f>
        <v>#REF!</v>
      </c>
      <c r="C189" s="372" t="e">
        <f>C$166-C188</f>
        <v>#REF!</v>
      </c>
      <c r="D189" s="372" t="e">
        <f>D$166-D188</f>
        <v>#REF!</v>
      </c>
      <c r="E189" s="373"/>
      <c r="F189" s="374"/>
      <c r="G189" s="374"/>
      <c r="H189" s="374"/>
      <c r="I189" s="374"/>
      <c r="K189" s="699"/>
    </row>
    <row r="190" spans="1:11" ht="26.25" hidden="1" customHeight="1" x14ac:dyDescent="0.25">
      <c r="A190" s="591" t="s">
        <v>973</v>
      </c>
      <c r="B190" s="375" t="e">
        <f>(B$166-B188)/B188</f>
        <v>#REF!</v>
      </c>
      <c r="C190" s="375" t="e">
        <f>(C$166-C188)/C188</f>
        <v>#REF!</v>
      </c>
      <c r="D190" s="375" t="e">
        <f>(D$166-D188)/D188</f>
        <v>#REF!</v>
      </c>
      <c r="E190" s="376"/>
      <c r="F190" s="377"/>
      <c r="G190" s="377"/>
      <c r="H190" s="377"/>
      <c r="I190" s="377"/>
      <c r="K190" s="699"/>
    </row>
    <row r="191" spans="1:11" ht="25.5" hidden="1" customHeight="1" x14ac:dyDescent="0.25">
      <c r="A191" s="509" t="s">
        <v>970</v>
      </c>
      <c r="B191" s="700" t="s">
        <v>974</v>
      </c>
      <c r="C191" s="701"/>
      <c r="D191" s="702"/>
      <c r="E191" s="592"/>
      <c r="F191" s="593"/>
      <c r="G191" s="593"/>
      <c r="H191" s="593"/>
      <c r="I191" s="593"/>
      <c r="K191" s="699"/>
    </row>
    <row r="192" spans="1:11" ht="39" hidden="1" customHeight="1" x14ac:dyDescent="0.25">
      <c r="A192" s="590" t="str">
        <f>$A$333</f>
        <v>Référentiel national ADEME 2021 (Données 2018) - Ratio kg/hab.</v>
      </c>
      <c r="B192" s="369" t="e">
        <f>SUMIF(#REF!,$B191,#REF!)</f>
        <v>#REF!</v>
      </c>
      <c r="C192" s="369" t="e">
        <f>SUMIF(#REF!,$B191,#REF!)</f>
        <v>#REF!</v>
      </c>
      <c r="D192" s="369" t="e">
        <f>SUMIF(#REF!,$B191,#REF!)</f>
        <v>#REF!</v>
      </c>
      <c r="E192" s="370"/>
      <c r="F192" s="371"/>
      <c r="G192" s="371"/>
      <c r="H192" s="371"/>
      <c r="I192" s="371"/>
      <c r="K192" s="699"/>
    </row>
    <row r="193" spans="1:13" ht="25.5" hidden="1" customHeight="1" x14ac:dyDescent="0.25">
      <c r="A193" s="591" t="s">
        <v>972</v>
      </c>
      <c r="B193" s="372" t="e">
        <f>B$166-B192</f>
        <v>#REF!</v>
      </c>
      <c r="C193" s="372" t="e">
        <f>C$166-C192</f>
        <v>#REF!</v>
      </c>
      <c r="D193" s="372" t="e">
        <f>D$166-D192</f>
        <v>#REF!</v>
      </c>
      <c r="E193" s="373"/>
      <c r="F193" s="374"/>
      <c r="G193" s="374"/>
      <c r="H193" s="374"/>
      <c r="I193" s="374"/>
      <c r="K193" s="699"/>
    </row>
    <row r="194" spans="1:13" ht="26.25" hidden="1" customHeight="1" x14ac:dyDescent="0.25">
      <c r="A194" s="591" t="s">
        <v>973</v>
      </c>
      <c r="B194" s="375" t="e">
        <f>(B$166-B192)/B192</f>
        <v>#REF!</v>
      </c>
      <c r="C194" s="375" t="e">
        <f>(C$166-C192)/C192</f>
        <v>#REF!</v>
      </c>
      <c r="D194" s="375" t="e">
        <f>(D$166-D192)/D192</f>
        <v>#REF!</v>
      </c>
      <c r="E194" s="376"/>
      <c r="F194" s="377"/>
      <c r="G194" s="377"/>
      <c r="H194" s="377"/>
      <c r="I194" s="377"/>
      <c r="K194" s="699"/>
    </row>
    <row r="195" spans="1:13" ht="25.5" hidden="1" customHeight="1" x14ac:dyDescent="0.25">
      <c r="A195" s="509" t="s">
        <v>970</v>
      </c>
      <c r="B195" s="700" t="s">
        <v>974</v>
      </c>
      <c r="C195" s="701"/>
      <c r="D195" s="702"/>
      <c r="E195" s="592"/>
      <c r="F195" s="593"/>
      <c r="G195" s="593"/>
      <c r="H195" s="593"/>
      <c r="I195" s="593"/>
      <c r="K195" s="699"/>
    </row>
    <row r="196" spans="1:13" ht="39" hidden="1" customHeight="1" x14ac:dyDescent="0.25">
      <c r="A196" s="590" t="str">
        <f>$A$333</f>
        <v>Référentiel national ADEME 2021 (Données 2018) - Ratio kg/hab.</v>
      </c>
      <c r="B196" s="369" t="e">
        <f>SUMIF(#REF!,$B195,#REF!)</f>
        <v>#REF!</v>
      </c>
      <c r="C196" s="369" t="e">
        <f>SUMIF(#REF!,$B195,#REF!)</f>
        <v>#REF!</v>
      </c>
      <c r="D196" s="369" t="e">
        <f>SUMIF(#REF!,$B195,#REF!)</f>
        <v>#REF!</v>
      </c>
      <c r="E196" s="370"/>
      <c r="F196" s="371"/>
      <c r="G196" s="371"/>
      <c r="H196" s="371"/>
      <c r="I196" s="371"/>
      <c r="K196" s="699"/>
    </row>
    <row r="197" spans="1:13" ht="25.5" hidden="1" customHeight="1" x14ac:dyDescent="0.25">
      <c r="A197" s="591" t="s">
        <v>972</v>
      </c>
      <c r="B197" s="372" t="e">
        <f>B$166-B196</f>
        <v>#REF!</v>
      </c>
      <c r="C197" s="372" t="e">
        <f>C$166-C196</f>
        <v>#REF!</v>
      </c>
      <c r="D197" s="372" t="e">
        <f>D$166-D196</f>
        <v>#REF!</v>
      </c>
      <c r="E197" s="373"/>
      <c r="F197" s="374"/>
      <c r="G197" s="374"/>
      <c r="H197" s="374"/>
      <c r="I197" s="374"/>
      <c r="K197" s="699"/>
    </row>
    <row r="198" spans="1:13" ht="26.25" hidden="1" customHeight="1" x14ac:dyDescent="0.25">
      <c r="A198" s="591" t="s">
        <v>973</v>
      </c>
      <c r="B198" s="375" t="e">
        <f>(B$166-B196)/B196</f>
        <v>#REF!</v>
      </c>
      <c r="C198" s="375" t="e">
        <f>(C$166-C196)/C196</f>
        <v>#REF!</v>
      </c>
      <c r="D198" s="375" t="e">
        <f>(D$166-D196)/D196</f>
        <v>#REF!</v>
      </c>
      <c r="E198" s="376"/>
      <c r="F198" s="377"/>
      <c r="G198" s="377"/>
      <c r="H198" s="377"/>
      <c r="I198" s="377"/>
      <c r="K198" s="699"/>
    </row>
    <row r="199" spans="1:13" ht="44.4" customHeight="1" x14ac:dyDescent="0.25">
      <c r="A199" s="689" t="s">
        <v>896</v>
      </c>
      <c r="B199" s="689"/>
      <c r="C199" s="689"/>
      <c r="D199" s="689"/>
      <c r="E199" s="689"/>
      <c r="F199" s="689"/>
      <c r="G199" s="689"/>
      <c r="H199" s="689"/>
      <c r="I199" s="689"/>
      <c r="K199" s="691"/>
    </row>
    <row r="200" spans="1:13" ht="21" customHeight="1" x14ac:dyDescent="0.3">
      <c r="A200" s="594"/>
    </row>
    <row r="206" spans="1:13" x14ac:dyDescent="0.25">
      <c r="J206" s="538"/>
      <c r="M206" s="538"/>
    </row>
    <row r="215" spans="1:11" ht="21.6" customHeight="1" thickBot="1" x14ac:dyDescent="0.3">
      <c r="A215" s="528" t="s">
        <v>975</v>
      </c>
      <c r="B215" s="518"/>
      <c r="C215" s="518"/>
      <c r="D215" s="518"/>
      <c r="E215" s="518"/>
      <c r="F215" s="518"/>
      <c r="G215" s="518"/>
      <c r="H215" s="518"/>
      <c r="I215" s="518"/>
    </row>
    <row r="216" spans="1:11" ht="3" customHeight="1" thickBot="1" x14ac:dyDescent="0.3">
      <c r="A216" s="595"/>
      <c r="B216" s="523"/>
      <c r="C216" s="523"/>
      <c r="D216" s="523"/>
      <c r="E216" s="523"/>
      <c r="F216" s="523"/>
      <c r="G216" s="523"/>
      <c r="H216" s="523"/>
      <c r="I216" s="523"/>
    </row>
    <row r="217" spans="1:11" ht="52.5" customHeight="1" x14ac:dyDescent="0.25">
      <c r="A217" s="512" t="s">
        <v>852</v>
      </c>
      <c r="B217" s="692" t="s">
        <v>976</v>
      </c>
      <c r="C217" s="692"/>
      <c r="D217" s="692"/>
      <c r="E217" s="692"/>
      <c r="F217" s="692"/>
      <c r="G217" s="692"/>
      <c r="H217" s="692"/>
      <c r="I217" s="693"/>
    </row>
    <row r="218" spans="1:11" ht="52.5" customHeight="1" thickBot="1" x14ac:dyDescent="0.3">
      <c r="A218" s="513" t="s">
        <v>854</v>
      </c>
      <c r="B218" s="694" t="s">
        <v>960</v>
      </c>
      <c r="C218" s="694"/>
      <c r="D218" s="694"/>
      <c r="E218" s="694"/>
      <c r="F218" s="694"/>
      <c r="G218" s="694"/>
      <c r="H218" s="694"/>
      <c r="I218" s="695"/>
    </row>
    <row r="219" spans="1:11" ht="3" customHeight="1" x14ac:dyDescent="0.25">
      <c r="A219" s="595"/>
      <c r="B219" s="523"/>
      <c r="C219" s="523"/>
      <c r="D219" s="523"/>
      <c r="E219" s="523"/>
      <c r="F219" s="523"/>
      <c r="G219" s="523"/>
      <c r="H219" s="523"/>
      <c r="I219" s="523"/>
    </row>
    <row r="220" spans="1:11" ht="20.399999999999999" customHeight="1" x14ac:dyDescent="0.25">
      <c r="A220" s="585" t="s">
        <v>977</v>
      </c>
      <c r="B220" s="368"/>
      <c r="C220" s="368"/>
      <c r="D220" s="368"/>
      <c r="E220" s="368"/>
      <c r="F220" s="368"/>
      <c r="G220" s="368"/>
      <c r="H220" s="368"/>
      <c r="I220" s="368"/>
    </row>
    <row r="221" spans="1:11" ht="4.95" customHeight="1" x14ac:dyDescent="0.25">
      <c r="A221" s="595"/>
      <c r="B221" s="368"/>
      <c r="C221" s="368"/>
      <c r="D221" s="368"/>
      <c r="E221" s="368"/>
      <c r="F221" s="368"/>
      <c r="G221" s="368"/>
      <c r="H221" s="368"/>
      <c r="I221" s="368"/>
    </row>
    <row r="222" spans="1:11" ht="33" customHeight="1" x14ac:dyDescent="0.25">
      <c r="A222" s="596" t="s">
        <v>962</v>
      </c>
      <c r="B222" s="570" t="s">
        <v>963</v>
      </c>
      <c r="C222" s="570" t="s">
        <v>6</v>
      </c>
      <c r="D222" s="570" t="s">
        <v>21</v>
      </c>
      <c r="E222" s="570" t="s">
        <v>978</v>
      </c>
      <c r="F222" s="570" t="s">
        <v>964</v>
      </c>
      <c r="G222" s="570" t="s">
        <v>51</v>
      </c>
      <c r="H222" s="570" t="s">
        <v>55</v>
      </c>
      <c r="I222" s="570" t="s">
        <v>965</v>
      </c>
    </row>
    <row r="223" spans="1:11" ht="20.399999999999999" customHeight="1" x14ac:dyDescent="0.25">
      <c r="A223" s="591">
        <f>B17</f>
        <v>0</v>
      </c>
      <c r="B223" s="597">
        <f>B166</f>
        <v>0</v>
      </c>
      <c r="C223" s="597">
        <f t="shared" ref="C223:I223" si="15">C166</f>
        <v>0</v>
      </c>
      <c r="D223" s="597">
        <f t="shared" si="15"/>
        <v>0</v>
      </c>
      <c r="E223" s="597">
        <f t="shared" si="15"/>
        <v>0</v>
      </c>
      <c r="F223" s="597">
        <f t="shared" si="15"/>
        <v>0</v>
      </c>
      <c r="G223" s="597">
        <f t="shared" si="15"/>
        <v>0</v>
      </c>
      <c r="H223" s="597">
        <f t="shared" si="15"/>
        <v>0</v>
      </c>
      <c r="I223" s="597">
        <f t="shared" si="15"/>
        <v>0</v>
      </c>
      <c r="K223" s="584"/>
    </row>
    <row r="224" spans="1:11" ht="20.399999999999999" customHeight="1" x14ac:dyDescent="0.25">
      <c r="A224" s="509" t="s">
        <v>979</v>
      </c>
      <c r="B224" s="703" t="s">
        <v>980</v>
      </c>
      <c r="C224" s="703"/>
      <c r="D224" s="703"/>
      <c r="E224" s="703"/>
      <c r="F224" s="703"/>
      <c r="G224" s="703"/>
      <c r="H224" s="703"/>
      <c r="I224" s="703"/>
      <c r="K224" s="691" t="s">
        <v>981</v>
      </c>
    </row>
    <row r="225" spans="1:11" ht="39" customHeight="1" x14ac:dyDescent="0.25">
      <c r="A225" s="591" t="str">
        <f>$A$341</f>
        <v>Référentiel national ADEME 2021 (Données 2018) Ratio Coût aidé €HT/hab.</v>
      </c>
      <c r="B225" s="598">
        <f t="shared" ref="B225:H225" si="16">SUMIF($A$342:$A$347,$B224,C$342:C$347)</f>
        <v>85.974450000000004</v>
      </c>
      <c r="C225" s="598">
        <f t="shared" si="16"/>
        <v>48.885849999999998</v>
      </c>
      <c r="D225" s="599">
        <f t="shared" si="16"/>
        <v>0.96635000000000004</v>
      </c>
      <c r="E225" s="598">
        <f t="shared" si="16"/>
        <v>8.0428500000000014</v>
      </c>
      <c r="F225" s="598">
        <f t="shared" si="16"/>
        <v>24.815200000000001</v>
      </c>
      <c r="G225" s="598">
        <f t="shared" si="16"/>
        <v>6.9</v>
      </c>
      <c r="H225" s="598">
        <f t="shared" si="16"/>
        <v>1.2</v>
      </c>
      <c r="I225" s="598">
        <f>SUMIF($A$342:$A$347,$B224,K$342:K$347)</f>
        <v>18.2</v>
      </c>
      <c r="K225" s="691"/>
    </row>
    <row r="226" spans="1:11" ht="20.399999999999999" customHeight="1" x14ac:dyDescent="0.25">
      <c r="A226" s="591" t="s">
        <v>982</v>
      </c>
      <c r="B226" s="600">
        <f>B$166-B225</f>
        <v>-85.974450000000004</v>
      </c>
      <c r="C226" s="600">
        <f t="shared" ref="C226:I226" si="17">C$166-C225</f>
        <v>-48.885849999999998</v>
      </c>
      <c r="D226" s="600">
        <f t="shared" si="17"/>
        <v>-0.96635000000000004</v>
      </c>
      <c r="E226" s="600">
        <f t="shared" si="17"/>
        <v>-8.0428500000000014</v>
      </c>
      <c r="F226" s="600">
        <f t="shared" si="17"/>
        <v>-24.815200000000001</v>
      </c>
      <c r="G226" s="600">
        <f t="shared" si="17"/>
        <v>-6.9</v>
      </c>
      <c r="H226" s="600">
        <f t="shared" si="17"/>
        <v>-1.2</v>
      </c>
      <c r="I226" s="600">
        <f t="shared" si="17"/>
        <v>-18.2</v>
      </c>
      <c r="K226" s="691"/>
    </row>
    <row r="227" spans="1:11" ht="20.399999999999999" customHeight="1" x14ac:dyDescent="0.25">
      <c r="A227" s="591" t="s">
        <v>973</v>
      </c>
      <c r="B227" s="352">
        <f t="shared" ref="B227:I227" si="18">(B$166-B225)/B225</f>
        <v>-1</v>
      </c>
      <c r="C227" s="352">
        <f t="shared" si="18"/>
        <v>-1</v>
      </c>
      <c r="D227" s="352">
        <f t="shared" si="18"/>
        <v>-1</v>
      </c>
      <c r="E227" s="352">
        <f t="shared" si="18"/>
        <v>-1</v>
      </c>
      <c r="F227" s="352">
        <f t="shared" si="18"/>
        <v>-1</v>
      </c>
      <c r="G227" s="352">
        <f t="shared" si="18"/>
        <v>-1</v>
      </c>
      <c r="H227" s="352">
        <f t="shared" si="18"/>
        <v>-1</v>
      </c>
      <c r="I227" s="352">
        <f t="shared" si="18"/>
        <v>-1</v>
      </c>
    </row>
    <row r="228" spans="1:11" ht="20.399999999999999" customHeight="1" x14ac:dyDescent="0.25">
      <c r="A228" s="509" t="s">
        <v>979</v>
      </c>
      <c r="B228" s="690" t="s">
        <v>980</v>
      </c>
      <c r="C228" s="690"/>
      <c r="D228" s="690"/>
      <c r="E228" s="690"/>
      <c r="F228" s="690"/>
      <c r="G228" s="690"/>
      <c r="H228" s="690"/>
      <c r="I228" s="690"/>
    </row>
    <row r="229" spans="1:11" ht="38.25" customHeight="1" x14ac:dyDescent="0.25">
      <c r="A229" s="591" t="str">
        <f>A225</f>
        <v>Référentiel national ADEME 2021 (Données 2018) Ratio Coût aidé €HT/hab.</v>
      </c>
      <c r="B229" s="598">
        <f t="shared" ref="B229:H229" si="19">SUMIF($A$342:$A$347,$B228,C$342:C$347)</f>
        <v>85.974450000000004</v>
      </c>
      <c r="C229" s="598">
        <f t="shared" si="19"/>
        <v>48.885849999999998</v>
      </c>
      <c r="D229" s="599">
        <f t="shared" si="19"/>
        <v>0.96635000000000004</v>
      </c>
      <c r="E229" s="598">
        <f t="shared" si="19"/>
        <v>8.0428500000000014</v>
      </c>
      <c r="F229" s="598">
        <f t="shared" si="19"/>
        <v>24.815200000000001</v>
      </c>
      <c r="G229" s="598">
        <f t="shared" si="19"/>
        <v>6.9</v>
      </c>
      <c r="H229" s="598">
        <f t="shared" si="19"/>
        <v>1.2</v>
      </c>
      <c r="I229" s="598">
        <f>SUMIF($A$342:$A$347,$B228,K$342:K$347)</f>
        <v>18.2</v>
      </c>
    </row>
    <row r="230" spans="1:11" ht="20.399999999999999" customHeight="1" x14ac:dyDescent="0.25">
      <c r="A230" s="591" t="s">
        <v>982</v>
      </c>
      <c r="B230" s="600">
        <f t="shared" ref="B230:I230" si="20">B$166-B229</f>
        <v>-85.974450000000004</v>
      </c>
      <c r="C230" s="600">
        <f t="shared" si="20"/>
        <v>-48.885849999999998</v>
      </c>
      <c r="D230" s="600">
        <f t="shared" si="20"/>
        <v>-0.96635000000000004</v>
      </c>
      <c r="E230" s="600">
        <f t="shared" si="20"/>
        <v>-8.0428500000000014</v>
      </c>
      <c r="F230" s="600">
        <f t="shared" si="20"/>
        <v>-24.815200000000001</v>
      </c>
      <c r="G230" s="600">
        <f t="shared" si="20"/>
        <v>-6.9</v>
      </c>
      <c r="H230" s="600">
        <f t="shared" si="20"/>
        <v>-1.2</v>
      </c>
      <c r="I230" s="600">
        <f t="shared" si="20"/>
        <v>-18.2</v>
      </c>
    </row>
    <row r="231" spans="1:11" ht="20.399999999999999" customHeight="1" x14ac:dyDescent="0.25">
      <c r="A231" s="591" t="s">
        <v>973</v>
      </c>
      <c r="B231" s="352">
        <f>(B$166-B229)/B229</f>
        <v>-1</v>
      </c>
      <c r="C231" s="352">
        <f t="shared" ref="C231:I231" si="21">(C$166-C229)/C229</f>
        <v>-1</v>
      </c>
      <c r="D231" s="352">
        <f t="shared" si="21"/>
        <v>-1</v>
      </c>
      <c r="E231" s="352">
        <f t="shared" si="21"/>
        <v>-1</v>
      </c>
      <c r="F231" s="352">
        <f t="shared" si="21"/>
        <v>-1</v>
      </c>
      <c r="G231" s="352">
        <f t="shared" si="21"/>
        <v>-1</v>
      </c>
      <c r="H231" s="352">
        <f t="shared" si="21"/>
        <v>-1</v>
      </c>
      <c r="I231" s="352">
        <f t="shared" si="21"/>
        <v>-1</v>
      </c>
    </row>
    <row r="232" spans="1:11" ht="20.399999999999999" customHeight="1" x14ac:dyDescent="0.25">
      <c r="A232" s="509" t="s">
        <v>979</v>
      </c>
      <c r="B232" s="690" t="s">
        <v>983</v>
      </c>
      <c r="C232" s="690"/>
      <c r="D232" s="690"/>
      <c r="E232" s="690"/>
      <c r="F232" s="690"/>
      <c r="G232" s="690"/>
      <c r="H232" s="690"/>
      <c r="I232" s="690"/>
    </row>
    <row r="233" spans="1:11" ht="40.5" customHeight="1" x14ac:dyDescent="0.25">
      <c r="A233" s="591" t="str">
        <f>A225</f>
        <v>Référentiel national ADEME 2021 (Données 2018) Ratio Coût aidé €HT/hab.</v>
      </c>
      <c r="B233" s="598">
        <f t="shared" ref="B233:I233" si="22">SUMIF($A$342:$A$347,$B232,C$342:C$347)</f>
        <v>94.920500000000004</v>
      </c>
      <c r="C233" s="598">
        <f t="shared" si="22"/>
        <v>53.1175</v>
      </c>
      <c r="D233" s="599">
        <f t="shared" si="22"/>
        <v>1.6394000000000002</v>
      </c>
      <c r="E233" s="598">
        <f t="shared" si="22"/>
        <v>10.8965</v>
      </c>
      <c r="F233" s="598">
        <f t="shared" si="22"/>
        <v>17.24165</v>
      </c>
      <c r="G233" s="599">
        <f t="shared" si="22"/>
        <v>6.9</v>
      </c>
      <c r="H233" s="599">
        <f t="shared" si="22"/>
        <v>1.2</v>
      </c>
      <c r="I233" s="598">
        <f t="shared" si="22"/>
        <v>0</v>
      </c>
    </row>
    <row r="234" spans="1:11" ht="20.399999999999999" customHeight="1" x14ac:dyDescent="0.25">
      <c r="A234" s="591" t="s">
        <v>982</v>
      </c>
      <c r="B234" s="600">
        <f t="shared" ref="B234:I234" si="23">B$166-B233</f>
        <v>-94.920500000000004</v>
      </c>
      <c r="C234" s="600">
        <f t="shared" si="23"/>
        <v>-53.1175</v>
      </c>
      <c r="D234" s="600">
        <f t="shared" si="23"/>
        <v>-1.6394000000000002</v>
      </c>
      <c r="E234" s="600">
        <f t="shared" si="23"/>
        <v>-10.8965</v>
      </c>
      <c r="F234" s="600">
        <f t="shared" si="23"/>
        <v>-17.24165</v>
      </c>
      <c r="G234" s="600">
        <f t="shared" si="23"/>
        <v>-6.9</v>
      </c>
      <c r="H234" s="600">
        <f t="shared" si="23"/>
        <v>-1.2</v>
      </c>
      <c r="I234" s="600">
        <f t="shared" si="23"/>
        <v>0</v>
      </c>
    </row>
    <row r="235" spans="1:11" ht="20.399999999999999" customHeight="1" x14ac:dyDescent="0.25">
      <c r="A235" s="591" t="s">
        <v>973</v>
      </c>
      <c r="B235" s="352">
        <f t="shared" ref="B235:I235" si="24">(B$166-B233)/B233</f>
        <v>-1</v>
      </c>
      <c r="C235" s="352">
        <f t="shared" si="24"/>
        <v>-1</v>
      </c>
      <c r="D235" s="352">
        <f t="shared" si="24"/>
        <v>-1</v>
      </c>
      <c r="E235" s="352">
        <f t="shared" si="24"/>
        <v>-1</v>
      </c>
      <c r="F235" s="352">
        <f t="shared" si="24"/>
        <v>-1</v>
      </c>
      <c r="G235" s="352">
        <f t="shared" si="24"/>
        <v>-1</v>
      </c>
      <c r="H235" s="352">
        <f t="shared" si="24"/>
        <v>-1</v>
      </c>
      <c r="I235" s="352" t="e">
        <f t="shared" si="24"/>
        <v>#DIV/0!</v>
      </c>
    </row>
    <row r="236" spans="1:11" ht="20.399999999999999" customHeight="1" x14ac:dyDescent="0.25"/>
    <row r="237" spans="1:11" ht="64.5" customHeight="1" x14ac:dyDescent="0.25">
      <c r="A237" s="682" t="s">
        <v>896</v>
      </c>
      <c r="B237" s="682"/>
      <c r="C237" s="682"/>
      <c r="D237" s="682"/>
      <c r="E237" s="682"/>
      <c r="F237" s="682"/>
      <c r="G237" s="682"/>
      <c r="H237" s="682"/>
      <c r="I237" s="682"/>
    </row>
    <row r="238" spans="1:11" ht="6" customHeight="1" x14ac:dyDescent="0.25"/>
    <row r="239" spans="1:11" ht="20.399999999999999" customHeight="1" x14ac:dyDescent="0.25">
      <c r="A239" s="585" t="s">
        <v>984</v>
      </c>
      <c r="B239" s="368"/>
      <c r="C239" s="368"/>
      <c r="D239" s="368"/>
      <c r="E239" s="368"/>
      <c r="F239" s="368"/>
      <c r="G239" s="368"/>
      <c r="H239" s="368"/>
      <c r="I239" s="368"/>
    </row>
    <row r="240" spans="1:11" ht="4.95" customHeight="1" x14ac:dyDescent="0.25">
      <c r="A240" s="595"/>
      <c r="B240" s="368"/>
      <c r="C240" s="368"/>
      <c r="D240" s="368"/>
      <c r="E240" s="368"/>
      <c r="F240" s="368"/>
      <c r="G240" s="368"/>
      <c r="H240" s="368"/>
      <c r="I240" s="368"/>
    </row>
    <row r="241" spans="1:11" ht="30" customHeight="1" x14ac:dyDescent="0.25">
      <c r="A241" s="570" t="s">
        <v>969</v>
      </c>
      <c r="B241" s="570" t="str">
        <f>B222</f>
        <v>Tous flux</v>
      </c>
      <c r="C241" s="570" t="str">
        <f>C222</f>
        <v>OMR</v>
      </c>
      <c r="D241" s="570" t="str">
        <f>D222</f>
        <v>Verre</v>
      </c>
      <c r="E241" s="570" t="str">
        <f>E222</f>
        <v>Recyclables 
hors verre</v>
      </c>
      <c r="F241" s="570" t="str">
        <f>F222</f>
        <v xml:space="preserve"> Déchèteries</v>
      </c>
      <c r="G241" s="570" t="s">
        <v>51</v>
      </c>
      <c r="H241" s="570" t="s">
        <v>55</v>
      </c>
      <c r="I241" s="570" t="str">
        <f>I222</f>
        <v>Autres flux</v>
      </c>
    </row>
    <row r="242" spans="1:11" ht="21.6" customHeight="1" x14ac:dyDescent="0.25">
      <c r="A242" s="591">
        <f>B17</f>
        <v>0</v>
      </c>
      <c r="B242" s="601">
        <f t="shared" ref="B242:I242" si="25">B186</f>
        <v>0</v>
      </c>
      <c r="C242" s="601">
        <f t="shared" si="25"/>
        <v>0</v>
      </c>
      <c r="D242" s="601">
        <f t="shared" si="25"/>
        <v>0</v>
      </c>
      <c r="E242" s="601">
        <f t="shared" si="25"/>
        <v>0</v>
      </c>
      <c r="F242" s="601">
        <f t="shared" si="25"/>
        <v>0</v>
      </c>
      <c r="G242" s="601">
        <f t="shared" si="25"/>
        <v>0</v>
      </c>
      <c r="H242" s="601">
        <f t="shared" si="25"/>
        <v>0</v>
      </c>
      <c r="I242" s="601">
        <f t="shared" si="25"/>
        <v>0</v>
      </c>
    </row>
    <row r="243" spans="1:11" ht="21.6" customHeight="1" x14ac:dyDescent="0.25">
      <c r="A243" s="509" t="s">
        <v>970</v>
      </c>
      <c r="B243" s="690" t="s">
        <v>889</v>
      </c>
      <c r="C243" s="690"/>
      <c r="D243" s="690"/>
      <c r="E243" s="690"/>
      <c r="F243" s="690"/>
      <c r="G243" s="690"/>
      <c r="H243" s="690"/>
      <c r="I243" s="690"/>
      <c r="K243" s="691" t="s">
        <v>981</v>
      </c>
    </row>
    <row r="244" spans="1:11" ht="44.25" customHeight="1" x14ac:dyDescent="0.25">
      <c r="A244" s="591" t="str">
        <f>A349</f>
        <v>Référentiel national ADEME 2021 (Données 2018) Ratio Coût aidé €HT/t.</v>
      </c>
      <c r="B244" s="369">
        <f t="shared" ref="B244:H244" si="26">SUMIF($A$350:$A$355,$B243,C$350:C$355)</f>
        <v>180</v>
      </c>
      <c r="C244" s="369">
        <f t="shared" si="26"/>
        <v>234.89419727905505</v>
      </c>
      <c r="D244" s="369">
        <f t="shared" si="26"/>
        <v>50.414103866126318</v>
      </c>
      <c r="E244" s="369">
        <f t="shared" si="26"/>
        <v>217.53734314445364</v>
      </c>
      <c r="F244" s="369">
        <f t="shared" si="26"/>
        <v>120.21892567963945</v>
      </c>
      <c r="G244" s="369">
        <f t="shared" si="26"/>
        <v>169</v>
      </c>
      <c r="H244" s="369">
        <f t="shared" si="26"/>
        <v>320</v>
      </c>
      <c r="I244" s="369">
        <f>SUMIF($A$350:$A$355,$B243,K$350:K$355)</f>
        <v>476</v>
      </c>
      <c r="K244" s="691"/>
    </row>
    <row r="245" spans="1:11" ht="21.6" customHeight="1" x14ac:dyDescent="0.25">
      <c r="A245" s="591" t="s">
        <v>972</v>
      </c>
      <c r="B245" s="602">
        <f>B$242-B244</f>
        <v>-180</v>
      </c>
      <c r="C245" s="602">
        <f t="shared" ref="C245:I245" si="27">C$242-C244</f>
        <v>-234.89419727905505</v>
      </c>
      <c r="D245" s="602">
        <f t="shared" si="27"/>
        <v>-50.414103866126318</v>
      </c>
      <c r="E245" s="602">
        <f t="shared" si="27"/>
        <v>-217.53734314445364</v>
      </c>
      <c r="F245" s="602">
        <f t="shared" si="27"/>
        <v>-120.21892567963945</v>
      </c>
      <c r="G245" s="602">
        <f t="shared" si="27"/>
        <v>-169</v>
      </c>
      <c r="H245" s="602">
        <f t="shared" si="27"/>
        <v>-320</v>
      </c>
      <c r="I245" s="602">
        <f t="shared" si="27"/>
        <v>-476</v>
      </c>
      <c r="K245" s="691"/>
    </row>
    <row r="246" spans="1:11" ht="21.6" customHeight="1" x14ac:dyDescent="0.25">
      <c r="A246" s="591" t="s">
        <v>973</v>
      </c>
      <c r="B246" s="352">
        <f>(B$242-B244)/B244</f>
        <v>-1</v>
      </c>
      <c r="C246" s="352">
        <f t="shared" ref="C246:I246" si="28">(C$242-C244)/C244</f>
        <v>-1</v>
      </c>
      <c r="D246" s="352">
        <f t="shared" si="28"/>
        <v>-1</v>
      </c>
      <c r="E246" s="352">
        <f t="shared" si="28"/>
        <v>-1</v>
      </c>
      <c r="F246" s="352">
        <f t="shared" si="28"/>
        <v>-1</v>
      </c>
      <c r="G246" s="352">
        <f t="shared" si="28"/>
        <v>-1</v>
      </c>
      <c r="H246" s="352">
        <f t="shared" si="28"/>
        <v>-1</v>
      </c>
      <c r="I246" s="352">
        <f t="shared" si="28"/>
        <v>-1</v>
      </c>
    </row>
    <row r="247" spans="1:11" ht="21.6" customHeight="1" x14ac:dyDescent="0.25">
      <c r="A247" s="509" t="s">
        <v>970</v>
      </c>
      <c r="B247" s="690" t="s">
        <v>893</v>
      </c>
      <c r="C247" s="690"/>
      <c r="D247" s="690"/>
      <c r="E247" s="690"/>
      <c r="F247" s="690"/>
      <c r="G247" s="690"/>
      <c r="H247" s="690"/>
      <c r="I247" s="690"/>
    </row>
    <row r="248" spans="1:11" ht="48" customHeight="1" x14ac:dyDescent="0.25">
      <c r="A248" s="591" t="str">
        <f>A244</f>
        <v>Référentiel national ADEME 2021 (Données 2018) Ratio Coût aidé €HT/t.</v>
      </c>
      <c r="B248" s="369">
        <f t="shared" ref="B248:H248" si="29">SUMIF($A$350:$A$355,$B247,C$350:C$355)</f>
        <v>116.05374999999999</v>
      </c>
      <c r="C248" s="369">
        <f t="shared" si="29"/>
        <v>244.536</v>
      </c>
      <c r="D248" s="369">
        <f t="shared" si="29"/>
        <v>26.01455</v>
      </c>
      <c r="E248" s="369">
        <f t="shared" si="29"/>
        <v>144.82650000000001</v>
      </c>
      <c r="F248" s="369">
        <f t="shared" si="29"/>
        <v>116.05374999999999</v>
      </c>
      <c r="G248" s="369">
        <f t="shared" si="29"/>
        <v>169</v>
      </c>
      <c r="H248" s="369">
        <f t="shared" si="29"/>
        <v>320</v>
      </c>
      <c r="I248" s="369">
        <f>SUMIF($A$350:$A$355,$B247,K$350:K$355)</f>
        <v>476</v>
      </c>
    </row>
    <row r="249" spans="1:11" ht="21.6" customHeight="1" x14ac:dyDescent="0.25">
      <c r="A249" s="591" t="s">
        <v>972</v>
      </c>
      <c r="B249" s="602">
        <f>B$242-B248</f>
        <v>-116.05374999999999</v>
      </c>
      <c r="C249" s="602">
        <f t="shared" ref="C249:J249" si="30">C$242-C248</f>
        <v>-244.536</v>
      </c>
      <c r="D249" s="602">
        <f t="shared" si="30"/>
        <v>-26.01455</v>
      </c>
      <c r="E249" s="602">
        <f t="shared" si="30"/>
        <v>-144.82650000000001</v>
      </c>
      <c r="F249" s="602">
        <f t="shared" si="30"/>
        <v>-116.05374999999999</v>
      </c>
      <c r="G249" s="602">
        <f t="shared" si="30"/>
        <v>-169</v>
      </c>
      <c r="H249" s="602">
        <f t="shared" si="30"/>
        <v>-320</v>
      </c>
      <c r="I249" s="602">
        <f t="shared" si="30"/>
        <v>-476</v>
      </c>
      <c r="J249" s="497">
        <f t="shared" si="30"/>
        <v>0</v>
      </c>
    </row>
    <row r="250" spans="1:11" ht="21.6" customHeight="1" x14ac:dyDescent="0.25">
      <c r="A250" s="591" t="s">
        <v>973</v>
      </c>
      <c r="B250" s="352">
        <f>(B$242-B248)/B248</f>
        <v>-1</v>
      </c>
      <c r="C250" s="352">
        <f t="shared" ref="C250:I250" si="31">(C$242-C248)/C248</f>
        <v>-1</v>
      </c>
      <c r="D250" s="352">
        <f t="shared" si="31"/>
        <v>-1</v>
      </c>
      <c r="E250" s="352">
        <f t="shared" si="31"/>
        <v>-1</v>
      </c>
      <c r="F250" s="352">
        <f t="shared" si="31"/>
        <v>-1</v>
      </c>
      <c r="G250" s="352">
        <f t="shared" si="31"/>
        <v>-1</v>
      </c>
      <c r="H250" s="352">
        <f t="shared" si="31"/>
        <v>-1</v>
      </c>
      <c r="I250" s="352">
        <f t="shared" si="31"/>
        <v>-1</v>
      </c>
    </row>
    <row r="251" spans="1:11" ht="21.6" customHeight="1" x14ac:dyDescent="0.25">
      <c r="A251" s="509" t="s">
        <v>970</v>
      </c>
      <c r="B251" s="690" t="s">
        <v>985</v>
      </c>
      <c r="C251" s="690"/>
      <c r="D251" s="690"/>
      <c r="E251" s="690"/>
      <c r="F251" s="690"/>
      <c r="G251" s="690"/>
      <c r="H251" s="690"/>
      <c r="I251" s="690"/>
    </row>
    <row r="252" spans="1:11" ht="44.25" customHeight="1" x14ac:dyDescent="0.25">
      <c r="A252" s="591" t="str">
        <f>A244</f>
        <v>Référentiel national ADEME 2021 (Données 2018) Ratio Coût aidé €HT/t.</v>
      </c>
      <c r="B252" s="369">
        <f t="shared" ref="B252:H252" si="32">SUMIF($A$350:$A$355,$B251,C$350:C$355)</f>
        <v>123.7128</v>
      </c>
      <c r="C252" s="369">
        <f t="shared" si="32"/>
        <v>231.10964999999999</v>
      </c>
      <c r="D252" s="369">
        <f t="shared" si="32"/>
        <v>39.712949999999999</v>
      </c>
      <c r="E252" s="369">
        <f t="shared" si="32"/>
        <v>153.26704999999998</v>
      </c>
      <c r="F252" s="369">
        <f t="shared" si="32"/>
        <v>123.7128</v>
      </c>
      <c r="G252" s="369">
        <f t="shared" si="32"/>
        <v>169</v>
      </c>
      <c r="H252" s="369">
        <f t="shared" si="32"/>
        <v>320</v>
      </c>
      <c r="I252" s="369">
        <f>SUMIF($A$350:$A$355,$B251,K$350:K$355)</f>
        <v>476</v>
      </c>
    </row>
    <row r="253" spans="1:11" ht="21.6" customHeight="1" x14ac:dyDescent="0.25">
      <c r="A253" s="591" t="s">
        <v>972</v>
      </c>
      <c r="B253" s="602">
        <f>B$242-B252</f>
        <v>-123.7128</v>
      </c>
      <c r="C253" s="602">
        <f t="shared" ref="C253:J253" si="33">C$242-C252</f>
        <v>-231.10964999999999</v>
      </c>
      <c r="D253" s="602">
        <f t="shared" si="33"/>
        <v>-39.712949999999999</v>
      </c>
      <c r="E253" s="602">
        <f t="shared" si="33"/>
        <v>-153.26704999999998</v>
      </c>
      <c r="F253" s="602">
        <f t="shared" si="33"/>
        <v>-123.7128</v>
      </c>
      <c r="G253" s="602">
        <f t="shared" si="33"/>
        <v>-169</v>
      </c>
      <c r="H253" s="602">
        <f t="shared" si="33"/>
        <v>-320</v>
      </c>
      <c r="I253" s="602">
        <f t="shared" si="33"/>
        <v>-476</v>
      </c>
      <c r="J253" s="602">
        <f t="shared" si="33"/>
        <v>0</v>
      </c>
    </row>
    <row r="254" spans="1:11" ht="21.6" customHeight="1" x14ac:dyDescent="0.25">
      <c r="A254" s="591" t="s">
        <v>973</v>
      </c>
      <c r="B254" s="352">
        <f>(B$242-B252)/B252</f>
        <v>-1</v>
      </c>
      <c r="C254" s="352">
        <f t="shared" ref="C254:I254" si="34">(C$242-C252)/C252</f>
        <v>-1</v>
      </c>
      <c r="D254" s="352">
        <f t="shared" si="34"/>
        <v>-1</v>
      </c>
      <c r="E254" s="352">
        <f t="shared" si="34"/>
        <v>-1</v>
      </c>
      <c r="F254" s="352">
        <f t="shared" si="34"/>
        <v>-1</v>
      </c>
      <c r="G254" s="352">
        <f t="shared" si="34"/>
        <v>-1</v>
      </c>
      <c r="H254" s="352">
        <f t="shared" si="34"/>
        <v>-1</v>
      </c>
      <c r="I254" s="352">
        <f t="shared" si="34"/>
        <v>-1</v>
      </c>
    </row>
    <row r="255" spans="1:11" ht="21.6" customHeight="1" x14ac:dyDescent="0.25">
      <c r="A255" s="503"/>
      <c r="B255" s="503"/>
      <c r="C255" s="503"/>
      <c r="D255" s="503"/>
      <c r="E255" s="503"/>
      <c r="F255" s="503"/>
      <c r="G255" s="503"/>
      <c r="H255" s="503"/>
      <c r="I255" s="503"/>
    </row>
    <row r="256" spans="1:11" ht="75.75" customHeight="1" x14ac:dyDescent="0.25">
      <c r="A256" s="689" t="s">
        <v>896</v>
      </c>
      <c r="B256" s="689"/>
      <c r="C256" s="689"/>
      <c r="D256" s="689"/>
      <c r="E256" s="689"/>
      <c r="F256" s="689"/>
      <c r="G256" s="689"/>
      <c r="H256" s="689"/>
      <c r="I256" s="689"/>
    </row>
    <row r="257" spans="1:13" x14ac:dyDescent="0.25">
      <c r="A257" s="595"/>
    </row>
    <row r="258" spans="1:13" ht="18.600000000000001" thickBot="1" x14ac:dyDescent="0.3">
      <c r="A258" s="528" t="s">
        <v>986</v>
      </c>
      <c r="B258" s="518"/>
      <c r="C258" s="518"/>
      <c r="D258" s="518"/>
      <c r="E258" s="518"/>
      <c r="F258" s="518"/>
      <c r="G258" s="518"/>
      <c r="H258" s="518"/>
      <c r="I258" s="518"/>
    </row>
    <row r="259" spans="1:13" ht="5.25" customHeight="1" thickBot="1" x14ac:dyDescent="0.3">
      <c r="A259" s="510"/>
    </row>
    <row r="260" spans="1:13" ht="48.75" customHeight="1" x14ac:dyDescent="0.25">
      <c r="A260" s="512" t="s">
        <v>852</v>
      </c>
      <c r="B260" s="692" t="s">
        <v>987</v>
      </c>
      <c r="C260" s="692"/>
      <c r="D260" s="692"/>
      <c r="E260" s="692"/>
      <c r="F260" s="692"/>
      <c r="G260" s="692"/>
      <c r="H260" s="692"/>
      <c r="I260" s="693"/>
    </row>
    <row r="261" spans="1:13" ht="89.25" customHeight="1" thickBot="1" x14ac:dyDescent="0.3">
      <c r="A261" s="513" t="s">
        <v>854</v>
      </c>
      <c r="B261" s="694" t="s">
        <v>988</v>
      </c>
      <c r="C261" s="694"/>
      <c r="D261" s="694"/>
      <c r="E261" s="694"/>
      <c r="F261" s="694"/>
      <c r="G261" s="694"/>
      <c r="H261" s="694"/>
      <c r="I261" s="695"/>
    </row>
    <row r="262" spans="1:13" ht="5.4" customHeight="1" x14ac:dyDescent="0.25"/>
    <row r="263" spans="1:13" s="530" customFormat="1" ht="18" x14ac:dyDescent="0.25">
      <c r="A263" s="510" t="s">
        <v>989</v>
      </c>
      <c r="B263" s="603"/>
      <c r="C263" s="603"/>
      <c r="D263" s="603"/>
      <c r="E263" s="603"/>
      <c r="F263" s="603"/>
      <c r="G263" s="603"/>
      <c r="H263" s="603"/>
      <c r="I263" s="603"/>
      <c r="K263" s="696" t="s">
        <v>990</v>
      </c>
      <c r="L263" s="604"/>
    </row>
    <row r="264" spans="1:13" ht="5.4" customHeight="1" x14ac:dyDescent="0.25">
      <c r="K264" s="697"/>
    </row>
    <row r="265" spans="1:13" x14ac:dyDescent="0.25">
      <c r="A265" s="570" t="s">
        <v>991</v>
      </c>
      <c r="B265" s="570" t="s">
        <v>992</v>
      </c>
      <c r="F265" s="556"/>
      <c r="G265" s="556"/>
      <c r="H265" s="556"/>
      <c r="I265" s="556"/>
      <c r="K265" s="697"/>
      <c r="L265" s="523"/>
    </row>
    <row r="266" spans="1:13" ht="21" customHeight="1" x14ac:dyDescent="0.25">
      <c r="A266" s="570">
        <v>2006</v>
      </c>
      <c r="B266" s="379"/>
      <c r="D266" s="605"/>
      <c r="E266" s="556"/>
      <c r="F266" s="556"/>
      <c r="G266" s="556"/>
      <c r="H266" s="556"/>
      <c r="I266" s="556"/>
      <c r="J266" s="523"/>
      <c r="K266" s="697" t="s">
        <v>993</v>
      </c>
      <c r="L266" s="523"/>
      <c r="M266" s="556"/>
    </row>
    <row r="267" spans="1:13" ht="21" customHeight="1" x14ac:dyDescent="0.25">
      <c r="A267" s="570">
        <v>2007</v>
      </c>
      <c r="B267" s="379"/>
      <c r="D267" s="605"/>
      <c r="E267" s="556"/>
      <c r="F267" s="556"/>
      <c r="G267" s="556"/>
      <c r="H267" s="556"/>
      <c r="I267" s="556"/>
      <c r="J267" s="523"/>
      <c r="K267" s="697"/>
      <c r="L267" s="523"/>
      <c r="M267" s="556"/>
    </row>
    <row r="268" spans="1:13" ht="21" customHeight="1" x14ac:dyDescent="0.25">
      <c r="A268" s="570">
        <v>2008</v>
      </c>
      <c r="B268" s="379"/>
      <c r="D268" s="605"/>
      <c r="E268" s="556"/>
      <c r="F268" s="556"/>
      <c r="G268" s="556"/>
      <c r="H268" s="556"/>
      <c r="I268" s="556"/>
      <c r="J268" s="523"/>
      <c r="K268" s="698"/>
      <c r="L268" s="523"/>
      <c r="M268" s="556"/>
    </row>
    <row r="269" spans="1:13" ht="21" customHeight="1" x14ac:dyDescent="0.25">
      <c r="A269" s="570">
        <v>2009</v>
      </c>
      <c r="B269" s="379"/>
      <c r="D269" s="556"/>
      <c r="E269" s="556"/>
      <c r="F269" s="556"/>
      <c r="G269" s="556"/>
      <c r="H269" s="556"/>
      <c r="I269" s="556"/>
      <c r="J269" s="523"/>
      <c r="K269" s="555"/>
      <c r="L269" s="523"/>
      <c r="M269" s="556"/>
    </row>
    <row r="270" spans="1:13" ht="21" customHeight="1" x14ac:dyDescent="0.25">
      <c r="A270" s="570">
        <v>2010</v>
      </c>
      <c r="B270" s="379"/>
      <c r="D270" s="556"/>
      <c r="E270" s="556"/>
      <c r="F270" s="556"/>
      <c r="G270" s="556"/>
      <c r="H270" s="556"/>
      <c r="I270" s="556"/>
      <c r="J270" s="523"/>
      <c r="K270" s="555"/>
      <c r="L270" s="523"/>
      <c r="M270" s="556"/>
    </row>
    <row r="271" spans="1:13" ht="21" customHeight="1" x14ac:dyDescent="0.25">
      <c r="A271" s="570">
        <v>2011</v>
      </c>
      <c r="B271" s="379"/>
      <c r="D271" s="556"/>
      <c r="E271" s="556"/>
      <c r="F271" s="556"/>
      <c r="G271" s="556"/>
      <c r="H271" s="556"/>
      <c r="I271" s="556"/>
      <c r="J271" s="523"/>
      <c r="K271" s="555"/>
      <c r="L271" s="523"/>
      <c r="M271" s="556"/>
    </row>
    <row r="272" spans="1:13" ht="21" customHeight="1" x14ac:dyDescent="0.25">
      <c r="A272" s="570">
        <v>2012</v>
      </c>
      <c r="B272" s="379"/>
      <c r="D272" s="556"/>
      <c r="E272" s="556"/>
      <c r="F272" s="556"/>
      <c r="G272" s="556"/>
      <c r="H272" s="556"/>
      <c r="I272" s="556"/>
      <c r="J272" s="523"/>
      <c r="K272" s="555"/>
      <c r="L272" s="523"/>
      <c r="M272" s="556"/>
    </row>
    <row r="273" spans="1:13" ht="21" customHeight="1" x14ac:dyDescent="0.25">
      <c r="A273" s="570">
        <v>2013</v>
      </c>
      <c r="B273" s="379"/>
      <c r="D273" s="556"/>
      <c r="E273" s="556"/>
      <c r="F273" s="556"/>
      <c r="G273" s="556"/>
      <c r="H273" s="556"/>
      <c r="I273" s="556"/>
      <c r="J273" s="523"/>
      <c r="K273" s="555"/>
      <c r="L273" s="523"/>
      <c r="M273" s="556"/>
    </row>
    <row r="274" spans="1:13" ht="21" customHeight="1" x14ac:dyDescent="0.25">
      <c r="A274" s="570">
        <v>2014</v>
      </c>
      <c r="B274" s="379"/>
      <c r="D274" s="556"/>
      <c r="E274" s="556"/>
      <c r="F274" s="556"/>
      <c r="G274" s="556"/>
      <c r="H274" s="556"/>
      <c r="I274" s="556"/>
      <c r="J274" s="523"/>
      <c r="K274" s="555"/>
      <c r="L274" s="523"/>
      <c r="M274" s="556"/>
    </row>
    <row r="275" spans="1:13" ht="21" customHeight="1" x14ac:dyDescent="0.25">
      <c r="A275" s="570">
        <v>2015</v>
      </c>
      <c r="B275" s="379"/>
      <c r="D275" s="556"/>
      <c r="E275" s="556"/>
      <c r="F275" s="556"/>
      <c r="G275" s="556"/>
      <c r="H275" s="556"/>
      <c r="I275" s="556"/>
      <c r="J275" s="523"/>
      <c r="K275" s="555"/>
      <c r="L275" s="523"/>
      <c r="M275" s="556"/>
    </row>
    <row r="276" spans="1:13" ht="21" customHeight="1" x14ac:dyDescent="0.25">
      <c r="A276" s="570">
        <v>2016</v>
      </c>
      <c r="B276" s="379"/>
      <c r="D276" s="556"/>
      <c r="E276" s="556"/>
      <c r="F276" s="556"/>
      <c r="G276" s="556"/>
      <c r="H276" s="556"/>
      <c r="I276" s="556"/>
      <c r="J276" s="523"/>
      <c r="K276" s="555"/>
      <c r="L276" s="523"/>
      <c r="M276" s="556"/>
    </row>
    <row r="277" spans="1:13" ht="21" customHeight="1" x14ac:dyDescent="0.25">
      <c r="A277" s="570">
        <v>2017</v>
      </c>
      <c r="B277" s="379"/>
      <c r="D277" s="556"/>
      <c r="E277" s="556"/>
      <c r="F277" s="556"/>
      <c r="G277" s="556"/>
      <c r="H277" s="556"/>
      <c r="I277" s="556"/>
      <c r="J277" s="523"/>
      <c r="K277" s="555"/>
      <c r="L277" s="523"/>
      <c r="M277" s="556"/>
    </row>
    <row r="278" spans="1:13" ht="21" customHeight="1" x14ac:dyDescent="0.25">
      <c r="A278" s="570">
        <v>2018</v>
      </c>
      <c r="B278" s="379"/>
      <c r="D278" s="556"/>
      <c r="E278" s="556"/>
      <c r="F278" s="556"/>
      <c r="G278" s="556"/>
      <c r="H278" s="556"/>
      <c r="I278" s="556"/>
      <c r="J278" s="523"/>
      <c r="K278" s="555"/>
      <c r="L278" s="523"/>
      <c r="M278" s="556"/>
    </row>
    <row r="279" spans="1:13" ht="21" customHeight="1" x14ac:dyDescent="0.25">
      <c r="A279" s="570">
        <v>2019</v>
      </c>
      <c r="B279" s="379"/>
      <c r="D279" s="556"/>
      <c r="E279" s="556"/>
      <c r="F279" s="556"/>
      <c r="G279" s="556"/>
      <c r="H279" s="556"/>
      <c r="I279" s="556"/>
      <c r="J279" s="523"/>
      <c r="K279" s="555"/>
      <c r="L279" s="523"/>
      <c r="M279" s="556"/>
    </row>
    <row r="280" spans="1:13" ht="56.25" customHeight="1" x14ac:dyDescent="0.25">
      <c r="A280" s="689" t="s">
        <v>896</v>
      </c>
      <c r="B280" s="689"/>
      <c r="C280" s="689"/>
      <c r="D280" s="689"/>
      <c r="E280" s="689"/>
      <c r="F280" s="689"/>
      <c r="G280" s="689"/>
      <c r="H280" s="689"/>
      <c r="I280" s="689"/>
      <c r="K280" s="555"/>
    </row>
    <row r="281" spans="1:13" ht="5.4" customHeight="1" x14ac:dyDescent="0.25"/>
    <row r="282" spans="1:13" ht="18" x14ac:dyDescent="0.25">
      <c r="A282" s="510" t="s">
        <v>994</v>
      </c>
      <c r="B282" s="556"/>
      <c r="C282" s="556"/>
      <c r="D282" s="556"/>
      <c r="E282" s="556"/>
      <c r="F282" s="556"/>
      <c r="G282" s="556"/>
      <c r="H282" s="556"/>
      <c r="I282" s="556"/>
      <c r="L282" s="523"/>
    </row>
    <row r="283" spans="1:13" ht="5.4" customHeight="1" x14ac:dyDescent="0.25"/>
    <row r="284" spans="1:13" ht="31.2" x14ac:dyDescent="0.25">
      <c r="A284" s="606" t="s">
        <v>991</v>
      </c>
      <c r="B284" s="606" t="s">
        <v>963</v>
      </c>
      <c r="C284" s="606" t="s">
        <v>6</v>
      </c>
      <c r="D284" s="606" t="s">
        <v>21</v>
      </c>
      <c r="E284" s="570" t="s">
        <v>978</v>
      </c>
      <c r="F284" s="606" t="s">
        <v>995</v>
      </c>
      <c r="G284" s="570" t="s">
        <v>51</v>
      </c>
      <c r="H284" s="570" t="s">
        <v>55</v>
      </c>
      <c r="I284" s="606" t="s">
        <v>965</v>
      </c>
      <c r="K284" s="555"/>
    </row>
    <row r="285" spans="1:13" ht="20.25" customHeight="1" x14ac:dyDescent="0.25">
      <c r="A285" s="570">
        <v>2006</v>
      </c>
      <c r="B285" s="607"/>
      <c r="C285" s="607"/>
      <c r="D285" s="607"/>
      <c r="E285" s="607"/>
      <c r="F285" s="607"/>
      <c r="G285" s="607"/>
      <c r="H285" s="607"/>
      <c r="I285" s="380"/>
    </row>
    <row r="286" spans="1:13" ht="20.25" customHeight="1" x14ac:dyDescent="0.25">
      <c r="A286" s="570">
        <v>2007</v>
      </c>
      <c r="B286" s="607"/>
      <c r="C286" s="607"/>
      <c r="D286" s="607"/>
      <c r="E286" s="607"/>
      <c r="F286" s="607"/>
      <c r="G286" s="607"/>
      <c r="H286" s="607"/>
      <c r="I286" s="380"/>
    </row>
    <row r="287" spans="1:13" ht="20.25" customHeight="1" x14ac:dyDescent="0.25">
      <c r="A287" s="570">
        <v>2008</v>
      </c>
      <c r="B287" s="381"/>
      <c r="C287" s="381"/>
      <c r="D287" s="381"/>
      <c r="E287" s="381"/>
      <c r="F287" s="381"/>
      <c r="G287" s="381"/>
      <c r="H287" s="381"/>
      <c r="I287" s="380"/>
    </row>
    <row r="288" spans="1:13" ht="20.25" customHeight="1" x14ac:dyDescent="0.25">
      <c r="A288" s="570">
        <v>2009</v>
      </c>
      <c r="B288" s="381"/>
      <c r="C288" s="381"/>
      <c r="D288" s="381"/>
      <c r="E288" s="381"/>
      <c r="F288" s="381"/>
      <c r="G288" s="381"/>
      <c r="H288" s="381"/>
      <c r="I288" s="380"/>
    </row>
    <row r="289" spans="1:12" ht="20.25" customHeight="1" x14ac:dyDescent="0.25">
      <c r="A289" s="570">
        <v>2010</v>
      </c>
      <c r="B289" s="381"/>
      <c r="C289" s="381"/>
      <c r="D289" s="381"/>
      <c r="E289" s="381"/>
      <c r="F289" s="381"/>
      <c r="G289" s="381"/>
      <c r="H289" s="381"/>
      <c r="I289" s="380"/>
    </row>
    <row r="290" spans="1:12" ht="20.25" customHeight="1" x14ac:dyDescent="0.25">
      <c r="A290" s="570">
        <v>2011</v>
      </c>
      <c r="B290" s="381"/>
      <c r="C290" s="381"/>
      <c r="D290" s="381"/>
      <c r="E290" s="381"/>
      <c r="F290" s="381"/>
      <c r="G290" s="381"/>
      <c r="H290" s="381"/>
      <c r="I290" s="380"/>
    </row>
    <row r="291" spans="1:12" ht="20.25" customHeight="1" x14ac:dyDescent="0.25">
      <c r="A291" s="570">
        <v>2012</v>
      </c>
      <c r="B291" s="381"/>
      <c r="C291" s="381"/>
      <c r="D291" s="381"/>
      <c r="E291" s="381"/>
      <c r="F291" s="381"/>
      <c r="G291" s="381"/>
      <c r="H291" s="381"/>
      <c r="I291" s="380"/>
    </row>
    <row r="292" spans="1:12" ht="20.25" customHeight="1" x14ac:dyDescent="0.25">
      <c r="A292" s="570">
        <v>2013</v>
      </c>
      <c r="B292" s="381"/>
      <c r="C292" s="381"/>
      <c r="D292" s="381"/>
      <c r="E292" s="381"/>
      <c r="F292" s="381"/>
      <c r="G292" s="381"/>
      <c r="H292" s="381"/>
      <c r="I292" s="380"/>
    </row>
    <row r="293" spans="1:12" ht="20.25" customHeight="1" x14ac:dyDescent="0.25">
      <c r="A293" s="570">
        <v>2014</v>
      </c>
      <c r="B293" s="381"/>
      <c r="C293" s="381"/>
      <c r="D293" s="381"/>
      <c r="E293" s="381"/>
      <c r="F293" s="381"/>
      <c r="G293" s="381"/>
      <c r="H293" s="381"/>
      <c r="I293" s="380"/>
    </row>
    <row r="294" spans="1:12" ht="20.25" customHeight="1" x14ac:dyDescent="0.25">
      <c r="A294" s="570">
        <v>2015</v>
      </c>
      <c r="B294" s="381"/>
      <c r="C294" s="381"/>
      <c r="D294" s="381"/>
      <c r="E294" s="381"/>
      <c r="F294" s="381"/>
      <c r="G294" s="381"/>
      <c r="H294" s="381"/>
      <c r="I294" s="380"/>
    </row>
    <row r="295" spans="1:12" ht="20.25" customHeight="1" x14ac:dyDescent="0.25">
      <c r="A295" s="570">
        <v>2016</v>
      </c>
      <c r="B295" s="381"/>
      <c r="C295" s="381"/>
      <c r="D295" s="381"/>
      <c r="E295" s="381"/>
      <c r="F295" s="381"/>
      <c r="G295" s="381"/>
      <c r="H295" s="381"/>
      <c r="I295" s="380"/>
    </row>
    <row r="296" spans="1:12" ht="20.25" customHeight="1" x14ac:dyDescent="0.25">
      <c r="A296" s="570">
        <v>2017</v>
      </c>
      <c r="B296" s="381"/>
      <c r="C296" s="381"/>
      <c r="D296" s="381"/>
      <c r="E296" s="381"/>
      <c r="F296" s="381"/>
      <c r="G296" s="381"/>
      <c r="H296" s="381"/>
      <c r="I296" s="380"/>
    </row>
    <row r="297" spans="1:12" ht="20.25" customHeight="1" x14ac:dyDescent="0.25">
      <c r="A297" s="570">
        <v>2018</v>
      </c>
      <c r="B297" s="381"/>
      <c r="C297" s="381"/>
      <c r="D297" s="381"/>
      <c r="E297" s="381"/>
      <c r="F297" s="381"/>
      <c r="G297" s="381"/>
      <c r="H297" s="381"/>
      <c r="I297" s="380"/>
    </row>
    <row r="298" spans="1:12" ht="20.25" customHeight="1" x14ac:dyDescent="0.25">
      <c r="A298" s="570">
        <v>2019</v>
      </c>
      <c r="B298" s="381"/>
      <c r="C298" s="381"/>
      <c r="D298" s="381"/>
      <c r="E298" s="381"/>
      <c r="F298" s="381"/>
      <c r="G298" s="381"/>
      <c r="H298" s="381"/>
      <c r="I298" s="380"/>
    </row>
    <row r="299" spans="1:12" ht="58.5" customHeight="1" x14ac:dyDescent="0.25">
      <c r="A299" s="689" t="s">
        <v>935</v>
      </c>
      <c r="B299" s="689"/>
      <c r="C299" s="689"/>
      <c r="D299" s="689"/>
      <c r="E299" s="689"/>
      <c r="F299" s="689"/>
      <c r="G299" s="689"/>
      <c r="H299" s="689"/>
      <c r="I299" s="689"/>
    </row>
    <row r="300" spans="1:12" ht="12" customHeight="1" x14ac:dyDescent="0.25">
      <c r="A300" s="556"/>
      <c r="B300" s="556"/>
      <c r="C300" s="556"/>
      <c r="D300" s="556"/>
      <c r="E300" s="556"/>
      <c r="F300" s="556"/>
      <c r="G300" s="556"/>
      <c r="H300" s="556"/>
      <c r="I300" s="556"/>
      <c r="K300" s="555"/>
    </row>
    <row r="301" spans="1:12" ht="5.4" customHeight="1" x14ac:dyDescent="0.25"/>
    <row r="302" spans="1:12" ht="18" x14ac:dyDescent="0.25">
      <c r="A302" s="510" t="s">
        <v>996</v>
      </c>
      <c r="B302" s="556"/>
      <c r="C302" s="556"/>
      <c r="D302" s="556"/>
      <c r="E302" s="556"/>
      <c r="F302" s="556"/>
      <c r="G302" s="556"/>
      <c r="H302" s="556"/>
      <c r="I302" s="556"/>
      <c r="L302" s="523"/>
    </row>
    <row r="303" spans="1:12" ht="6" customHeight="1" x14ac:dyDescent="0.25">
      <c r="A303" s="509"/>
      <c r="B303" s="556"/>
      <c r="C303" s="556"/>
      <c r="D303" s="556"/>
      <c r="E303" s="556"/>
      <c r="F303" s="556"/>
      <c r="G303" s="556"/>
      <c r="H303" s="556"/>
      <c r="I303" s="556"/>
      <c r="L303" s="523"/>
    </row>
    <row r="304" spans="1:12" ht="40.5" customHeight="1" x14ac:dyDescent="0.25">
      <c r="A304" s="606" t="s">
        <v>991</v>
      </c>
      <c r="B304" s="606" t="s">
        <v>963</v>
      </c>
      <c r="C304" s="606" t="s">
        <v>6</v>
      </c>
      <c r="D304" s="606" t="s">
        <v>21</v>
      </c>
      <c r="E304" s="570" t="s">
        <v>978</v>
      </c>
      <c r="F304" s="606" t="s">
        <v>995</v>
      </c>
      <c r="G304" s="570" t="s">
        <v>51</v>
      </c>
      <c r="H304" s="570" t="s">
        <v>55</v>
      </c>
      <c r="I304" s="606" t="s">
        <v>965</v>
      </c>
      <c r="L304" s="523"/>
    </row>
    <row r="305" spans="1:9" ht="21.75" customHeight="1" x14ac:dyDescent="0.25">
      <c r="A305" s="570">
        <v>2006</v>
      </c>
      <c r="B305" s="608"/>
      <c r="C305" s="608"/>
      <c r="D305" s="608"/>
      <c r="E305" s="608"/>
      <c r="F305" s="608"/>
      <c r="G305" s="608"/>
      <c r="H305" s="608"/>
      <c r="I305" s="609"/>
    </row>
    <row r="306" spans="1:9" ht="20.25" customHeight="1" x14ac:dyDescent="0.25">
      <c r="A306" s="570">
        <v>2007</v>
      </c>
      <c r="B306" s="608"/>
      <c r="C306" s="608"/>
      <c r="D306" s="608"/>
      <c r="E306" s="608"/>
      <c r="F306" s="608"/>
      <c r="G306" s="608"/>
      <c r="H306" s="608"/>
      <c r="I306" s="609"/>
    </row>
    <row r="307" spans="1:9" ht="20.25" customHeight="1" x14ac:dyDescent="0.25">
      <c r="A307" s="570">
        <v>2008</v>
      </c>
      <c r="B307" s="608"/>
      <c r="C307" s="608"/>
      <c r="D307" s="608"/>
      <c r="E307" s="608"/>
      <c r="F307" s="608"/>
      <c r="G307" s="608"/>
      <c r="H307" s="608"/>
      <c r="I307" s="609"/>
    </row>
    <row r="308" spans="1:9" ht="20.25" customHeight="1" x14ac:dyDescent="0.25">
      <c r="A308" s="570">
        <v>2009</v>
      </c>
      <c r="B308" s="608"/>
      <c r="C308" s="608"/>
      <c r="D308" s="608"/>
      <c r="E308" s="608"/>
      <c r="F308" s="608"/>
      <c r="G308" s="608"/>
      <c r="H308" s="608"/>
      <c r="I308" s="609"/>
    </row>
    <row r="309" spans="1:9" ht="20.25" customHeight="1" x14ac:dyDescent="0.25">
      <c r="A309" s="570">
        <v>2010</v>
      </c>
      <c r="B309" s="608"/>
      <c r="C309" s="608"/>
      <c r="D309" s="608"/>
      <c r="E309" s="608"/>
      <c r="F309" s="608"/>
      <c r="G309" s="608"/>
      <c r="H309" s="608"/>
      <c r="I309" s="609"/>
    </row>
    <row r="310" spans="1:9" ht="20.25" customHeight="1" x14ac:dyDescent="0.25">
      <c r="A310" s="570">
        <v>2011</v>
      </c>
      <c r="B310" s="608"/>
      <c r="C310" s="608"/>
      <c r="D310" s="608"/>
      <c r="E310" s="608"/>
      <c r="F310" s="608"/>
      <c r="G310" s="608"/>
      <c r="H310" s="608"/>
      <c r="I310" s="609"/>
    </row>
    <row r="311" spans="1:9" ht="20.25" customHeight="1" x14ac:dyDescent="0.25">
      <c r="A311" s="570">
        <v>2012</v>
      </c>
      <c r="B311" s="608"/>
      <c r="C311" s="608"/>
      <c r="D311" s="608"/>
      <c r="E311" s="608"/>
      <c r="F311" s="608"/>
      <c r="G311" s="608"/>
      <c r="H311" s="608"/>
      <c r="I311" s="609"/>
    </row>
    <row r="312" spans="1:9" ht="20.25" customHeight="1" x14ac:dyDescent="0.25">
      <c r="A312" s="570">
        <v>2013</v>
      </c>
      <c r="B312" s="608"/>
      <c r="C312" s="608"/>
      <c r="D312" s="608"/>
      <c r="E312" s="608"/>
      <c r="F312" s="608"/>
      <c r="G312" s="608"/>
      <c r="H312" s="608"/>
      <c r="I312" s="609"/>
    </row>
    <row r="313" spans="1:9" ht="20.25" customHeight="1" x14ac:dyDescent="0.25">
      <c r="A313" s="570">
        <v>2014</v>
      </c>
      <c r="B313" s="608"/>
      <c r="C313" s="608"/>
      <c r="D313" s="608"/>
      <c r="E313" s="608"/>
      <c r="F313" s="608"/>
      <c r="G313" s="608"/>
      <c r="H313" s="608"/>
      <c r="I313" s="609"/>
    </row>
    <row r="314" spans="1:9" ht="20.25" customHeight="1" x14ac:dyDescent="0.25">
      <c r="A314" s="570">
        <v>2015</v>
      </c>
      <c r="B314" s="608"/>
      <c r="C314" s="608"/>
      <c r="D314" s="608"/>
      <c r="E314" s="608"/>
      <c r="F314" s="608"/>
      <c r="G314" s="608"/>
      <c r="H314" s="608"/>
      <c r="I314" s="609"/>
    </row>
    <row r="315" spans="1:9" ht="20.25" customHeight="1" x14ac:dyDescent="0.25">
      <c r="A315" s="570">
        <v>2016</v>
      </c>
      <c r="B315" s="608"/>
      <c r="C315" s="608"/>
      <c r="D315" s="608"/>
      <c r="E315" s="608"/>
      <c r="F315" s="608"/>
      <c r="G315" s="608"/>
      <c r="H315" s="608"/>
      <c r="I315" s="609"/>
    </row>
    <row r="316" spans="1:9" ht="20.25" customHeight="1" x14ac:dyDescent="0.25">
      <c r="A316" s="570">
        <v>2017</v>
      </c>
      <c r="B316" s="608"/>
      <c r="C316" s="608"/>
      <c r="D316" s="608"/>
      <c r="E316" s="608"/>
      <c r="F316" s="608"/>
      <c r="G316" s="608"/>
      <c r="H316" s="608"/>
      <c r="I316" s="609"/>
    </row>
    <row r="317" spans="1:9" ht="20.25" customHeight="1" x14ac:dyDescent="0.25">
      <c r="A317" s="570">
        <v>2018</v>
      </c>
      <c r="B317" s="608"/>
      <c r="C317" s="608"/>
      <c r="D317" s="608"/>
      <c r="E317" s="608"/>
      <c r="F317" s="608"/>
      <c r="G317" s="608"/>
      <c r="H317" s="608"/>
      <c r="I317" s="609"/>
    </row>
    <row r="318" spans="1:9" ht="20.25" customHeight="1" x14ac:dyDescent="0.25">
      <c r="A318" s="570">
        <v>2019</v>
      </c>
      <c r="B318" s="608"/>
      <c r="C318" s="608"/>
      <c r="D318" s="608"/>
      <c r="E318" s="608"/>
      <c r="F318" s="608"/>
      <c r="G318" s="608"/>
      <c r="H318" s="608"/>
      <c r="I318" s="609"/>
    </row>
    <row r="319" spans="1:9" ht="73.5" customHeight="1" x14ac:dyDescent="0.25">
      <c r="A319" s="682" t="s">
        <v>896</v>
      </c>
      <c r="B319" s="682"/>
      <c r="C319" s="682"/>
      <c r="D319" s="682"/>
      <c r="E319" s="682"/>
      <c r="F319" s="682"/>
      <c r="G319" s="682"/>
      <c r="H319" s="682"/>
      <c r="I319" s="682"/>
    </row>
    <row r="320" spans="1:9" ht="222.75" customHeight="1" x14ac:dyDescent="0.25"/>
    <row r="321" spans="1:30" ht="155.25" customHeight="1" x14ac:dyDescent="0.25"/>
    <row r="322" spans="1:30" ht="222.75" customHeight="1" x14ac:dyDescent="0.25"/>
    <row r="323" spans="1:30" ht="175.5" customHeight="1" x14ac:dyDescent="0.25"/>
    <row r="324" spans="1:30" ht="16.2" thickBot="1" x14ac:dyDescent="0.3">
      <c r="A324" s="517" t="s">
        <v>997</v>
      </c>
      <c r="B324" s="518"/>
      <c r="C324" s="518"/>
      <c r="D324" s="518"/>
      <c r="E324" s="518"/>
      <c r="F324" s="518"/>
      <c r="G324" s="518"/>
      <c r="H324" s="518"/>
      <c r="I324" s="518"/>
    </row>
    <row r="325" spans="1:30" ht="36" customHeight="1" x14ac:dyDescent="0.25">
      <c r="A325" s="683" t="s">
        <v>998</v>
      </c>
      <c r="B325" s="683"/>
      <c r="C325" s="683"/>
      <c r="D325" s="683"/>
      <c r="E325" s="683"/>
      <c r="F325" s="683"/>
      <c r="G325" s="683"/>
      <c r="H325" s="683"/>
      <c r="I325" s="683"/>
      <c r="K325" s="684" t="s">
        <v>999</v>
      </c>
    </row>
    <row r="326" spans="1:30" ht="12.75" customHeight="1" x14ac:dyDescent="0.25">
      <c r="A326" s="687" t="s">
        <v>896</v>
      </c>
      <c r="B326" s="687"/>
      <c r="C326" s="687"/>
      <c r="D326" s="687"/>
      <c r="E326" s="687"/>
      <c r="F326" s="687"/>
      <c r="G326" s="687"/>
      <c r="H326" s="687"/>
      <c r="I326" s="687"/>
      <c r="K326" s="685"/>
    </row>
    <row r="327" spans="1:30" ht="36" customHeight="1" x14ac:dyDescent="0.25">
      <c r="A327" s="688"/>
      <c r="B327" s="688"/>
      <c r="C327" s="688"/>
      <c r="D327" s="688"/>
      <c r="E327" s="688"/>
      <c r="F327" s="688"/>
      <c r="G327" s="688"/>
      <c r="H327" s="688"/>
      <c r="I327" s="688"/>
      <c r="K327" s="685"/>
    </row>
    <row r="328" spans="1:30" ht="31.5" customHeight="1" x14ac:dyDescent="0.25">
      <c r="A328" s="688"/>
      <c r="B328" s="688"/>
      <c r="C328" s="688"/>
      <c r="D328" s="688"/>
      <c r="E328" s="688"/>
      <c r="F328" s="688"/>
      <c r="G328" s="688"/>
      <c r="H328" s="688"/>
      <c r="I328" s="688"/>
      <c r="K328" s="686"/>
    </row>
    <row r="329" spans="1:30" x14ac:dyDescent="0.25">
      <c r="K329" s="544"/>
    </row>
    <row r="330" spans="1:30" ht="19.2" customHeight="1" thickBot="1" x14ac:dyDescent="0.3">
      <c r="A330" s="517" t="s">
        <v>1000</v>
      </c>
      <c r="B330" s="518"/>
      <c r="C330" s="518"/>
      <c r="D330" s="518"/>
      <c r="E330" s="518"/>
      <c r="F330" s="518"/>
      <c r="G330" s="518"/>
      <c r="H330" s="518"/>
      <c r="I330" s="518"/>
      <c r="K330" s="544"/>
    </row>
    <row r="331" spans="1:30" ht="15" customHeight="1" x14ac:dyDescent="0.25">
      <c r="A331" s="681" t="s">
        <v>1001</v>
      </c>
      <c r="B331" s="681"/>
      <c r="C331" s="681"/>
      <c r="D331" s="681"/>
      <c r="E331" s="681"/>
      <c r="F331" s="681"/>
      <c r="G331" s="681"/>
      <c r="H331" s="681"/>
      <c r="I331" s="681"/>
    </row>
    <row r="333" spans="1:30" s="614" customFormat="1" ht="31.2" x14ac:dyDescent="0.3">
      <c r="A333" s="610" t="s">
        <v>1251</v>
      </c>
      <c r="B333" s="611" t="s">
        <v>1002</v>
      </c>
      <c r="C333" s="611" t="s">
        <v>1003</v>
      </c>
      <c r="D333" s="612" t="s">
        <v>6</v>
      </c>
      <c r="E333" s="612" t="s">
        <v>21</v>
      </c>
      <c r="F333" s="611" t="s">
        <v>1004</v>
      </c>
      <c r="G333" s="611" t="s">
        <v>1005</v>
      </c>
      <c r="H333" s="611" t="s">
        <v>1252</v>
      </c>
      <c r="I333" s="611" t="s">
        <v>1253</v>
      </c>
      <c r="J333" s="755"/>
      <c r="K333" s="612" t="s">
        <v>1254</v>
      </c>
      <c r="L333" s="611"/>
      <c r="M333" s="612"/>
      <c r="S333" s="613"/>
      <c r="T333" s="613"/>
      <c r="U333" s="613"/>
      <c r="V333" s="613"/>
      <c r="W333" s="613"/>
      <c r="X333" s="613"/>
      <c r="Y333" s="613"/>
      <c r="Z333" s="613"/>
      <c r="AA333" s="613"/>
      <c r="AB333" s="613"/>
      <c r="AC333" s="613"/>
      <c r="AD333" s="613"/>
    </row>
    <row r="334" spans="1:30" s="614" customFormat="1" x14ac:dyDescent="0.3">
      <c r="A334" s="615" t="str">
        <f t="shared" ref="A334:A339" si="35">A361</f>
        <v>National tous milieux (moyenne pondérée)</v>
      </c>
      <c r="B334" s="382">
        <v>422</v>
      </c>
      <c r="C334" s="383">
        <v>543</v>
      </c>
      <c r="D334" s="383">
        <v>231</v>
      </c>
      <c r="E334" s="383">
        <v>35</v>
      </c>
      <c r="F334" s="383">
        <v>51</v>
      </c>
      <c r="G334" s="383">
        <v>188</v>
      </c>
      <c r="H334" s="383">
        <v>53</v>
      </c>
      <c r="I334" s="383">
        <v>5</v>
      </c>
      <c r="J334" s="384"/>
      <c r="K334" s="383">
        <v>40</v>
      </c>
      <c r="L334" s="383">
        <v>0</v>
      </c>
      <c r="M334" s="383">
        <v>0</v>
      </c>
      <c r="N334" s="616"/>
      <c r="S334" s="613"/>
      <c r="T334" s="613"/>
      <c r="U334" s="613"/>
      <c r="V334" s="613"/>
      <c r="W334" s="613"/>
      <c r="X334" s="613"/>
      <c r="Y334" s="613"/>
      <c r="Z334" s="613"/>
      <c r="AA334" s="613"/>
      <c r="AB334" s="613"/>
      <c r="AC334" s="613"/>
      <c r="AD334" s="613"/>
    </row>
    <row r="335" spans="1:30" s="614" customFormat="1" x14ac:dyDescent="0.3">
      <c r="A335" s="617" t="str">
        <f t="shared" si="35"/>
        <v>Rural (médiane)</v>
      </c>
      <c r="B335" s="385">
        <v>140</v>
      </c>
      <c r="C335" s="386">
        <v>500</v>
      </c>
      <c r="D335" s="386">
        <v>186.5</v>
      </c>
      <c r="E335" s="386">
        <v>40</v>
      </c>
      <c r="F335" s="386">
        <v>48</v>
      </c>
      <c r="G335" s="386">
        <v>220.5</v>
      </c>
      <c r="H335" s="386">
        <v>49</v>
      </c>
      <c r="I335" s="386">
        <f>I$334</f>
        <v>5</v>
      </c>
      <c r="J335" s="384"/>
      <c r="K335" s="386">
        <f>K$334</f>
        <v>40</v>
      </c>
      <c r="L335" s="386">
        <v>0</v>
      </c>
      <c r="M335" s="386">
        <v>0</v>
      </c>
      <c r="N335" s="616"/>
      <c r="O335" s="614" t="s">
        <v>1255</v>
      </c>
      <c r="S335" s="613"/>
      <c r="T335" s="613"/>
      <c r="U335" s="613"/>
      <c r="V335" s="613"/>
      <c r="W335" s="613"/>
      <c r="X335" s="613"/>
      <c r="Y335" s="613"/>
      <c r="Z335" s="613"/>
      <c r="AA335" s="613"/>
      <c r="AB335" s="613"/>
      <c r="AC335" s="613"/>
      <c r="AD335" s="613"/>
    </row>
    <row r="336" spans="1:30" s="614" customFormat="1" x14ac:dyDescent="0.3">
      <c r="A336" s="617" t="str">
        <f t="shared" si="35"/>
        <v>Mixte à dominante rurale (médiane)</v>
      </c>
      <c r="B336" s="385">
        <v>146</v>
      </c>
      <c r="C336" s="386">
        <v>527.5</v>
      </c>
      <c r="D336" s="386">
        <v>205</v>
      </c>
      <c r="E336" s="386">
        <v>37</v>
      </c>
      <c r="F336" s="386">
        <v>51.5</v>
      </c>
      <c r="G336" s="386">
        <v>223.5</v>
      </c>
      <c r="H336" s="386">
        <v>48</v>
      </c>
      <c r="I336" s="386">
        <f t="shared" ref="I336:K339" si="36">I$334</f>
        <v>5</v>
      </c>
      <c r="J336" s="384"/>
      <c r="K336" s="386">
        <f t="shared" si="36"/>
        <v>40</v>
      </c>
      <c r="L336" s="386">
        <v>0</v>
      </c>
      <c r="M336" s="386">
        <v>0</v>
      </c>
      <c r="O336" s="614" t="s">
        <v>1256</v>
      </c>
      <c r="S336" s="613"/>
      <c r="T336" s="613"/>
      <c r="U336" s="613"/>
      <c r="V336" s="613"/>
      <c r="W336" s="613"/>
      <c r="X336" s="613"/>
      <c r="Y336" s="613"/>
      <c r="Z336" s="613"/>
      <c r="AA336" s="613"/>
      <c r="AB336" s="613"/>
      <c r="AC336" s="613"/>
      <c r="AD336" s="613"/>
    </row>
    <row r="337" spans="1:30" s="614" customFormat="1" x14ac:dyDescent="0.3">
      <c r="A337" s="617" t="str">
        <f t="shared" si="35"/>
        <v>Mixte à dominante urbaine (médiane)</v>
      </c>
      <c r="B337" s="385">
        <v>48</v>
      </c>
      <c r="C337" s="386">
        <v>536</v>
      </c>
      <c r="D337" s="386">
        <v>220.5</v>
      </c>
      <c r="E337" s="386">
        <v>32.5</v>
      </c>
      <c r="F337" s="386">
        <v>53</v>
      </c>
      <c r="G337" s="386">
        <v>178</v>
      </c>
      <c r="H337" s="386">
        <v>78</v>
      </c>
      <c r="I337" s="386">
        <f t="shared" si="36"/>
        <v>5</v>
      </c>
      <c r="J337" s="384"/>
      <c r="K337" s="386">
        <f t="shared" si="36"/>
        <v>40</v>
      </c>
      <c r="L337" s="386">
        <v>0</v>
      </c>
      <c r="M337" s="386">
        <v>0</v>
      </c>
      <c r="O337" s="614" t="s">
        <v>1257</v>
      </c>
      <c r="S337" s="613"/>
      <c r="T337" s="613"/>
      <c r="U337" s="613"/>
      <c r="V337" s="613"/>
      <c r="W337" s="613"/>
      <c r="X337" s="613"/>
      <c r="Y337" s="613"/>
      <c r="Z337" s="613"/>
      <c r="AA337" s="613"/>
      <c r="AB337" s="613"/>
      <c r="AC337" s="613"/>
      <c r="AD337" s="613"/>
    </row>
    <row r="338" spans="1:30" s="614" customFormat="1" x14ac:dyDescent="0.3">
      <c r="A338" s="617" t="str">
        <f t="shared" si="35"/>
        <v>Urbain - Urbain Dense (médiane)</v>
      </c>
      <c r="B338" s="385">
        <v>52</v>
      </c>
      <c r="C338" s="386">
        <v>501.5</v>
      </c>
      <c r="D338" s="386">
        <v>248</v>
      </c>
      <c r="E338" s="386">
        <v>28</v>
      </c>
      <c r="F338" s="386">
        <v>47</v>
      </c>
      <c r="G338" s="386">
        <v>129.5</v>
      </c>
      <c r="H338" s="386">
        <v>38</v>
      </c>
      <c r="I338" s="386">
        <f t="shared" si="36"/>
        <v>5</v>
      </c>
      <c r="J338" s="384"/>
      <c r="K338" s="386">
        <f t="shared" si="36"/>
        <v>40</v>
      </c>
      <c r="L338" s="386">
        <v>0</v>
      </c>
      <c r="M338" s="386">
        <v>0</v>
      </c>
      <c r="O338" s="614" t="s">
        <v>1258</v>
      </c>
      <c r="S338" s="613"/>
      <c r="T338" s="613"/>
      <c r="U338" s="613"/>
      <c r="V338" s="613"/>
      <c r="W338" s="613"/>
      <c r="X338" s="613"/>
      <c r="Y338" s="613"/>
      <c r="Z338" s="613"/>
      <c r="AA338" s="613"/>
      <c r="AB338" s="613"/>
      <c r="AC338" s="613"/>
      <c r="AD338" s="613"/>
    </row>
    <row r="339" spans="1:30" s="614" customFormat="1" x14ac:dyDescent="0.3">
      <c r="A339" s="617" t="str">
        <f t="shared" si="35"/>
        <v>Touristique (médiane)</v>
      </c>
      <c r="B339" s="385">
        <v>36</v>
      </c>
      <c r="C339" s="386">
        <v>835</v>
      </c>
      <c r="D339" s="386">
        <v>307.5</v>
      </c>
      <c r="E339" s="386">
        <v>62.5</v>
      </c>
      <c r="F339" s="386">
        <v>57</v>
      </c>
      <c r="G339" s="386">
        <v>329.5</v>
      </c>
      <c r="H339" s="386">
        <v>86</v>
      </c>
      <c r="I339" s="386">
        <f t="shared" si="36"/>
        <v>5</v>
      </c>
      <c r="J339" s="384"/>
      <c r="K339" s="386">
        <f t="shared" si="36"/>
        <v>40</v>
      </c>
      <c r="L339" s="386">
        <v>0</v>
      </c>
      <c r="M339" s="386">
        <v>0</v>
      </c>
      <c r="S339" s="613"/>
      <c r="T339" s="613"/>
      <c r="U339" s="613"/>
      <c r="V339" s="613"/>
      <c r="W339" s="613"/>
      <c r="X339" s="613"/>
      <c r="Y339" s="613"/>
      <c r="Z339" s="613"/>
      <c r="AA339" s="613"/>
      <c r="AB339" s="613"/>
      <c r="AC339" s="613"/>
      <c r="AD339" s="613"/>
    </row>
    <row r="340" spans="1:30" s="614" customFormat="1" ht="12" customHeight="1" x14ac:dyDescent="0.3">
      <c r="A340" s="618"/>
      <c r="B340" s="619"/>
      <c r="K340" s="621"/>
      <c r="S340" s="613"/>
      <c r="T340" s="613"/>
      <c r="U340" s="613"/>
      <c r="V340" s="613"/>
      <c r="W340" s="613"/>
      <c r="X340" s="613"/>
      <c r="Y340" s="613"/>
      <c r="Z340" s="613"/>
      <c r="AA340" s="613"/>
      <c r="AB340" s="613"/>
      <c r="AC340" s="613"/>
      <c r="AD340" s="613"/>
    </row>
    <row r="341" spans="1:30" s="614" customFormat="1" ht="31.2" x14ac:dyDescent="0.3">
      <c r="A341" s="611" t="s">
        <v>1259</v>
      </c>
      <c r="B341" s="611" t="s">
        <v>1002</v>
      </c>
      <c r="C341" s="611" t="s">
        <v>963</v>
      </c>
      <c r="D341" s="612" t="s">
        <v>6</v>
      </c>
      <c r="E341" s="612" t="s">
        <v>21</v>
      </c>
      <c r="F341" s="611" t="s">
        <v>1004</v>
      </c>
      <c r="G341" s="611" t="s">
        <v>1005</v>
      </c>
      <c r="H341" s="611" t="s">
        <v>1260</v>
      </c>
      <c r="I341" s="611" t="s">
        <v>1253</v>
      </c>
      <c r="K341" s="612" t="s">
        <v>1254</v>
      </c>
      <c r="L341" s="616"/>
      <c r="S341" s="613"/>
      <c r="T341" s="613"/>
      <c r="U341" s="613"/>
      <c r="V341" s="613"/>
      <c r="W341" s="613"/>
      <c r="X341" s="613"/>
      <c r="Y341" s="613"/>
      <c r="Z341" s="613"/>
      <c r="AA341" s="613"/>
      <c r="AB341" s="613"/>
      <c r="AC341" s="613"/>
      <c r="AD341" s="613"/>
    </row>
    <row r="342" spans="1:30" s="614" customFormat="1" x14ac:dyDescent="0.3">
      <c r="A342" s="615" t="str">
        <f t="shared" ref="A342:A347" si="37">A361</f>
        <v>National tous milieux (moyenne pondérée)</v>
      </c>
      <c r="B342" s="382">
        <f t="shared" ref="B342:B347" si="38">B334</f>
        <v>422</v>
      </c>
      <c r="C342" s="387">
        <v>98</v>
      </c>
      <c r="D342" s="387">
        <v>55.155776570338602</v>
      </c>
      <c r="E342" s="388">
        <v>1.770293322872162</v>
      </c>
      <c r="F342" s="387">
        <v>11.128470838435209</v>
      </c>
      <c r="G342" s="387">
        <v>22.395743241288738</v>
      </c>
      <c r="H342" s="387">
        <v>6.9</v>
      </c>
      <c r="I342" s="388">
        <v>1.2</v>
      </c>
      <c r="K342" s="387">
        <v>18.2</v>
      </c>
      <c r="S342" s="613"/>
      <c r="T342" s="613"/>
      <c r="U342" s="613"/>
      <c r="V342" s="613"/>
      <c r="W342" s="613"/>
      <c r="X342" s="613"/>
      <c r="Y342" s="613"/>
      <c r="Z342" s="613"/>
      <c r="AA342" s="613"/>
      <c r="AB342" s="613"/>
      <c r="AC342" s="613"/>
      <c r="AD342" s="613"/>
    </row>
    <row r="343" spans="1:30" s="614" customFormat="1" x14ac:dyDescent="0.3">
      <c r="A343" s="617" t="str">
        <f t="shared" si="37"/>
        <v>Rural (médiane)</v>
      </c>
      <c r="B343" s="385">
        <f t="shared" si="38"/>
        <v>140</v>
      </c>
      <c r="C343" s="389">
        <v>80.771050000000002</v>
      </c>
      <c r="D343" s="389">
        <v>44.832850000000001</v>
      </c>
      <c r="E343" s="390">
        <v>1.0145999999999999</v>
      </c>
      <c r="F343" s="389">
        <v>6.90855</v>
      </c>
      <c r="G343" s="389">
        <v>25.117000000000001</v>
      </c>
      <c r="H343" s="622">
        <f>H342</f>
        <v>6.9</v>
      </c>
      <c r="I343" s="623">
        <f>I342</f>
        <v>1.2</v>
      </c>
      <c r="K343" s="622">
        <f>K342</f>
        <v>18.2</v>
      </c>
      <c r="S343" s="613"/>
      <c r="T343" s="613"/>
      <c r="U343" s="613"/>
      <c r="V343" s="613"/>
      <c r="W343" s="613"/>
      <c r="X343" s="613"/>
      <c r="Y343" s="613"/>
      <c r="Z343" s="613"/>
      <c r="AA343" s="613"/>
      <c r="AB343" s="613"/>
      <c r="AC343" s="613"/>
      <c r="AD343" s="613"/>
    </row>
    <row r="344" spans="1:30" s="614" customFormat="1" x14ac:dyDescent="0.3">
      <c r="A344" s="617" t="str">
        <f t="shared" si="37"/>
        <v>Mixte à dominante rurale (médiane)</v>
      </c>
      <c r="B344" s="385">
        <f t="shared" si="38"/>
        <v>146</v>
      </c>
      <c r="C344" s="389">
        <v>85.974450000000004</v>
      </c>
      <c r="D344" s="389">
        <v>48.885849999999998</v>
      </c>
      <c r="E344" s="390">
        <v>0.96635000000000004</v>
      </c>
      <c r="F344" s="389">
        <v>8.0428500000000014</v>
      </c>
      <c r="G344" s="389">
        <v>24.815200000000001</v>
      </c>
      <c r="H344" s="622">
        <f>H342</f>
        <v>6.9</v>
      </c>
      <c r="I344" s="623">
        <f>I342</f>
        <v>1.2</v>
      </c>
      <c r="K344" s="622">
        <f>K342</f>
        <v>18.2</v>
      </c>
      <c r="S344" s="613"/>
      <c r="T344" s="613"/>
      <c r="U344" s="613"/>
      <c r="V344" s="613"/>
      <c r="W344" s="613"/>
      <c r="X344" s="613"/>
      <c r="Y344" s="613"/>
      <c r="Z344" s="613"/>
      <c r="AA344" s="613"/>
      <c r="AB344" s="613"/>
      <c r="AC344" s="613"/>
      <c r="AD344" s="613"/>
    </row>
    <row r="345" spans="1:30" s="614" customFormat="1" x14ac:dyDescent="0.3">
      <c r="A345" s="617" t="str">
        <f t="shared" si="37"/>
        <v>Mixte à dominante urbaine (médiane)</v>
      </c>
      <c r="B345" s="385">
        <f t="shared" si="38"/>
        <v>48</v>
      </c>
      <c r="C345" s="389">
        <v>93.110950000000003</v>
      </c>
      <c r="D345" s="389">
        <v>49.38955</v>
      </c>
      <c r="E345" s="390">
        <v>1.2246999999999999</v>
      </c>
      <c r="F345" s="389">
        <v>9.6859999999999999</v>
      </c>
      <c r="G345" s="389">
        <v>22.816899999999997</v>
      </c>
      <c r="H345" s="622">
        <f>H342</f>
        <v>6.9</v>
      </c>
      <c r="I345" s="623">
        <f>I342</f>
        <v>1.2</v>
      </c>
      <c r="K345" s="622">
        <f>K342</f>
        <v>18.2</v>
      </c>
      <c r="S345" s="613"/>
      <c r="T345" s="613"/>
      <c r="U345" s="613"/>
      <c r="V345" s="613"/>
      <c r="W345" s="613"/>
      <c r="X345" s="613"/>
      <c r="Y345" s="613"/>
      <c r="Z345" s="613"/>
      <c r="AA345" s="613"/>
      <c r="AB345" s="613"/>
      <c r="AC345" s="613"/>
      <c r="AD345" s="613"/>
    </row>
    <row r="346" spans="1:30" s="614" customFormat="1" x14ac:dyDescent="0.3">
      <c r="A346" s="617" t="str">
        <f t="shared" si="37"/>
        <v>Urbain - Urbain Dense (médiane)</v>
      </c>
      <c r="B346" s="385">
        <f t="shared" si="38"/>
        <v>52</v>
      </c>
      <c r="C346" s="389">
        <v>94.920500000000004</v>
      </c>
      <c r="D346" s="389">
        <v>53.1175</v>
      </c>
      <c r="E346" s="390">
        <v>1.6394000000000002</v>
      </c>
      <c r="F346" s="389">
        <v>10.8965</v>
      </c>
      <c r="G346" s="389">
        <v>17.24165</v>
      </c>
      <c r="H346" s="622">
        <f>H342</f>
        <v>6.9</v>
      </c>
      <c r="I346" s="623">
        <f>I342</f>
        <v>1.2</v>
      </c>
      <c r="K346" s="622">
        <f>K342</f>
        <v>18.2</v>
      </c>
      <c r="S346" s="613"/>
      <c r="T346" s="613"/>
      <c r="U346" s="613"/>
      <c r="V346" s="613"/>
      <c r="W346" s="613"/>
      <c r="X346" s="613"/>
      <c r="Y346" s="613"/>
      <c r="Z346" s="613"/>
      <c r="AA346" s="613"/>
      <c r="AB346" s="613"/>
      <c r="AC346" s="613"/>
      <c r="AD346" s="613"/>
    </row>
    <row r="347" spans="1:30" s="614" customFormat="1" x14ac:dyDescent="0.3">
      <c r="A347" s="617" t="str">
        <f t="shared" si="37"/>
        <v>Touristique (médiane)</v>
      </c>
      <c r="B347" s="385">
        <f t="shared" si="38"/>
        <v>36</v>
      </c>
      <c r="C347" s="389">
        <v>151.88505000000001</v>
      </c>
      <c r="D347" s="389">
        <v>80.921199999999999</v>
      </c>
      <c r="E347" s="390">
        <v>3.1903000000000001</v>
      </c>
      <c r="F347" s="389">
        <v>12.884550000000001</v>
      </c>
      <c r="G347" s="389">
        <v>40.308250000000001</v>
      </c>
      <c r="H347" s="622">
        <f>H342</f>
        <v>6.9</v>
      </c>
      <c r="I347" s="623">
        <f>I342</f>
        <v>1.2</v>
      </c>
      <c r="K347" s="622">
        <f>K342</f>
        <v>18.2</v>
      </c>
      <c r="S347" s="613"/>
      <c r="T347" s="613"/>
      <c r="U347" s="613"/>
      <c r="V347" s="613"/>
      <c r="W347" s="613"/>
      <c r="X347" s="613"/>
      <c r="Y347" s="613"/>
      <c r="Z347" s="613"/>
      <c r="AA347" s="613"/>
      <c r="AB347" s="613"/>
      <c r="AC347" s="613"/>
      <c r="AD347" s="613"/>
    </row>
    <row r="348" spans="1:30" s="614" customFormat="1" x14ac:dyDescent="0.3">
      <c r="A348" s="621"/>
      <c r="K348" s="621"/>
      <c r="S348" s="613"/>
      <c r="T348" s="613"/>
      <c r="U348" s="613"/>
      <c r="V348" s="613"/>
      <c r="W348" s="613"/>
      <c r="X348" s="613"/>
      <c r="Y348" s="613"/>
      <c r="Z348" s="613"/>
      <c r="AA348" s="613"/>
      <c r="AB348" s="613"/>
      <c r="AC348" s="613"/>
      <c r="AD348" s="613"/>
    </row>
    <row r="349" spans="1:30" s="614" customFormat="1" ht="31.2" x14ac:dyDescent="0.3">
      <c r="A349" s="611" t="s">
        <v>1261</v>
      </c>
      <c r="B349" s="611" t="s">
        <v>1002</v>
      </c>
      <c r="C349" s="611" t="s">
        <v>963</v>
      </c>
      <c r="D349" s="612" t="s">
        <v>6</v>
      </c>
      <c r="E349" s="612" t="s">
        <v>21</v>
      </c>
      <c r="F349" s="611" t="s">
        <v>1004</v>
      </c>
      <c r="G349" s="611" t="s">
        <v>1005</v>
      </c>
      <c r="H349" s="611" t="s">
        <v>1260</v>
      </c>
      <c r="I349" s="611" t="s">
        <v>1253</v>
      </c>
      <c r="K349" s="612" t="s">
        <v>1254</v>
      </c>
      <c r="S349" s="613"/>
      <c r="T349" s="613"/>
      <c r="U349" s="613"/>
      <c r="V349" s="613"/>
      <c r="W349" s="613"/>
      <c r="X349" s="613"/>
      <c r="Y349" s="613"/>
      <c r="Z349" s="613"/>
      <c r="AA349" s="613"/>
      <c r="AB349" s="613"/>
      <c r="AC349" s="613"/>
      <c r="AD349" s="613"/>
    </row>
    <row r="350" spans="1:30" s="614" customFormat="1" x14ac:dyDescent="0.3">
      <c r="A350" s="615" t="str">
        <f t="shared" ref="A350:A355" si="39">A361</f>
        <v>National tous milieux (moyenne pondérée)</v>
      </c>
      <c r="B350" s="382">
        <f>B334</f>
        <v>422</v>
      </c>
      <c r="C350" s="391">
        <v>180</v>
      </c>
      <c r="D350" s="391">
        <v>234.89419727905505</v>
      </c>
      <c r="E350" s="391">
        <v>50.414103866126318</v>
      </c>
      <c r="F350" s="391">
        <v>217.53734314445364</v>
      </c>
      <c r="G350" s="391">
        <v>120.21892567963945</v>
      </c>
      <c r="H350" s="391">
        <v>169</v>
      </c>
      <c r="I350" s="391">
        <v>320</v>
      </c>
      <c r="K350" s="391">
        <v>476</v>
      </c>
      <c r="S350" s="613"/>
      <c r="T350" s="613"/>
      <c r="U350" s="613"/>
      <c r="V350" s="613"/>
      <c r="W350" s="613"/>
      <c r="X350" s="613"/>
      <c r="Y350" s="613"/>
      <c r="Z350" s="613"/>
      <c r="AA350" s="613"/>
      <c r="AB350" s="613"/>
      <c r="AC350" s="613"/>
      <c r="AD350" s="613"/>
    </row>
    <row r="351" spans="1:30" s="614" customFormat="1" x14ac:dyDescent="0.3">
      <c r="A351" s="617" t="str">
        <f t="shared" si="39"/>
        <v>Rural (médiane)</v>
      </c>
      <c r="B351" s="385">
        <f t="shared" ref="B351:B355" si="40">B343</f>
        <v>140</v>
      </c>
      <c r="C351" s="392">
        <v>116.05374999999999</v>
      </c>
      <c r="D351" s="392">
        <v>244.536</v>
      </c>
      <c r="E351" s="392">
        <v>26.01455</v>
      </c>
      <c r="F351" s="392">
        <v>144.82650000000001</v>
      </c>
      <c r="G351" s="392">
        <v>116.05374999999999</v>
      </c>
      <c r="H351" s="624">
        <f>H350</f>
        <v>169</v>
      </c>
      <c r="I351" s="624">
        <f>I350</f>
        <v>320</v>
      </c>
      <c r="K351" s="624">
        <f>K350</f>
        <v>476</v>
      </c>
      <c r="S351" s="613"/>
      <c r="T351" s="613"/>
      <c r="U351" s="613"/>
      <c r="V351" s="613"/>
      <c r="W351" s="613"/>
      <c r="X351" s="613"/>
      <c r="Y351" s="613"/>
      <c r="Z351" s="613"/>
      <c r="AA351" s="613"/>
      <c r="AB351" s="613"/>
      <c r="AC351" s="613"/>
      <c r="AD351" s="613"/>
    </row>
    <row r="352" spans="1:30" s="614" customFormat="1" x14ac:dyDescent="0.3">
      <c r="A352" s="617" t="str">
        <f t="shared" si="39"/>
        <v>Mixte à dominante rurale (médiane)</v>
      </c>
      <c r="B352" s="385">
        <f t="shared" si="40"/>
        <v>146</v>
      </c>
      <c r="C352" s="392">
        <v>111.3959</v>
      </c>
      <c r="D352" s="392">
        <v>248.07105000000001</v>
      </c>
      <c r="E352" s="392">
        <v>25.528700000000001</v>
      </c>
      <c r="F352" s="392">
        <v>152.89125000000001</v>
      </c>
      <c r="G352" s="392">
        <v>111.3959</v>
      </c>
      <c r="H352" s="624">
        <f>H350</f>
        <v>169</v>
      </c>
      <c r="I352" s="624">
        <f>I350</f>
        <v>320</v>
      </c>
      <c r="K352" s="624">
        <f>K350</f>
        <v>476</v>
      </c>
      <c r="S352" s="613"/>
      <c r="T352" s="613"/>
      <c r="U352" s="613"/>
      <c r="V352" s="613"/>
      <c r="W352" s="613"/>
      <c r="X352" s="613"/>
      <c r="Y352" s="613"/>
      <c r="Z352" s="613"/>
      <c r="AA352" s="613"/>
      <c r="AB352" s="613"/>
      <c r="AC352" s="613"/>
      <c r="AD352" s="613"/>
    </row>
    <row r="353" spans="1:30" s="614" customFormat="1" x14ac:dyDescent="0.3">
      <c r="A353" s="617" t="str">
        <f t="shared" si="39"/>
        <v>Mixte à dominante urbaine (médiane)</v>
      </c>
      <c r="B353" s="385">
        <f t="shared" si="40"/>
        <v>48</v>
      </c>
      <c r="C353" s="392">
        <v>123.7128</v>
      </c>
      <c r="D353" s="392">
        <v>231.10964999999999</v>
      </c>
      <c r="E353" s="392">
        <v>39.712949999999999</v>
      </c>
      <c r="F353" s="392">
        <v>153.26704999999998</v>
      </c>
      <c r="G353" s="392">
        <v>123.7128</v>
      </c>
      <c r="H353" s="624">
        <f>H350</f>
        <v>169</v>
      </c>
      <c r="I353" s="624">
        <f>I350</f>
        <v>320</v>
      </c>
      <c r="K353" s="624">
        <f>K350</f>
        <v>476</v>
      </c>
      <c r="S353" s="613"/>
      <c r="T353" s="613"/>
      <c r="U353" s="613"/>
      <c r="V353" s="613"/>
      <c r="W353" s="613"/>
      <c r="X353" s="613"/>
      <c r="Y353" s="613"/>
      <c r="Z353" s="613"/>
      <c r="AA353" s="613"/>
      <c r="AB353" s="613"/>
      <c r="AC353" s="613"/>
      <c r="AD353" s="613"/>
    </row>
    <row r="354" spans="1:30" s="614" customFormat="1" x14ac:dyDescent="0.3">
      <c r="A354" s="617" t="str">
        <f t="shared" si="39"/>
        <v>Urbain - Urbain Dense (médiane)</v>
      </c>
      <c r="B354" s="385">
        <f t="shared" si="40"/>
        <v>52</v>
      </c>
      <c r="C354" s="392">
        <v>129.46224999999998</v>
      </c>
      <c r="D354" s="392">
        <v>212.69490000000002</v>
      </c>
      <c r="E354" s="392">
        <v>55.044249999999998</v>
      </c>
      <c r="F354" s="392">
        <v>236.0119</v>
      </c>
      <c r="G354" s="392">
        <v>129.46224999999998</v>
      </c>
      <c r="H354" s="624">
        <f>H350</f>
        <v>169</v>
      </c>
      <c r="I354" s="624">
        <f>I350</f>
        <v>320</v>
      </c>
      <c r="K354" s="624">
        <f>K350</f>
        <v>476</v>
      </c>
      <c r="S354" s="613"/>
      <c r="T354" s="613"/>
      <c r="U354" s="613"/>
      <c r="V354" s="613"/>
      <c r="W354" s="613"/>
      <c r="X354" s="613"/>
      <c r="Y354" s="613"/>
      <c r="Z354" s="613"/>
      <c r="AA354" s="613"/>
      <c r="AB354" s="613"/>
      <c r="AC354" s="613"/>
      <c r="AD354" s="613"/>
    </row>
    <row r="355" spans="1:30" s="614" customFormat="1" x14ac:dyDescent="0.3">
      <c r="A355" s="617" t="str">
        <f t="shared" si="39"/>
        <v>Touristique (médiane)</v>
      </c>
      <c r="B355" s="385">
        <f t="shared" si="40"/>
        <v>36</v>
      </c>
      <c r="C355" s="392">
        <v>121.27175</v>
      </c>
      <c r="D355" s="392">
        <v>289.16245000000004</v>
      </c>
      <c r="E355" s="392">
        <v>53.152850000000001</v>
      </c>
      <c r="F355" s="392">
        <v>224.94580000000002</v>
      </c>
      <c r="G355" s="392">
        <v>121.27175</v>
      </c>
      <c r="H355" s="624">
        <f>H350</f>
        <v>169</v>
      </c>
      <c r="I355" s="624">
        <f>I350</f>
        <v>320</v>
      </c>
      <c r="K355" s="624">
        <f>K350</f>
        <v>476</v>
      </c>
      <c r="S355" s="613"/>
      <c r="T355" s="613"/>
      <c r="U355" s="613"/>
      <c r="V355" s="613"/>
      <c r="W355" s="613"/>
      <c r="X355" s="613"/>
      <c r="Y355" s="613"/>
      <c r="Z355" s="613"/>
      <c r="AA355" s="613"/>
      <c r="AB355" s="613"/>
      <c r="AC355" s="613"/>
      <c r="AD355" s="613"/>
    </row>
    <row r="356" spans="1:30" s="614" customFormat="1" x14ac:dyDescent="0.3">
      <c r="A356" s="621"/>
      <c r="J356" s="620"/>
      <c r="K356" s="621"/>
      <c r="N356" s="613"/>
      <c r="O356" s="613"/>
      <c r="P356" s="613"/>
      <c r="Q356" s="613"/>
      <c r="R356" s="613"/>
      <c r="S356" s="613"/>
      <c r="T356" s="613"/>
      <c r="U356" s="613"/>
      <c r="V356" s="613"/>
      <c r="W356" s="613"/>
      <c r="X356" s="613"/>
      <c r="Y356" s="613"/>
      <c r="Z356" s="613"/>
      <c r="AA356" s="613"/>
      <c r="AB356" s="613"/>
      <c r="AC356" s="613"/>
      <c r="AD356" s="613"/>
    </row>
    <row r="357" spans="1:30" s="614" customFormat="1" x14ac:dyDescent="0.3">
      <c r="A357" s="621"/>
      <c r="J357" s="620"/>
      <c r="K357" s="621"/>
      <c r="N357" s="613"/>
      <c r="O357" s="613"/>
      <c r="P357" s="613"/>
      <c r="Q357" s="613"/>
      <c r="R357" s="613"/>
      <c r="S357" s="613"/>
      <c r="T357" s="613"/>
      <c r="U357" s="613"/>
      <c r="V357" s="613"/>
      <c r="W357" s="613"/>
      <c r="X357" s="613"/>
      <c r="Y357" s="613"/>
      <c r="Z357" s="613"/>
      <c r="AA357" s="613"/>
      <c r="AB357" s="613"/>
      <c r="AC357" s="613"/>
      <c r="AD357" s="613"/>
    </row>
    <row r="358" spans="1:30" ht="16.2" thickBot="1" x14ac:dyDescent="0.3">
      <c r="A358" s="517" t="s">
        <v>1006</v>
      </c>
      <c r="B358" s="517"/>
      <c r="C358" s="517"/>
      <c r="D358" s="517"/>
      <c r="E358" s="517"/>
      <c r="F358" s="517"/>
      <c r="G358" s="517"/>
      <c r="H358" s="517"/>
      <c r="I358" s="517"/>
      <c r="K358" s="625"/>
      <c r="L358" s="509"/>
    </row>
    <row r="359" spans="1:30" ht="6" customHeight="1" x14ac:dyDescent="0.25"/>
    <row r="360" spans="1:30" s="630" customFormat="1" ht="31.2" x14ac:dyDescent="0.3">
      <c r="A360" s="626" t="s">
        <v>1007</v>
      </c>
      <c r="B360" s="627" t="s">
        <v>1008</v>
      </c>
      <c r="C360" s="628" t="s">
        <v>1009</v>
      </c>
      <c r="D360" s="627" t="s">
        <v>1010</v>
      </c>
      <c r="E360" s="627" t="s">
        <v>1011</v>
      </c>
      <c r="F360" s="629" t="s">
        <v>1012</v>
      </c>
      <c r="G360" s="629" t="s">
        <v>1240</v>
      </c>
      <c r="H360" s="629"/>
      <c r="I360" s="627" t="s">
        <v>1013</v>
      </c>
      <c r="K360" s="631"/>
    </row>
    <row r="361" spans="1:30" ht="31.2" x14ac:dyDescent="0.25">
      <c r="A361" s="615" t="s">
        <v>889</v>
      </c>
      <c r="B361" s="632" t="s">
        <v>1014</v>
      </c>
      <c r="C361" s="633" t="s">
        <v>1015</v>
      </c>
      <c r="D361" s="632" t="s">
        <v>1016</v>
      </c>
      <c r="E361" s="632" t="s">
        <v>1017</v>
      </c>
      <c r="F361" s="632" t="s">
        <v>64</v>
      </c>
      <c r="G361" s="632" t="s">
        <v>1241</v>
      </c>
      <c r="H361" s="632"/>
      <c r="I361" s="632" t="s">
        <v>208</v>
      </c>
    </row>
    <row r="362" spans="1:30" ht="31.2" x14ac:dyDescent="0.25">
      <c r="A362" s="634" t="s">
        <v>893</v>
      </c>
      <c r="B362" s="632" t="s">
        <v>1018</v>
      </c>
      <c r="C362" s="633" t="s">
        <v>1019</v>
      </c>
      <c r="D362" s="632" t="s">
        <v>1020</v>
      </c>
      <c r="E362" s="632" t="s">
        <v>1021</v>
      </c>
      <c r="F362" s="632" t="s">
        <v>48</v>
      </c>
      <c r="G362" s="632" t="s">
        <v>1242</v>
      </c>
      <c r="H362" s="632"/>
      <c r="I362" s="632" t="s">
        <v>209</v>
      </c>
    </row>
    <row r="363" spans="1:30" ht="31.2" x14ac:dyDescent="0.25">
      <c r="A363" s="634" t="s">
        <v>980</v>
      </c>
      <c r="B363" s="632" t="s">
        <v>1022</v>
      </c>
      <c r="C363" s="633" t="s">
        <v>1023</v>
      </c>
      <c r="D363" s="632" t="s">
        <v>1024</v>
      </c>
      <c r="E363" s="632" t="s">
        <v>1025</v>
      </c>
      <c r="F363" s="632" t="s">
        <v>1026</v>
      </c>
      <c r="G363" s="632" t="s">
        <v>1243</v>
      </c>
      <c r="H363" s="632"/>
      <c r="I363" s="632" t="s">
        <v>1027</v>
      </c>
    </row>
    <row r="364" spans="1:30" ht="46.8" x14ac:dyDescent="0.25">
      <c r="A364" s="634" t="s">
        <v>985</v>
      </c>
      <c r="B364" s="633"/>
      <c r="C364" s="633"/>
      <c r="D364" s="632" t="s">
        <v>1028</v>
      </c>
      <c r="E364" s="632" t="s">
        <v>1025</v>
      </c>
      <c r="F364" s="632" t="s">
        <v>1029</v>
      </c>
      <c r="G364" s="632" t="s">
        <v>1244</v>
      </c>
      <c r="H364" s="632"/>
      <c r="I364" s="632" t="s">
        <v>1030</v>
      </c>
    </row>
    <row r="365" spans="1:30" ht="31.2" x14ac:dyDescent="0.3">
      <c r="A365" s="634" t="s">
        <v>983</v>
      </c>
      <c r="C365" s="614"/>
      <c r="D365" s="632" t="s">
        <v>1031</v>
      </c>
      <c r="E365" s="632" t="s">
        <v>1032</v>
      </c>
      <c r="F365" s="632" t="s">
        <v>46</v>
      </c>
      <c r="G365" s="632" t="s">
        <v>1245</v>
      </c>
      <c r="H365" s="632"/>
      <c r="I365" s="632" t="s">
        <v>1033</v>
      </c>
    </row>
    <row r="366" spans="1:30" ht="31.2" x14ac:dyDescent="0.3">
      <c r="A366" s="634" t="s">
        <v>895</v>
      </c>
      <c r="C366" s="614"/>
      <c r="D366" s="632" t="s">
        <v>1034</v>
      </c>
      <c r="E366" s="632" t="s">
        <v>1035</v>
      </c>
      <c r="F366" s="632"/>
      <c r="G366" s="632"/>
      <c r="H366" s="632"/>
      <c r="I366" s="632" t="s">
        <v>240</v>
      </c>
    </row>
    <row r="367" spans="1:30" ht="31.2" x14ac:dyDescent="0.25">
      <c r="C367" s="628" t="s">
        <v>1036</v>
      </c>
      <c r="D367" s="632" t="s">
        <v>1037</v>
      </c>
      <c r="E367" s="632" t="s">
        <v>1038</v>
      </c>
      <c r="F367" s="632"/>
      <c r="G367" s="632"/>
      <c r="H367" s="632"/>
      <c r="I367" s="632" t="s">
        <v>1039</v>
      </c>
    </row>
    <row r="368" spans="1:30" ht="31.2" x14ac:dyDescent="0.3">
      <c r="C368" s="633" t="s">
        <v>1040</v>
      </c>
      <c r="D368" s="632" t="s">
        <v>1041</v>
      </c>
      <c r="E368" s="632" t="s">
        <v>1042</v>
      </c>
      <c r="F368" s="614"/>
      <c r="G368" s="614"/>
      <c r="H368" s="614"/>
      <c r="I368" s="614"/>
    </row>
    <row r="369" spans="3:9" ht="31.2" x14ac:dyDescent="0.3">
      <c r="C369" s="633" t="s">
        <v>1043</v>
      </c>
      <c r="D369" s="632" t="s">
        <v>1044</v>
      </c>
      <c r="E369" s="632" t="s">
        <v>1045</v>
      </c>
      <c r="F369" s="614"/>
      <c r="G369" s="614"/>
      <c r="H369" s="614"/>
      <c r="I369" s="614"/>
    </row>
    <row r="370" spans="3:9" ht="31.2" x14ac:dyDescent="0.3">
      <c r="C370" s="633" t="s">
        <v>1046</v>
      </c>
      <c r="D370" s="632" t="s">
        <v>1047</v>
      </c>
      <c r="E370" s="632" t="s">
        <v>1239</v>
      </c>
      <c r="F370" s="614"/>
      <c r="G370" s="614"/>
      <c r="H370" s="614"/>
      <c r="I370" s="614"/>
    </row>
    <row r="371" spans="3:9" ht="31.2" x14ac:dyDescent="0.3">
      <c r="C371" s="633" t="s">
        <v>1048</v>
      </c>
      <c r="D371" s="632" t="s">
        <v>1049</v>
      </c>
      <c r="E371" s="632" t="s">
        <v>1238</v>
      </c>
      <c r="I371" s="614"/>
    </row>
    <row r="372" spans="3:9" ht="46.8" x14ac:dyDescent="0.3">
      <c r="C372" s="614"/>
      <c r="D372" s="632" t="s">
        <v>1050</v>
      </c>
      <c r="E372" s="635"/>
      <c r="I372" s="614"/>
    </row>
    <row r="373" spans="3:9" x14ac:dyDescent="0.25">
      <c r="D373" s="632" t="s">
        <v>1051</v>
      </c>
      <c r="E373" s="635"/>
    </row>
    <row r="374" spans="3:9" ht="19.2" customHeight="1" x14ac:dyDescent="0.25">
      <c r="D374" s="632" t="s">
        <v>1052</v>
      </c>
      <c r="E374" s="635"/>
    </row>
    <row r="375" spans="3:9" ht="18" customHeight="1" x14ac:dyDescent="0.25">
      <c r="D375" s="632" t="s">
        <v>1053</v>
      </c>
      <c r="E375" s="635"/>
    </row>
    <row r="376" spans="3:9" ht="26.4" customHeight="1" x14ac:dyDescent="0.25">
      <c r="D376" s="632" t="s">
        <v>1054</v>
      </c>
      <c r="E376" s="635"/>
    </row>
  </sheetData>
  <autoFilter ref="A138:D153" xr:uid="{00000000-0009-0000-0000-000006000000}">
    <filterColumn colId="3">
      <customFilters>
        <customFilter operator="notEqual" val=" "/>
      </customFilters>
    </filterColumn>
    <sortState xmlns:xlrd2="http://schemas.microsoft.com/office/spreadsheetml/2017/richdata2" ref="A132:D142">
      <sortCondition ref="D130:D141"/>
    </sortState>
  </autoFilter>
  <mergeCells count="79">
    <mergeCell ref="A1:I2"/>
    <mergeCell ref="A9:I9"/>
    <mergeCell ref="B12:I12"/>
    <mergeCell ref="B16:C16"/>
    <mergeCell ref="K16:K18"/>
    <mergeCell ref="B17:C17"/>
    <mergeCell ref="B18:C18"/>
    <mergeCell ref="B19:C19"/>
    <mergeCell ref="K19:K21"/>
    <mergeCell ref="B20:C20"/>
    <mergeCell ref="B21:C21"/>
    <mergeCell ref="B22:C22"/>
    <mergeCell ref="K22:K23"/>
    <mergeCell ref="B23:C23"/>
    <mergeCell ref="A55:I55"/>
    <mergeCell ref="A24:I24"/>
    <mergeCell ref="K24:K26"/>
    <mergeCell ref="K28:K29"/>
    <mergeCell ref="A30:B30"/>
    <mergeCell ref="K30:K33"/>
    <mergeCell ref="K35:K36"/>
    <mergeCell ref="A36:I36"/>
    <mergeCell ref="B42:I42"/>
    <mergeCell ref="K43:K45"/>
    <mergeCell ref="B46:I46"/>
    <mergeCell ref="K46:K48"/>
    <mergeCell ref="B50:I50"/>
    <mergeCell ref="K59:K66"/>
    <mergeCell ref="B74:I74"/>
    <mergeCell ref="K77:K78"/>
    <mergeCell ref="B79:C79"/>
    <mergeCell ref="K79:K82"/>
    <mergeCell ref="B80:C80"/>
    <mergeCell ref="B81:C81"/>
    <mergeCell ref="A82:I82"/>
    <mergeCell ref="A156:I156"/>
    <mergeCell ref="B86:I86"/>
    <mergeCell ref="K93:K96"/>
    <mergeCell ref="K97:K99"/>
    <mergeCell ref="K100:K101"/>
    <mergeCell ref="A113:I113"/>
    <mergeCell ref="B117:I117"/>
    <mergeCell ref="B118:I118"/>
    <mergeCell ref="A131:I131"/>
    <mergeCell ref="B135:I135"/>
    <mergeCell ref="B136:I136"/>
    <mergeCell ref="K139:K149"/>
    <mergeCell ref="B232:I232"/>
    <mergeCell ref="B160:I160"/>
    <mergeCell ref="B161:I161"/>
    <mergeCell ref="K184:K199"/>
    <mergeCell ref="B187:D187"/>
    <mergeCell ref="B191:D191"/>
    <mergeCell ref="B195:D195"/>
    <mergeCell ref="A199:I199"/>
    <mergeCell ref="B217:I217"/>
    <mergeCell ref="B218:I218"/>
    <mergeCell ref="B224:I224"/>
    <mergeCell ref="K224:K226"/>
    <mergeCell ref="B228:I228"/>
    <mergeCell ref="A299:I299"/>
    <mergeCell ref="A237:I237"/>
    <mergeCell ref="B243:I243"/>
    <mergeCell ref="K243:K245"/>
    <mergeCell ref="B247:I247"/>
    <mergeCell ref="B251:I251"/>
    <mergeCell ref="A256:I256"/>
    <mergeCell ref="B260:I260"/>
    <mergeCell ref="B261:I261"/>
    <mergeCell ref="K263:K265"/>
    <mergeCell ref="K266:K268"/>
    <mergeCell ref="A280:I280"/>
    <mergeCell ref="A331:I331"/>
    <mergeCell ref="A319:I319"/>
    <mergeCell ref="A325:I325"/>
    <mergeCell ref="K325:K328"/>
    <mergeCell ref="A326:I326"/>
    <mergeCell ref="A327:I327"/>
    <mergeCell ref="A328:I328"/>
  </mergeCells>
  <conditionalFormatting sqref="B45:C45 K165:K166">
    <cfRule type="cellIs" dxfId="324" priority="173" operator="greaterThan">
      <formula>0</formula>
    </cfRule>
  </conditionalFormatting>
  <conditionalFormatting sqref="D45:E45">
    <cfRule type="cellIs" dxfId="323" priority="168" operator="lessThan">
      <formula>0</formula>
    </cfRule>
    <cfRule type="cellIs" dxfId="322" priority="169" operator="greaterThanOrEqual">
      <formula>0</formula>
    </cfRule>
  </conditionalFormatting>
  <conditionalFormatting sqref="E189:I190">
    <cfRule type="cellIs" dxfId="321" priority="166" operator="lessThan">
      <formula>-0.05</formula>
    </cfRule>
    <cfRule type="cellIs" dxfId="320" priority="167" operator="greaterThan">
      <formula>0.05</formula>
    </cfRule>
  </conditionalFormatting>
  <conditionalFormatting sqref="E193:I194">
    <cfRule type="cellIs" dxfId="319" priority="164" operator="lessThan">
      <formula>-0.05</formula>
    </cfRule>
    <cfRule type="cellIs" dxfId="318" priority="165" operator="greaterThan">
      <formula>0.05</formula>
    </cfRule>
  </conditionalFormatting>
  <conditionalFormatting sqref="E197:I198">
    <cfRule type="cellIs" dxfId="317" priority="162" operator="lessThan">
      <formula>-0.05</formula>
    </cfRule>
    <cfRule type="cellIs" dxfId="316" priority="163" operator="greaterThan">
      <formula>0.05</formula>
    </cfRule>
  </conditionalFormatting>
  <conditionalFormatting sqref="K166">
    <cfRule type="cellIs" dxfId="315" priority="161" operator="notBetween">
      <formula>-0.04</formula>
      <formula>0.04</formula>
    </cfRule>
  </conditionalFormatting>
  <conditionalFormatting sqref="B44:C44">
    <cfRule type="cellIs" dxfId="314" priority="170" operator="lessThanOrEqual">
      <formula>0</formula>
    </cfRule>
    <cfRule type="cellIs" dxfId="313" priority="171" operator="greaterThan">
      <formula>0</formula>
    </cfRule>
  </conditionalFormatting>
  <conditionalFormatting sqref="E44">
    <cfRule type="cellIs" dxfId="312" priority="159" operator="greaterThanOrEqual">
      <formula>0</formula>
    </cfRule>
    <cfRule type="cellIs" dxfId="311" priority="160" operator="lessThan">
      <formula>0</formula>
    </cfRule>
  </conditionalFormatting>
  <conditionalFormatting sqref="B49">
    <cfRule type="cellIs" dxfId="310" priority="157" operator="lessThanOrEqual">
      <formula>0</formula>
    </cfRule>
    <cfRule type="cellIs" dxfId="309" priority="158" operator="greaterThan">
      <formula>0</formula>
    </cfRule>
  </conditionalFormatting>
  <conditionalFormatting sqref="B48">
    <cfRule type="cellIs" dxfId="308" priority="155" operator="lessThanOrEqual">
      <formula>0</formula>
    </cfRule>
    <cfRule type="cellIs" dxfId="307" priority="156" operator="greaterThan">
      <formula>0</formula>
    </cfRule>
  </conditionalFormatting>
  <conditionalFormatting sqref="B53">
    <cfRule type="cellIs" dxfId="306" priority="153" operator="lessThanOrEqual">
      <formula>0</formula>
    </cfRule>
    <cfRule type="cellIs" dxfId="305" priority="154" operator="greaterThan">
      <formula>0</formula>
    </cfRule>
  </conditionalFormatting>
  <conditionalFormatting sqref="B52">
    <cfRule type="cellIs" dxfId="304" priority="151" operator="lessThanOrEqual">
      <formula>0</formula>
    </cfRule>
    <cfRule type="cellIs" dxfId="303" priority="152" operator="greaterThan">
      <formula>0</formula>
    </cfRule>
  </conditionalFormatting>
  <conditionalFormatting sqref="B45:C45">
    <cfRule type="cellIs" dxfId="302" priority="172" operator="lessThanOrEqual">
      <formula>0</formula>
    </cfRule>
  </conditionalFormatting>
  <conditionalFormatting sqref="K223:K227 B227:I227">
    <cfRule type="cellIs" dxfId="301" priority="150" operator="greaterThan">
      <formula>0</formula>
    </cfRule>
  </conditionalFormatting>
  <conditionalFormatting sqref="K223">
    <cfRule type="cellIs" dxfId="300" priority="148" operator="notBetween">
      <formula>-0.04</formula>
      <formula>0.04</formula>
    </cfRule>
  </conditionalFormatting>
  <conditionalFormatting sqref="B231:I231">
    <cfRule type="cellIs" dxfId="299" priority="146" operator="lessThanOrEqual">
      <formula>0</formula>
    </cfRule>
    <cfRule type="cellIs" dxfId="298" priority="147" operator="greaterThan">
      <formula>0</formula>
    </cfRule>
  </conditionalFormatting>
  <conditionalFormatting sqref="B235:I235">
    <cfRule type="cellIs" dxfId="297" priority="144" operator="lessThanOrEqual">
      <formula>0</formula>
    </cfRule>
    <cfRule type="cellIs" dxfId="296" priority="145" operator="greaterThan">
      <formula>0</formula>
    </cfRule>
  </conditionalFormatting>
  <conditionalFormatting sqref="B227:I227">
    <cfRule type="cellIs" dxfId="295" priority="149" operator="lessThanOrEqual">
      <formula>0</formula>
    </cfRule>
  </conditionalFormatting>
  <conditionalFormatting sqref="I44">
    <cfRule type="cellIs" dxfId="294" priority="142" operator="lessThanOrEqual">
      <formula>0</formula>
    </cfRule>
    <cfRule type="cellIs" dxfId="293" priority="143" operator="greaterThan">
      <formula>0</formula>
    </cfRule>
  </conditionalFormatting>
  <conditionalFormatting sqref="K243:K245">
    <cfRule type="cellIs" dxfId="292" priority="141" operator="greaterThan">
      <formula>0</formula>
    </cfRule>
  </conditionalFormatting>
  <conditionalFormatting sqref="K41">
    <cfRule type="cellIs" dxfId="291" priority="140" operator="greaterThan">
      <formula>0</formula>
    </cfRule>
  </conditionalFormatting>
  <conditionalFormatting sqref="K41">
    <cfRule type="cellIs" dxfId="290" priority="139" operator="notBetween">
      <formula>-0.04</formula>
      <formula>0.04</formula>
    </cfRule>
  </conditionalFormatting>
  <conditionalFormatting sqref="D44">
    <cfRule type="cellIs" dxfId="289" priority="137" operator="greaterThanOrEqual">
      <formula>0</formula>
    </cfRule>
    <cfRule type="cellIs" dxfId="288" priority="138" operator="lessThan">
      <formula>0</formula>
    </cfRule>
  </conditionalFormatting>
  <conditionalFormatting sqref="F44">
    <cfRule type="cellIs" dxfId="287" priority="135" operator="lessThanOrEqual">
      <formula>0</formula>
    </cfRule>
    <cfRule type="cellIs" dxfId="286" priority="136" operator="greaterThan">
      <formula>0</formula>
    </cfRule>
  </conditionalFormatting>
  <conditionalFormatting sqref="F45">
    <cfRule type="cellIs" dxfId="285" priority="134" operator="greaterThan">
      <formula>0</formula>
    </cfRule>
  </conditionalFormatting>
  <conditionalFormatting sqref="F45">
    <cfRule type="cellIs" dxfId="284" priority="133" operator="lessThanOrEqual">
      <formula>0</formula>
    </cfRule>
  </conditionalFormatting>
  <conditionalFormatting sqref="G44">
    <cfRule type="cellIs" dxfId="283" priority="131" operator="lessThanOrEqual">
      <formula>0</formula>
    </cfRule>
    <cfRule type="cellIs" dxfId="282" priority="132" operator="greaterThan">
      <formula>0</formula>
    </cfRule>
  </conditionalFormatting>
  <conditionalFormatting sqref="G45">
    <cfRule type="cellIs" dxfId="281" priority="130" operator="greaterThan">
      <formula>0</formula>
    </cfRule>
  </conditionalFormatting>
  <conditionalFormatting sqref="G45">
    <cfRule type="cellIs" dxfId="280" priority="129" operator="lessThanOrEqual">
      <formula>0</formula>
    </cfRule>
  </conditionalFormatting>
  <conditionalFormatting sqref="H44">
    <cfRule type="cellIs" dxfId="279" priority="127" operator="lessThanOrEqual">
      <formula>0</formula>
    </cfRule>
    <cfRule type="cellIs" dxfId="278" priority="128" operator="greaterThan">
      <formula>0</formula>
    </cfRule>
  </conditionalFormatting>
  <conditionalFormatting sqref="H45">
    <cfRule type="cellIs" dxfId="277" priority="126" operator="greaterThan">
      <formula>0</formula>
    </cfRule>
  </conditionalFormatting>
  <conditionalFormatting sqref="H45">
    <cfRule type="cellIs" dxfId="276" priority="125" operator="lessThanOrEqual">
      <formula>0</formula>
    </cfRule>
  </conditionalFormatting>
  <conditionalFormatting sqref="I45">
    <cfRule type="cellIs" dxfId="275" priority="124" operator="greaterThan">
      <formula>0</formula>
    </cfRule>
  </conditionalFormatting>
  <conditionalFormatting sqref="I45">
    <cfRule type="cellIs" dxfId="274" priority="123" operator="lessThanOrEqual">
      <formula>0</formula>
    </cfRule>
  </conditionalFormatting>
  <conditionalFormatting sqref="C49">
    <cfRule type="cellIs" dxfId="273" priority="122" operator="greaterThan">
      <formula>0</formula>
    </cfRule>
  </conditionalFormatting>
  <conditionalFormatting sqref="D49:E49">
    <cfRule type="cellIs" dxfId="272" priority="117" operator="lessThan">
      <formula>0</formula>
    </cfRule>
    <cfRule type="cellIs" dxfId="271" priority="118" operator="greaterThanOrEqual">
      <formula>0</formula>
    </cfRule>
  </conditionalFormatting>
  <conditionalFormatting sqref="C48">
    <cfRule type="cellIs" dxfId="270" priority="119" operator="lessThanOrEqual">
      <formula>0</formula>
    </cfRule>
    <cfRule type="cellIs" dxfId="269" priority="120" operator="greaterThan">
      <formula>0</formula>
    </cfRule>
  </conditionalFormatting>
  <conditionalFormatting sqref="E48">
    <cfRule type="cellIs" dxfId="268" priority="115" operator="greaterThanOrEqual">
      <formula>0</formula>
    </cfRule>
    <cfRule type="cellIs" dxfId="267" priority="116" operator="lessThan">
      <formula>0</formula>
    </cfRule>
  </conditionalFormatting>
  <conditionalFormatting sqref="C49">
    <cfRule type="cellIs" dxfId="266" priority="121" operator="lessThanOrEqual">
      <formula>0</formula>
    </cfRule>
  </conditionalFormatting>
  <conditionalFormatting sqref="I48">
    <cfRule type="cellIs" dxfId="265" priority="113" operator="lessThanOrEqual">
      <formula>0</formula>
    </cfRule>
    <cfRule type="cellIs" dxfId="264" priority="114" operator="greaterThan">
      <formula>0</formula>
    </cfRule>
  </conditionalFormatting>
  <conditionalFormatting sqref="D48">
    <cfRule type="cellIs" dxfId="263" priority="111" operator="greaterThanOrEqual">
      <formula>0</formula>
    </cfRule>
    <cfRule type="cellIs" dxfId="262" priority="112" operator="lessThan">
      <formula>0</formula>
    </cfRule>
  </conditionalFormatting>
  <conditionalFormatting sqref="F48">
    <cfRule type="cellIs" dxfId="261" priority="109" operator="lessThanOrEqual">
      <formula>0</formula>
    </cfRule>
    <cfRule type="cellIs" dxfId="260" priority="110" operator="greaterThan">
      <formula>0</formula>
    </cfRule>
  </conditionalFormatting>
  <conditionalFormatting sqref="F49">
    <cfRule type="cellIs" dxfId="259" priority="108" operator="greaterThan">
      <formula>0</formula>
    </cfRule>
  </conditionalFormatting>
  <conditionalFormatting sqref="F49">
    <cfRule type="cellIs" dxfId="258" priority="107" operator="lessThanOrEqual">
      <formula>0</formula>
    </cfRule>
  </conditionalFormatting>
  <conditionalFormatting sqref="G48">
    <cfRule type="cellIs" dxfId="257" priority="105" operator="lessThanOrEqual">
      <formula>0</formula>
    </cfRule>
    <cfRule type="cellIs" dxfId="256" priority="106" operator="greaterThan">
      <formula>0</formula>
    </cfRule>
  </conditionalFormatting>
  <conditionalFormatting sqref="G49">
    <cfRule type="cellIs" dxfId="255" priority="104" operator="greaterThan">
      <formula>0</formula>
    </cfRule>
  </conditionalFormatting>
  <conditionalFormatting sqref="G49">
    <cfRule type="cellIs" dxfId="254" priority="103" operator="lessThanOrEqual">
      <formula>0</formula>
    </cfRule>
  </conditionalFormatting>
  <conditionalFormatting sqref="H48">
    <cfRule type="cellIs" dxfId="253" priority="101" operator="lessThanOrEqual">
      <formula>0</formula>
    </cfRule>
    <cfRule type="cellIs" dxfId="252" priority="102" operator="greaterThan">
      <formula>0</formula>
    </cfRule>
  </conditionalFormatting>
  <conditionalFormatting sqref="H49">
    <cfRule type="cellIs" dxfId="251" priority="100" operator="greaterThan">
      <formula>0</formula>
    </cfRule>
  </conditionalFormatting>
  <conditionalFormatting sqref="H49">
    <cfRule type="cellIs" dxfId="250" priority="99" operator="lessThanOrEqual">
      <formula>0</formula>
    </cfRule>
  </conditionalFormatting>
  <conditionalFormatting sqref="I49">
    <cfRule type="cellIs" dxfId="249" priority="98" operator="greaterThan">
      <formula>0</formula>
    </cfRule>
  </conditionalFormatting>
  <conditionalFormatting sqref="I49">
    <cfRule type="cellIs" dxfId="248" priority="97" operator="lessThanOrEqual">
      <formula>0</formula>
    </cfRule>
  </conditionalFormatting>
  <conditionalFormatting sqref="C53">
    <cfRule type="cellIs" dxfId="247" priority="96" operator="greaterThan">
      <formula>0</formula>
    </cfRule>
  </conditionalFormatting>
  <conditionalFormatting sqref="D53:E53">
    <cfRule type="cellIs" dxfId="246" priority="91" operator="lessThan">
      <formula>0</formula>
    </cfRule>
    <cfRule type="cellIs" dxfId="245" priority="92" operator="greaterThanOrEqual">
      <formula>0</formula>
    </cfRule>
  </conditionalFormatting>
  <conditionalFormatting sqref="C52">
    <cfRule type="cellIs" dxfId="244" priority="93" operator="lessThanOrEqual">
      <formula>0</formula>
    </cfRule>
    <cfRule type="cellIs" dxfId="243" priority="94" operator="greaterThan">
      <formula>0</formula>
    </cfRule>
  </conditionalFormatting>
  <conditionalFormatting sqref="E52">
    <cfRule type="cellIs" dxfId="242" priority="89" operator="greaterThanOrEqual">
      <formula>0</formula>
    </cfRule>
    <cfRule type="cellIs" dxfId="241" priority="90" operator="lessThan">
      <formula>0</formula>
    </cfRule>
  </conditionalFormatting>
  <conditionalFormatting sqref="C53">
    <cfRule type="cellIs" dxfId="240" priority="95" operator="lessThanOrEqual">
      <formula>0</formula>
    </cfRule>
  </conditionalFormatting>
  <conditionalFormatting sqref="I52">
    <cfRule type="cellIs" dxfId="239" priority="87" operator="lessThanOrEqual">
      <formula>0</formula>
    </cfRule>
    <cfRule type="cellIs" dxfId="238" priority="88" operator="greaterThan">
      <formula>0</formula>
    </cfRule>
  </conditionalFormatting>
  <conditionalFormatting sqref="D52">
    <cfRule type="cellIs" dxfId="237" priority="85" operator="greaterThanOrEqual">
      <formula>0</formula>
    </cfRule>
    <cfRule type="cellIs" dxfId="236" priority="86" operator="lessThan">
      <formula>0</formula>
    </cfRule>
  </conditionalFormatting>
  <conditionalFormatting sqref="F52">
    <cfRule type="cellIs" dxfId="235" priority="83" operator="lessThanOrEqual">
      <formula>0</formula>
    </cfRule>
    <cfRule type="cellIs" dxfId="234" priority="84" operator="greaterThan">
      <formula>0</formula>
    </cfRule>
  </conditionalFormatting>
  <conditionalFormatting sqref="F53">
    <cfRule type="cellIs" dxfId="233" priority="82" operator="greaterThan">
      <formula>0</formula>
    </cfRule>
  </conditionalFormatting>
  <conditionalFormatting sqref="F53">
    <cfRule type="cellIs" dxfId="232" priority="81" operator="lessThanOrEqual">
      <formula>0</formula>
    </cfRule>
  </conditionalFormatting>
  <conditionalFormatting sqref="G52">
    <cfRule type="cellIs" dxfId="231" priority="79" operator="lessThanOrEqual">
      <formula>0</formula>
    </cfRule>
    <cfRule type="cellIs" dxfId="230" priority="80" operator="greaterThan">
      <formula>0</formula>
    </cfRule>
  </conditionalFormatting>
  <conditionalFormatting sqref="G53">
    <cfRule type="cellIs" dxfId="229" priority="78" operator="greaterThan">
      <formula>0</formula>
    </cfRule>
  </conditionalFormatting>
  <conditionalFormatting sqref="G53">
    <cfRule type="cellIs" dxfId="228" priority="77" operator="lessThanOrEqual">
      <formula>0</formula>
    </cfRule>
  </conditionalFormatting>
  <conditionalFormatting sqref="H52">
    <cfRule type="cellIs" dxfId="227" priority="75" operator="lessThanOrEqual">
      <formula>0</formula>
    </cfRule>
    <cfRule type="cellIs" dxfId="226" priority="76" operator="greaterThan">
      <formula>0</formula>
    </cfRule>
  </conditionalFormatting>
  <conditionalFormatting sqref="H53">
    <cfRule type="cellIs" dxfId="225" priority="74" operator="greaterThan">
      <formula>0</formula>
    </cfRule>
  </conditionalFormatting>
  <conditionalFormatting sqref="H53">
    <cfRule type="cellIs" dxfId="224" priority="73" operator="lessThanOrEqual">
      <formula>0</formula>
    </cfRule>
  </conditionalFormatting>
  <conditionalFormatting sqref="I53">
    <cfRule type="cellIs" dxfId="223" priority="72" operator="greaterThan">
      <formula>0</formula>
    </cfRule>
  </conditionalFormatting>
  <conditionalFormatting sqref="I53">
    <cfRule type="cellIs" dxfId="222" priority="71" operator="lessThanOrEqual">
      <formula>0</formula>
    </cfRule>
  </conditionalFormatting>
  <conditionalFormatting sqref="B226">
    <cfRule type="cellIs" dxfId="221" priority="69" operator="lessThanOrEqual">
      <formula>0</formula>
    </cfRule>
    <cfRule type="cellIs" dxfId="220" priority="70" operator="greaterThan">
      <formula>0</formula>
    </cfRule>
  </conditionalFormatting>
  <conditionalFormatting sqref="C226">
    <cfRule type="cellIs" dxfId="219" priority="67" operator="lessThanOrEqual">
      <formula>0</formula>
    </cfRule>
    <cfRule type="cellIs" dxfId="218" priority="68" operator="greaterThan">
      <formula>0</formula>
    </cfRule>
  </conditionalFormatting>
  <conditionalFormatting sqref="D226">
    <cfRule type="cellIs" dxfId="217" priority="65" operator="lessThanOrEqual">
      <formula>0</formula>
    </cfRule>
    <cfRule type="cellIs" dxfId="216" priority="66" operator="greaterThan">
      <formula>0</formula>
    </cfRule>
  </conditionalFormatting>
  <conditionalFormatting sqref="E226">
    <cfRule type="cellIs" dxfId="215" priority="63" operator="lessThanOrEqual">
      <formula>0</formula>
    </cfRule>
    <cfRule type="cellIs" dxfId="214" priority="64" operator="greaterThan">
      <formula>0</formula>
    </cfRule>
  </conditionalFormatting>
  <conditionalFormatting sqref="F226">
    <cfRule type="cellIs" dxfId="213" priority="61" operator="lessThanOrEqual">
      <formula>0</formula>
    </cfRule>
    <cfRule type="cellIs" dxfId="212" priority="62" operator="greaterThan">
      <formula>0</formula>
    </cfRule>
  </conditionalFormatting>
  <conditionalFormatting sqref="G226">
    <cfRule type="cellIs" dxfId="211" priority="59" operator="lessThanOrEqual">
      <formula>0</formula>
    </cfRule>
    <cfRule type="cellIs" dxfId="210" priority="60" operator="greaterThan">
      <formula>0</formula>
    </cfRule>
  </conditionalFormatting>
  <conditionalFormatting sqref="H226">
    <cfRule type="cellIs" dxfId="209" priority="57" operator="lessThanOrEqual">
      <formula>0</formula>
    </cfRule>
    <cfRule type="cellIs" dxfId="208" priority="58" operator="greaterThan">
      <formula>0</formula>
    </cfRule>
  </conditionalFormatting>
  <conditionalFormatting sqref="I226">
    <cfRule type="cellIs" dxfId="207" priority="55" operator="lessThanOrEqual">
      <formula>0</formula>
    </cfRule>
    <cfRule type="cellIs" dxfId="206" priority="56" operator="greaterThan">
      <formula>0</formula>
    </cfRule>
  </conditionalFormatting>
  <conditionalFormatting sqref="C230">
    <cfRule type="cellIs" dxfId="205" priority="51" operator="lessThanOrEqual">
      <formula>0</formula>
    </cfRule>
    <cfRule type="cellIs" dxfId="204" priority="52" operator="greaterThan">
      <formula>0</formula>
    </cfRule>
  </conditionalFormatting>
  <conditionalFormatting sqref="B234">
    <cfRule type="cellIs" dxfId="203" priority="47" operator="lessThanOrEqual">
      <formula>0</formula>
    </cfRule>
    <cfRule type="cellIs" dxfId="202" priority="48" operator="greaterThan">
      <formula>0</formula>
    </cfRule>
  </conditionalFormatting>
  <conditionalFormatting sqref="B230">
    <cfRule type="cellIs" dxfId="201" priority="53" operator="lessThanOrEqual">
      <formula>0</formula>
    </cfRule>
    <cfRule type="cellIs" dxfId="200" priority="54" operator="greaterThan">
      <formula>0</formula>
    </cfRule>
  </conditionalFormatting>
  <conditionalFormatting sqref="C234">
    <cfRule type="cellIs" dxfId="199" priority="49" operator="lessThanOrEqual">
      <formula>0</formula>
    </cfRule>
    <cfRule type="cellIs" dxfId="198" priority="50" operator="greaterThan">
      <formula>0</formula>
    </cfRule>
  </conditionalFormatting>
  <conditionalFormatting sqref="D230:G230">
    <cfRule type="cellIs" dxfId="197" priority="45" operator="lessThanOrEqual">
      <formula>0</formula>
    </cfRule>
    <cfRule type="cellIs" dxfId="196" priority="46" operator="greaterThan">
      <formula>0</formula>
    </cfRule>
  </conditionalFormatting>
  <conditionalFormatting sqref="H230">
    <cfRule type="cellIs" dxfId="195" priority="43" operator="lessThanOrEqual">
      <formula>0</formula>
    </cfRule>
    <cfRule type="cellIs" dxfId="194" priority="44" operator="greaterThan">
      <formula>0</formula>
    </cfRule>
  </conditionalFormatting>
  <conditionalFormatting sqref="I230">
    <cfRule type="cellIs" dxfId="193" priority="41" operator="lessThanOrEqual">
      <formula>0</formula>
    </cfRule>
    <cfRule type="cellIs" dxfId="192" priority="42" operator="greaterThan">
      <formula>0</formula>
    </cfRule>
  </conditionalFormatting>
  <conditionalFormatting sqref="D234:G234">
    <cfRule type="cellIs" dxfId="191" priority="39" operator="lessThanOrEqual">
      <formula>0</formula>
    </cfRule>
    <cfRule type="cellIs" dxfId="190" priority="40" operator="greaterThan">
      <formula>0</formula>
    </cfRule>
  </conditionalFormatting>
  <conditionalFormatting sqref="H234">
    <cfRule type="cellIs" dxfId="189" priority="37" operator="lessThanOrEqual">
      <formula>0</formula>
    </cfRule>
    <cfRule type="cellIs" dxfId="188" priority="38" operator="greaterThan">
      <formula>0</formula>
    </cfRule>
  </conditionalFormatting>
  <conditionalFormatting sqref="I234">
    <cfRule type="cellIs" dxfId="187" priority="35" operator="lessThanOrEqual">
      <formula>0</formula>
    </cfRule>
    <cfRule type="cellIs" dxfId="186" priority="36" operator="greaterThan">
      <formula>0</formula>
    </cfRule>
  </conditionalFormatting>
  <conditionalFormatting sqref="B245">
    <cfRule type="cellIs" dxfId="185" priority="33" operator="lessThanOrEqual">
      <formula>0</formula>
    </cfRule>
    <cfRule type="cellIs" dxfId="184" priority="34" operator="greaterThan">
      <formula>0</formula>
    </cfRule>
  </conditionalFormatting>
  <conditionalFormatting sqref="B250:I250">
    <cfRule type="cellIs" dxfId="183" priority="23" operator="lessThanOrEqual">
      <formula>0</formula>
    </cfRule>
    <cfRule type="cellIs" dxfId="182" priority="24" operator="greaterThan">
      <formula>0</formula>
    </cfRule>
  </conditionalFormatting>
  <conditionalFormatting sqref="B254:I254">
    <cfRule type="cellIs" dxfId="181" priority="21" operator="lessThanOrEqual">
      <formula>0</formula>
    </cfRule>
    <cfRule type="cellIs" dxfId="180" priority="22" operator="greaterThan">
      <formula>0</formula>
    </cfRule>
  </conditionalFormatting>
  <conditionalFormatting sqref="B246">
    <cfRule type="cellIs" dxfId="179" priority="19" operator="lessThanOrEqual">
      <formula>0</formula>
    </cfRule>
    <cfRule type="cellIs" dxfId="178" priority="20" operator="greaterThan">
      <formula>0</formula>
    </cfRule>
  </conditionalFormatting>
  <conditionalFormatting sqref="C245">
    <cfRule type="cellIs" dxfId="177" priority="31" operator="lessThanOrEqual">
      <formula>0</formula>
    </cfRule>
    <cfRule type="cellIs" dxfId="176" priority="32" operator="greaterThan">
      <formula>0</formula>
    </cfRule>
  </conditionalFormatting>
  <conditionalFormatting sqref="D246">
    <cfRule type="cellIs" dxfId="175" priority="17" operator="lessThanOrEqual">
      <formula>0</formula>
    </cfRule>
    <cfRule type="cellIs" dxfId="174" priority="18" operator="greaterThan">
      <formula>0</formula>
    </cfRule>
  </conditionalFormatting>
  <conditionalFormatting sqref="E246">
    <cfRule type="cellIs" dxfId="173" priority="15" operator="lessThanOrEqual">
      <formula>0</formula>
    </cfRule>
    <cfRule type="cellIs" dxfId="172" priority="16" operator="greaterThan">
      <formula>0</formula>
    </cfRule>
  </conditionalFormatting>
  <conditionalFormatting sqref="C246">
    <cfRule type="cellIs" dxfId="171" priority="29" operator="lessThanOrEqual">
      <formula>0</formula>
    </cfRule>
    <cfRule type="cellIs" dxfId="170" priority="30" operator="greaterThan">
      <formula>0</formula>
    </cfRule>
  </conditionalFormatting>
  <conditionalFormatting sqref="G246">
    <cfRule type="cellIs" dxfId="169" priority="27" operator="lessThanOrEqual">
      <formula>0</formula>
    </cfRule>
    <cfRule type="cellIs" dxfId="168" priority="28" operator="greaterThan">
      <formula>0</formula>
    </cfRule>
  </conditionalFormatting>
  <conditionalFormatting sqref="H246">
    <cfRule type="cellIs" dxfId="167" priority="25" operator="lessThanOrEqual">
      <formula>0</formula>
    </cfRule>
    <cfRule type="cellIs" dxfId="166" priority="26" operator="greaterThan">
      <formula>0</formula>
    </cfRule>
  </conditionalFormatting>
  <conditionalFormatting sqref="F246">
    <cfRule type="cellIs" dxfId="165" priority="13" operator="lessThanOrEqual">
      <formula>0</formula>
    </cfRule>
    <cfRule type="cellIs" dxfId="164" priority="14" operator="greaterThan">
      <formula>0</formula>
    </cfRule>
  </conditionalFormatting>
  <conditionalFormatting sqref="I246">
    <cfRule type="cellIs" dxfId="163" priority="11" operator="lessThanOrEqual">
      <formula>0</formula>
    </cfRule>
    <cfRule type="cellIs" dxfId="162" priority="12" operator="greaterThan">
      <formula>0</formula>
    </cfRule>
  </conditionalFormatting>
  <conditionalFormatting sqref="D245:F245">
    <cfRule type="cellIs" dxfId="161" priority="9" operator="lessThanOrEqual">
      <formula>0</formula>
    </cfRule>
    <cfRule type="cellIs" dxfId="160" priority="10" operator="greaterThan">
      <formula>0</formula>
    </cfRule>
  </conditionalFormatting>
  <conditionalFormatting sqref="I245">
    <cfRule type="cellIs" dxfId="159" priority="7" operator="lessThanOrEqual">
      <formula>0</formula>
    </cfRule>
    <cfRule type="cellIs" dxfId="158" priority="8" operator="greaterThan">
      <formula>0</formula>
    </cfRule>
  </conditionalFormatting>
  <conditionalFormatting sqref="G245:H245">
    <cfRule type="cellIs" dxfId="157" priority="5" operator="lessThanOrEqual">
      <formula>0</formula>
    </cfRule>
    <cfRule type="cellIs" dxfId="156" priority="6" operator="greaterThan">
      <formula>0</formula>
    </cfRule>
  </conditionalFormatting>
  <conditionalFormatting sqref="B249:I249">
    <cfRule type="cellIs" dxfId="155" priority="3" operator="lessThanOrEqual">
      <formula>0</formula>
    </cfRule>
    <cfRule type="cellIs" dxfId="154" priority="4" operator="greaterThan">
      <formula>0</formula>
    </cfRule>
  </conditionalFormatting>
  <conditionalFormatting sqref="B253:J253">
    <cfRule type="cellIs" dxfId="153" priority="1" operator="lessThanOrEqual">
      <formula>0</formula>
    </cfRule>
    <cfRule type="cellIs" dxfId="152" priority="2" operator="greaterThan">
      <formula>0</formula>
    </cfRule>
  </conditionalFormatting>
  <dataValidations count="10">
    <dataValidation type="list" allowBlank="1" showInputMessage="1" showErrorMessage="1" sqref="B21:C21" xr:uid="{00000000-0002-0000-0600-000000000000}">
      <formula1>"Oui,Non"</formula1>
    </dataValidation>
    <dataValidation type="list" allowBlank="1" showInputMessage="1" showErrorMessage="1" sqref="B22:C22" xr:uid="{00000000-0002-0000-0600-000002000000}">
      <formula1>$B$361:$B$364</formula1>
    </dataValidation>
    <dataValidation type="list" allowBlank="1" showInputMessage="1" showErrorMessage="1" sqref="B23:C23" xr:uid="{00000000-0002-0000-0600-000003000000}">
      <formula1>$I$361:$I$367</formula1>
    </dataValidation>
    <dataValidation type="list" allowBlank="1" showInputMessage="1" showErrorMessage="1" sqref="C33" xr:uid="{00000000-0002-0000-0600-000004000000}">
      <formula1>$F$361:$F$367</formula1>
    </dataValidation>
    <dataValidation type="list" allowBlank="1" showInputMessage="1" showErrorMessage="1" sqref="B195 J50 B191 B187 J46" xr:uid="{00000000-0002-0000-0600-000005000000}">
      <formula1>$A$361:$A$377</formula1>
    </dataValidation>
    <dataValidation type="list" allowBlank="1" showInputMessage="1" showErrorMessage="1" sqref="B42:I42 B50:I50 B46:I46 B247:I247 B251:I251 B232:I232 B228:I228 B224:I224 B243:I243" xr:uid="{00000000-0002-0000-0600-000006000000}">
      <formula1>$A$361:$A$366</formula1>
    </dataValidation>
    <dataValidation type="list" allowBlank="1" showInputMessage="1" showErrorMessage="1" sqref="C29:I29" xr:uid="{3FE546DE-FD2D-47F6-AE50-28C6557DDEE2}">
      <formula1>$C$361:$C$363</formula1>
    </dataValidation>
    <dataValidation type="list" allowBlank="1" showInputMessage="1" showErrorMessage="1" sqref="C30:I30" xr:uid="{BA268011-D035-4904-8936-2A325D2D87CA}">
      <formula1>$C$368:$C$371</formula1>
    </dataValidation>
    <dataValidation type="list" allowBlank="1" showInputMessage="1" sqref="C31:I32" xr:uid="{A8435A81-38E9-424F-BD06-2AF0B679C1CD}">
      <formula1>$E$361:$E$376</formula1>
    </dataValidation>
    <dataValidation type="list" allowBlank="1" showInputMessage="1" showErrorMessage="1" sqref="B20:C20" xr:uid="{AE9D8326-8603-49F9-B582-35ADDE97B92B}">
      <formula1>$G$361:$G$365</formula1>
    </dataValidation>
  </dataValidations>
  <pageMargins left="0.7" right="0.7" top="0.75" bottom="0.75" header="0.3" footer="0.3"/>
  <pageSetup paperSize="8" scale="70" fitToWidth="0" fitToHeight="0" orientation="portrait" r:id="rId1"/>
  <headerFooter>
    <oddHeader>&amp;CMODULE "Exploiter et valoriser la matrice des coûts"</oddHeader>
    <oddFooter>&amp;C&amp;A&amp;R&amp;P&amp;N</oddFooter>
  </headerFooter>
  <rowBreaks count="6" manualBreakCount="6">
    <brk id="71" max="8" man="1"/>
    <brk id="113" max="8" man="1"/>
    <brk id="156" max="8" man="1"/>
    <brk id="214" max="8" man="1"/>
    <brk id="257" max="8" man="1"/>
    <brk id="319" max="6"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22">
    <tabColor rgb="FFFF0000"/>
  </sheetPr>
  <dimension ref="A1:AO28"/>
  <sheetViews>
    <sheetView showGridLines="0" zoomScaleNormal="100" workbookViewId="0">
      <selection activeCell="B8" sqref="B8"/>
    </sheetView>
  </sheetViews>
  <sheetFormatPr baseColWidth="10" defaultColWidth="11.44140625" defaultRowHeight="13.2" x14ac:dyDescent="0.25"/>
  <cols>
    <col min="1" max="1" width="14.33203125" style="28" customWidth="1"/>
    <col min="2" max="2" width="19.88671875" style="28" customWidth="1"/>
    <col min="3" max="3" width="6.33203125" style="34" customWidth="1"/>
    <col min="4" max="4" width="11.6640625" style="28" customWidth="1"/>
    <col min="5" max="5" width="27.109375" style="28" customWidth="1"/>
    <col min="6" max="6" width="6.6640625" style="28" customWidth="1"/>
    <col min="7" max="7" width="8.33203125" style="28" customWidth="1"/>
    <col min="8" max="8" width="13" style="28" customWidth="1"/>
    <col min="9" max="9" width="8.6640625" style="28" customWidth="1"/>
    <col min="10" max="10" width="13.109375" style="28" hidden="1" customWidth="1"/>
    <col min="11" max="11" width="18.88671875" style="28" customWidth="1"/>
    <col min="12" max="18" width="5.109375" style="28" hidden="1" customWidth="1"/>
    <col min="19" max="20" width="13.5546875" style="35" customWidth="1"/>
    <col min="21" max="21" width="18.6640625" style="28" customWidth="1"/>
    <col min="22" max="22" width="14.5546875" style="28" customWidth="1"/>
    <col min="23" max="23" width="12.88671875" style="33" customWidth="1"/>
    <col min="24" max="24" width="12.88671875" style="28" customWidth="1"/>
    <col min="25" max="30" width="12.88671875" style="33" customWidth="1"/>
    <col min="31" max="31" width="13.5546875" style="33" customWidth="1"/>
    <col min="32" max="32" width="11.44140625" style="33"/>
    <col min="33" max="33" width="21.109375" style="33" customWidth="1"/>
    <col min="34" max="38" width="17" style="28" customWidth="1"/>
    <col min="39" max="39" width="17" style="33" customWidth="1"/>
    <col min="40" max="40" width="13.109375" style="33" customWidth="1"/>
    <col min="41" max="41" width="13.109375" style="33" bestFit="1" customWidth="1"/>
    <col min="42" max="16384" width="11.44140625" style="33"/>
  </cols>
  <sheetData>
    <row r="1" spans="1:41" s="27" customFormat="1" ht="21" x14ac:dyDescent="0.4">
      <c r="A1" s="39" t="s">
        <v>1055</v>
      </c>
      <c r="B1" s="20"/>
      <c r="C1" s="20"/>
      <c r="D1" s="20"/>
      <c r="E1" s="20"/>
      <c r="K1" s="300"/>
      <c r="L1" s="1"/>
      <c r="M1" s="1"/>
      <c r="N1" s="1"/>
      <c r="O1" s="1"/>
      <c r="P1" s="1"/>
      <c r="Q1" s="1"/>
      <c r="R1" s="1"/>
      <c r="S1" s="1"/>
      <c r="T1" s="1"/>
      <c r="U1" s="1"/>
      <c r="V1" s="1"/>
      <c r="W1" s="1"/>
      <c r="AI1" s="28"/>
      <c r="AJ1" s="28"/>
      <c r="AK1" s="28"/>
      <c r="AL1" s="28"/>
    </row>
    <row r="2" spans="1:41" s="27" customFormat="1" x14ac:dyDescent="0.25">
      <c r="C2" s="30"/>
      <c r="S2" s="31"/>
      <c r="T2" s="31"/>
    </row>
    <row r="3" spans="1:41" s="32" customFormat="1" ht="52.8" x14ac:dyDescent="0.25">
      <c r="A3" s="213" t="s">
        <v>1056</v>
      </c>
      <c r="B3" s="214" t="s">
        <v>1057</v>
      </c>
      <c r="C3" s="215" t="s">
        <v>1058</v>
      </c>
      <c r="D3" s="214" t="s">
        <v>1059</v>
      </c>
      <c r="E3" s="214" t="s">
        <v>1060</v>
      </c>
      <c r="F3" s="214" t="s">
        <v>1061</v>
      </c>
      <c r="G3" s="214" t="s">
        <v>1062</v>
      </c>
      <c r="H3" s="214" t="s">
        <v>1063</v>
      </c>
      <c r="I3" s="214" t="s">
        <v>1064</v>
      </c>
      <c r="J3" s="214" t="s">
        <v>1065</v>
      </c>
      <c r="K3" s="214" t="s">
        <v>1066</v>
      </c>
      <c r="L3" s="214" t="s">
        <v>1067</v>
      </c>
      <c r="M3" s="214" t="s">
        <v>1068</v>
      </c>
      <c r="N3" s="214" t="s">
        <v>1069</v>
      </c>
      <c r="O3" s="214" t="s">
        <v>1070</v>
      </c>
      <c r="P3" s="214" t="s">
        <v>1071</v>
      </c>
      <c r="Q3" s="214" t="s">
        <v>1072</v>
      </c>
      <c r="R3" s="214" t="s">
        <v>1073</v>
      </c>
      <c r="S3" s="216" t="s">
        <v>1074</v>
      </c>
      <c r="T3" s="214" t="s">
        <v>1075</v>
      </c>
      <c r="U3" s="214" t="s">
        <v>1076</v>
      </c>
      <c r="V3" s="214" t="s">
        <v>1077</v>
      </c>
      <c r="W3" s="132" t="s">
        <v>1078</v>
      </c>
      <c r="X3" s="214" t="s">
        <v>1079</v>
      </c>
      <c r="Y3" s="132" t="s">
        <v>1080</v>
      </c>
      <c r="Z3" s="132" t="s">
        <v>207</v>
      </c>
      <c r="AA3" s="132" t="s">
        <v>1081</v>
      </c>
      <c r="AB3" s="295" t="s">
        <v>1082</v>
      </c>
      <c r="AC3" s="132" t="s">
        <v>1083</v>
      </c>
      <c r="AD3" s="132" t="s">
        <v>1084</v>
      </c>
      <c r="AE3" s="132" t="s">
        <v>1085</v>
      </c>
      <c r="AG3" s="52" t="s">
        <v>1059</v>
      </c>
      <c r="AH3" s="1" t="s">
        <v>1086</v>
      </c>
      <c r="AI3" s="28"/>
      <c r="AJ3" s="28"/>
      <c r="AK3" s="28"/>
      <c r="AL3" s="28"/>
      <c r="AM3" s="1"/>
      <c r="AN3" s="1"/>
      <c r="AO3" s="1"/>
    </row>
    <row r="4" spans="1:41" x14ac:dyDescent="0.25">
      <c r="A4" s="221"/>
      <c r="B4" s="222"/>
      <c r="C4" s="223"/>
      <c r="D4" s="445"/>
      <c r="E4" s="224"/>
      <c r="F4" s="225"/>
      <c r="G4" s="225"/>
      <c r="H4" s="229"/>
      <c r="I4" s="226"/>
      <c r="J4" s="227"/>
      <c r="K4" s="225"/>
      <c r="L4" s="225"/>
      <c r="M4" s="225"/>
      <c r="N4" s="225"/>
      <c r="O4" s="225"/>
      <c r="P4" s="225"/>
      <c r="Q4" s="225"/>
      <c r="R4" s="225"/>
      <c r="S4" s="303"/>
      <c r="T4" s="303"/>
      <c r="U4" s="446"/>
      <c r="V4" s="270"/>
      <c r="W4" s="306" t="str">
        <f>IF(ISERROR(VLOOKUP(VALUE(Fonctionnement[[#This Row],[Compte]]),TVA_conv[],3,FALSE)),"",IF(AND(Fonctionnement[[#This Row],[Réalisé (€TTC)]]=0,Fonctionnement[[#This Row],[Réalisé (€HT)]]&lt;&gt;0),"",VLOOKUP(VALUE(Fonctionnement[[#This Row],[Compte]]),TVA_conv[],3,FALSE)))</f>
        <v/>
      </c>
      <c r="X4" s="307"/>
      <c r="Y4" s="311"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4" s="311" t="str">
        <f>IF(OR(Fonctionnement[[#This Row],[Recette / Dépense]]="D",Fonctionnement[[#This Row],[Statut des données]]=Att_charge),IF(Fonctionnement[[#This Row],[TVA initiale]]="","",Fonctionnement[[#This Row],[TVA initiale]]-Fonctionnement[[#This Row],[TVA récupérée]]),"")</f>
        <v/>
      </c>
      <c r="AA4" s="228"/>
      <c r="AB4" s="296"/>
      <c r="AC4" s="311"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4" s="311"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4" s="314">
        <f>IF(AND(Fonctionnement[[#This Row],[Réalisé (€TTC)]]=0,Fonctionnement[[#This Row],[Réalisé (€HT)]]&lt;&gt;0),Fonctionnement[Réalisé (€HT)],Fonctionnement[Réalisé (€TTC)])</f>
        <v>0</v>
      </c>
      <c r="AG4" s="27"/>
      <c r="AM4" s="1"/>
      <c r="AN4" s="1"/>
      <c r="AO4" s="1"/>
    </row>
    <row r="5" spans="1:41" x14ac:dyDescent="0.25">
      <c r="A5" s="221"/>
      <c r="B5" s="222"/>
      <c r="C5" s="223"/>
      <c r="D5" s="445"/>
      <c r="E5" s="224"/>
      <c r="F5" s="225"/>
      <c r="G5" s="225"/>
      <c r="H5" s="229"/>
      <c r="I5" s="226"/>
      <c r="J5" s="227"/>
      <c r="K5" s="225"/>
      <c r="L5" s="225"/>
      <c r="M5" s="225"/>
      <c r="N5" s="225"/>
      <c r="O5" s="225"/>
      <c r="P5" s="225"/>
      <c r="Q5" s="225"/>
      <c r="R5" s="225"/>
      <c r="S5" s="303"/>
      <c r="T5" s="303"/>
      <c r="U5" s="446"/>
      <c r="V5" s="270"/>
      <c r="W5" s="306" t="str">
        <f>IF(ISERROR(VLOOKUP(VALUE(Fonctionnement[[#This Row],[Compte]]),TVA_conv[],3,FALSE)),"",IF(AND(Fonctionnement[[#This Row],[Réalisé (€TTC)]]=0,Fonctionnement[[#This Row],[Réalisé (€HT)]]&lt;&gt;0),"",VLOOKUP(VALUE(Fonctionnement[[#This Row],[Compte]]),TVA_conv[],3,FALSE)))</f>
        <v/>
      </c>
      <c r="X5" s="307"/>
      <c r="Y5" s="311"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5" s="311" t="str">
        <f>IF(OR(Fonctionnement[[#This Row],[Recette / Dépense]]="D",Fonctionnement[[#This Row],[Statut des données]]=Att_charge),IF(Fonctionnement[[#This Row],[TVA initiale]]="","",Fonctionnement[[#This Row],[TVA initiale]]-Fonctionnement[[#This Row],[TVA récupérée]]),"")</f>
        <v/>
      </c>
      <c r="AA5" s="228"/>
      <c r="AB5" s="296"/>
      <c r="AC5" s="311"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5" s="311"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5" s="314">
        <f>IF(AND(Fonctionnement[[#This Row],[Réalisé (€TTC)]]=0,Fonctionnement[[#This Row],[Réalisé (€HT)]]&lt;&gt;0),Fonctionnement[Réalisé (€HT)],Fonctionnement[Réalisé (€TTC)])</f>
        <v>0</v>
      </c>
      <c r="AG5" s="1"/>
      <c r="AH5" s="51" t="s">
        <v>1087</v>
      </c>
      <c r="AI5" s="1"/>
      <c r="AJ5" s="1"/>
      <c r="AK5" s="1"/>
      <c r="AL5" s="1"/>
      <c r="AM5" s="1"/>
      <c r="AN5" s="1"/>
      <c r="AO5" s="1"/>
    </row>
    <row r="6" spans="1:41" x14ac:dyDescent="0.25">
      <c r="A6" s="221"/>
      <c r="B6" s="222"/>
      <c r="C6" s="223"/>
      <c r="D6" s="445"/>
      <c r="E6" s="224"/>
      <c r="F6" s="225"/>
      <c r="G6" s="225"/>
      <c r="H6" s="229"/>
      <c r="I6" s="226"/>
      <c r="J6" s="227"/>
      <c r="K6" s="225"/>
      <c r="L6" s="225"/>
      <c r="M6" s="225"/>
      <c r="N6" s="225"/>
      <c r="O6" s="225"/>
      <c r="P6" s="225"/>
      <c r="Q6" s="225"/>
      <c r="R6" s="225"/>
      <c r="S6" s="303"/>
      <c r="T6" s="303"/>
      <c r="U6" s="446"/>
      <c r="V6" s="270"/>
      <c r="W6" s="306" t="str">
        <f>IF(ISERROR(VLOOKUP(VALUE(Fonctionnement[[#This Row],[Compte]]),TVA_conv[],3,FALSE)),"",IF(AND(Fonctionnement[[#This Row],[Réalisé (€TTC)]]=0,Fonctionnement[[#This Row],[Réalisé (€HT)]]&lt;&gt;0),"",VLOOKUP(VALUE(Fonctionnement[[#This Row],[Compte]]),TVA_conv[],3,FALSE)))</f>
        <v/>
      </c>
      <c r="X6" s="307"/>
      <c r="Y6" s="311"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6" s="311" t="str">
        <f>IF(OR(Fonctionnement[[#This Row],[Recette / Dépense]]="D",Fonctionnement[[#This Row],[Statut des données]]=Att_charge),IF(Fonctionnement[[#This Row],[TVA initiale]]="","",Fonctionnement[[#This Row],[TVA initiale]]-Fonctionnement[[#This Row],[TVA récupérée]]),"")</f>
        <v/>
      </c>
      <c r="AA6" s="228"/>
      <c r="AB6" s="296"/>
      <c r="AC6" s="311"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6" s="311"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6" s="314">
        <f>IF(AND(Fonctionnement[[#This Row],[Réalisé (€TTC)]]=0,Fonctionnement[[#This Row],[Réalisé (€HT)]]&lt;&gt;0),Fonctionnement[Réalisé (€HT)],Fonctionnement[Réalisé (€TTC)])</f>
        <v>0</v>
      </c>
      <c r="AG6" s="1"/>
      <c r="AH6" s="1" t="s">
        <v>1088</v>
      </c>
      <c r="AI6" s="1" t="s">
        <v>1089</v>
      </c>
      <c r="AJ6" s="1"/>
      <c r="AK6" s="1"/>
      <c r="AL6" s="1"/>
      <c r="AM6" s="1"/>
      <c r="AN6" s="1"/>
      <c r="AO6" s="1"/>
    </row>
    <row r="7" spans="1:41" x14ac:dyDescent="0.25">
      <c r="A7" s="221"/>
      <c r="B7" s="222"/>
      <c r="C7" s="223"/>
      <c r="D7" s="445"/>
      <c r="E7" s="224"/>
      <c r="F7" s="225"/>
      <c r="G7" s="225"/>
      <c r="H7" s="229"/>
      <c r="I7" s="226"/>
      <c r="J7" s="227"/>
      <c r="K7" s="225"/>
      <c r="L7" s="225"/>
      <c r="M7" s="225"/>
      <c r="N7" s="225"/>
      <c r="O7" s="225"/>
      <c r="P7" s="225"/>
      <c r="Q7" s="225"/>
      <c r="R7" s="225"/>
      <c r="S7" s="303"/>
      <c r="T7" s="303"/>
      <c r="U7" s="446"/>
      <c r="V7" s="270"/>
      <c r="W7" s="306" t="str">
        <f>IF(ISERROR(VLOOKUP(VALUE(Fonctionnement[[#This Row],[Compte]]),TVA_conv[],3,FALSE)),"",IF(AND(Fonctionnement[[#This Row],[Réalisé (€TTC)]]=0,Fonctionnement[[#This Row],[Réalisé (€HT)]]&lt;&gt;0),"",VLOOKUP(VALUE(Fonctionnement[[#This Row],[Compte]]),TVA_conv[],3,FALSE)))</f>
        <v/>
      </c>
      <c r="X7" s="307"/>
      <c r="Y7" s="311"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7" s="311" t="str">
        <f>IF(OR(Fonctionnement[[#This Row],[Recette / Dépense]]="D",Fonctionnement[[#This Row],[Statut des données]]=Att_charge),IF(Fonctionnement[[#This Row],[TVA initiale]]="","",Fonctionnement[[#This Row],[TVA initiale]]-Fonctionnement[[#This Row],[TVA récupérée]]),"")</f>
        <v/>
      </c>
      <c r="AA7" s="228"/>
      <c r="AB7" s="296"/>
      <c r="AC7" s="311"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7" s="311"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7" s="314">
        <f>IF(AND(Fonctionnement[[#This Row],[Réalisé (€TTC)]]=0,Fonctionnement[[#This Row],[Réalisé (€HT)]]&lt;&gt;0),Fonctionnement[Réalisé (€HT)],Fonctionnement[Réalisé (€TTC)])</f>
        <v>0</v>
      </c>
      <c r="AG7" s="51" t="s">
        <v>1090</v>
      </c>
      <c r="AH7" s="1" t="s">
        <v>1086</v>
      </c>
      <c r="AI7" s="1" t="s">
        <v>1086</v>
      </c>
      <c r="AJ7" s="1"/>
      <c r="AK7" s="1"/>
      <c r="AL7" s="1"/>
      <c r="AM7" s="1"/>
      <c r="AN7" s="1"/>
      <c r="AO7" s="1"/>
    </row>
    <row r="8" spans="1:41" x14ac:dyDescent="0.25">
      <c r="A8" s="221"/>
      <c r="B8" s="222"/>
      <c r="C8" s="223"/>
      <c r="D8" s="445"/>
      <c r="E8" s="224"/>
      <c r="F8" s="225"/>
      <c r="G8" s="225"/>
      <c r="H8" s="229"/>
      <c r="I8" s="226"/>
      <c r="J8" s="227"/>
      <c r="K8" s="225"/>
      <c r="L8" s="225"/>
      <c r="M8" s="225"/>
      <c r="N8" s="225"/>
      <c r="O8" s="225"/>
      <c r="P8" s="225"/>
      <c r="Q8" s="225"/>
      <c r="R8" s="225"/>
      <c r="S8" s="303"/>
      <c r="T8" s="303"/>
      <c r="U8" s="446"/>
      <c r="V8" s="270"/>
      <c r="W8" s="306" t="str">
        <f>IF(ISERROR(VLOOKUP(VALUE(Fonctionnement[[#This Row],[Compte]]),TVA_conv[],3,FALSE)),"",IF(AND(Fonctionnement[[#This Row],[Réalisé (€TTC)]]=0,Fonctionnement[[#This Row],[Réalisé (€HT)]]&lt;&gt;0),"",VLOOKUP(VALUE(Fonctionnement[[#This Row],[Compte]]),TVA_conv[],3,FALSE)))</f>
        <v/>
      </c>
      <c r="X8" s="307"/>
      <c r="Y8" s="311"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8" s="311" t="str">
        <f>IF(OR(Fonctionnement[[#This Row],[Recette / Dépense]]="D",Fonctionnement[[#This Row],[Statut des données]]=Att_charge),IF(Fonctionnement[[#This Row],[TVA initiale]]="","",Fonctionnement[[#This Row],[TVA initiale]]-Fonctionnement[[#This Row],[TVA récupérée]]),"")</f>
        <v/>
      </c>
      <c r="AA8" s="228"/>
      <c r="AB8" s="296"/>
      <c r="AC8" s="311"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8" s="311"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8" s="314">
        <f>IF(AND(Fonctionnement[[#This Row],[Réalisé (€TTC)]]=0,Fonctionnement[[#This Row],[Réalisé (€HT)]]&lt;&gt;0),Fonctionnement[Réalisé (€HT)],Fonctionnement[Réalisé (€TTC)])</f>
        <v>0</v>
      </c>
      <c r="AG8" s="36" t="s">
        <v>1086</v>
      </c>
      <c r="AH8" s="37"/>
      <c r="AI8" s="37">
        <v>0</v>
      </c>
      <c r="AJ8" s="1"/>
      <c r="AK8" s="1"/>
      <c r="AL8" s="1"/>
      <c r="AM8" s="1"/>
      <c r="AN8" s="1"/>
      <c r="AO8" s="1"/>
    </row>
    <row r="9" spans="1:41" x14ac:dyDescent="0.25">
      <c r="A9" s="221"/>
      <c r="B9" s="222"/>
      <c r="C9" s="223"/>
      <c r="D9" s="445"/>
      <c r="E9" s="224"/>
      <c r="F9" s="225"/>
      <c r="G9" s="225"/>
      <c r="H9" s="229"/>
      <c r="I9" s="226"/>
      <c r="J9" s="227"/>
      <c r="K9" s="225"/>
      <c r="L9" s="225"/>
      <c r="M9" s="225"/>
      <c r="N9" s="225"/>
      <c r="O9" s="225"/>
      <c r="P9" s="225"/>
      <c r="Q9" s="225"/>
      <c r="R9" s="225"/>
      <c r="S9" s="303"/>
      <c r="T9" s="303"/>
      <c r="U9" s="446"/>
      <c r="V9" s="270"/>
      <c r="W9" s="306" t="str">
        <f>IF(ISERROR(VLOOKUP(VALUE(Fonctionnement[[#This Row],[Compte]]),TVA_conv[],3,FALSE)),"",IF(AND(Fonctionnement[[#This Row],[Réalisé (€TTC)]]=0,Fonctionnement[[#This Row],[Réalisé (€HT)]]&lt;&gt;0),"",VLOOKUP(VALUE(Fonctionnement[[#This Row],[Compte]]),TVA_conv[],3,FALSE)))</f>
        <v/>
      </c>
      <c r="X9" s="307"/>
      <c r="Y9" s="311"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9" s="311" t="str">
        <f>IF(OR(Fonctionnement[[#This Row],[Recette / Dépense]]="D",Fonctionnement[[#This Row],[Statut des données]]=Att_charge),IF(Fonctionnement[[#This Row],[TVA initiale]]="","",Fonctionnement[[#This Row],[TVA initiale]]-Fonctionnement[[#This Row],[TVA récupérée]]),"")</f>
        <v/>
      </c>
      <c r="AA9" s="228"/>
      <c r="AB9" s="296"/>
      <c r="AC9" s="311"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9" s="311"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9" s="314">
        <f>IF(AND(Fonctionnement[[#This Row],[Réalisé (€TTC)]]=0,Fonctionnement[[#This Row],[Réalisé (€HT)]]&lt;&gt;0),Fonctionnement[Réalisé (€HT)],Fonctionnement[Réalisé (€TTC)])</f>
        <v>0</v>
      </c>
      <c r="AG9" s="38" t="s">
        <v>1086</v>
      </c>
      <c r="AH9" s="37"/>
      <c r="AI9" s="37">
        <v>0</v>
      </c>
      <c r="AJ9" s="1"/>
      <c r="AK9" s="1"/>
      <c r="AL9" s="1"/>
      <c r="AM9" s="1"/>
      <c r="AN9" s="1"/>
      <c r="AO9" s="1"/>
    </row>
    <row r="10" spans="1:41" x14ac:dyDescent="0.25">
      <c r="A10" s="221"/>
      <c r="B10" s="222"/>
      <c r="C10" s="223"/>
      <c r="D10" s="445"/>
      <c r="E10" s="224"/>
      <c r="F10" s="225"/>
      <c r="G10" s="225"/>
      <c r="H10" s="229"/>
      <c r="I10" s="226"/>
      <c r="J10" s="227"/>
      <c r="K10" s="225"/>
      <c r="L10" s="225"/>
      <c r="M10" s="225"/>
      <c r="N10" s="225"/>
      <c r="O10" s="225"/>
      <c r="P10" s="225"/>
      <c r="Q10" s="225"/>
      <c r="R10" s="225"/>
      <c r="S10" s="303"/>
      <c r="T10" s="303"/>
      <c r="U10" s="446"/>
      <c r="V10" s="270"/>
      <c r="W10" s="306" t="str">
        <f>IF(ISERROR(VLOOKUP(VALUE(Fonctionnement[[#This Row],[Compte]]),TVA_conv[],3,FALSE)),"",IF(AND(Fonctionnement[[#This Row],[Réalisé (€TTC)]]=0,Fonctionnement[[#This Row],[Réalisé (€HT)]]&lt;&gt;0),"",VLOOKUP(VALUE(Fonctionnement[[#This Row],[Compte]]),TVA_conv[],3,FALSE)))</f>
        <v/>
      </c>
      <c r="X10" s="307"/>
      <c r="Y10" s="311"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10" s="311" t="str">
        <f>IF(OR(Fonctionnement[[#This Row],[Recette / Dépense]]="D",Fonctionnement[[#This Row],[Statut des données]]=Att_charge),IF(Fonctionnement[[#This Row],[TVA initiale]]="","",Fonctionnement[[#This Row],[TVA initiale]]-Fonctionnement[[#This Row],[TVA récupérée]]),"")</f>
        <v/>
      </c>
      <c r="AA10" s="228"/>
      <c r="AB10" s="296"/>
      <c r="AC10" s="311"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10" s="311"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10" s="314">
        <f>IF(AND(Fonctionnement[[#This Row],[Réalisé (€TTC)]]=0,Fonctionnement[[#This Row],[Réalisé (€HT)]]&lt;&gt;0),Fonctionnement[Réalisé (€HT)],Fonctionnement[Réalisé (€TTC)])</f>
        <v>0</v>
      </c>
      <c r="AG10" s="1"/>
      <c r="AH10" s="1"/>
      <c r="AI10" s="1"/>
      <c r="AJ10" s="1"/>
      <c r="AK10" s="1"/>
      <c r="AL10" s="1"/>
      <c r="AM10" s="1"/>
      <c r="AN10" s="1"/>
      <c r="AO10" s="1"/>
    </row>
    <row r="11" spans="1:41" x14ac:dyDescent="0.25">
      <c r="A11" s="221"/>
      <c r="B11" s="222"/>
      <c r="C11" s="223"/>
      <c r="D11" s="445"/>
      <c r="E11" s="224"/>
      <c r="F11" s="225"/>
      <c r="G11" s="225"/>
      <c r="H11" s="229"/>
      <c r="I11" s="226"/>
      <c r="J11" s="227"/>
      <c r="K11" s="225"/>
      <c r="L11" s="225"/>
      <c r="M11" s="225"/>
      <c r="N11" s="225"/>
      <c r="O11" s="225"/>
      <c r="P11" s="225"/>
      <c r="Q11" s="225"/>
      <c r="R11" s="225"/>
      <c r="S11" s="303"/>
      <c r="T11" s="303"/>
      <c r="U11" s="446"/>
      <c r="V11" s="270"/>
      <c r="W11" s="306" t="str">
        <f>IF(ISERROR(VLOOKUP(VALUE(Fonctionnement[[#This Row],[Compte]]),TVA_conv[],3,FALSE)),"",IF(AND(Fonctionnement[[#This Row],[Réalisé (€TTC)]]=0,Fonctionnement[[#This Row],[Réalisé (€HT)]]&lt;&gt;0),"",VLOOKUP(VALUE(Fonctionnement[[#This Row],[Compte]]),TVA_conv[],3,FALSE)))</f>
        <v/>
      </c>
      <c r="X11" s="307"/>
      <c r="Y11" s="311"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11" s="311" t="str">
        <f>IF(OR(Fonctionnement[[#This Row],[Recette / Dépense]]="D",Fonctionnement[[#This Row],[Statut des données]]=Att_charge),IF(Fonctionnement[[#This Row],[TVA initiale]]="","",Fonctionnement[[#This Row],[TVA initiale]]-Fonctionnement[[#This Row],[TVA récupérée]]),"")</f>
        <v/>
      </c>
      <c r="AA11" s="228"/>
      <c r="AB11" s="296"/>
      <c r="AC11" s="311"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11" s="311"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11" s="314">
        <f>IF(AND(Fonctionnement[[#This Row],[Réalisé (€TTC)]]=0,Fonctionnement[[#This Row],[Réalisé (€HT)]]&lt;&gt;0),Fonctionnement[Réalisé (€HT)],Fonctionnement[Réalisé (€TTC)])</f>
        <v>0</v>
      </c>
      <c r="AG11" s="1"/>
      <c r="AH11" s="1"/>
      <c r="AI11" s="1"/>
      <c r="AJ11" s="1"/>
      <c r="AK11" s="1"/>
      <c r="AL11" s="1"/>
      <c r="AM11" s="1"/>
      <c r="AN11" s="1"/>
      <c r="AO11" s="1"/>
    </row>
    <row r="12" spans="1:41" x14ac:dyDescent="0.25">
      <c r="A12" s="221"/>
      <c r="B12" s="222"/>
      <c r="C12" s="223"/>
      <c r="D12" s="445"/>
      <c r="E12" s="224"/>
      <c r="F12" s="225"/>
      <c r="G12" s="225"/>
      <c r="H12" s="229"/>
      <c r="I12" s="226"/>
      <c r="J12" s="227"/>
      <c r="K12" s="225"/>
      <c r="L12" s="225"/>
      <c r="M12" s="225"/>
      <c r="N12" s="225"/>
      <c r="O12" s="225"/>
      <c r="P12" s="225"/>
      <c r="Q12" s="225"/>
      <c r="R12" s="225"/>
      <c r="S12" s="303"/>
      <c r="T12" s="303"/>
      <c r="U12" s="446"/>
      <c r="V12" s="270"/>
      <c r="W12" s="306" t="str">
        <f>IF(ISERROR(VLOOKUP(VALUE(Fonctionnement[[#This Row],[Compte]]),TVA_conv[],3,FALSE)),"",IF(AND(Fonctionnement[[#This Row],[Réalisé (€TTC)]]=0,Fonctionnement[[#This Row],[Réalisé (€HT)]]&lt;&gt;0),"",VLOOKUP(VALUE(Fonctionnement[[#This Row],[Compte]]),TVA_conv[],3,FALSE)))</f>
        <v/>
      </c>
      <c r="X12" s="307"/>
      <c r="Y12" s="311"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12" s="311" t="str">
        <f>IF(OR(Fonctionnement[[#This Row],[Recette / Dépense]]="D",Fonctionnement[[#This Row],[Statut des données]]=Att_charge),IF(Fonctionnement[[#This Row],[TVA initiale]]="","",Fonctionnement[[#This Row],[TVA initiale]]-Fonctionnement[[#This Row],[TVA récupérée]]),"")</f>
        <v/>
      </c>
      <c r="AA12" s="228"/>
      <c r="AB12" s="296"/>
      <c r="AC12" s="311"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12" s="311"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12" s="314">
        <f>IF(AND(Fonctionnement[[#This Row],[Réalisé (€TTC)]]=0,Fonctionnement[[#This Row],[Réalisé (€HT)]]&lt;&gt;0),Fonctionnement[Réalisé (€HT)],Fonctionnement[Réalisé (€TTC)])</f>
        <v>0</v>
      </c>
      <c r="AG12" s="1"/>
      <c r="AH12" s="1"/>
      <c r="AI12" s="1"/>
      <c r="AJ12" s="1"/>
      <c r="AK12" s="1"/>
      <c r="AL12" s="1"/>
      <c r="AM12" s="1"/>
      <c r="AN12" s="1"/>
      <c r="AO12" s="1"/>
    </row>
    <row r="13" spans="1:41" x14ac:dyDescent="0.25">
      <c r="A13" s="221"/>
      <c r="B13" s="230"/>
      <c r="C13" s="231"/>
      <c r="D13" s="445"/>
      <c r="E13" s="232"/>
      <c r="F13" s="233"/>
      <c r="G13" s="233"/>
      <c r="H13" s="234"/>
      <c r="I13" s="235"/>
      <c r="J13" s="236"/>
      <c r="K13" s="233"/>
      <c r="L13" s="233"/>
      <c r="M13" s="233"/>
      <c r="N13" s="233"/>
      <c r="O13" s="233"/>
      <c r="P13" s="233"/>
      <c r="Q13" s="233"/>
      <c r="R13" s="233"/>
      <c r="S13" s="304"/>
      <c r="T13" s="304"/>
      <c r="U13" s="446"/>
      <c r="V13" s="457"/>
      <c r="W13" s="308" t="str">
        <f>IF(ISERROR(VLOOKUP(VALUE(Fonctionnement[[#This Row],[Compte]]),TVA_conv[],3,FALSE)),"",IF(AND(Fonctionnement[[#This Row],[Réalisé (€TTC)]]=0,Fonctionnement[[#This Row],[Réalisé (€HT)]]&lt;&gt;0),"",VLOOKUP(VALUE(Fonctionnement[[#This Row],[Compte]]),TVA_conv[],3,FALSE)))</f>
        <v/>
      </c>
      <c r="X13" s="309"/>
      <c r="Y13" s="312"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13" s="312" t="str">
        <f>IF(OR(Fonctionnement[[#This Row],[Recette / Dépense]]="D",Fonctionnement[[#This Row],[Statut des données]]=Att_charge),IF(Fonctionnement[[#This Row],[TVA initiale]]="","",Fonctionnement[[#This Row],[TVA initiale]]-Fonctionnement[[#This Row],[TVA récupérée]]),"")</f>
        <v/>
      </c>
      <c r="AA13" s="237"/>
      <c r="AB13" s="296"/>
      <c r="AC13" s="312"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13" s="312"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13" s="315">
        <f>IF(AND(Fonctionnement[[#This Row],[Réalisé (€TTC)]]=0,Fonctionnement[[#This Row],[Réalisé (€HT)]]&lt;&gt;0),Fonctionnement[Réalisé (€HT)],Fonctionnement[Réalisé (€TTC)])</f>
        <v>0</v>
      </c>
      <c r="AG13" s="1"/>
      <c r="AH13" s="1"/>
      <c r="AI13" s="1"/>
      <c r="AJ13" s="1"/>
      <c r="AK13" s="1"/>
      <c r="AL13" s="18"/>
      <c r="AM13" s="1"/>
      <c r="AN13" s="1"/>
      <c r="AO13" s="1"/>
    </row>
    <row r="14" spans="1:41" x14ac:dyDescent="0.25">
      <c r="A14" s="221"/>
      <c r="B14" s="266"/>
      <c r="C14" s="267"/>
      <c r="D14" s="445"/>
      <c r="E14" s="224"/>
      <c r="F14" s="49"/>
      <c r="G14" s="49"/>
      <c r="H14" s="268"/>
      <c r="I14" s="269"/>
      <c r="J14" s="227"/>
      <c r="K14" s="49"/>
      <c r="L14" s="49"/>
      <c r="M14" s="49"/>
      <c r="N14" s="49"/>
      <c r="O14" s="49"/>
      <c r="P14" s="49"/>
      <c r="Q14" s="49"/>
      <c r="R14" s="49"/>
      <c r="S14" s="305"/>
      <c r="T14" s="305"/>
      <c r="U14" s="446"/>
      <c r="V14" s="270"/>
      <c r="W14" s="310" t="str">
        <f>IF(ISERROR(VLOOKUP(VALUE(Fonctionnement[[#This Row],[Compte]]),TVA_conv[],3,FALSE)),"",IF(AND(Fonctionnement[[#This Row],[Réalisé (€TTC)]]=0,Fonctionnement[[#This Row],[Réalisé (€HT)]]&lt;&gt;0),"",VLOOKUP(VALUE(Fonctionnement[[#This Row],[Compte]]),TVA_conv[],3,FALSE)))</f>
        <v/>
      </c>
      <c r="X14" s="281"/>
      <c r="Y14" s="313"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14" s="313" t="str">
        <f>IF(OR(Fonctionnement[[#This Row],[Recette / Dépense]]="D",Fonctionnement[[#This Row],[Statut des données]]=Att_charge),IF(Fonctionnement[[#This Row],[TVA initiale]]="","",Fonctionnement[[#This Row],[TVA initiale]]-Fonctionnement[[#This Row],[TVA récupérée]]),"")</f>
        <v/>
      </c>
      <c r="AA14" s="271"/>
      <c r="AB14" s="296"/>
      <c r="AC14" s="313"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14" s="313"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14" s="316">
        <f>IF(AND(Fonctionnement[[#This Row],[Réalisé (€TTC)]]=0,Fonctionnement[[#This Row],[Réalisé (€HT)]]&lt;&gt;0),Fonctionnement[Réalisé (€HT)],Fonctionnement[Réalisé (€TTC)])</f>
        <v>0</v>
      </c>
      <c r="AG14" s="1"/>
      <c r="AH14" s="1"/>
      <c r="AI14" s="1"/>
      <c r="AJ14" s="18"/>
      <c r="AK14" s="18"/>
      <c r="AL14" s="18"/>
      <c r="AM14" s="1"/>
      <c r="AN14" s="1"/>
      <c r="AO14" s="1"/>
    </row>
    <row r="15" spans="1:41" x14ac:dyDescent="0.25">
      <c r="A15" s="221"/>
      <c r="B15" s="266"/>
      <c r="C15" s="267"/>
      <c r="D15" s="445"/>
      <c r="E15" s="224"/>
      <c r="F15" s="49"/>
      <c r="G15" s="49"/>
      <c r="H15" s="268"/>
      <c r="I15" s="269"/>
      <c r="J15" s="227"/>
      <c r="K15" s="49"/>
      <c r="L15" s="49"/>
      <c r="M15" s="49"/>
      <c r="N15" s="49"/>
      <c r="O15" s="49"/>
      <c r="P15" s="49"/>
      <c r="Q15" s="49"/>
      <c r="R15" s="49"/>
      <c r="S15" s="305"/>
      <c r="T15" s="305"/>
      <c r="U15" s="446"/>
      <c r="V15" s="270"/>
      <c r="W15" s="310" t="str">
        <f>IF(ISERROR(VLOOKUP(VALUE(Fonctionnement[[#This Row],[Compte]]),TVA_conv[],3,FALSE)),"",IF(AND(Fonctionnement[[#This Row],[Réalisé (€TTC)]]=0,Fonctionnement[[#This Row],[Réalisé (€HT)]]&lt;&gt;0),"",VLOOKUP(VALUE(Fonctionnement[[#This Row],[Compte]]),TVA_conv[],3,FALSE)))</f>
        <v/>
      </c>
      <c r="X15" s="281"/>
      <c r="Y15" s="313"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15" s="313" t="str">
        <f>IF(OR(Fonctionnement[[#This Row],[Recette / Dépense]]="D",Fonctionnement[[#This Row],[Statut des données]]=Att_charge),IF(Fonctionnement[[#This Row],[TVA initiale]]="","",Fonctionnement[[#This Row],[TVA initiale]]-Fonctionnement[[#This Row],[TVA récupérée]]),"")</f>
        <v/>
      </c>
      <c r="AA15" s="271"/>
      <c r="AB15" s="296"/>
      <c r="AC15" s="313"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15" s="313"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15" s="316">
        <f>IF(AND(Fonctionnement[[#This Row],[Réalisé (€TTC)]]=0,Fonctionnement[[#This Row],[Réalisé (€HT)]]&lt;&gt;0),Fonctionnement[Réalisé (€HT)],Fonctionnement[Réalisé (€TTC)])</f>
        <v>0</v>
      </c>
      <c r="AG15" s="1"/>
      <c r="AH15" s="1"/>
      <c r="AI15" s="1"/>
      <c r="AJ15" s="18"/>
    </row>
    <row r="16" spans="1:41" x14ac:dyDescent="0.25">
      <c r="A16" s="444"/>
      <c r="B16" s="266"/>
      <c r="C16" s="267"/>
      <c r="D16" s="445"/>
      <c r="E16" s="224"/>
      <c r="F16" s="49"/>
      <c r="G16" s="49"/>
      <c r="H16" s="268"/>
      <c r="I16" s="269"/>
      <c r="J16" s="227"/>
      <c r="K16" s="49"/>
      <c r="L16" s="49"/>
      <c r="M16" s="49"/>
      <c r="N16" s="49"/>
      <c r="O16" s="49"/>
      <c r="P16" s="49"/>
      <c r="Q16" s="49"/>
      <c r="R16" s="49"/>
      <c r="S16" s="305"/>
      <c r="T16" s="305"/>
      <c r="U16" s="446"/>
      <c r="V16" s="270"/>
      <c r="W16" s="310" t="str">
        <f>IF(ISERROR(VLOOKUP(VALUE(Fonctionnement[[#This Row],[Compte]]),TVA_conv[],3,FALSE)),"",IF(AND(Fonctionnement[[#This Row],[Réalisé (€TTC)]]=0,Fonctionnement[[#This Row],[Réalisé (€HT)]]&lt;&gt;0),"",VLOOKUP(VALUE(Fonctionnement[[#This Row],[Compte]]),TVA_conv[],3,FALSE)))</f>
        <v/>
      </c>
      <c r="X16" s="281"/>
      <c r="Y16" s="313"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16" s="313" t="str">
        <f>IF(OR(Fonctionnement[[#This Row],[Recette / Dépense]]="D",Fonctionnement[[#This Row],[Statut des données]]=Att_charge),IF(Fonctionnement[[#This Row],[TVA initiale]]="","",Fonctionnement[[#This Row],[TVA initiale]]-Fonctionnement[[#This Row],[TVA récupérée]]),"")</f>
        <v/>
      </c>
      <c r="AA16" s="271"/>
      <c r="AB16" s="296"/>
      <c r="AC16" s="313"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16" s="313"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16" s="447">
        <f>IF(AND(Fonctionnement[[#This Row],[Réalisé (€TTC)]]=0,Fonctionnement[[#This Row],[Réalisé (€HT)]]&lt;&gt;0),Fonctionnement[Réalisé (€HT)],Fonctionnement[Réalisé (€TTC)])</f>
        <v>0</v>
      </c>
      <c r="AG16" s="1"/>
      <c r="AH16" s="1"/>
      <c r="AI16" s="1"/>
      <c r="AJ16" s="18"/>
    </row>
    <row r="17" spans="1:36" x14ac:dyDescent="0.25">
      <c r="A17" s="444"/>
      <c r="B17" s="266"/>
      <c r="C17" s="267"/>
      <c r="D17" s="445"/>
      <c r="E17" s="224"/>
      <c r="F17" s="49"/>
      <c r="G17" s="49"/>
      <c r="H17" s="268"/>
      <c r="I17" s="269"/>
      <c r="J17" s="227"/>
      <c r="K17" s="49"/>
      <c r="L17" s="49"/>
      <c r="M17" s="49"/>
      <c r="N17" s="49"/>
      <c r="O17" s="49"/>
      <c r="P17" s="49"/>
      <c r="Q17" s="49"/>
      <c r="R17" s="49"/>
      <c r="S17" s="305"/>
      <c r="T17" s="305"/>
      <c r="U17" s="446"/>
      <c r="V17" s="270"/>
      <c r="W17" s="310" t="str">
        <f>IF(ISERROR(VLOOKUP(VALUE(Fonctionnement[[#This Row],[Compte]]),TVA_conv[],3,FALSE)),"",IF(AND(Fonctionnement[[#This Row],[Réalisé (€TTC)]]=0,Fonctionnement[[#This Row],[Réalisé (€HT)]]&lt;&gt;0),"",VLOOKUP(VALUE(Fonctionnement[[#This Row],[Compte]]),TVA_conv[],3,FALSE)))</f>
        <v/>
      </c>
      <c r="X17" s="281"/>
      <c r="Y17" s="313"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17" s="313" t="str">
        <f>IF(OR(Fonctionnement[[#This Row],[Recette / Dépense]]="D",Fonctionnement[[#This Row],[Statut des données]]=Att_charge),IF(Fonctionnement[[#This Row],[TVA initiale]]="","",Fonctionnement[[#This Row],[TVA initiale]]-Fonctionnement[[#This Row],[TVA récupérée]]),"")</f>
        <v/>
      </c>
      <c r="AA17" s="271"/>
      <c r="AB17" s="296"/>
      <c r="AC17" s="313"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17" s="313"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17" s="447">
        <f>IF(AND(Fonctionnement[[#This Row],[Réalisé (€TTC)]]=0,Fonctionnement[[#This Row],[Réalisé (€HT)]]&lt;&gt;0),Fonctionnement[Réalisé (€HT)],Fonctionnement[Réalisé (€TTC)])</f>
        <v>0</v>
      </c>
      <c r="AG17" s="1"/>
      <c r="AH17" s="1"/>
      <c r="AI17" s="1"/>
      <c r="AJ17" s="18"/>
    </row>
    <row r="18" spans="1:36" x14ac:dyDescent="0.25">
      <c r="A18" s="444"/>
      <c r="B18" s="266"/>
      <c r="C18" s="267"/>
      <c r="D18" s="445"/>
      <c r="E18" s="224"/>
      <c r="F18" s="49"/>
      <c r="G18" s="49"/>
      <c r="H18" s="268"/>
      <c r="I18" s="269"/>
      <c r="J18" s="227"/>
      <c r="K18" s="49"/>
      <c r="L18" s="49"/>
      <c r="M18" s="49"/>
      <c r="N18" s="49"/>
      <c r="O18" s="49"/>
      <c r="P18" s="49"/>
      <c r="Q18" s="49"/>
      <c r="R18" s="49"/>
      <c r="S18" s="305"/>
      <c r="T18" s="305"/>
      <c r="U18" s="446"/>
      <c r="V18" s="270"/>
      <c r="W18" s="310" t="str">
        <f>IF(ISERROR(VLOOKUP(VALUE(Fonctionnement[[#This Row],[Compte]]),TVA_conv[],3,FALSE)),"",IF(AND(Fonctionnement[[#This Row],[Réalisé (€TTC)]]=0,Fonctionnement[[#This Row],[Réalisé (€HT)]]&lt;&gt;0),"",VLOOKUP(VALUE(Fonctionnement[[#This Row],[Compte]]),TVA_conv[],3,FALSE)))</f>
        <v/>
      </c>
      <c r="X18" s="281"/>
      <c r="Y18" s="313"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18" s="313" t="str">
        <f>IF(OR(Fonctionnement[[#This Row],[Recette / Dépense]]="D",Fonctionnement[[#This Row],[Statut des données]]=Att_charge),IF(Fonctionnement[[#This Row],[TVA initiale]]="","",Fonctionnement[[#This Row],[TVA initiale]]-Fonctionnement[[#This Row],[TVA récupérée]]),"")</f>
        <v/>
      </c>
      <c r="AA18" s="271"/>
      <c r="AB18" s="296"/>
      <c r="AC18" s="313"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18" s="313"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18" s="447">
        <f>IF(AND(Fonctionnement[[#This Row],[Réalisé (€TTC)]]=0,Fonctionnement[[#This Row],[Réalisé (€HT)]]&lt;&gt;0),Fonctionnement[Réalisé (€HT)],Fonctionnement[Réalisé (€TTC)])</f>
        <v>0</v>
      </c>
      <c r="AG18" s="1"/>
      <c r="AH18" s="1"/>
      <c r="AI18" s="1"/>
      <c r="AJ18" s="18"/>
    </row>
    <row r="19" spans="1:36" x14ac:dyDescent="0.25">
      <c r="A19" s="444"/>
      <c r="B19" s="266"/>
      <c r="C19" s="267"/>
      <c r="D19" s="445"/>
      <c r="E19" s="224"/>
      <c r="F19" s="49"/>
      <c r="G19" s="49"/>
      <c r="H19" s="268"/>
      <c r="I19" s="269"/>
      <c r="J19" s="227"/>
      <c r="K19" s="49"/>
      <c r="L19" s="49"/>
      <c r="M19" s="49"/>
      <c r="N19" s="49"/>
      <c r="O19" s="49"/>
      <c r="P19" s="49"/>
      <c r="Q19" s="49"/>
      <c r="R19" s="49"/>
      <c r="S19" s="305"/>
      <c r="T19" s="305"/>
      <c r="U19" s="446"/>
      <c r="V19" s="270"/>
      <c r="W19" s="310" t="str">
        <f>IF(ISERROR(VLOOKUP(VALUE(Fonctionnement[[#This Row],[Compte]]),TVA_conv[],3,FALSE)),"",IF(AND(Fonctionnement[[#This Row],[Réalisé (€TTC)]]=0,Fonctionnement[[#This Row],[Réalisé (€HT)]]&lt;&gt;0),"",VLOOKUP(VALUE(Fonctionnement[[#This Row],[Compte]]),TVA_conv[],3,FALSE)))</f>
        <v/>
      </c>
      <c r="X19" s="281"/>
      <c r="Y19" s="313"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19" s="313" t="str">
        <f>IF(OR(Fonctionnement[[#This Row],[Recette / Dépense]]="D",Fonctionnement[[#This Row],[Statut des données]]=Att_charge),IF(Fonctionnement[[#This Row],[TVA initiale]]="","",Fonctionnement[[#This Row],[TVA initiale]]-Fonctionnement[[#This Row],[TVA récupérée]]),"")</f>
        <v/>
      </c>
      <c r="AA19" s="271"/>
      <c r="AB19" s="296"/>
      <c r="AC19" s="313"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19" s="313"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19" s="447">
        <f>IF(AND(Fonctionnement[[#This Row],[Réalisé (€TTC)]]=0,Fonctionnement[[#This Row],[Réalisé (€HT)]]&lt;&gt;0),Fonctionnement[Réalisé (€HT)],Fonctionnement[Réalisé (€TTC)])</f>
        <v>0</v>
      </c>
      <c r="AG19" s="1"/>
      <c r="AH19" s="1"/>
      <c r="AI19" s="1"/>
    </row>
    <row r="20" spans="1:36" x14ac:dyDescent="0.25">
      <c r="A20" s="444"/>
      <c r="B20" s="266"/>
      <c r="C20" s="267"/>
      <c r="D20" s="445"/>
      <c r="E20" s="224"/>
      <c r="F20" s="49"/>
      <c r="G20" s="49"/>
      <c r="H20" s="268"/>
      <c r="I20" s="269"/>
      <c r="J20" s="227"/>
      <c r="K20" s="49"/>
      <c r="L20" s="49"/>
      <c r="M20" s="49"/>
      <c r="N20" s="49"/>
      <c r="O20" s="49"/>
      <c r="P20" s="49"/>
      <c r="Q20" s="49"/>
      <c r="R20" s="49"/>
      <c r="S20" s="305"/>
      <c r="T20" s="305"/>
      <c r="U20" s="446"/>
      <c r="V20" s="270"/>
      <c r="W20" s="310" t="str">
        <f>IF(ISERROR(VLOOKUP(VALUE(Fonctionnement[[#This Row],[Compte]]),TVA_conv[],3,FALSE)),"",IF(AND(Fonctionnement[[#This Row],[Réalisé (€TTC)]]=0,Fonctionnement[[#This Row],[Réalisé (€HT)]]&lt;&gt;0),"",VLOOKUP(VALUE(Fonctionnement[[#This Row],[Compte]]),TVA_conv[],3,FALSE)))</f>
        <v/>
      </c>
      <c r="X20" s="281"/>
      <c r="Y20" s="313"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20" s="313" t="str">
        <f>IF(OR(Fonctionnement[[#This Row],[Recette / Dépense]]="D",Fonctionnement[[#This Row],[Statut des données]]=Att_charge),IF(Fonctionnement[[#This Row],[TVA initiale]]="","",Fonctionnement[[#This Row],[TVA initiale]]-Fonctionnement[[#This Row],[TVA récupérée]]),"")</f>
        <v/>
      </c>
      <c r="AA20" s="271"/>
      <c r="AB20" s="296"/>
      <c r="AC20" s="313"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20" s="313"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20" s="447">
        <f>IF(AND(Fonctionnement[[#This Row],[Réalisé (€TTC)]]=0,Fonctionnement[[#This Row],[Réalisé (€HT)]]&lt;&gt;0),Fonctionnement[Réalisé (€HT)],Fonctionnement[Réalisé (€TTC)])</f>
        <v>0</v>
      </c>
      <c r="AG20" s="1"/>
      <c r="AH20" s="1"/>
      <c r="AI20" s="1"/>
    </row>
    <row r="21" spans="1:36" x14ac:dyDescent="0.25">
      <c r="A21" s="444"/>
      <c r="B21" s="266"/>
      <c r="C21" s="267"/>
      <c r="D21" s="445"/>
      <c r="E21" s="224"/>
      <c r="F21" s="49"/>
      <c r="G21" s="49"/>
      <c r="H21" s="268"/>
      <c r="I21" s="269"/>
      <c r="J21" s="227"/>
      <c r="K21" s="49"/>
      <c r="L21" s="49"/>
      <c r="M21" s="49"/>
      <c r="N21" s="49"/>
      <c r="O21" s="49"/>
      <c r="P21" s="49"/>
      <c r="Q21" s="49"/>
      <c r="R21" s="49"/>
      <c r="S21" s="305"/>
      <c r="T21" s="305"/>
      <c r="U21" s="446"/>
      <c r="V21" s="270"/>
      <c r="W21" s="310" t="str">
        <f>IF(ISERROR(VLOOKUP(VALUE(Fonctionnement[[#This Row],[Compte]]),TVA_conv[],3,FALSE)),"",IF(AND(Fonctionnement[[#This Row],[Réalisé (€TTC)]]=0,Fonctionnement[[#This Row],[Réalisé (€HT)]]&lt;&gt;0),"",VLOOKUP(VALUE(Fonctionnement[[#This Row],[Compte]]),TVA_conv[],3,FALSE)))</f>
        <v/>
      </c>
      <c r="X21" s="281"/>
      <c r="Y21" s="313"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21" s="313" t="str">
        <f>IF(OR(Fonctionnement[[#This Row],[Recette / Dépense]]="D",Fonctionnement[[#This Row],[Statut des données]]=Att_charge),IF(Fonctionnement[[#This Row],[TVA initiale]]="","",Fonctionnement[[#This Row],[TVA initiale]]-Fonctionnement[[#This Row],[TVA récupérée]]),"")</f>
        <v/>
      </c>
      <c r="AA21" s="271"/>
      <c r="AB21" s="296"/>
      <c r="AC21" s="313"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21" s="313"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21" s="447">
        <f>IF(AND(Fonctionnement[[#This Row],[Réalisé (€TTC)]]=0,Fonctionnement[[#This Row],[Réalisé (€HT)]]&lt;&gt;0),Fonctionnement[Réalisé (€HT)],Fonctionnement[Réalisé (€TTC)])</f>
        <v>0</v>
      </c>
    </row>
    <row r="22" spans="1:36" x14ac:dyDescent="0.25">
      <c r="A22" s="444"/>
      <c r="B22" s="266"/>
      <c r="C22" s="267"/>
      <c r="D22" s="445"/>
      <c r="E22" s="224"/>
      <c r="F22" s="49"/>
      <c r="G22" s="49"/>
      <c r="H22" s="268"/>
      <c r="I22" s="269"/>
      <c r="J22" s="227"/>
      <c r="K22" s="49"/>
      <c r="L22" s="49"/>
      <c r="M22" s="49"/>
      <c r="N22" s="49"/>
      <c r="O22" s="49"/>
      <c r="P22" s="49"/>
      <c r="Q22" s="49"/>
      <c r="R22" s="49"/>
      <c r="S22" s="305"/>
      <c r="T22" s="305"/>
      <c r="U22" s="446"/>
      <c r="V22" s="270"/>
      <c r="W22" s="310" t="str">
        <f>IF(ISERROR(VLOOKUP(VALUE(Fonctionnement[[#This Row],[Compte]]),TVA_conv[],3,FALSE)),"",IF(AND(Fonctionnement[[#This Row],[Réalisé (€TTC)]]=0,Fonctionnement[[#This Row],[Réalisé (€HT)]]&lt;&gt;0),"",VLOOKUP(VALUE(Fonctionnement[[#This Row],[Compte]]),TVA_conv[],3,FALSE)))</f>
        <v/>
      </c>
      <c r="X22" s="281"/>
      <c r="Y22" s="313"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22" s="313" t="str">
        <f>IF(OR(Fonctionnement[[#This Row],[Recette / Dépense]]="D",Fonctionnement[[#This Row],[Statut des données]]=Att_charge),IF(Fonctionnement[[#This Row],[TVA initiale]]="","",Fonctionnement[[#This Row],[TVA initiale]]-Fonctionnement[[#This Row],[TVA récupérée]]),"")</f>
        <v/>
      </c>
      <c r="AA22" s="271"/>
      <c r="AB22" s="296"/>
      <c r="AC22" s="313"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22" s="313"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22" s="447">
        <f>IF(AND(Fonctionnement[[#This Row],[Réalisé (€TTC)]]=0,Fonctionnement[[#This Row],[Réalisé (€HT)]]&lt;&gt;0),Fonctionnement[Réalisé (€HT)],Fonctionnement[Réalisé (€TTC)])</f>
        <v>0</v>
      </c>
    </row>
    <row r="23" spans="1:36" x14ac:dyDescent="0.25">
      <c r="A23" s="444"/>
      <c r="B23" s="266"/>
      <c r="C23" s="267"/>
      <c r="D23" s="445"/>
      <c r="E23" s="224"/>
      <c r="F23" s="49"/>
      <c r="G23" s="49"/>
      <c r="H23" s="268"/>
      <c r="I23" s="269"/>
      <c r="J23" s="227"/>
      <c r="K23" s="49"/>
      <c r="L23" s="49"/>
      <c r="M23" s="49"/>
      <c r="N23" s="49"/>
      <c r="O23" s="49"/>
      <c r="P23" s="49"/>
      <c r="Q23" s="49"/>
      <c r="R23" s="49"/>
      <c r="S23" s="305"/>
      <c r="T23" s="305"/>
      <c r="U23" s="446"/>
      <c r="V23" s="270"/>
      <c r="W23" s="310" t="str">
        <f>IF(ISERROR(VLOOKUP(VALUE(Fonctionnement[[#This Row],[Compte]]),TVA_conv[],3,FALSE)),"",IF(AND(Fonctionnement[[#This Row],[Réalisé (€TTC)]]=0,Fonctionnement[[#This Row],[Réalisé (€HT)]]&lt;&gt;0),"",VLOOKUP(VALUE(Fonctionnement[[#This Row],[Compte]]),TVA_conv[],3,FALSE)))</f>
        <v/>
      </c>
      <c r="X23" s="281"/>
      <c r="Y23" s="313"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23" s="313" t="str">
        <f>IF(OR(Fonctionnement[[#This Row],[Recette / Dépense]]="D",Fonctionnement[[#This Row],[Statut des données]]=Att_charge),IF(Fonctionnement[[#This Row],[TVA initiale]]="","",Fonctionnement[[#This Row],[TVA initiale]]-Fonctionnement[[#This Row],[TVA récupérée]]),"")</f>
        <v/>
      </c>
      <c r="AA23" s="271"/>
      <c r="AB23" s="296"/>
      <c r="AC23" s="313"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23" s="313"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23" s="447">
        <f>IF(AND(Fonctionnement[[#This Row],[Réalisé (€TTC)]]=0,Fonctionnement[[#This Row],[Réalisé (€HT)]]&lt;&gt;0),Fonctionnement[Réalisé (€HT)],Fonctionnement[Réalisé (€TTC)])</f>
        <v>0</v>
      </c>
    </row>
    <row r="24" spans="1:36" x14ac:dyDescent="0.25">
      <c r="A24" s="444"/>
      <c r="B24" s="266"/>
      <c r="C24" s="267"/>
      <c r="D24" s="445"/>
      <c r="E24" s="224"/>
      <c r="F24" s="49"/>
      <c r="G24" s="49"/>
      <c r="H24" s="268"/>
      <c r="I24" s="269"/>
      <c r="J24" s="227"/>
      <c r="K24" s="49"/>
      <c r="L24" s="49"/>
      <c r="M24" s="49"/>
      <c r="N24" s="49"/>
      <c r="O24" s="49"/>
      <c r="P24" s="49"/>
      <c r="Q24" s="49"/>
      <c r="R24" s="49"/>
      <c r="S24" s="305"/>
      <c r="T24" s="305"/>
      <c r="U24" s="446"/>
      <c r="V24" s="270"/>
      <c r="W24" s="310" t="str">
        <f>IF(ISERROR(VLOOKUP(VALUE(Fonctionnement[[#This Row],[Compte]]),TVA_conv[],3,FALSE)),"",IF(AND(Fonctionnement[[#This Row],[Réalisé (€TTC)]]=0,Fonctionnement[[#This Row],[Réalisé (€HT)]]&lt;&gt;0),"",VLOOKUP(VALUE(Fonctionnement[[#This Row],[Compte]]),TVA_conv[],3,FALSE)))</f>
        <v/>
      </c>
      <c r="X24" s="281"/>
      <c r="Y24" s="313"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24" s="313" t="str">
        <f>IF(OR(Fonctionnement[[#This Row],[Recette / Dépense]]="D",Fonctionnement[[#This Row],[Statut des données]]=Att_charge),IF(Fonctionnement[[#This Row],[TVA initiale]]="","",Fonctionnement[[#This Row],[TVA initiale]]-Fonctionnement[[#This Row],[TVA récupérée]]),"")</f>
        <v/>
      </c>
      <c r="AA24" s="271"/>
      <c r="AB24" s="296"/>
      <c r="AC24" s="313"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24" s="313"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24" s="447">
        <f>IF(AND(Fonctionnement[[#This Row],[Réalisé (€TTC)]]=0,Fonctionnement[[#This Row],[Réalisé (€HT)]]&lt;&gt;0),Fonctionnement[Réalisé (€HT)],Fonctionnement[Réalisé (€TTC)])</f>
        <v>0</v>
      </c>
    </row>
    <row r="25" spans="1:36" x14ac:dyDescent="0.25">
      <c r="A25" s="444"/>
      <c r="B25" s="266"/>
      <c r="C25" s="267"/>
      <c r="D25" s="445"/>
      <c r="E25" s="224"/>
      <c r="F25" s="49"/>
      <c r="G25" s="49"/>
      <c r="H25" s="268"/>
      <c r="I25" s="269"/>
      <c r="J25" s="227"/>
      <c r="K25" s="49"/>
      <c r="L25" s="49"/>
      <c r="M25" s="49"/>
      <c r="N25" s="49"/>
      <c r="O25" s="49"/>
      <c r="P25" s="49"/>
      <c r="Q25" s="49"/>
      <c r="R25" s="49"/>
      <c r="S25" s="305"/>
      <c r="T25" s="305"/>
      <c r="U25" s="446"/>
      <c r="V25" s="270"/>
      <c r="W25" s="310" t="str">
        <f>IF(ISERROR(VLOOKUP(VALUE(Fonctionnement[[#This Row],[Compte]]),TVA_conv[],3,FALSE)),"",IF(AND(Fonctionnement[[#This Row],[Réalisé (€TTC)]]=0,Fonctionnement[[#This Row],[Réalisé (€HT)]]&lt;&gt;0),"",VLOOKUP(VALUE(Fonctionnement[[#This Row],[Compte]]),TVA_conv[],3,FALSE)))</f>
        <v/>
      </c>
      <c r="X25" s="281"/>
      <c r="Y25" s="313"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25" s="313" t="str">
        <f>IF(OR(Fonctionnement[[#This Row],[Recette / Dépense]]="D",Fonctionnement[[#This Row],[Statut des données]]=Att_charge),IF(Fonctionnement[[#This Row],[TVA initiale]]="","",Fonctionnement[[#This Row],[TVA initiale]]-Fonctionnement[[#This Row],[TVA récupérée]]),"")</f>
        <v/>
      </c>
      <c r="AA25" s="271"/>
      <c r="AB25" s="296"/>
      <c r="AC25" s="313"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25" s="313"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25" s="447">
        <f>IF(AND(Fonctionnement[[#This Row],[Réalisé (€TTC)]]=0,Fonctionnement[[#This Row],[Réalisé (€HT)]]&lt;&gt;0),Fonctionnement[Réalisé (€HT)],Fonctionnement[Réalisé (€TTC)])</f>
        <v>0</v>
      </c>
    </row>
    <row r="26" spans="1:36" x14ac:dyDescent="0.25">
      <c r="A26" s="444"/>
      <c r="B26" s="266"/>
      <c r="C26" s="267"/>
      <c r="D26" s="445"/>
      <c r="E26" s="224"/>
      <c r="F26" s="49"/>
      <c r="G26" s="49"/>
      <c r="H26" s="268"/>
      <c r="I26" s="269"/>
      <c r="J26" s="227"/>
      <c r="K26" s="49"/>
      <c r="L26" s="49"/>
      <c r="M26" s="49"/>
      <c r="N26" s="49"/>
      <c r="O26" s="49"/>
      <c r="P26" s="49"/>
      <c r="Q26" s="49"/>
      <c r="R26" s="49"/>
      <c r="S26" s="305"/>
      <c r="T26" s="305"/>
      <c r="U26" s="446"/>
      <c r="V26" s="270"/>
      <c r="W26" s="310" t="str">
        <f>IF(ISERROR(VLOOKUP(VALUE(Fonctionnement[[#This Row],[Compte]]),TVA_conv[],3,FALSE)),"",IF(AND(Fonctionnement[[#This Row],[Réalisé (€TTC)]]=0,Fonctionnement[[#This Row],[Réalisé (€HT)]]&lt;&gt;0),"",VLOOKUP(VALUE(Fonctionnement[[#This Row],[Compte]]),TVA_conv[],3,FALSE)))</f>
        <v/>
      </c>
      <c r="X26" s="281"/>
      <c r="Y26" s="313"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26" s="313" t="str">
        <f>IF(OR(Fonctionnement[[#This Row],[Recette / Dépense]]="D",Fonctionnement[[#This Row],[Statut des données]]=Att_charge),IF(Fonctionnement[[#This Row],[TVA initiale]]="","",Fonctionnement[[#This Row],[TVA initiale]]-Fonctionnement[[#This Row],[TVA récupérée]]),"")</f>
        <v/>
      </c>
      <c r="AA26" s="271"/>
      <c r="AB26" s="296"/>
      <c r="AC26" s="313"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26" s="313"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26" s="447">
        <f>IF(AND(Fonctionnement[[#This Row],[Réalisé (€TTC)]]=0,Fonctionnement[[#This Row],[Réalisé (€HT)]]&lt;&gt;0),Fonctionnement[Réalisé (€HT)],Fonctionnement[Réalisé (€TTC)])</f>
        <v>0</v>
      </c>
    </row>
    <row r="27" spans="1:36" x14ac:dyDescent="0.25">
      <c r="A27" s="444"/>
      <c r="B27" s="266"/>
      <c r="C27" s="267"/>
      <c r="D27" s="445"/>
      <c r="E27" s="224"/>
      <c r="F27" s="49"/>
      <c r="G27" s="49"/>
      <c r="H27" s="268"/>
      <c r="I27" s="269"/>
      <c r="J27" s="227"/>
      <c r="K27" s="49"/>
      <c r="L27" s="49"/>
      <c r="M27" s="49"/>
      <c r="N27" s="49"/>
      <c r="O27" s="49"/>
      <c r="P27" s="49"/>
      <c r="Q27" s="49"/>
      <c r="R27" s="49"/>
      <c r="S27" s="305"/>
      <c r="T27" s="305"/>
      <c r="U27" s="446"/>
      <c r="V27" s="270"/>
      <c r="W27" s="310" t="str">
        <f>IF(ISERROR(VLOOKUP(VALUE(Fonctionnement[[#This Row],[Compte]]),TVA_conv[],3,FALSE)),"",IF(AND(Fonctionnement[[#This Row],[Réalisé (€TTC)]]=0,Fonctionnement[[#This Row],[Réalisé (€HT)]]&lt;&gt;0),"",VLOOKUP(VALUE(Fonctionnement[[#This Row],[Compte]]),TVA_conv[],3,FALSE)))</f>
        <v/>
      </c>
      <c r="X27" s="281"/>
      <c r="Y27" s="313"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27" s="313" t="str">
        <f>IF(OR(Fonctionnement[[#This Row],[Recette / Dépense]]="D",Fonctionnement[[#This Row],[Statut des données]]=Att_charge),IF(Fonctionnement[[#This Row],[TVA initiale]]="","",Fonctionnement[[#This Row],[TVA initiale]]-Fonctionnement[[#This Row],[TVA récupérée]]),"")</f>
        <v/>
      </c>
      <c r="AA27" s="271"/>
      <c r="AB27" s="296"/>
      <c r="AC27" s="313"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27" s="313"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27" s="447">
        <f>IF(AND(Fonctionnement[[#This Row],[Réalisé (€TTC)]]=0,Fonctionnement[[#This Row],[Réalisé (€HT)]]&lt;&gt;0),Fonctionnement[Réalisé (€HT)],Fonctionnement[Réalisé (€TTC)])</f>
        <v>0</v>
      </c>
    </row>
    <row r="28" spans="1:36" x14ac:dyDescent="0.25">
      <c r="A28" s="448"/>
      <c r="B28" s="449"/>
      <c r="C28" s="450"/>
      <c r="D28" s="451"/>
      <c r="E28" s="232"/>
      <c r="F28" s="452"/>
      <c r="G28" s="452"/>
      <c r="H28" s="453"/>
      <c r="I28" s="454"/>
      <c r="J28" s="236"/>
      <c r="K28" s="452"/>
      <c r="L28" s="452"/>
      <c r="M28" s="452"/>
      <c r="N28" s="452"/>
      <c r="O28" s="452"/>
      <c r="P28" s="452"/>
      <c r="Q28" s="452"/>
      <c r="R28" s="452"/>
      <c r="S28" s="455"/>
      <c r="T28" s="455"/>
      <c r="U28" s="456"/>
      <c r="V28" s="457"/>
      <c r="W28" s="458" t="str">
        <f>IF(ISERROR(VLOOKUP(VALUE(Fonctionnement[[#This Row],[Compte]]),TVA_conv[],3,FALSE)),"",IF(AND(Fonctionnement[[#This Row],[Réalisé (€TTC)]]=0,Fonctionnement[[#This Row],[Réalisé (€HT)]]&lt;&gt;0),"",VLOOKUP(VALUE(Fonctionnement[[#This Row],[Compte]]),TVA_conv[],3,FALSE)))</f>
        <v/>
      </c>
      <c r="X28" s="459"/>
      <c r="Y28" s="460" t="str">
        <f>IF(OR(AND(Fonctionnement[[#This Row],[Réalisé (€TTC)]]=0,Fonctionnement[[#This Row],[Réalisé (€HT)]]=0),Fonctionnement[[#This Row],[Statut des données]]=Amort_extrac,Fonctionnement[[#This Row],[Statut des données]]=Reprise_extrac,Fonctionnement[[#This Row],[Statut des données]]=Non_incorp,Fonctionnement[[#This Row],[Statut des données]]=Interet),"",
(IF(OR(Fonctionnement[[#This Row],[Statut des données]]=Incorp,Fonctionnement[[#This Row],[Statut des données]]=Supplétif,Fonctionnement[[#This Row],[Statut des données]]=Amort,Fonctionnement[[#This Row],[Statut des données]]=Reprise),1,0)+
IF(OR(Fonctionnement[[#This Row],[Statut des données]]=Att_charge,Fonctionnement[[#This Row],[Statut des données]]=Att_produit),-1,0))*
IF(Fonctionnement[[#This Row],[Réalisé (€HT)]]=0,
Fonctionnement[[#This Row],[Réalisé (€TTC)]]/(1+IF(ISBLANK(Fonctionnement[[#This Row],[Taux TVA modifié]]),Fonctionnement[Taux TVA automatique],Fonctionnement[Taux TVA modifié])),Fonctionnement[Réalisé (€HT)]))</f>
        <v/>
      </c>
      <c r="Z28" s="460" t="str">
        <f>IF(OR(Fonctionnement[[#This Row],[Recette / Dépense]]="D",Fonctionnement[[#This Row],[Statut des données]]=Att_charge),IF(Fonctionnement[[#This Row],[TVA initiale]]="","",Fonctionnement[[#This Row],[TVA initiale]]-Fonctionnement[[#This Row],[TVA récupérée]]),"")</f>
        <v/>
      </c>
      <c r="AA28" s="461"/>
      <c r="AB28" s="462"/>
      <c r="AC28" s="460" t="str">
        <f>IF(OR(Fonctionnement[[#This Row],[Statut des données]]=Non_incorp,Fonctionnement[[#This Row],[Statut des données]]=Amort_extrac,Fonctionnement[[#This Row],[Statut des données]]=Reprise_extrac,Fonctionnement[[#This Row],[Statut des données]]=Interet,AND(Fonctionnement[[#This Row],[Réalisé (€TTC)]]=0,Fonctionnement[[#This Row],[Réalisé (€HT)]]&lt;&gt;0),AND(Fonctionnement[[#This Row],[Réalisé (€TTC)]]=0,Fonctionnement[[#This Row],[Réalisé (€HT)]]=0)),"",
IF(OR(Fonctionnement[[#This Row],[Statut des données]]=Att_charge,Fonctionnement[[#This Row],[Statut des données]]=Att_produit),-(Fonctionnement[[#This Row],[Réalisé (€TTC)]]-(-Fonctionnement[[#This Row],[Montant (€HT)]])),
IF(OR(Fonctionnement[[#This Row],[Statut des données]]=Amort,Fonctionnement[[#This Row],[Statut des données]]=Incorp,Fonctionnement[[#This Row],[Statut des données]]=Supplétif),Fonctionnement[[#This Row],[Réalisé (€TTC)]]-Fonctionnement[[#This Row],[Montant (€HT)]],"")))</f>
        <v/>
      </c>
      <c r="AD28" s="460" t="str">
        <f>IF(Fonctionnement[[#This Row],[TVA initiale]]="","",Fonctionnement[[#This Row],[Réalisé (€TTC)]]*(Fonctionnement[[#This Row],[FCTVA sur charges de fonctionnement]]+IF(Fonctionnement[[#This Row],[Statut des données]]=Amort,1,0))*0.16404+(Fonctionnement[[#This Row],[TVA initiale]]-Fonctionnement[[#This Row],[Réalisé (€TTC)]]*(Fonctionnement[[#This Row],[FCTVA sur charges de fonctionnement]]+IF(Fonctionnement[[#This Row],[Statut des données]]=Amort,1,0))*0.16404)*Fonctionnement[[#This Row],[Coefficient de déduction]])</f>
        <v/>
      </c>
      <c r="AE28" s="463">
        <f>IF(AND(Fonctionnement[[#This Row],[Réalisé (€TTC)]]=0,Fonctionnement[[#This Row],[Réalisé (€HT)]]&lt;&gt;0),Fonctionnement[Réalisé (€HT)],Fonctionnement[Réalisé (€TTC)])</f>
        <v>0</v>
      </c>
    </row>
  </sheetData>
  <sheetProtection formatCells="0" sort="0" autoFilter="0"/>
  <phoneticPr fontId="0" type="noConversion"/>
  <conditionalFormatting sqref="D4:D28">
    <cfRule type="expression" dxfId="151" priority="8">
      <formula>AND(D4=0,S4&lt;&gt;0)</formula>
    </cfRule>
  </conditionalFormatting>
  <conditionalFormatting sqref="U4:U28">
    <cfRule type="expression" dxfId="150" priority="6">
      <formula>AND(U4=0,S4&lt;&gt;0)</formula>
    </cfRule>
  </conditionalFormatting>
  <conditionalFormatting sqref="V4:V28">
    <cfRule type="expression" dxfId="149" priority="1">
      <formula>OR(U4="Amortissement extra-comptable",U4="Reprise extra-comptable",U4="Non incorporable",U4="Intérêts")</formula>
    </cfRule>
    <cfRule type="expression" dxfId="148" priority="5">
      <formula>AND(V4=0,OR(U4="Incorporable",U4="Supplétif",U4="Reprise",U4="Amortissement",U4="Atténuation de produit",U4="atténuation de charge"))</formula>
    </cfRule>
  </conditionalFormatting>
  <dataValidations count="6">
    <dataValidation type="list" allowBlank="1" showInputMessage="1" showErrorMessage="1" sqref="D4:D28" xr:uid="{00000000-0002-0000-0700-000000000000}">
      <formula1>"D,R"</formula1>
    </dataValidation>
    <dataValidation type="list" showInputMessage="1" showErrorMessage="1" sqref="V4:V28" xr:uid="{00000000-0002-0000-0700-000001000000}">
      <formula1>OFFSET(CODE_1,0,0,COUNTA(CODE),1)</formula1>
    </dataValidation>
    <dataValidation showInputMessage="1" showErrorMessage="1" sqref="H4:H28" xr:uid="{00000000-0002-0000-0700-000002000000}"/>
    <dataValidation type="list" errorStyle="information" allowBlank="1" showInputMessage="1" showErrorMessage="1" errorTitle="Source d'information" error="Pour les données extraites directement du grand livre de l'année étudiée, saisir &quot;Grand livre&quot;, pour les autres (charges supplétives par exemple), l'intitulé est laissé libre._x000a_Cliquer sur &quot;oui&quot; pour continuer" sqref="A4:A28" xr:uid="{00000000-0002-0000-0700-000003000000}">
      <formula1>"Grand livre"</formula1>
    </dataValidation>
    <dataValidation type="list" allowBlank="1" showInputMessage="1" showErrorMessage="1" sqref="AB4:AB28" xr:uid="{00000000-0002-0000-0700-000004000000}">
      <formula1>"1"</formula1>
    </dataValidation>
    <dataValidation type="list" allowBlank="1" showInputMessage="1" showErrorMessage="1" sqref="U4:U28" xr:uid="{00000000-0002-0000-0700-000005000000}">
      <formula1>IF(AND(A4="Grand livre",D4="D"),Depenses,IF(AND(A4="Grand livre",D4="R"),Recettes,Supplétif))</formula1>
    </dataValidation>
  </dataValidations>
  <pageMargins left="0.70866141732283472" right="0.70866141732283472" top="0.74803149606299213" bottom="0.74803149606299213" header="0.31496062992125984" footer="0.31496062992125984"/>
  <pageSetup paperSize="9" orientation="portrait"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5D2DDC4DC3AD4F954B60739F7164A0" ma:contentTypeVersion="11" ma:contentTypeDescription="Crée un document." ma:contentTypeScope="" ma:versionID="8175e2de2ded446e9d1b88daa3bf9fcd">
  <xsd:schema xmlns:xsd="http://www.w3.org/2001/XMLSchema" xmlns:xs="http://www.w3.org/2001/XMLSchema" xmlns:p="http://schemas.microsoft.com/office/2006/metadata/properties" xmlns:ns2="04e49d5c-4a4b-4029-819b-76495bed0bc6" xmlns:ns3="5a837b90-50d8-485e-a269-b03013c564e1" targetNamespace="http://schemas.microsoft.com/office/2006/metadata/properties" ma:root="true" ma:fieldsID="ce4973acf72151862f67d7828fb021e2" ns2:_="" ns3:_="">
    <xsd:import namespace="04e49d5c-4a4b-4029-819b-76495bed0bc6"/>
    <xsd:import namespace="5a837b90-50d8-485e-a269-b03013c564e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e49d5c-4a4b-4029-819b-76495bed0bc6"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837b90-50d8-485e-a269-b03013c564e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75DE04-B9A4-4953-8D15-8A05FCC74F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e49d5c-4a4b-4029-819b-76495bed0bc6"/>
    <ds:schemaRef ds:uri="5a837b90-50d8-485e-a269-b03013c564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BF3BC0-BF6C-4975-A456-90CB1700E2FB}">
  <ds:schemaRefs>
    <ds:schemaRef ds:uri="http://schemas.microsoft.com/sharepoint/v3/contenttype/forms"/>
  </ds:schemaRefs>
</ds:datastoreItem>
</file>

<file path=customXml/itemProps3.xml><?xml version="1.0" encoding="utf-8"?>
<ds:datastoreItem xmlns:ds="http://schemas.openxmlformats.org/officeDocument/2006/customXml" ds:itemID="{BF805490-2E8C-4B15-AC03-B2174A1EB64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26</vt:i4>
      </vt:variant>
    </vt:vector>
  </HeadingPairs>
  <TitlesOfParts>
    <vt:vector size="50" baseType="lpstr">
      <vt:lpstr>Nomenclature</vt:lpstr>
      <vt:lpstr>MàJ</vt:lpstr>
      <vt:lpstr>Présentation générale</vt:lpstr>
      <vt:lpstr>Notice</vt:lpstr>
      <vt:lpstr>1 - Cadre matrice</vt:lpstr>
      <vt:lpstr>2 - Matrice finale</vt:lpstr>
      <vt:lpstr>TVA conventionnelle</vt:lpstr>
      <vt:lpstr>Analyse</vt:lpstr>
      <vt:lpstr>3 - Charges et produits</vt:lpstr>
      <vt:lpstr>4 - Codes matrice</vt:lpstr>
      <vt:lpstr>Matrice_Clés_multilignes</vt:lpstr>
      <vt:lpstr>TVA_Clés_lignes</vt:lpstr>
      <vt:lpstr>4 - Clé multilignes1</vt:lpstr>
      <vt:lpstr>4 - Clé multilignes2</vt:lpstr>
      <vt:lpstr>4 - Clé multilignes3</vt:lpstr>
      <vt:lpstr>4 - Clé multilignes4</vt:lpstr>
      <vt:lpstr>4 - Clé multilignes5</vt:lpstr>
      <vt:lpstr>4 - Clé multilignes6</vt:lpstr>
      <vt:lpstr>4 - Clé multilignes7</vt:lpstr>
      <vt:lpstr>4 - Clé SALAIRES</vt:lpstr>
      <vt:lpstr>4bis - Clé Soutiens</vt:lpstr>
      <vt:lpstr>5 - Charges à caractère général</vt:lpstr>
      <vt:lpstr>6 - Amortissements et reprises</vt:lpstr>
      <vt:lpstr>7 - Contrôle CA</vt:lpstr>
      <vt:lpstr>Amort</vt:lpstr>
      <vt:lpstr>Amort_extrac</vt:lpstr>
      <vt:lpstr>Annee</vt:lpstr>
      <vt:lpstr>Att_charge</vt:lpstr>
      <vt:lpstr>Att_produit</vt:lpstr>
      <vt:lpstr>CODE</vt:lpstr>
      <vt:lpstr>CODE_1</vt:lpstr>
      <vt:lpstr>Colonnes</vt:lpstr>
      <vt:lpstr>Depenses</vt:lpstr>
      <vt:lpstr>duree_amort</vt:lpstr>
      <vt:lpstr>Incorp</vt:lpstr>
      <vt:lpstr>Interet</vt:lpstr>
      <vt:lpstr>Lignes</vt:lpstr>
      <vt:lpstr>Lignes_sinoe</vt:lpstr>
      <vt:lpstr>Non_incorp</vt:lpstr>
      <vt:lpstr>pop</vt:lpstr>
      <vt:lpstr>Recettes</vt:lpstr>
      <vt:lpstr>Repart_lignes</vt:lpstr>
      <vt:lpstr>Reprise</vt:lpstr>
      <vt:lpstr>Reprise_extrac</vt:lpstr>
      <vt:lpstr>Supplétif</vt:lpstr>
      <vt:lpstr>Total</vt:lpstr>
      <vt:lpstr>Total_charges</vt:lpstr>
      <vt:lpstr>Total_contributions</vt:lpstr>
      <vt:lpstr>Total_produits</vt:lpstr>
      <vt:lpstr>Notice!Zone_d_impression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Matrice_detaillee</dc:title>
  <dc:subject/>
  <dc:creator>ADEME</dc:creator>
  <cp:keywords/>
  <dc:description>Ce document a été fourni à votre collectivité dans le cadre d'une mission en trait avec la Matrice. Vous pouvez librement le modifier et l'utiliser au sein de vos services.</dc:description>
  <cp:lastModifiedBy>Magali Gass</cp:lastModifiedBy>
  <cp:revision/>
  <dcterms:created xsi:type="dcterms:W3CDTF">2004-11-18T14:13:35Z</dcterms:created>
  <dcterms:modified xsi:type="dcterms:W3CDTF">2021-09-07T06:50:07Z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0x010100DD5D2DDC4DC3AD4F954B60739F7164A0</vt:lpwstr>
  </property>
</Properties>
</file>